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updateLinks="never" codeName="ThisWorkbook" autoCompressPictures="0"/>
  <workbookProtection workbookAlgorithmName="SHA-512" workbookHashValue="8Ga4LUZHhURu4A+efB6+/ho/HGbrAJKFamr+lggrKvxjKDuYYoYhfuwexkm2ZvMO9on0UQvUDIzcEii11ZDdqA==" workbookSaltValue="WB4J9jDqe0mNbMaNQKrXTw==" workbookSpinCount="100000" lockStructure="1"/>
  <bookViews>
    <workbookView xWindow="0" yWindow="0" windowWidth="28800" windowHeight="12435" tabRatio="1000" activeTab="2"/>
  </bookViews>
  <sheets>
    <sheet name="How to Use" sheetId="76" r:id="rId1"/>
    <sheet name="IATA Disclaimer" sheetId="53" r:id="rId2"/>
    <sheet name="Inputs_SetUp" sheetId="1" r:id="rId3"/>
    <sheet name="Inputs_Salaries" sheetId="67" r:id="rId4"/>
    <sheet name="Inputs_M&amp;ELocations" sheetId="19" r:id="rId5"/>
    <sheet name="Inputs_FleetMix" sheetId="23" r:id="rId6"/>
    <sheet name="Inputs_RecordsGeneration" sheetId="68" r:id="rId7"/>
    <sheet name="Costs_RecordsOther" sheetId="54" r:id="rId8"/>
    <sheet name="Costs_RecordArchive&amp;Retrieval" sheetId="69" r:id="rId9"/>
    <sheet name="Labor_RecordErrorRework" sheetId="20" r:id="rId10"/>
    <sheet name="Labor_AircraftLessee" sheetId="58" r:id="rId11"/>
    <sheet name="Labor_Warranty" sheetId="47" r:id="rId12"/>
    <sheet name="Costs_IT" sheetId="60" r:id="rId13"/>
    <sheet name="Costs_Training" sheetId="29" r:id="rId14"/>
    <sheet name="FTE&amp;SystemEfficiencies" sheetId="66" r:id="rId15"/>
    <sheet name="Outputs - CF pSystems" sheetId="2" r:id="rId16"/>
    <sheet name="Outputs - CF hSystems" sheetId="70" r:id="rId17"/>
    <sheet name="Outputs - CF eSystems" sheetId="71" r:id="rId18"/>
    <sheet name="Outputs - SystemCostsGraphs" sheetId="72" r:id="rId19"/>
    <sheet name="Outputs - FTESummaryGraphs" sheetId="63" r:id="rId20"/>
    <sheet name="Excel Name Manager Guidance" sheetId="74" r:id="rId21"/>
  </sheets>
  <definedNames>
    <definedName name="_Toc497397924" localSheetId="1">'IATA Disclaimer'!$C$6</definedName>
    <definedName name="AnalysisPeriodYrs">Inputs_SetUp!$D$45</definedName>
    <definedName name="AnnualBurdenedSalaryCM">Inputs_Salaries!$M$54</definedName>
    <definedName name="AnnualBurdenedSalaryCRT">Inputs_Salaries!$I$54</definedName>
    <definedName name="AnnualBurdenedSalaryEM">Inputs_Salaries!$L$54</definedName>
    <definedName name="AnnualBurdenedSalaryENG">Inputs_Salaries!$E$54</definedName>
    <definedName name="AnnualBurdenedSalaryHM">Inputs_Salaries!$H$54</definedName>
    <definedName name="AnnualBurdenedSalaryLM">Inputs_Salaries!$G$54</definedName>
    <definedName name="AnnualBurdenedSalaryO1">Inputs_Salaries!$O$54</definedName>
    <definedName name="AnnualBurdenedSalaryO2">Inputs_Salaries!$P$54</definedName>
    <definedName name="AnnualBurdenedSalaryPLG">Inputs_Salaries!$F$54</definedName>
    <definedName name="AnnualBurdenedSalaryQSC">Inputs_Salaries!$K$54</definedName>
    <definedName name="AnnualBurdenedSalarySCL">Inputs_Salaries!$J$54</definedName>
    <definedName name="AnnualBurdenedSalarySMCS">Inputs_Salaries!$N$54</definedName>
    <definedName name="BookCodeA">Costs_RecordsOther!$D$66</definedName>
    <definedName name="BookCodeACost_Each">Costs_RecordsOther!$E$66</definedName>
    <definedName name="BookCodeB">Costs_RecordsOther!$D$67</definedName>
    <definedName name="BookCodeBCost_Each">Costs_RecordsOther!$E$67</definedName>
    <definedName name="BookCodeC">Costs_RecordsOther!$D$68</definedName>
    <definedName name="BookCodeCCost_Each">Costs_RecordsOther!$E$68</definedName>
    <definedName name="BookCodeD">Costs_RecordsOther!$D$69</definedName>
    <definedName name="BookCodeDCost_Each">Costs_RecordsOther!$E$69</definedName>
    <definedName name="BookCodeE">Costs_RecordsOther!$D$70</definedName>
    <definedName name="BookCodeECost_Each">Costs_RecordsOther!$E$70</definedName>
    <definedName name="BookCodeF">Costs_RecordsOther!$D$71</definedName>
    <definedName name="BookCodeFCost_Each">Costs_RecordsOther!$E$71</definedName>
    <definedName name="BookCodeG">Costs_RecordsOther!$D$72</definedName>
    <definedName name="BookCodeGCost_Each">Costs_RecordsOther!$E$72</definedName>
    <definedName name="CaseSubject">Inputs_SetUp!$D$25</definedName>
    <definedName name="CompanyOrg">Inputs_SetUp!$D$23</definedName>
    <definedName name="CostperCopy">Costs_RecordsOther!$D$348</definedName>
    <definedName name="CurrSymbol">Inputs_SetUp!$D$34</definedName>
    <definedName name="CurrUnits">Inputs_SetUp!$D$36</definedName>
    <definedName name="eSystems_CFS_PaperBookPurchase">Costs_RecordsOther!$D$854:$N$854</definedName>
    <definedName name="eSystems_CFS_PaperProcess">Costs_RecordsOther!$D$852:$N$852</definedName>
    <definedName name="eSystems_CFS_RecordsMFDLease">Costs_RecordsOther!$D$855:$N$855</definedName>
    <definedName name="eSystems_CFS_RecordsOfficeLease">Costs_RecordsOther!$D$856:$N$856</definedName>
    <definedName name="eSystems_CFS_RecordsPaperArchives" localSheetId="8">'Costs_RecordArchive&amp;Retrieval'!$D$118:$N$118</definedName>
    <definedName name="eSystems_CFS_RecordsPaperPurchase">Costs_RecordsOther!$D$853:$N$853</definedName>
    <definedName name="eSystems_CFS_RecordsTotal">Costs_RecordsOther!$D$857:$N$857</definedName>
    <definedName name="eSystemsBookCostpa_total">Costs_RecordsOther!$E$174:$N$174</definedName>
    <definedName name="eSystemsCompactusArea_Each">Costs_RecordsOther!$E$756:$N$756</definedName>
    <definedName name="eSystemsCompactusArea_Total">Costs_RecordsOther!$E$797:$N$797</definedName>
    <definedName name="eSystemsCost_LaborOther4_CFS">'FTE&amp;SystemEfficiencies'!$D$396:$N$396</definedName>
    <definedName name="eSystemsCost_LaborOther5_CFS">'FTE&amp;SystemEfficiencies'!$D$397:$N$397</definedName>
    <definedName name="eSystemsCost_LaborTotal_CFS">'FTE&amp;SystemEfficiencies'!$D$398:$N$398</definedName>
    <definedName name="eSystemsCost_PaperProcess">Costs_RecordsOther!$E$36:$N$36</definedName>
    <definedName name="eSystemsCost_PaperReworkTotal_CFS">Labor_RecordErrorRework!$D$342:$O$342</definedName>
    <definedName name="eSystemsCost_TrgTotal_CFS">Costs_Training!$D$393:$N$393</definedName>
    <definedName name="eSystemsCost_TrgTotalBestCase_CFS">Costs_Training!$D$393:$N$393</definedName>
    <definedName name="eSystemsCost_TrgTotalMostLikely_CFS">Costs_Training!$D$392:$N$392</definedName>
    <definedName name="eSystemsCost_TrgTotalWorstCase_CFS">Costs_Training!$D$391:$N$391</definedName>
    <definedName name="eSystemsCostIT_CodeA">Costs_IT!$E$169:$N$169</definedName>
    <definedName name="eSystemsCostIT_CodeA_Customization">Costs_IT!$E$168:$N$168</definedName>
    <definedName name="eSystemsCostIT_CodeA_Licence">Costs_IT!$E$165:$N$165</definedName>
    <definedName name="eSystemsCostIT_CodeA_Operating">Costs_IT!$E$164:$N$164</definedName>
    <definedName name="eSystemsCostIT_CodeA_Software">Costs_IT!$E$166:$N$166</definedName>
    <definedName name="eSystemsCostIT_CodeA_Total">Costs_IT!$E$169:$N$169</definedName>
    <definedName name="eSystemsCostIT_CodeA_Upgrade">Costs_IT!$E$167:$N$167</definedName>
    <definedName name="eSystemsCostIT_CodeB">Costs_IT!$E$177:$N$177</definedName>
    <definedName name="eSystemsCostIT_CodeB_Customization">Costs_IT!$E$176:$N$176</definedName>
    <definedName name="eSystemsCostIT_CodeB_Licence">Costs_IT!$E$173:$N$173</definedName>
    <definedName name="eSystemsCostIT_CodeB_Operating">Costs_IT!$E$172:$N$172</definedName>
    <definedName name="eSystemsCostIT_CodeB_Software">Costs_IT!$E$174:$N$174</definedName>
    <definedName name="eSystemsCostIT_CodeB_Total">Costs_IT!$E$177:$N$177</definedName>
    <definedName name="eSystemsCostIT_CodeB_Upgrade">Costs_IT!$E$175:$N$175</definedName>
    <definedName name="eSystemsCostIT_CodeC">Costs_IT!$E$185:$N$185</definedName>
    <definedName name="eSystemsCostIT_CodeC_Customization">Costs_IT!$E$184:$N$184</definedName>
    <definedName name="eSystemsCostIT_CodeC_Licence">Costs_IT!$E$181:$N$181</definedName>
    <definedName name="eSystemsCostIT_CodeC_Operating">Costs_IT!$E$180:$N$180</definedName>
    <definedName name="eSystemsCostIT_CodeC_Software">Costs_IT!$E$182:$N$182</definedName>
    <definedName name="eSystemsCostIT_CodeC_Total">Costs_IT!$E$185:$N$185</definedName>
    <definedName name="eSystemsCostIT_CodeC_Upgrade">Costs_IT!$E$183:$N$183</definedName>
    <definedName name="eSystemsCostIT_CodeD">Costs_IT!$E$193:$N$193</definedName>
    <definedName name="eSystemsCostIT_CodeD_Customization">Costs_IT!$E$192:$N$192</definedName>
    <definedName name="eSystemsCostIT_CodeD_Licence">Costs_IT!$E$189:$N$189</definedName>
    <definedName name="eSystemsCostIT_CodeD_Operating">Costs_IT!$E$188:$N$188</definedName>
    <definedName name="eSystemsCostIT_CodeD_Software">Costs_IT!$E$190:$N$190</definedName>
    <definedName name="eSystemsCostIT_CodeD_Total">Costs_IT!$E$193:$N$193</definedName>
    <definedName name="eSystemsCostIT_CodeD_Upgrade">Costs_IT!$E$191:$N$191</definedName>
    <definedName name="eSystemsCostIT_CodeE">Costs_IT!$E$201:$N$201</definedName>
    <definedName name="eSystemsCostIT_CodeE_Customization">Costs_IT!$E$200:$N$200</definedName>
    <definedName name="eSystemsCostIT_CodeE_Licence">Costs_IT!$E$197:$N$197</definedName>
    <definedName name="eSystemsCostIT_CodeE_Operating">Costs_IT!$E$196:$N$196</definedName>
    <definedName name="eSystemsCostIT_CodeE_Software">Costs_IT!$E$198:$N$198</definedName>
    <definedName name="eSystemsCostIT_CodeE_Total">Costs_IT!$E$201:$N$201</definedName>
    <definedName name="eSystemsCostIT_CodeE_Upgrade">Costs_IT!$E$199:$N$199</definedName>
    <definedName name="eSystemsCostIT_CodeF">Costs_IT!$E$209:$N$209</definedName>
    <definedName name="eSystemsCostIT_CodeF_Customization">Costs_IT!$E$208:$N$208</definedName>
    <definedName name="eSystemsCostIT_CodeF_Licence">Costs_IT!$E$205:$N$205</definedName>
    <definedName name="eSystemsCostIT_CodeF_Operating">Costs_IT!$E$204:$N$204</definedName>
    <definedName name="eSystemsCostIT_CodeF_Software">Costs_IT!$E$206:$N$206</definedName>
    <definedName name="eSystemsCostIT_CodeF_Total">Costs_IT!$E$209:$N$209</definedName>
    <definedName name="eSystemsCostIT_CodeF_Upgrade">Costs_IT!$E$207:$N$207</definedName>
    <definedName name="eSystemsCostIT_CodeG">Costs_IT!$E$217:$N$217</definedName>
    <definedName name="eSystemsCostIT_CodeG_Customization">Costs_IT!$E$216:$N$216</definedName>
    <definedName name="eSystemsCostIT_CodeG_Licence">Costs_IT!$E$213:$N$213</definedName>
    <definedName name="eSystemsCostIT_CodeG_Operating">Costs_IT!$E$212:$N$212</definedName>
    <definedName name="eSystemsCostIT_CodeG_Software">Costs_IT!$E$214:$N$214</definedName>
    <definedName name="eSystemsCostIT_CodeG_Total">Costs_IT!$E$217:$N$217</definedName>
    <definedName name="eSystemsCostIT_CodeG_Upgrade">Costs_IT!$E$215:$N$215</definedName>
    <definedName name="eSystemsCostIT_Total">Costs_IT!$E$219:$N$219</definedName>
    <definedName name="eSystemsCostsWarrantyTotal_CFS">Labor_Warranty!$D$73:$N$73</definedName>
    <definedName name="eSystemsCostWarrantyTotal">Labor_Warranty!$E$53:$N$53</definedName>
    <definedName name="eSystemsFilingCabinetArea_Each">Costs_RecordsOther!$E$617:$N$617</definedName>
    <definedName name="eSystemsFilingCabinetArea_Total">Costs_RecordsOther!$E$652:$N$652</definedName>
    <definedName name="eSystemsFleetPaperCMTotal">Inputs_RecordsGeneration!$E$1153:$N$1153</definedName>
    <definedName name="eSystemsFleetPaperCRTTotal">Inputs_RecordsGeneration!$E$1149:$N$1149</definedName>
    <definedName name="eSystemsFleetPaperEMTotal">Inputs_RecordsGeneration!$E$1152:$N$1152</definedName>
    <definedName name="eSystemsFleetPaperENGTotal">Inputs_RecordsGeneration!$E$1147:$N$1147</definedName>
    <definedName name="eSystemsFleetPaperHMTotal">Inputs_RecordsGeneration!$E$1145:$N$1145</definedName>
    <definedName name="eSystemsFleetPaperLMTotal">Inputs_RecordsGeneration!$E$1146:$N$1146</definedName>
    <definedName name="eSystemsFleetPaperO1Total">Inputs_RecordsGeneration!$E$1155:$N$1155</definedName>
    <definedName name="eSystemsFleetPaperO2Total">Inputs_RecordsGeneration!$E$1156:$N$1156</definedName>
    <definedName name="eSystemsFleetPaperPLGTotal">Inputs_RecordsGeneration!$E$1148:$N$1148</definedName>
    <definedName name="eSystemsFleetPaperQSCTotal">Inputs_RecordsGeneration!$E$1151:$N$1151</definedName>
    <definedName name="eSystemsFleetPaperSCLTotal">Inputs_RecordsGeneration!$E$1150:$N$1150</definedName>
    <definedName name="eSystemsFleetPaperSMCSTotal">Inputs_RecordsGeneration!$E$1154:$N$1154</definedName>
    <definedName name="eSystemsFTEBestCase_Total_CFS">'FTE&amp;SystemEfficiencies'!$D$419:$N$419</definedName>
    <definedName name="eSystemsFTECalcResultBestCaseCM">'FTE&amp;SystemEfficiencies'!$E$329:$N$329</definedName>
    <definedName name="eSystemsFTECalcResultBestCaseCRT">'FTE&amp;SystemEfficiencies'!$E$281:$N$281</definedName>
    <definedName name="eSystemsFTECalcResultBestCaseEM">'FTE&amp;SystemEfficiencies'!$E$317:$N$317</definedName>
    <definedName name="eSystemsFTECalcResultBestCaseENG">'FTE&amp;SystemEfficiencies'!$E$257:$N$257</definedName>
    <definedName name="eSystemsFTECalcResultBestCaseHM">'FTE&amp;SystemEfficiencies'!$E$233:$N$233</definedName>
    <definedName name="eSystemsFTECalcResultBestCaseLM">'FTE&amp;SystemEfficiencies'!$E$245:$N$245</definedName>
    <definedName name="eSystemsFTECalcResultBestCaseO1">'FTE&amp;SystemEfficiencies'!$E$353:$N$353</definedName>
    <definedName name="eSystemsFTECalcResultBestCaseO2">'FTE&amp;SystemEfficiencies'!$E$365:$N$365</definedName>
    <definedName name="eSystemsFTECalcResultBestCasePLG">'FTE&amp;SystemEfficiencies'!$E$269:$N$269</definedName>
    <definedName name="eSystemsFTECalcResultBestCaseQSC">'FTE&amp;SystemEfficiencies'!$E$305:$N$305</definedName>
    <definedName name="eSystemsFTECalcResultBestCaseSCL">'FTE&amp;SystemEfficiencies'!$E$293:$N$293</definedName>
    <definedName name="eSystemsFTECalcResultBestCaseSMCS">'FTE&amp;SystemEfficiencies'!$E$341:$N$341</definedName>
    <definedName name="eSystemsFTECalcResultBestCaseTotal">'FTE&amp;SystemEfficiencies'!$E$373:$N$373</definedName>
    <definedName name="eSystemsFTECalcResultMostLikelyCM">'FTE&amp;SystemEfficiencies'!$E$328:$N$328</definedName>
    <definedName name="eSystemsFTECalcResultMostLikelyCRT">'FTE&amp;SystemEfficiencies'!$E$280:$N$280</definedName>
    <definedName name="eSystemsFTECalcResultMostLikelyEM">'FTE&amp;SystemEfficiencies'!$E$316:$N$316</definedName>
    <definedName name="eSystemsFTECalcResultMostLikelyENG">'FTE&amp;SystemEfficiencies'!$E$256:$N$256</definedName>
    <definedName name="eSystemsFTECalcResultMostLikelyHM">'FTE&amp;SystemEfficiencies'!$E$232:$N$232</definedName>
    <definedName name="eSystemsFTECalcResultMostLikelyLM">'FTE&amp;SystemEfficiencies'!$E$244:$N$244</definedName>
    <definedName name="eSystemsFTECalcResultMostLikelyO1">'FTE&amp;SystemEfficiencies'!$E$352:$N$352</definedName>
    <definedName name="eSystemsFTECalcResultMostLikelyO2">'FTE&amp;SystemEfficiencies'!$E$364:$N$364</definedName>
    <definedName name="eSystemsFTECalcResultMostLikelyPLG">'FTE&amp;SystemEfficiencies'!$E$268:$N$268</definedName>
    <definedName name="eSystemsFTECalcResultMostLikelyQSC">'FTE&amp;SystemEfficiencies'!$E$304:$N$304</definedName>
    <definedName name="eSystemsFTECalcResultMostLikelySCL">'FTE&amp;SystemEfficiencies'!$E$292:$N$292</definedName>
    <definedName name="eSystemsFTECalcResultMostLikelySMCS">'FTE&amp;SystemEfficiencies'!$E$340:$N$340</definedName>
    <definedName name="eSystemsFTECalcResultMostLikelyTotal">'FTE&amp;SystemEfficiencies'!$E$372:$N$372</definedName>
    <definedName name="eSystemsFTECalcResultWorstCaseCM">'FTE&amp;SystemEfficiencies'!$E$327:$N$327</definedName>
    <definedName name="eSystemsFTECalcResultWorstCaseCRT">'FTE&amp;SystemEfficiencies'!$E$279:$N$279</definedName>
    <definedName name="eSystemsFTECalcResultWorstCaseEM">'FTE&amp;SystemEfficiencies'!$E$315:$N$315</definedName>
    <definedName name="eSystemsFTECalcResultWorstCaseENG">'FTE&amp;SystemEfficiencies'!$E$255:$N$255</definedName>
    <definedName name="eSystemsFTECalcResultWorstCaseHM">'FTE&amp;SystemEfficiencies'!$E$231:$N$231</definedName>
    <definedName name="eSystemsFTECalcResultWorstCaseLM">'FTE&amp;SystemEfficiencies'!$E$243:$N$243</definedName>
    <definedName name="eSystemsFTECalcResultWorstCaseO1">'FTE&amp;SystemEfficiencies'!$E$351:$N$351</definedName>
    <definedName name="eSystemsFTECalcResultWorstCaseO2">'FTE&amp;SystemEfficiencies'!$E$363:$N$363</definedName>
    <definedName name="eSystemsFTECalcResultWorstCasePLG">'FTE&amp;SystemEfficiencies'!$E$267:$N$267</definedName>
    <definedName name="eSystemsFTECalcResultWorstCaseQSC">'FTE&amp;SystemEfficiencies'!$E$303:$N$303</definedName>
    <definedName name="eSystemsFTECalcResultWorstCaseSCL">'FTE&amp;SystemEfficiencies'!$E$291:$N$291</definedName>
    <definedName name="eSystemsFTECalcResultWorstCaseSMCS">'FTE&amp;SystemEfficiencies'!$E$339:$N$339</definedName>
    <definedName name="eSystemsFTECalcResultWorstCaseTotal">'FTE&amp;SystemEfficiencies'!$E$371:$N$371</definedName>
    <definedName name="eSystemsFTELaborCostBestCase_CFS">'FTE&amp;SystemEfficiencies'!$D$398:$N$398</definedName>
    <definedName name="eSystemsFTELaborCostBestCaseTotal">'FTE&amp;SystemEfficiencies'!$E$377:$N$377</definedName>
    <definedName name="eSystemsFTELaborCostMostLikely_CFS">'FTE&amp;SystemEfficiencies'!$D$397:$N$397</definedName>
    <definedName name="eSystemsFTELaborCostMostLikelyCM">'FTE&amp;SystemEfficiencies'!$E$332:$N$332</definedName>
    <definedName name="eSystemsFTELaborCostMostLikelyCRT">'FTE&amp;SystemEfficiencies'!$E$284:$N$284</definedName>
    <definedName name="eSystemsFTELaborCostMostLikelyEM">'FTE&amp;SystemEfficiencies'!$E$320:$N$320</definedName>
    <definedName name="eSystemsFTELaborCostMostLikelyENG">'FTE&amp;SystemEfficiencies'!$E$260:$N$260</definedName>
    <definedName name="eSystemsFTELaborCostMostLikelyHM">'FTE&amp;SystemEfficiencies'!$E$236:$N$236</definedName>
    <definedName name="eSystemsFTELaborCostMostLikelyLM">'FTE&amp;SystemEfficiencies'!$E$248:$N$248</definedName>
    <definedName name="eSystemsFTELaborCostMostLikelyO1">'FTE&amp;SystemEfficiencies'!$E$356:$N$356</definedName>
    <definedName name="eSystemsFTELaborCostMostLikelyO2">'FTE&amp;SystemEfficiencies'!$E$368:$N$368</definedName>
    <definedName name="eSystemsFTELaborCostMostLikelyPLG">'FTE&amp;SystemEfficiencies'!$E$272:$N$272</definedName>
    <definedName name="eSystemsFTELaborCostMostLikelyQSC">'FTE&amp;SystemEfficiencies'!$E$308:$N$308</definedName>
    <definedName name="eSystemsFTELaborCostMostLikelySCL">'FTE&amp;SystemEfficiencies'!$E$296:$N$296</definedName>
    <definedName name="eSystemsFTELaborCostMostLikelySMCS">'FTE&amp;SystemEfficiencies'!$E$344:$N$344</definedName>
    <definedName name="eSystemsFTELaborCostMostLikelyTotal">'FTE&amp;SystemEfficiencies'!$E$376:$N$376</definedName>
    <definedName name="eSystemsFTELaborCostWorstCase_CFS">'FTE&amp;SystemEfficiencies'!$D$396:$N$396</definedName>
    <definedName name="eSystemsFTELaborCostWorstCaseCM">'FTE&amp;SystemEfficiencies'!$E$331:$N$331</definedName>
    <definedName name="eSystemsFTELaborCostWorstCaseCRT">'FTE&amp;SystemEfficiencies'!$E$283:$N$283</definedName>
    <definedName name="eSystemsFTELaborCostWorstCaseEM">'FTE&amp;SystemEfficiencies'!$E$319:$N$319</definedName>
    <definedName name="eSystemsFTELaborCostWorstCaseENG">'FTE&amp;SystemEfficiencies'!$E$259:$N$259</definedName>
    <definedName name="eSystemsFTELaborCostWorstCaseHM">'FTE&amp;SystemEfficiencies'!$E$235:$N$235</definedName>
    <definedName name="eSystemsFTELaborCostWorstCaseLM">'FTE&amp;SystemEfficiencies'!$E$247:$N$247</definedName>
    <definedName name="eSystemsFTELaborCostWorstCaseO1">'FTE&amp;SystemEfficiencies'!$E$355:$N$355</definedName>
    <definedName name="eSystemsFTELaborCostWorstCaseO2">'FTE&amp;SystemEfficiencies'!$E$367:$N$367</definedName>
    <definedName name="eSystemsFTELaborCostWorstCasePLG">'FTE&amp;SystemEfficiencies'!$E$271:$N$271</definedName>
    <definedName name="eSystemsFTELaborCostWorstCaseQSC">'FTE&amp;SystemEfficiencies'!$E$307:$N$307</definedName>
    <definedName name="eSystemsFTELaborCostWorstCaseSCL">'FTE&amp;SystemEfficiencies'!$E$295:$N$295</definedName>
    <definedName name="eSystemsFTELaborCostWorstCaseSMCS">'FTE&amp;SystemEfficiencies'!$E$343:$N$343</definedName>
    <definedName name="eSystemsFTELaborCostWorstCaseTotal">'FTE&amp;SystemEfficiencies'!$E$375:$N$375</definedName>
    <definedName name="eSystemsFTEMostLikely_Total_CFS">'FTE&amp;SystemEfficiencies'!$D$418:$N$418</definedName>
    <definedName name="eSystemsFTEMostLikelyBestCaseCM">'FTE&amp;SystemEfficiencies'!$E$333:$N$333</definedName>
    <definedName name="eSystemsFTEMostLikelyBestCaseCRT">'FTE&amp;SystemEfficiencies'!$E$285:$N$285</definedName>
    <definedName name="eSystemsFTEMostLikelyBestCaseEM">'FTE&amp;SystemEfficiencies'!$E$321:$N$321</definedName>
    <definedName name="eSystemsFTEMostLikelyBestCaseENG">'FTE&amp;SystemEfficiencies'!$E$261:$N$261</definedName>
    <definedName name="eSystemsFTEMostLikelyBestCaseHM">'FTE&amp;SystemEfficiencies'!$E$237:$N$237</definedName>
    <definedName name="eSystemsFTEMostLikelyBestCaseLM">'FTE&amp;SystemEfficiencies'!$E$249:$N$249</definedName>
    <definedName name="eSystemsFTEMostLikelyBestCaseO1">'FTE&amp;SystemEfficiencies'!$E$357:$N$357</definedName>
    <definedName name="eSystemsFTEMostLikelyBestCaseO2">'FTE&amp;SystemEfficiencies'!$E$369:$N$369</definedName>
    <definedName name="eSystemsFTEMostLikelyBestCasePLG">'FTE&amp;SystemEfficiencies'!$E$273:$N$273</definedName>
    <definedName name="eSystemsFTEMostLikelyBestCaseQSC">'FTE&amp;SystemEfficiencies'!$E$309:$N$309</definedName>
    <definedName name="eSystemsFTEMostLikelyBestCaseSCL">'FTE&amp;SystemEfficiencies'!$E$297:$N$297</definedName>
    <definedName name="eSystemsFTEMostLikelyBestCaseSMCS">'FTE&amp;SystemEfficiencies'!$E$345:$N$345</definedName>
    <definedName name="eSystemsFTEPercentReductionBestCaseCM">'FTE&amp;SystemEfficiencies'!$E$325:$N$325</definedName>
    <definedName name="eSystemsFTEPercentReductionBestCaseCRT">'FTE&amp;SystemEfficiencies'!$E$277:$N$277</definedName>
    <definedName name="eSystemsFTEPercentReductionBestCaseEM">'FTE&amp;SystemEfficiencies'!$E$313:$N$313</definedName>
    <definedName name="eSystemsFTEPercentReductionBestCaseENG">'FTE&amp;SystemEfficiencies'!$E$253:$N$253</definedName>
    <definedName name="eSystemsFTEPercentReductionBestCaseHM">'FTE&amp;SystemEfficiencies'!$E$229:$N$229</definedName>
    <definedName name="eSystemsFTEPercentReductionBestCaseLM">'FTE&amp;SystemEfficiencies'!$E$241:$N$241</definedName>
    <definedName name="eSystemsFTEPercentReductionBestCaseO1">'FTE&amp;SystemEfficiencies'!$E$349:$N$349</definedName>
    <definedName name="eSystemsFTEPercentReductionBestCaseO2">'FTE&amp;SystemEfficiencies'!$E$361:$N$361</definedName>
    <definedName name="eSystemsFTEPercentReductionBestCasePLG">'FTE&amp;SystemEfficiencies'!$E$265:$N$265</definedName>
    <definedName name="eSystemsFTEPercentReductionBestCaseQSC">'FTE&amp;SystemEfficiencies'!$E$301:$N$301</definedName>
    <definedName name="eSystemsFTEPercentReductionBestCaseSCL">'FTE&amp;SystemEfficiencies'!$E$289:$N$289</definedName>
    <definedName name="eSystemsFTEPercentReductionBestCaseSMCS">'FTE&amp;SystemEfficiencies'!$E$337:$N$337</definedName>
    <definedName name="eSystemsFTEPercentReductionMostLikelyCM">'FTE&amp;SystemEfficiencies'!$E$324:$N$324</definedName>
    <definedName name="eSystemsFTEPercentReductionMostLikelyCRT">'FTE&amp;SystemEfficiencies'!$E$276:$N$276</definedName>
    <definedName name="eSystemsFTEPercentReductionMostLikelyEM">'FTE&amp;SystemEfficiencies'!$E$312:$N$312</definedName>
    <definedName name="eSystemsFTEPercentReductionMostLikelyENG">'FTE&amp;SystemEfficiencies'!$E$252:$N$252</definedName>
    <definedName name="eSystemsFTEPercentReductionMostLikelyHM">'FTE&amp;SystemEfficiencies'!$E$228:$N$228</definedName>
    <definedName name="eSystemsFTEPercentReductionMostLikelyLM">'FTE&amp;SystemEfficiencies'!$E$240:$N$240</definedName>
    <definedName name="eSystemsFTEPercentReductionMostLikelyO1">'FTE&amp;SystemEfficiencies'!$E$348:$N$348</definedName>
    <definedName name="eSystemsFTEPercentReductionMostLikelyO2">'FTE&amp;SystemEfficiencies'!$E$360:$N$360</definedName>
    <definedName name="eSystemsFTEPercentReductionMostLikelyPLG">'FTE&amp;SystemEfficiencies'!$E$264:$N$264</definedName>
    <definedName name="eSystemsFTEPercentReductionMostLikelyQSC">'FTE&amp;SystemEfficiencies'!$E$300:$N$300</definedName>
    <definedName name="eSystemsFTEPercentReductionMostLikelySCL">'FTE&amp;SystemEfficiencies'!$E$288:$N$288</definedName>
    <definedName name="eSystemsFTEPercentReductionMostLikelySMCS">'FTE&amp;SystemEfficiencies'!$E$336:$N$336</definedName>
    <definedName name="eSystemsFTEPercentReductionWorstCaseCM">'FTE&amp;SystemEfficiencies'!$E$323:$N$323</definedName>
    <definedName name="eSystemsFTEPercentReductionWorstCaseCRT">'FTE&amp;SystemEfficiencies'!$E$275:$N$275</definedName>
    <definedName name="eSystemsFTEPercentReductionWorstCaseEM">'FTE&amp;SystemEfficiencies'!$E$311:$N$311</definedName>
    <definedName name="eSystemsFTEPercentReductionWorstCaseENG">'FTE&amp;SystemEfficiencies'!$E$251:$N$251</definedName>
    <definedName name="eSystemsFTEPercentReductionWorstCaseHM">'FTE&amp;SystemEfficiencies'!$E$227:$N$227</definedName>
    <definedName name="eSystemsFTEPercentReductionWorstCaseLM">'FTE&amp;SystemEfficiencies'!$E$239:$N$239</definedName>
    <definedName name="eSystemsFTEPercentReductionWorstCaseO1">'FTE&amp;SystemEfficiencies'!$E$347:$N$347</definedName>
    <definedName name="eSystemsFTEPercentReductionWorstCaseO2">'FTE&amp;SystemEfficiencies'!$E$359:$N$359</definedName>
    <definedName name="eSystemsFTEPercentReductionWorstCasePLG">'FTE&amp;SystemEfficiencies'!$E$263:$N$263</definedName>
    <definedName name="eSystemsFTEPercentReductionWorstCaseQSC">'FTE&amp;SystemEfficiencies'!$E$299:$N$299</definedName>
    <definedName name="eSystemsFTEPercentReductionWorstCaseSCL">'FTE&amp;SystemEfficiencies'!$E$287:$N$287</definedName>
    <definedName name="eSystemsFTEPercentReductionWorstCaseSMCS">'FTE&amp;SystemEfficiencies'!$E$335:$N$335</definedName>
    <definedName name="eSystemsFTERework_OutputSummary">Labor_RecordErrorRework!$D$356:$N$356</definedName>
    <definedName name="eSystemsFTETotal_OutputSummary">'FTE&amp;SystemEfficiencies'!$D$417:$N$417</definedName>
    <definedName name="eSystemsFTEWarranty">Labor_Warranty!$E$51:$N$51</definedName>
    <definedName name="eSystemsFTEWarranty_OutputSummary">Labor_Warranty!$D$87:$N$87</definedName>
    <definedName name="eSystemsFTEWorstCase_Total_CFS">'FTE&amp;SystemEfficiencies'!$D$417:$N$417</definedName>
    <definedName name="eSystemsInducedLaborCostTotal">'Outputs - CF eSystems'!$D$31:$N$31</definedName>
    <definedName name="eSystemsInducedTotalCostBCTotalCumGrand">'Outputs - CF eSystems'!$D$60:$N$60</definedName>
    <definedName name="eSystemsInducedTotalCostBCTotalGrand">'Outputs - CF eSystems'!$D$55:$N$55</definedName>
    <definedName name="eSystemsInducedTotalCostMLTotalCumgrand">'Outputs - CF eSystems'!$D$59:$N$59</definedName>
    <definedName name="eSystemsInducedTotalCostMLTotalgrand">'Outputs - CF eSystems'!$D$54:$N$54</definedName>
    <definedName name="eSystemsInducedTotalCostWCTotalCumGrand">'Outputs - CF eSystems'!$D$58:$N$58</definedName>
    <definedName name="eSystemsInducedTotalCostWCTotalGrand">'Outputs - CF eSystems'!$D$53:$N$53</definedName>
    <definedName name="eSystemsIT_CodeA_Total_CFS">Costs_IT!$D$252:$N$252</definedName>
    <definedName name="eSystemsIT_CodeB_Total_CFS">Costs_IT!$D$253:$N$253</definedName>
    <definedName name="eSystemsIT_CodeC_Total_CFS">Costs_IT!$D$254:$N$254</definedName>
    <definedName name="eSystemsIT_CodeD_Total_CFS">Costs_IT!$D$255:$N$255</definedName>
    <definedName name="eSystemsIT_CodeE_Total_CFS">Costs_IT!$D$256:$N$256</definedName>
    <definedName name="eSystemsIT_CodeF_Total_CFS">Costs_IT!$D$257:$N$257</definedName>
    <definedName name="eSystemsIT_CodeG_Total_CFS">Costs_IT!$D$258:$N$258</definedName>
    <definedName name="eSystemsIT_Cost_Total_CFS">Costs_IT!$D$259:$N$259</definedName>
    <definedName name="eSystemsLaborUtilRate">Inputs_Salaries!$E$34:$P$34</definedName>
    <definedName name="eSystemsLease_AAaudit_Total_CFS">Labor_AircraftLessee!$D$1016:$N$1016</definedName>
    <definedName name="eSystemsLease_Cost_Total_CFS">Labor_AircraftLessee!$D$1020:$N$1020</definedName>
    <definedName name="eSystemsLease_DisRec_Total_CFS">Labor_AircraftLessee!$D$1017:$N$1017</definedName>
    <definedName name="eSystemsLease_DueDil_Total_CFS">Labor_AircraftLessee!$D$1019:$N$1019</definedName>
    <definedName name="eSystemsLease_Hosting_Total_CFS">Labor_AircraftLessee!$D$1014:$N$1014</definedName>
    <definedName name="eSystemsLease_LessorAudit_Total_CFS">Labor_AircraftLessee!$D$1015:$N$1015</definedName>
    <definedName name="eSystemsLease_RecSearch_Total_CFS">Labor_AircraftLessee!$D$1018:$N$1018</definedName>
    <definedName name="eSystemsLease_Return_Total_CFS">Labor_AircraftLessee!$D$1013:$N$1013</definedName>
    <definedName name="eSystemsLeaseDisputedRecordFTEsCM">Labor_AircraftLessee!$E$479:$N$479</definedName>
    <definedName name="eSystemsLeaseDisputedRecordFTEsCRT">Labor_AircraftLessee!$E$475:$N$475</definedName>
    <definedName name="eSystemsLeaseDisputedRecordFTEsEM">Labor_AircraftLessee!$E$478:$N$478</definedName>
    <definedName name="eSystemsLeaseDisputedRecordFTEsENG">Labor_AircraftLessee!$E$473:$N$473</definedName>
    <definedName name="eSystemsLeaseDisputedRecordFTEsHM">Labor_AircraftLessee!$E$471:$N$471</definedName>
    <definedName name="eSystemsLeaseDisputedRecordFTEsLM">Labor_AircraftLessee!$E$472:$N$472</definedName>
    <definedName name="eSystemsLeaseDisputedRecordFTEsO1">Labor_AircraftLessee!$E$481:$N$481</definedName>
    <definedName name="eSystemsLeaseDisputedRecordFTEsO2">Labor_AircraftLessee!$E$482:$N$482</definedName>
    <definedName name="eSystemsLeaseDisputedRecordFTEsPLG">Labor_AircraftLessee!$E$474:$N$474</definedName>
    <definedName name="eSystemsLeaseDisputedRecordFTEsQSC">Labor_AircraftLessee!$E$477:$N$477</definedName>
    <definedName name="eSystemsLeaseDisputedRecordFTEsSCL">Labor_AircraftLessee!$E$476:$N$476</definedName>
    <definedName name="eSystemsLeaseDisputedRecordFTEsSMCS">Labor_AircraftLessee!$E$480:$N$480</definedName>
    <definedName name="eSystemsLeaseDisputedRecordLaborCostCM">Labor_AircraftLessee!$E$463:$N$463</definedName>
    <definedName name="eSystemsLeaseDisputedRecordLaborCostCRT">Labor_AircraftLessee!$E$459:$N$459</definedName>
    <definedName name="eSystemsLeaseDisputedRecordLaborCostEM">Labor_AircraftLessee!$E$462:$N$462</definedName>
    <definedName name="eSystemsLeaseDisputedRecordLaborCostENG">Labor_AircraftLessee!$E$457:$N$457</definedName>
    <definedName name="eSystemsLeaseDisputedRecordLaborCostHM">Labor_AircraftLessee!$E$455:$N$455</definedName>
    <definedName name="eSystemsLeaseDisputedRecordLaborCostLM">Labor_AircraftLessee!$E$456:$N$456</definedName>
    <definedName name="eSystemsLeaseDisputedRecordLaborCostO1">Labor_AircraftLessee!$E$465:$N$465</definedName>
    <definedName name="eSystemsLeaseDisputedRecordLaborCostO2">Labor_AircraftLessee!$E$466:$N$466</definedName>
    <definedName name="eSystemsLeaseDisputedRecordLaborCostPLG">Labor_AircraftLessee!$E$458:$N$458</definedName>
    <definedName name="eSystemsLeaseDisputedRecordLaborCostQSC">Labor_AircraftLessee!$E$461:$N$461</definedName>
    <definedName name="eSystemsLeaseDisputedRecordLaborCostSCL">Labor_AircraftLessee!$E$460:$N$460</definedName>
    <definedName name="eSystemsLeaseDisputedRecordLaborCostSMCS">Labor_AircraftLessee!$E$464:$N$464</definedName>
    <definedName name="eSystemsLeaseDisputedRecordLaborCostTotal">Labor_AircraftLessee!$E$467:$N$467</definedName>
    <definedName name="eSystemsLeaseDisputedRecordLaborCostTotal_CFS">Labor_AircraftLessee!$D$1015:$N$1015</definedName>
    <definedName name="eSystemsLeaseDisputedRecordLaborHrsCM">Labor_AircraftLessee!$E$448:$N$448</definedName>
    <definedName name="eSystemsLeaseDisputedRecordLaborHrsCRT">Labor_AircraftLessee!$E$444:$N$444</definedName>
    <definedName name="eSystemsLeaseDisputedRecordLaborHrsEM">Labor_AircraftLessee!$E$447:$N$447</definedName>
    <definedName name="eSystemsLeaseDisputedRecordLaborHrsENG">Labor_AircraftLessee!$E$442:$N$442</definedName>
    <definedName name="eSystemsLeaseDisputedRecordLaborHrsHM">Labor_AircraftLessee!$E$440:$N$440</definedName>
    <definedName name="eSystemsLeaseDisputedRecordLaborHrsLM">Labor_AircraftLessee!$E$441:$N$441</definedName>
    <definedName name="eSystemsLeaseDisputedRecordLaborHrsO1">Labor_AircraftLessee!$E$450:$N$450</definedName>
    <definedName name="eSystemsLeaseDisputedRecordLaborHrsO2">Labor_AircraftLessee!$E$451:$N$451</definedName>
    <definedName name="eSystemsLeaseDisputedRecordLaborHrsPLG">Labor_AircraftLessee!$E$443:$N$443</definedName>
    <definedName name="eSystemsLeaseDisputedRecordLaborHrsQSC">Labor_AircraftLessee!$E$446:$N$446</definedName>
    <definedName name="eSystemsLeaseDisputedRecordLaborHrsSCL">Labor_AircraftLessee!$E$445:$N$445</definedName>
    <definedName name="eSystemsLeaseDisputedRecordLaborHrsSMCS">Labor_AircraftLessee!$E$449:$N$449</definedName>
    <definedName name="eSystemsLeaseDisputedRecordTotalFTEs">Labor_AircraftLessee!$E$483:$N$483</definedName>
    <definedName name="eSystemsLeaseDisputedRecordTotalFTEs_OutputSummary">Labor_AircraftLessee!$D$1053:$N$1053</definedName>
    <definedName name="eSystemsLeaseDisputeRecordsForecast">Labor_AircraftLessee!$E$436:$N$436</definedName>
    <definedName name="eSystemsLeaseDueDilEventForecast">Labor_AircraftLessee!$E$757:$N$757</definedName>
    <definedName name="eSystemsLeaseDueDilFTEsCM">Labor_AircraftLessee!$E$800:$N$800</definedName>
    <definedName name="eSystemsLeaseDueDilFTEsCRT">Labor_AircraftLessee!$E$796:$N$796</definedName>
    <definedName name="eSystemsLeaseDueDilFTEsEM">Labor_AircraftLessee!$E$799:$N$799</definedName>
    <definedName name="eSystemsLeaseDueDilFTEsENG">Labor_AircraftLessee!$E$794:$N$794</definedName>
    <definedName name="eSystemsLeaseDueDilFTEsHM">Labor_AircraftLessee!$E$792:$N$792</definedName>
    <definedName name="eSystemsLeaseDueDilFTEsLM">Labor_AircraftLessee!$E$793:$N$793</definedName>
    <definedName name="eSystemsLeaseDueDilFTEsO1">Labor_AircraftLessee!$E$802:$N$802</definedName>
    <definedName name="eSystemsLeaseDueDilFTEsO2">Labor_AircraftLessee!$E$803:$N$803</definedName>
    <definedName name="eSystemsLeaseDueDilFTEsPLG">Labor_AircraftLessee!$E$795:$N$795</definedName>
    <definedName name="eSystemsLeaseDueDilFTEsQSC">Labor_AircraftLessee!$E$798:$N$798</definedName>
    <definedName name="eSystemsLeaseDueDilFTEsSCL">Labor_AircraftLessee!$E$797:$N$797</definedName>
    <definedName name="eSystemsLeaseDueDilFTEsSMCS">Labor_AircraftLessee!$E$801:$N$801</definedName>
    <definedName name="eSystemsLeaseDueDilLaborCostCM">Labor_AircraftLessee!$E$784:$N$784</definedName>
    <definedName name="eSystemsLeaseDueDilLaborCostCRT">Labor_AircraftLessee!$E$780:$N$780</definedName>
    <definedName name="eSystemsLeaseDueDilLaborCostEM">Labor_AircraftLessee!$E$783:$N$783</definedName>
    <definedName name="eSystemsLeaseDueDilLaborCostENG">Labor_AircraftLessee!$E$778:$N$778</definedName>
    <definedName name="eSystemsLeaseDueDilLaborCostHM">Labor_AircraftLessee!$E$776:$N$776</definedName>
    <definedName name="eSystemsLeaseDueDilLaborCostLM">Labor_AircraftLessee!$E$777:$N$777</definedName>
    <definedName name="eSystemsLeaseDueDilLaborCostO1">Labor_AircraftLessee!$E$786:$N$786</definedName>
    <definedName name="eSystemsLeaseDueDilLaborCostO2">Labor_AircraftLessee!$E$787:$N$787</definedName>
    <definedName name="eSystemsLeaseDueDilLaborCostPLG">Labor_AircraftLessee!$E$779:$N$779</definedName>
    <definedName name="eSystemsLeaseDueDilLaborCostQSC">Labor_AircraftLessee!$E$782:$N$782</definedName>
    <definedName name="eSystemsLeaseDueDilLaborCostSCL">Labor_AircraftLessee!$E$781:$N$781</definedName>
    <definedName name="eSystemsLeaseDueDilLaborCostSMCS">Labor_AircraftLessee!$E$785:$N$785</definedName>
    <definedName name="eSystemsLeaseDueDilLaborCostTotal">Labor_AircraftLessee!$E$788:$N$788</definedName>
    <definedName name="eSystemsLeaseDueDilLaborCostTotal_CFS">Labor_AircraftLessee!$D$1017:$N$1017</definedName>
    <definedName name="eSystemsLeaseDueDilLaborHrsCM">Labor_AircraftLessee!$E$769:$N$769</definedName>
    <definedName name="eSystemsLeaseDueDilLaborHrsCRT">Labor_AircraftLessee!$E$765:$N$765</definedName>
    <definedName name="eSystemsLeaseDueDilLaborHrsEM">Labor_AircraftLessee!$E$768:$N$768</definedName>
    <definedName name="eSystemsLeaseDueDilLaborHrsENG">Labor_AircraftLessee!$E$763:$N$763</definedName>
    <definedName name="eSystemsLeaseDueDilLaborHrsHM">Labor_AircraftLessee!$E$761:$N$761</definedName>
    <definedName name="eSystemsLeaseDueDilLaborHrsLM">Labor_AircraftLessee!$E$762:$N$762</definedName>
    <definedName name="eSystemsLeaseDueDilLaborHrsO1">Labor_AircraftLessee!$E$771:$N$771</definedName>
    <definedName name="eSystemsLeaseDueDilLaborHrsO2">Labor_AircraftLessee!$E$772:$N$772</definedName>
    <definedName name="eSystemsLeaseDueDilLaborHrsPLG">Labor_AircraftLessee!$E$764:$N$764</definedName>
    <definedName name="eSystemsLeaseDueDilLaborHrsQSC">Labor_AircraftLessee!$E$767:$N$767</definedName>
    <definedName name="eSystemsLeaseDueDilLaborHrsSCL">Labor_AircraftLessee!$E$766:$N$766</definedName>
    <definedName name="eSystemsLeaseDueDilLaborHrsSMCS">Labor_AircraftLessee!$E$770:$N$770</definedName>
    <definedName name="eSystemsLeaseDueDilTotalFTEs">Labor_AircraftLessee!$E$804:$N$804</definedName>
    <definedName name="eSystemsLeaseDueDilTotalFTEs_OutputSummary">Labor_AircraftLessee!$D$1054:$N$1054</definedName>
    <definedName name="eSystemsLeaseHostLaborCostCM">Labor_AircraftLessee!$E$302:$N$302</definedName>
    <definedName name="eSystemsLeaseHostLaborCostCRT">Labor_AircraftLessee!$E$298:$N$298</definedName>
    <definedName name="eSystemsLeaseHostLaborCostEM">Labor_AircraftLessee!$E$301:$N$301</definedName>
    <definedName name="eSystemsLeaseHostLaborCostENG">Labor_AircraftLessee!$E$296:$N$296</definedName>
    <definedName name="eSystemsLeaseHostLaborCostHM">Labor_AircraftLessee!$E$294:$N$294</definedName>
    <definedName name="eSystemsLeaseHostLaborCostLM">Labor_AircraftLessee!$E$295:$N$295</definedName>
    <definedName name="eSystemsLeaseHostLaborCostO1">Labor_AircraftLessee!$E$304:$N$304</definedName>
    <definedName name="eSystemsLeaseHostLaborCostO2">Labor_AircraftLessee!$E$305:$N$305</definedName>
    <definedName name="eSystemsLeaseHostLaborCostPLG">Labor_AircraftLessee!$E$297:$N$297</definedName>
    <definedName name="eSystemsLeaseHostLaborCostQSC">Labor_AircraftLessee!$E$300:$N$300</definedName>
    <definedName name="eSystemsLeaseHostLaborCostSCL">Labor_AircraftLessee!$E$299:$N$299</definedName>
    <definedName name="eSystemsLeaseHostLaborCostSMCS">Labor_AircraftLessee!$E$303:$N$303</definedName>
    <definedName name="eSystemsLeaseHostLaborCostTotal">Labor_AircraftLessee!$E$306:$N$306</definedName>
    <definedName name="eSystemsLeaseHostLaborCostTotal_CFS">Labor_AircraftLessee!$D$1014:$N$1014</definedName>
    <definedName name="eSystemsLeaseHostLaborHrsCM">Labor_AircraftLessee!$E$287:$N$287</definedName>
    <definedName name="eSystemsLeaseHostLaborHrsCRT">Labor_AircraftLessee!$E$283:$N$283</definedName>
    <definedName name="eSystemsLeaseHostLaborHrsEM">Labor_AircraftLessee!$E$286:$N$286</definedName>
    <definedName name="eSystemsLeaseHostLaborHrsENG">Labor_AircraftLessee!$E$281:$N$281</definedName>
    <definedName name="eSystemsLeaseHostLaborHrsHM">Labor_AircraftLessee!$E$279:$N$279</definedName>
    <definedName name="eSystemsLeaseHostLaborHrsLM">Labor_AircraftLessee!$E$280:$N$280</definedName>
    <definedName name="eSystemsLeaseHostLaborHrsO1">Labor_AircraftLessee!$E$289:$N$289</definedName>
    <definedName name="eSystemsLeaseHostLaborHrsO2">Labor_AircraftLessee!$E$290:$N$290</definedName>
    <definedName name="eSystemsLeaseHostLaborHrsPLG">Labor_AircraftLessee!$E$282:$N$282</definedName>
    <definedName name="eSystemsLeaseHostLaborHrsQSC">Labor_AircraftLessee!$E$285:$N$285</definedName>
    <definedName name="eSystemsLeaseHostLaborHrsSCL">Labor_AircraftLessee!$E$284:$N$284</definedName>
    <definedName name="eSystemsLeaseHostLaborHrsSMCS">Labor_AircraftLessee!$E$288:$N$288</definedName>
    <definedName name="eSystemsLeaseLaborCostCM">Labor_AircraftLessee!$E$141:$N$141</definedName>
    <definedName name="eSystemsLeaseLaborCostCRT">Labor_AircraftLessee!$E$137:$N$137</definedName>
    <definedName name="eSystemsLeaseLaborCostEM">Labor_AircraftLessee!$E$140:$N$140</definedName>
    <definedName name="eSystemsLeaseLaborCostENG">Labor_AircraftLessee!$E$135:$N$135</definedName>
    <definedName name="eSystemsLeaseLaborCostHM">Labor_AircraftLessee!$E$133:$N$133</definedName>
    <definedName name="eSystemsLeaseLaborCostLM">Labor_AircraftLessee!$E$134:$N$134</definedName>
    <definedName name="eSystemsLeaseLaborCostO1">Labor_AircraftLessee!$E$143:$N$143</definedName>
    <definedName name="eSystemsLeaseLaborCostO2">Labor_AircraftLessee!$E$144:$N$144</definedName>
    <definedName name="eSystemsLeaseLaborCostPLG">Labor_AircraftLessee!$E$136:$N$136</definedName>
    <definedName name="eSystemsLeaseLaborCostQSC">Labor_AircraftLessee!$E$139:$N$139</definedName>
    <definedName name="eSystemsLeaseLaborCostSCL">Labor_AircraftLessee!$E$138:$N$138</definedName>
    <definedName name="eSystemsLeaseLaborCostSMCS">Labor_AircraftLessee!$E$142:$N$142</definedName>
    <definedName name="eSystemsLeaseLaborCostTotalpa">Labor_AircraftLessee!$E$145:$N$145</definedName>
    <definedName name="eSystemsLeaseLaborCostTotalpa_CFS">Labor_AircraftLessee!$D$1013:$N$1013</definedName>
    <definedName name="eSystemsLeaseLaborHrsCM">Labor_AircraftLessee!$E$126:$N$126</definedName>
    <definedName name="eSystemsLeaseLaborHrsCRT">Labor_AircraftLessee!$E$122:$N$122</definedName>
    <definedName name="eSystemsLeaseLaborHrsEM">Labor_AircraftLessee!$E$125:$N$125</definedName>
    <definedName name="eSystemsLeaseLaborHrsENG">Labor_AircraftLessee!$E$120:$N$120</definedName>
    <definedName name="eSystemsLeaseLaborHrsHM">Labor_AircraftLessee!$E$118:$N$118</definedName>
    <definedName name="eSystemsLeaseLaborHrsLM">Labor_AircraftLessee!$E$119:$N$119</definedName>
    <definedName name="eSystemsLeaseLaborHrsO1">Labor_AircraftLessee!$E$128:$N$128</definedName>
    <definedName name="eSystemsLeaseLaborHrsO2">Labor_AircraftLessee!$E$129:$N$129</definedName>
    <definedName name="eSystemsLeaseLaborHrsPLG">Labor_AircraftLessee!$E$121:$N$121</definedName>
    <definedName name="eSystemsLeaseLaborHrsQSC">Labor_AircraftLessee!$E$124:$N$124</definedName>
    <definedName name="eSystemsLeaseLaborHrsSCL">Labor_AircraftLessee!$E$123:$N$123</definedName>
    <definedName name="eSystemsLeaseLaborHrsSMCS">Labor_AircraftLessee!$E$127:$N$127</definedName>
    <definedName name="eSystemsLeaseLessorVisitFTEsCM">Labor_AircraftLessee!$E$318:$N$318</definedName>
    <definedName name="eSystemsLeaseLessorVisitFTEsCRT">Labor_AircraftLessee!$E$314:$N$314</definedName>
    <definedName name="eSystemsLeaseLessorVisitFTEsEM">Labor_AircraftLessee!$E$317:$N$317</definedName>
    <definedName name="eSystemsLeaseLessorVisitFTEsENG">Labor_AircraftLessee!$E$312:$N$312</definedName>
    <definedName name="eSystemsLeaseLessorVisitFTEsHM">Labor_AircraftLessee!$E$310:$N$310</definedName>
    <definedName name="eSystemsLeaseLessorVisitFTEsLM">Labor_AircraftLessee!$E$311:$N$311</definedName>
    <definedName name="eSystemsLeaseLessorVisitFTEsO1">Labor_AircraftLessee!$E$320:$N$320</definedName>
    <definedName name="eSystemsLeaseLessorVisitFTEsO2">Labor_AircraftLessee!$E$321:$N$321</definedName>
    <definedName name="eSystemsLeaseLessorVisitFTEsPLG">Labor_AircraftLessee!$E$313:$N$313</definedName>
    <definedName name="eSystemsLeaseLessorVisitFTEsQSC">Labor_AircraftLessee!$E$316:$N$316</definedName>
    <definedName name="eSystemsLeaseLessorVisitFTEsSCL">Labor_AircraftLessee!$E$315:$N$315</definedName>
    <definedName name="eSystemsLeaseLessorVisitFTEsSMCS">Labor_AircraftLessee!$E$319:$N$319</definedName>
    <definedName name="eSystemsLeaseLessorVisitTotalFTEs">Labor_AircraftLessee!$E$322:$N$322</definedName>
    <definedName name="eSystemsLeaseLessorVisitTotalFTEs_OutputSummary">Labor_AircraftLessee!$D$1052:$N$1052</definedName>
    <definedName name="eSystemsLeasePaperPrint">Labor_AircraftLessee!$D$822</definedName>
    <definedName name="eSystemsLeasePaperPrintPA">Labor_AircraftLessee!$E$822:$N$822</definedName>
    <definedName name="eSystemsLeaseRecordSearchFTEsCM">Labor_AircraftLessee!$E$640:$N$640</definedName>
    <definedName name="eSystemsLeaseRecordSearchFTEsCRT">Labor_AircraftLessee!$E$636:$N$636</definedName>
    <definedName name="eSystemsLeaseRecordSearchFTEsEM">Labor_AircraftLessee!$E$639:$N$639</definedName>
    <definedName name="eSystemsLeaseRecordSearchFTEsENG">Labor_AircraftLessee!$E$634:$N$634</definedName>
    <definedName name="eSystemsLeaseRecordSearchFTEsHM">Labor_AircraftLessee!$E$632:$N$632</definedName>
    <definedName name="eSystemsLeaseRecordSearchFTEsLM">Labor_AircraftLessee!$E$633:$N$633</definedName>
    <definedName name="eSystemsLeaseRecordSearchFTEsO1">Labor_AircraftLessee!$E$642:$N$642</definedName>
    <definedName name="eSystemsLeaseRecordSearchFTEsO2">Labor_AircraftLessee!$E$643:$N$643</definedName>
    <definedName name="eSystemsLeaseRecordSearchFTEsPLG">Labor_AircraftLessee!$E$635:$N$635</definedName>
    <definedName name="eSystemsLeaseRecordSearchFTEsQSC">Labor_AircraftLessee!$E$638:$N$638</definedName>
    <definedName name="eSystemsLeaseRecordSearchFTEsSCL">Labor_AircraftLessee!$E$637:$N$637</definedName>
    <definedName name="eSystemsLeaseRecordSearchFTEsSMCS">Labor_AircraftLessee!$E$641:$N$641</definedName>
    <definedName name="eSystemsLeaseRecordSearchLaborCostCM">Labor_AircraftLessee!$E$624:$N$624</definedName>
    <definedName name="eSystemsLeaseRecordSearchLaborCostCRT">Labor_AircraftLessee!$E$620:$N$620</definedName>
    <definedName name="eSystemsLeaseRecordSearchLaborCostEM">Labor_AircraftLessee!$E$623:$N$623</definedName>
    <definedName name="eSystemsLeaseRecordSearchLaborCostENG">Labor_AircraftLessee!$E$618:$N$618</definedName>
    <definedName name="eSystemsLeaseRecordSearchLaborCostHM">Labor_AircraftLessee!$E$616:$N$616</definedName>
    <definedName name="eSystemsLeaseRecordSearchLaborCostLM">Labor_AircraftLessee!$E$617:$N$617</definedName>
    <definedName name="eSystemsLeaseRecordSearchLaborCostO1">Labor_AircraftLessee!$E$626:$N$626</definedName>
    <definedName name="eSystemsLeaseRecordSearchLaborCostO2">Labor_AircraftLessee!$E$627:$N$627</definedName>
    <definedName name="eSystemsLeaseRecordSearchLaborCostPLG">Labor_AircraftLessee!$E$619:$N$619</definedName>
    <definedName name="eSystemsLeaseRecordSearchLaborCostQSC">Labor_AircraftLessee!$E$622:$N$622</definedName>
    <definedName name="eSystemsLeaseRecordSearchLaborCostSCL">Labor_AircraftLessee!$E$621:$N$621</definedName>
    <definedName name="eSystemsLeaseRecordSearchLaborCostSMCS">Labor_AircraftLessee!$E$625:$N$625</definedName>
    <definedName name="eSystemsLeaseRecordSearchLaborCostTotal">Labor_AircraftLessee!$E$628:$N$628</definedName>
    <definedName name="eSystemsLeaseRecordSearchLaborCostTotal_CFS">Labor_AircraftLessee!$D$1016:$N$1016</definedName>
    <definedName name="eSystemsLeaseRecordSearchLaborHrsCM">Labor_AircraftLessee!$E$609:$N$609</definedName>
    <definedName name="eSystemsLeaseRecordSearchLaborHrsCRT">Labor_AircraftLessee!$E$605:$N$605</definedName>
    <definedName name="eSystemsLeaseRecordSearchLaborHrsEM">Labor_AircraftLessee!$E$608:$N$608</definedName>
    <definedName name="eSystemsLeaseRecordSearchLaborHrsENG">Labor_AircraftLessee!$E$603:$N$603</definedName>
    <definedName name="eSystemsLeaseRecordSearchLaborHrsHM">Labor_AircraftLessee!$E$601:$N$601</definedName>
    <definedName name="eSystemsLeaseRecordSearchLaborHrsLM">Labor_AircraftLessee!$E$602:$N$602</definedName>
    <definedName name="eSystemsLeaseRecordSearchLaborHrsO1">Labor_AircraftLessee!$E$611:$N$611</definedName>
    <definedName name="eSystemsLeaseRecordSearchLaborHrsO2">Labor_AircraftLessee!$E$612:$N$612</definedName>
    <definedName name="eSystemsLeaseRecordSearchLaborHrsPLG">Labor_AircraftLessee!$E$604:$N$604</definedName>
    <definedName name="eSystemsLeaseRecordSearchLaborHrsQSC">Labor_AircraftLessee!$E$607:$N$607</definedName>
    <definedName name="eSystemsLeaseRecordSearchLaborHrsSCL">Labor_AircraftLessee!$E$606:$N$606</definedName>
    <definedName name="eSystemsLeaseRecordSearchLaborHrsSMCS">Labor_AircraftLessee!$E$610:$N$610</definedName>
    <definedName name="eSystemsLeaseRecordSearchTotalFTEs">Labor_AircraftLessee!$E$644:$N$644</definedName>
    <definedName name="eSystemsLeaseRecordSearchTotalFTEs_OutputSummary">Labor_AircraftLessee!$D$1056:$N$1056</definedName>
    <definedName name="eSystemsLeaseRecordsSearchForecast">Labor_AircraftLessee!$E$597:$N$597</definedName>
    <definedName name="eSystemsLeaseRelatedTotalFTEs_OutputSummary">Labor_AircraftLessee!$D$1057:$N$1057</definedName>
    <definedName name="eSystemsLeaseReturnFTEsCM">Labor_AircraftLessee!$E$157:$N$157</definedName>
    <definedName name="eSystemsLeaseReturnFTEsCRT">Labor_AircraftLessee!$E$153:$N$153</definedName>
    <definedName name="eSystemsLeaseReturnFTEsEM">Labor_AircraftLessee!$E$156:$N$156</definedName>
    <definedName name="eSystemsLeaseReturnFTEsENG">Labor_AircraftLessee!$E$151:$N$151</definedName>
    <definedName name="eSystemsLeaseReturnFTEsHM">Labor_AircraftLessee!$E$149:$N$149</definedName>
    <definedName name="eSystemsLeaseReturnFTEsLM">Labor_AircraftLessee!$E$150:$N$150</definedName>
    <definedName name="eSystemsLeaseReturnFTEsO1">Labor_AircraftLessee!$E$159:$N$159</definedName>
    <definedName name="eSystemsLeaseReturnFTEsO2">Labor_AircraftLessee!$E$160:$N$160</definedName>
    <definedName name="eSystemsLeaseReturnFTEsPLG">Labor_AircraftLessee!$E$152:$N$152</definedName>
    <definedName name="eSystemsLeaseReturnFTEsQSC">Labor_AircraftLessee!$E$155:$N$155</definedName>
    <definedName name="eSystemsLeaseReturnFTEsSCL">Labor_AircraftLessee!$E$154:$N$154</definedName>
    <definedName name="eSystemsLeaseReturnFTEsSMCS">Labor_AircraftLessee!$E$158:$N$158</definedName>
    <definedName name="eSystemsLeaseReturnPaperPrintCost">Labor_AircraftLessee!$E$833:$N$833</definedName>
    <definedName name="eSystemsLeaseReturnPaperPrintCost_CFS">Labor_AircraftLessee!$D$1018:$N$1018</definedName>
    <definedName name="eSystemsLeaseReturnPrintCollFTEsCM">Labor_AircraftLessee!$E$973:$N$973</definedName>
    <definedName name="eSystemsLeaseReturnPrintCollFTEsCRT">Labor_AircraftLessee!$E$969:$N$969</definedName>
    <definedName name="eSystemsLeaseReturnPrintCollFTEsEM">Labor_AircraftLessee!$E$972:$N$972</definedName>
    <definedName name="eSystemsLeaseReturnPrintCollFTEsENG">Labor_AircraftLessee!$E$967:$N$967</definedName>
    <definedName name="eSystemsLeaseReturnPrintCollFTEsHM">Labor_AircraftLessee!$E$965:$N$965</definedName>
    <definedName name="eSystemsLeaseReturnPrintCollFTEsLM">Labor_AircraftLessee!$E$966:$N$966</definedName>
    <definedName name="eSystemsLeaseReturnPrintCollFTEsO1">Labor_AircraftLessee!$E$975:$N$975</definedName>
    <definedName name="eSystemsLeaseReturnPrintCollFTEsO2">Labor_AircraftLessee!$E$976:$N$976</definedName>
    <definedName name="eSystemsLeaseReturnPrintCollFTEsPLG">Labor_AircraftLessee!$E$968:$N$968</definedName>
    <definedName name="eSystemsLeaseReturnPrintCollFTEsQSC">Labor_AircraftLessee!$E$971:$N$971</definedName>
    <definedName name="eSystemsLeaseReturnPrintCollFTEsSCL">Labor_AircraftLessee!$E$970:$N$970</definedName>
    <definedName name="eSystemsLeaseReturnPrintCollFTEsSMCS">Labor_AircraftLessee!$E$974:$N$974</definedName>
    <definedName name="eSystemsLeaseReturnPrintCollLaborCostCM">Labor_AircraftLessee!$E$957:$N$957</definedName>
    <definedName name="eSystemsLeaseReturnPrintCollLaborCostCRT">Labor_AircraftLessee!$E$953:$N$953</definedName>
    <definedName name="eSystemsLeaseReturnPrintCollLaborCostEM">Labor_AircraftLessee!$E$956:$N$956</definedName>
    <definedName name="eSystemsLeaseReturnPrintCollLaborCostENG">Labor_AircraftLessee!$E$951:$N$951</definedName>
    <definedName name="eSystemsLeaseReturnPrintCollLaborCostHM">Labor_AircraftLessee!$E$949:$N$949</definedName>
    <definedName name="eSystemsLeaseReturnPrintCollLaborCostLM">Labor_AircraftLessee!$E$950:$N$950</definedName>
    <definedName name="eSystemsLeaseReturnPrintCollLaborCostO1">Labor_AircraftLessee!$E$959:$N$959</definedName>
    <definedName name="eSystemsLeaseReturnPrintCollLaborCostO2">Labor_AircraftLessee!$E$960:$N$960</definedName>
    <definedName name="eSystemsLeaseReturnPrintCollLaborCostPLG">Labor_AircraftLessee!$E$952:$N$952</definedName>
    <definedName name="eSystemsLeaseReturnPrintCollLaborCostQSC">Labor_AircraftLessee!$E$955:$N$955</definedName>
    <definedName name="eSystemsLeaseReturnPrintCollLaborCostSCL">Labor_AircraftLessee!$E$954:$N$954</definedName>
    <definedName name="eSystemsLeaseReturnPrintCollLaborCostSMCS">Labor_AircraftLessee!$E$958:$N$958</definedName>
    <definedName name="eSystemsLeaseReturnPrintCollLaborCostTotal">Labor_AircraftLessee!$E$961:$N$961</definedName>
    <definedName name="eSystemsLeaseReturnPrintCollLaborCostTotal_CFS">Labor_AircraftLessee!$D$1019:$N$1019</definedName>
    <definedName name="eSystemsLeaseReturnPrintCollLaborHrsCM">Labor_AircraftLessee!$E$942:$N$942</definedName>
    <definedName name="eSystemsLeaseReturnPrintCollLaborHrsCRT">Labor_AircraftLessee!$E$938:$N$938</definedName>
    <definedName name="eSystemsLeaseReturnPrintCollLaborHrsEM">Labor_AircraftLessee!$E$941:$N$941</definedName>
    <definedName name="eSystemsLeaseReturnPrintCollLaborHrsENG">Labor_AircraftLessee!$E$936:$N$936</definedName>
    <definedName name="eSystemsLeaseReturnPrintCollLaborHrsHM">Labor_AircraftLessee!$E$934:$N$934</definedName>
    <definedName name="eSystemsLeaseReturnPrintCollLaborHrsLM">Labor_AircraftLessee!$E$935:$N$935</definedName>
    <definedName name="eSystemsLeaseReturnPrintCollLaborHrsO1">Labor_AircraftLessee!$E$944:$N$944</definedName>
    <definedName name="eSystemsLeaseReturnPrintCollLaborHrsO2">Labor_AircraftLessee!$E$945:$N$945</definedName>
    <definedName name="eSystemsLeaseReturnPrintCollLaborHrsPLG">Labor_AircraftLessee!$E$937:$N$937</definedName>
    <definedName name="eSystemsLeaseReturnPrintCollLaborHrsQSC">Labor_AircraftLessee!$E$940:$N$940</definedName>
    <definedName name="eSystemsLeaseReturnPrintCollLaborHrsSCL">Labor_AircraftLessee!$E$939:$N$939</definedName>
    <definedName name="eSystemsLeaseReturnPrintCollLaborHrsSMCS">Labor_AircraftLessee!$E$943:$N$943</definedName>
    <definedName name="eSystemsLeaseReturnPrintCollTotalFTEs">Labor_AircraftLessee!$E$977:$N$977</definedName>
    <definedName name="eSystemsLeaseReturnPrintCollTotalFTEs_OutputSummary">Labor_AircraftLessee!$D$1055:$N$1055</definedName>
    <definedName name="eSystemsLeaseReturnTotalFTEs">Labor_AircraftLessee!$E$161:$N$161</definedName>
    <definedName name="eSystemsLeaseReturnTotalFTEs_OutputSummary">Labor_AircraftLessee!$D$1051:$N$1051</definedName>
    <definedName name="eSystemsLessorVisitForecast">Labor_AircraftLessee!$E$274:$N$274</definedName>
    <definedName name="eSystemsMFD_Total">Costs_RecordsOther!$E$314:$N$314</definedName>
    <definedName name="eSystemsMFDCostpa_TotalGrand">Costs_RecordsOther!$E$367:$N$367</definedName>
    <definedName name="eSystemsMFDLeaseCostpa_Total">Costs_RecordsOther!$E$335:$N$335</definedName>
    <definedName name="eSystemsMFDPrintCostpa_Total">Costs_RecordsOther!$E$353:$N$353</definedName>
    <definedName name="eSystemsOfficeLeaseCostpa_Total">Costs_RecordsOther!$E$820:$N$820</definedName>
    <definedName name="eSystemsOfficeSpace_Total">Costs_RecordsOther!$E$810:$N$810</definedName>
    <definedName name="eSystemsPaperPercentCM">Inputs_RecordsGeneration!$E$1139:$N$1139</definedName>
    <definedName name="eSystemsPaperPercentCRT">Inputs_RecordsGeneration!$E$1135:$N$1135</definedName>
    <definedName name="eSystemsPaperPercentEM">Inputs_RecordsGeneration!$E$1138:$N$1138</definedName>
    <definedName name="eSystemsPaperPercentENG">Inputs_RecordsGeneration!$E$1133:$N$1133</definedName>
    <definedName name="eSystemsPaperPercentErrorCM">Labor_RecordErrorRework!$E$97:$N$97</definedName>
    <definedName name="eSystemsPaperPercentErrorCRT">Labor_RecordErrorRework!$E$93:$N$93</definedName>
    <definedName name="eSystemsPaperPercentErrorEM">Labor_RecordErrorRework!$E$96:$N$96</definedName>
    <definedName name="eSystemsPaperPercentErrorENG">Labor_RecordErrorRework!$E$91:$N$91</definedName>
    <definedName name="eSystemsPaperPercentErrorHM">Labor_RecordErrorRework!$E$89:$N$89</definedName>
    <definedName name="eSystemsPaperPercentErrorLM">Labor_RecordErrorRework!$E$90:$N$90</definedName>
    <definedName name="eSystemsPaperPercentErrorO1">Labor_RecordErrorRework!$E$99:$N$99</definedName>
    <definedName name="eSystemsPaperPercentErrorO2">Labor_RecordErrorRework!$E$100:$N$100</definedName>
    <definedName name="eSystemsPaperPercentErrorPLG">Labor_RecordErrorRework!$E$92:$N$92</definedName>
    <definedName name="eSystemsPaperPercentErrorQSC">Labor_RecordErrorRework!$E$95:$N$95</definedName>
    <definedName name="eSystemsPaperPercentErrorSCL">Labor_RecordErrorRework!$E$94:$N$94</definedName>
    <definedName name="eSystemsPaperPercentErrorSMCS">Labor_RecordErrorRework!$E$98:$N$98</definedName>
    <definedName name="eSystemsPaperPercentHM">Inputs_RecordsGeneration!$E$1131:$N$1131</definedName>
    <definedName name="eSystemsPaperPercentLM">Inputs_RecordsGeneration!$E$1132:$N$1132</definedName>
    <definedName name="eSystemsPaperPercentO1">Inputs_RecordsGeneration!$E$1141:$N$1141</definedName>
    <definedName name="eSystemsPaperPercentO2">Inputs_RecordsGeneration!$E$1142:$N$1142</definedName>
    <definedName name="eSystemsPaperPercentPLG">Inputs_RecordsGeneration!$E$1134:$N$1134</definedName>
    <definedName name="eSystemsPaperPercentQSC">Inputs_RecordsGeneration!$E$1137:$N$1137</definedName>
    <definedName name="eSystemsPaperPercentSCL">Inputs_RecordsGeneration!$E$1136:$N$1136</definedName>
    <definedName name="eSystemsPaperPercentSMCS">Inputs_RecordsGeneration!$E$1140:$N$1140</definedName>
    <definedName name="eSystemsPaperRecords_Total">Inputs_RecordsGeneration!$E$1157:$N$1157</definedName>
    <definedName name="eSystemsPaperRecordsErrors_Total">Labor_RecordErrorRework!$E$115:$N$115</definedName>
    <definedName name="eSystemsPaperRequiredReworksCM">Labor_RecordErrorRework!$E$111:$N$111</definedName>
    <definedName name="eSystemsPaperRequiredReworksCRT">Labor_RecordErrorRework!$E$107:$N$107</definedName>
    <definedName name="eSystemsPaperRequiredReworksEM">Labor_RecordErrorRework!$E$110:$N$110</definedName>
    <definedName name="eSystemsPaperRequiredReworksENG">Labor_RecordErrorRework!$E$105:$N$105</definedName>
    <definedName name="eSystemsPaperRequiredReworksHM">Labor_RecordErrorRework!$E$103:$N$103</definedName>
    <definedName name="eSystemsPaperRequiredReworksLM">Labor_RecordErrorRework!$E$104:$N$104</definedName>
    <definedName name="eSystemsPaperRequiredReworksO1">Labor_RecordErrorRework!$E$113:$N$113</definedName>
    <definedName name="eSystemsPaperRequiredReworksO2">Labor_RecordErrorRework!$E$114:$N$114</definedName>
    <definedName name="eSystemsPaperRequiredReworksPLG">Labor_RecordErrorRework!$E$106:$N$106</definedName>
    <definedName name="eSystemsPaperRequiredReworksQSC">Labor_RecordErrorRework!$E$109:$N$109</definedName>
    <definedName name="eSystemsPaperRequiredReworksSCL">Labor_RecordErrorRework!$E$108:$N$108</definedName>
    <definedName name="eSystemsPaperRequiredReworksSMCS">Labor_RecordErrorRework!$E$112:$N$112</definedName>
    <definedName name="eSystemsPrintRoomArea_Each">Costs_RecordsOther!$E$472:$N$472</definedName>
    <definedName name="eSystemsPrintRoomArea_Total">Costs_RecordsOther!$E$513:$N$513</definedName>
    <definedName name="eSystemsRecordsArchiveCumulative_Gross" localSheetId="8">'Costs_RecordArchive&amp;Retrieval'!$E$49:$N$49</definedName>
    <definedName name="eSystemsRecordsArchiveCumulative_Net" localSheetId="8">'Costs_RecordArchive&amp;Retrieval'!$E$52:$N$52</definedName>
    <definedName name="eSystemsRecordsArchiveShredDisposal" localSheetId="8">'Costs_RecordArchive&amp;Retrieval'!$E$50:$N$50</definedName>
    <definedName name="eSystemsRecordsArchiveShredDueDigital" localSheetId="8">'Costs_RecordArchive&amp;Retrieval'!$E$51:$N$51</definedName>
    <definedName name="eSystemsRecordsPaperArchive_CFS">'Costs_RecordArchive&amp;Retrieval'!$D$118:$N$118</definedName>
    <definedName name="eSystemsRecordsShredRate" localSheetId="8">'Costs_RecordArchive&amp;Retrieval'!$E$48:$N$48</definedName>
    <definedName name="eSystemsReworkCostpaCM">Labor_RecordErrorRework!$E$269:$N$269</definedName>
    <definedName name="eSystemsReworkCostpaCRT">Labor_RecordErrorRework!$E$265:$N$265</definedName>
    <definedName name="eSystemsReworkCostpaEM">Labor_RecordErrorRework!$E$268:$N$268</definedName>
    <definedName name="eSystemsReworkCostpaENG">Labor_RecordErrorRework!$E$263:$N$263</definedName>
    <definedName name="eSystemsReworkCostpaHM">Labor_RecordErrorRework!$E$261:$N$261</definedName>
    <definedName name="eSystemsReworkCostpaLM">Labor_RecordErrorRework!$E$262:$N$262</definedName>
    <definedName name="eSystemsReworkCostpaO1">Labor_RecordErrorRework!$E$271:$N$271</definedName>
    <definedName name="eSystemsReworkCostpaO2">Labor_RecordErrorRework!$E$272:$N$272</definedName>
    <definedName name="eSystemsReworkCostpaPLG">Labor_RecordErrorRework!$E$264:$N$264</definedName>
    <definedName name="eSystemsReworkCostpaQSC">Labor_RecordErrorRework!$E$267:$N$267</definedName>
    <definedName name="eSystemsReworkCostpaSCL">Labor_RecordErrorRework!$E$266:$N$266</definedName>
    <definedName name="eSystemsReworkCostpaSMCS">Labor_RecordErrorRework!$E$270:$N$270</definedName>
    <definedName name="eSystemsReworkFTEsCM">Labor_RecordErrorRework!$E$323:$N$323</definedName>
    <definedName name="eSystemsReworkFTEsCRT">Labor_RecordErrorRework!$E$319:$N$319</definedName>
    <definedName name="eSystemsReworkFTEsEM">Labor_RecordErrorRework!$E$322:$N$322</definedName>
    <definedName name="eSystemsReworkFTEsENG">Labor_RecordErrorRework!$E$317:$N$317</definedName>
    <definedName name="eSystemsReworkFTEsHM">Labor_RecordErrorRework!$E$315:$N$315</definedName>
    <definedName name="eSystemsReworkFTEsLM">Labor_RecordErrorRework!$E$316:$N$316</definedName>
    <definedName name="eSystemsReworkFTEsO1">Labor_RecordErrorRework!$E$325:$N$325</definedName>
    <definedName name="eSystemsReworkFTEsO2">Labor_RecordErrorRework!$E$326:$N$326</definedName>
    <definedName name="eSystemsReworkFTEsPLG">Labor_RecordErrorRework!$E$318:$N$318</definedName>
    <definedName name="eSystemsReworkFTEsQSC">Labor_RecordErrorRework!$E$321:$N$321</definedName>
    <definedName name="eSystemsReworkFTEsSCL">Labor_RecordErrorRework!$E$320:$N$320</definedName>
    <definedName name="eSystemsReworkFTEsSMCS">Labor_RecordErrorRework!$E$324:$N$324</definedName>
    <definedName name="eSystemsReworkHoursCM">Labor_RecordErrorRework!$E$196:$N$196</definedName>
    <definedName name="eSystemsReworkHoursCRT">Labor_RecordErrorRework!$E$192:$N$192</definedName>
    <definedName name="eSystemsReworkHoursEM">Labor_RecordErrorRework!$E$195:$N$195</definedName>
    <definedName name="eSystemsReworkHoursENG">Labor_RecordErrorRework!$E$190:$N$190</definedName>
    <definedName name="eSystemsReworkHoursHM">Labor_RecordErrorRework!$E$188:$N$188</definedName>
    <definedName name="eSystemsReworkHoursLM">Labor_RecordErrorRework!$E$189:$N$189</definedName>
    <definedName name="eSystemsReworkHoursO1">Labor_RecordErrorRework!$E$198:$N$198</definedName>
    <definedName name="eSystemsReworkHoursO2">Labor_RecordErrorRework!$E$199:$N$199</definedName>
    <definedName name="eSystemsReworkHourspaCM">Labor_RecordErrorRework!$E$212:$N$212</definedName>
    <definedName name="eSystemsReworkHourspaCRT">Labor_RecordErrorRework!$E$208:$N$208</definedName>
    <definedName name="eSystemsReworkHourspaEM">Labor_RecordErrorRework!$E$211:$N$211</definedName>
    <definedName name="eSystemsReworkHourspaENG">Labor_RecordErrorRework!$E$206:$N$206</definedName>
    <definedName name="eSystemsReworkHourspaHM">Labor_RecordErrorRework!$E$204:$N$204</definedName>
    <definedName name="eSystemsReworkHourspaLM">Labor_RecordErrorRework!$E$205:$N$205</definedName>
    <definedName name="eSystemsReworkHourspaO1">Labor_RecordErrorRework!$E$214:$N$214</definedName>
    <definedName name="eSystemsReworkHourspaO2">Labor_RecordErrorRework!$E$215:$N$215</definedName>
    <definedName name="eSystemsReworkHourspaPLG">Labor_RecordErrorRework!$E$207:$N$207</definedName>
    <definedName name="eSystemsReworkHourspaQSC">Labor_RecordErrorRework!$E$210:$N$210</definedName>
    <definedName name="eSystemsReworkHourspaSCL">Labor_RecordErrorRework!$E$209:$N$209</definedName>
    <definedName name="eSystemsReworkHourspaSMCS">Labor_RecordErrorRework!$E$213:$N$213</definedName>
    <definedName name="eSystemsReworkHoursPLG">Labor_RecordErrorRework!$E$191:$N$191</definedName>
    <definedName name="eSystemsReworkHoursQSC">Labor_RecordErrorRework!$E$194:$N$194</definedName>
    <definedName name="eSystemsReworkHoursSCL">Labor_RecordErrorRework!$E$193:$N$193</definedName>
    <definedName name="eSystemsReworkHoursSMCS">Labor_RecordErrorRework!$E$197:$N$197</definedName>
    <definedName name="eSystemsReworkTotalCostpa" localSheetId="10">Labor_AircraftLessee!$E$145:$N$145</definedName>
    <definedName name="eSystemsReworkTotalCostpa">Labor_RecordErrorRework!$E$273:$N$273</definedName>
    <definedName name="eSystemsReworkTotalCostpa_CFS">Labor_RecordErrorRework!$D$342:$N$342</definedName>
    <definedName name="eSystemsReworkTotalFTEs">Labor_RecordErrorRework!$E$327:$N$327</definedName>
    <definedName name="eSystemsTouchHourspaCM">Inputs_Salaries!$M$43</definedName>
    <definedName name="eSystemsTouchHourspaCRT">Inputs_Salaries!$I$43</definedName>
    <definedName name="eSystemsTouchHourspaEM">Inputs_Salaries!$L$43</definedName>
    <definedName name="eSystemsTouchHourspaENG">Inputs_Salaries!$E$43</definedName>
    <definedName name="eSystemsTouchHourspaHM">Inputs_Salaries!$H$43</definedName>
    <definedName name="eSystemsTouchHourspaLM">Inputs_Salaries!$G$43</definedName>
    <definedName name="eSystemsTouchHourspaO1">Inputs_Salaries!$O$43</definedName>
    <definedName name="eSystemsTouchHourspaO2">Inputs_Salaries!$P$43</definedName>
    <definedName name="eSystemsTouchHourspaPLG">Inputs_Salaries!$F$43</definedName>
    <definedName name="eSystemsTouchHourspaQSC">Inputs_Salaries!$K$43</definedName>
    <definedName name="eSystemsTouchHourspaSCL">Inputs_Salaries!$J$43</definedName>
    <definedName name="eSystemsTouchHourspaSMCS">Inputs_Salaries!$N$43</definedName>
    <definedName name="eSystemsTouchRateHourCM">Inputs_Salaries!$M$63</definedName>
    <definedName name="eSystemsTouchRateHourCRT">Inputs_Salaries!$I$63</definedName>
    <definedName name="eSystemsTouchRateHourEM">Inputs_Salaries!$L$63</definedName>
    <definedName name="eSystemsTouchRateHourENG">Inputs_Salaries!$E$63</definedName>
    <definedName name="eSystemsTouchRateHourHM">Inputs_Salaries!$H$63</definedName>
    <definedName name="eSystemsTouchRateHourLM">Inputs_Salaries!$G$63</definedName>
    <definedName name="eSystemsTouchRateHourO1">Inputs_Salaries!$O$63</definedName>
    <definedName name="eSystemsTouchRateHourO2">Inputs_Salaries!$P$63</definedName>
    <definedName name="eSystemsTouchRateHourPLG">Inputs_Salaries!$F$63</definedName>
    <definedName name="eSystemsTouchRateHourQSC">Inputs_Salaries!$K$63</definedName>
    <definedName name="eSystemsTouchRateHourSCL">Inputs_Salaries!$J$63</definedName>
    <definedName name="eSystemsTouchRateHourSMCS">Inputs_Salaries!$N$63</definedName>
    <definedName name="eSystemsTrainingCostBestCaseCM">Costs_Training!$E$340:$N$340</definedName>
    <definedName name="eSystemsTrainingCostBestCaseCRT">Costs_Training!$E$296:$N$296</definedName>
    <definedName name="eSystemsTrainingCostBestCaseEM">Costs_Training!$E$329:$N$329</definedName>
    <definedName name="eSystemsTrainingCostBestCaseENG">Costs_Training!$E$274:$N$274</definedName>
    <definedName name="eSystemsTrainingCostBestCaseHM">Costs_Training!$E$263:$N$263</definedName>
    <definedName name="eSystemsTrainingCostBestCaseLM">Costs_Training!$E$252:$N$252</definedName>
    <definedName name="eSystemsTrainingCostBestCaseO1">Costs_Training!$E$362:$N$362</definedName>
    <definedName name="eSystemsTrainingCostBestCaseO2">Costs_Training!$E$373:$N$373</definedName>
    <definedName name="eSystemsTrainingCostBestCasePLG">Costs_Training!$E$285:$N$285</definedName>
    <definedName name="eSystemsTrainingCostBestCaseQSC">Costs_Training!$E$318:$N$318</definedName>
    <definedName name="eSystemsTrainingCostBestCaseSCL">Costs_Training!$E$307:$N$307</definedName>
    <definedName name="eSystemsTrainingCostBestCaseSMCS">Costs_Training!$E$351:$N$351</definedName>
    <definedName name="eSystemsTrainingCostMostLikelyCM">Costs_Training!$E$339:$N$339</definedName>
    <definedName name="eSystemsTrainingCostMostLikelyCRT">Costs_Training!$E$295:$N$295</definedName>
    <definedName name="eSystemsTrainingCostMostLikelyEM">Costs_Training!$E$328:$N$328</definedName>
    <definedName name="eSystemsTrainingCostMostLikelyENG">Costs_Training!$E$273:$N$273</definedName>
    <definedName name="eSystemsTrainingCostMostLikelyHM">Costs_Training!$E$262:$N$262</definedName>
    <definedName name="eSystemsTrainingCostMostLikelyLM">Costs_Training!$E$251:$N$251</definedName>
    <definedName name="eSystemsTrainingCostMostLikelyO1">Costs_Training!$E$361:$N$361</definedName>
    <definedName name="eSystemsTrainingCostMostLikelyO2">Costs_Training!$E$372:$N$372</definedName>
    <definedName name="eSystemsTrainingCostMostLikelyPLG">Costs_Training!$E$284:$N$284</definedName>
    <definedName name="eSystemsTrainingCostMostLikelyQSC">Costs_Training!$E$317:$N$317</definedName>
    <definedName name="eSystemsTrainingCostMostLikelySCL">Costs_Training!$E$306:$N$306</definedName>
    <definedName name="eSystemsTrainingCostMostLikelySMCS">Costs_Training!$E$350:$N$350</definedName>
    <definedName name="eSystemsTrainingCostPerFTE_CM">Costs_Training!$D$332</definedName>
    <definedName name="eSystemsTrainingCostPerFTE_CRT">Costs_Training!$D$288</definedName>
    <definedName name="eSystemsTrainingCostPerFTE_EM">Costs_Training!$D$321</definedName>
    <definedName name="eSystemsTrainingCostPerFTE_ENG">Costs_Training!$D$266</definedName>
    <definedName name="eSystemsTrainingCostPerFTE_HM">Costs_Training!$D$255</definedName>
    <definedName name="eSystemsTrainingCostPerFTE_LM">Costs_Training!$D$244</definedName>
    <definedName name="eSystemsTrainingCostPerFTE_O1">Costs_Training!$D$354</definedName>
    <definedName name="eSystemsTrainingCostPerFTE_O2">Costs_Training!$D$365</definedName>
    <definedName name="eSystemsTrainingCostPerFTE_PLG">Costs_Training!$D$277</definedName>
    <definedName name="eSystemsTrainingCostPerFTE_QSC">Costs_Training!$D$310</definedName>
    <definedName name="eSystemsTrainingCostPerFTE_SCL">Costs_Training!$D$299</definedName>
    <definedName name="eSystemsTrainingCostPerFTE_SMCS">Costs_Training!$D$343</definedName>
    <definedName name="eSystemsTrainingCostWorstCaseCM">Costs_Training!$E$338:$N$338</definedName>
    <definedName name="eSystemsTrainingCostWorstCaseCRT">Costs_Training!$E$294:$N$294</definedName>
    <definedName name="eSystemsTrainingCostWorstCaseEM">Costs_Training!$E$327:$N$327</definedName>
    <definedName name="eSystemsTrainingCostWorstCaseENG">Costs_Training!$E$272:$N$272</definedName>
    <definedName name="eSystemsTrainingCostWorstCaseHM">Costs_Training!$E$261:$N$261</definedName>
    <definedName name="eSystemsTrainingCostWorstCaseLM">Costs_Training!$E$250:$N$250</definedName>
    <definedName name="eSystemsTrainingCostWorstCaseO1">Costs_Training!$E$360:$N$360</definedName>
    <definedName name="eSystemsTrainingCostWorstCaseO2">Costs_Training!$E$371:$N$371</definedName>
    <definedName name="eSystemsTrainingCostWorstCasePLG">Costs_Training!$E$283:$N$283</definedName>
    <definedName name="eSystemsTrainingCostWorstCaseQSC">Costs_Training!$E$316:$N$316</definedName>
    <definedName name="eSystemsTrainingCostWorstCaseSCL">Costs_Training!$E$305:$N$305</definedName>
    <definedName name="eSystemsTrainingCostWorstCaseSMCS">Costs_Training!$E$349:$N$349</definedName>
    <definedName name="eSystemsTrainingFTEsBestCaseCM">Costs_Training!$E$336:$N$336</definedName>
    <definedName name="eSystemsTrainingFTEsBestCaseCRT">Costs_Training!$E$292:$N$292</definedName>
    <definedName name="eSystemsTrainingFTEsBestCaseEM">Costs_Training!$E$325:$N$325</definedName>
    <definedName name="eSystemsTrainingFTEsBestCaseENG">Costs_Training!$E$270:$N$270</definedName>
    <definedName name="eSystemsTrainingFTEsBestCaseHM">Costs_Training!$E$259:$N$259</definedName>
    <definedName name="eSystemsTrainingFTEsBestCaseLM">Costs_Training!$E$248:$N$248</definedName>
    <definedName name="eSystemsTrainingFTEsBestCaseO1">Costs_Training!$E$358:$N$358</definedName>
    <definedName name="eSystemsTrainingFTEsBestCaseO2">Costs_Training!$E$369:$N$369</definedName>
    <definedName name="eSystemsTrainingFTEsBestCasePLG">Costs_Training!$E$281:$N$281</definedName>
    <definedName name="eSystemsTrainingFTEsBestCaseQSC">Costs_Training!$E$314:$N$314</definedName>
    <definedName name="eSystemsTrainingFTEsBestCaseSCL">Costs_Training!$E$303:$N$303</definedName>
    <definedName name="eSystemsTrainingFTEsBestCaseSMCS">Costs_Training!$E$347:$N$347</definedName>
    <definedName name="eSystemsTrainingFTEsMostLikelyCM">Costs_Training!$E$335:$N$335</definedName>
    <definedName name="eSystemsTrainingFTEsMostLikelyCRT">Costs_Training!$E$291:$N$291</definedName>
    <definedName name="eSystemsTrainingFTEsMostLikelyEM">Costs_Training!$E$324:$N$324</definedName>
    <definedName name="eSystemsTrainingFTEsMostLikelyENG">Costs_Training!$E$269:$N$269</definedName>
    <definedName name="eSystemsTrainingFTEsMostLikelyHM">Costs_Training!$E$258:$N$258</definedName>
    <definedName name="eSystemsTrainingFTEsMostLikelyLM">Costs_Training!$E$247:$N$247</definedName>
    <definedName name="eSystemsTrainingFTEsMostLikelyO1">Costs_Training!$E$357:$N$357</definedName>
    <definedName name="eSystemsTrainingFTEsMostLikelyO2">Costs_Training!$E$368:$N$368</definedName>
    <definedName name="eSystemsTrainingFTEsMostLikelyPLG">Costs_Training!$E$280:$N$280</definedName>
    <definedName name="eSystemsTrainingFTEsMostLikelyQSC">Costs_Training!$E$313:$N$313</definedName>
    <definedName name="eSystemsTrainingFTEsMostLikelySCL">Costs_Training!$E$302:$N$302</definedName>
    <definedName name="eSystemsTrainingFTEsMostLikelySMCS">Costs_Training!$E$346:$N$346</definedName>
    <definedName name="eSystemsTrainingFTEsWorstCaseCM">Costs_Training!$E$334:$N$334</definedName>
    <definedName name="eSystemsTrainingFTEsWorstCaseCRT">Costs_Training!$E$290:$N$290</definedName>
    <definedName name="eSystemsTrainingFTEsWorstCaseEM">Costs_Training!$E$323:$N$323</definedName>
    <definedName name="eSystemsTrainingFTEsWorstCaseENG">Costs_Training!$E$268:$N$268</definedName>
    <definedName name="eSystemsTrainingFTEsWorstCaseHM">Costs_Training!$E$257:$N$257</definedName>
    <definedName name="eSystemsTrainingFTEsWorstCaseLM">Costs_Training!$E$246:$N$246</definedName>
    <definedName name="eSystemsTrainingFTEsWorstCaseO1">Costs_Training!$E$356:$N$356</definedName>
    <definedName name="eSystemsTrainingFTEsWorstCaseO2">Costs_Training!$E$367:$N$367</definedName>
    <definedName name="eSystemsTrainingFTEsWorstCasePLG">Costs_Training!$E$279:$N$279</definedName>
    <definedName name="eSystemsTrainingFTEsWorstCaseQSC">Costs_Training!$E$312:$N$312</definedName>
    <definedName name="eSystemsTrainingFTEsWorstCaseSCL">Costs_Training!$E$301:$N$301</definedName>
    <definedName name="eSystemsTrainingFTEsWorstCaseSMCS">Costs_Training!$E$345:$N$345</definedName>
    <definedName name="eSystemsTrainingPercentFTEsCM">Costs_Training!$E$333:$N$333</definedName>
    <definedName name="eSystemsTrainingPercentFTEsCRT">Costs_Training!$E$289:$N$289</definedName>
    <definedName name="eSystemsTrainingPercentFTEsEM">Costs_Training!$E$322:$N$322</definedName>
    <definedName name="eSystemsTrainingPercentFTEsENG">Costs_Training!$E$267:$N$267</definedName>
    <definedName name="eSystemsTrainingPercentFTEsHM">Costs_Training!$E$256:$N$256</definedName>
    <definedName name="eSystemsTrainingPercentFTEsLM">Costs_Training!$E$245:$N$245</definedName>
    <definedName name="eSystemsTrainingPercentFTEsO1">Costs_Training!$E$355:$N$355</definedName>
    <definedName name="eSystemsTrainingPercentFTEsO2">Costs_Training!$E$366:$N$366</definedName>
    <definedName name="eSystemsTrainingPercentFTEsPLG">Costs_Training!$E$278:$N$278</definedName>
    <definedName name="eSystemsTrainingPercentFTEsQSC">Costs_Training!$E$311:$N$311</definedName>
    <definedName name="eSystemsTrainingPercentFTEsSCL">Costs_Training!$E$300:$N$300</definedName>
    <definedName name="eSystemsTrainingPercentFTEsSMCS">Costs_Training!$E$344:$N$344</definedName>
    <definedName name="FleetCycleHvy_A" localSheetId="6">Inputs_RecordsGeneration!$E$26:$N$26</definedName>
    <definedName name="FleetCycleHvy_B" localSheetId="6">Inputs_RecordsGeneration!$E$92:$N$92</definedName>
    <definedName name="FleetCycleHvy_C" localSheetId="6">Inputs_RecordsGeneration!$E$169:$N$169</definedName>
    <definedName name="FleetCycleHvy_D" localSheetId="6">Inputs_RecordsGeneration!$E$236:$N$236</definedName>
    <definedName name="FleetCycleHvy_E" localSheetId="6">Inputs_RecordsGeneration!$E$305:$N$305</definedName>
    <definedName name="FleetCycleHvy_F" localSheetId="6">Inputs_RecordsGeneration!$E$373:$N$373</definedName>
    <definedName name="FleetCycleHvy_G" localSheetId="6">Inputs_RecordsGeneration!$E$441:$N$441</definedName>
    <definedName name="FleetCycleHvy_H">Inputs_RecordsGeneration!$E$509:$N$509</definedName>
    <definedName name="FleetCycleHvy_I">Inputs_RecordsGeneration!$E$576:$N$576</definedName>
    <definedName name="FleetCycleHvy_J">Inputs_RecordsGeneration!$E$644:$N$644</definedName>
    <definedName name="FleetCycleHvy_K">Inputs_RecordsGeneration!$E$712:$N$712</definedName>
    <definedName name="FleetCycleHvy_L">Inputs_RecordsGeneration!$E$780:$N$780</definedName>
    <definedName name="FleetCycleHvy_M">Inputs_RecordsGeneration!$E$848:$N$848</definedName>
    <definedName name="FleetCycleHvy_N">Inputs_RecordsGeneration!$E$916:$N$916</definedName>
    <definedName name="FleetCycleHvy_O">Inputs_RecordsGeneration!$E$984:$N$984</definedName>
    <definedName name="FleetRecordsPerAnnum_TotalGrand">Inputs_RecordsGeneration!$E$1064:$N$1064</definedName>
    <definedName name="FleetRecordsPerAnnumCM_TotalGrand">Inputs_RecordsGeneration!$E$1059:$N$1059</definedName>
    <definedName name="FleetRecordsPerAnnumCRT_TotalGrand">Inputs_RecordsGeneration!$E$1055:$N$1055</definedName>
    <definedName name="FleetRecordsPerAnnumEandP_TotalGrand">Inputs_RecordsGeneration!$E$1054:$N$1054</definedName>
    <definedName name="FleetRecordsPerAnnumEM_TotalGrand">Inputs_RecordsGeneration!$E$1058:$N$1058</definedName>
    <definedName name="FleetRecordsPerAnnumEng_TotalGrand">Inputs_RecordsGeneration!$E$1053:$N$1053</definedName>
    <definedName name="FleetRecordsPerAnnumHM_TotalGrand">Inputs_RecordsGeneration!$E$1051:$N$1051</definedName>
    <definedName name="FleetRecordsPerAnnumLM_TotalGrand">Inputs_RecordsGeneration!$E$1052:$N$1052</definedName>
    <definedName name="FleetRecordsPerAnnumO1_TotalGrand">Inputs_RecordsGeneration!$E$1061:$N$1061</definedName>
    <definedName name="FleetRecordsPerAnnumO2_TotalGrand">Inputs_RecordsGeneration!$E$1062:$N$1062</definedName>
    <definedName name="FleetRecordsPerAnnumPlg_TotalGrand">Inputs_RecordsGeneration!$E$1054:$N$1054</definedName>
    <definedName name="FleetRecordsPerAnnumQSC_TotalGrand">Inputs_RecordsGeneration!$E$1057:$N$1057</definedName>
    <definedName name="FleetRecordsPerAnnumSCL_TotalGrand">Inputs_RecordsGeneration!$E$1056:$N$1056</definedName>
    <definedName name="FleetRecordsPerAnnumSMCS_TotalGrand">Inputs_RecordsGeneration!$E$1060:$N$1060</definedName>
    <definedName name="FleetSize_A">Inputs_FleetMix!$E$12:$N$12</definedName>
    <definedName name="FleetSize_B">Inputs_FleetMix!$E$13:$N$13</definedName>
    <definedName name="FleetSize_C">Inputs_FleetMix!$E$14:$N$14</definedName>
    <definedName name="FleetSize_D">Inputs_FleetMix!$E$15:$N$15</definedName>
    <definedName name="FleetSize_E">Inputs_FleetMix!$E$16:$N$16</definedName>
    <definedName name="FleetSize_F">Inputs_FleetMix!$E$17:$N$17</definedName>
    <definedName name="FleetSize_G">Inputs_FleetMix!$E$18:$N$18</definedName>
    <definedName name="FleetSize_H">Inputs_FleetMix!$E$19:$N$19</definedName>
    <definedName name="FleetSize_I">Inputs_FleetMix!$E$20:$N$20</definedName>
    <definedName name="FleetSize_J">Inputs_FleetMix!$E$21:$N$21</definedName>
    <definedName name="FleetSize_K">Inputs_FleetMix!$E$22:$N$22</definedName>
    <definedName name="FleetSize_L">Inputs_FleetMix!$E$23:$N$23</definedName>
    <definedName name="FleetSize_M">Inputs_FleetMix!$E$24:$N$24</definedName>
    <definedName name="FleetSize_N">Inputs_FleetMix!$E$25:$N$25</definedName>
    <definedName name="FleetSize_O">Inputs_FleetMix!$E$26:$N$26</definedName>
    <definedName name="FleetSize_Total">Inputs_FleetMix!$E$28:$N$28</definedName>
    <definedName name="FleetTypeA">Inputs_FleetMix!$D$12</definedName>
    <definedName name="FleetTypeB">Inputs_FleetMix!$D$13</definedName>
    <definedName name="FleetTypeC">Inputs_FleetMix!$D$14</definedName>
    <definedName name="FleetTypeD">Inputs_FleetMix!$D$15</definedName>
    <definedName name="FleetTypeE">Inputs_FleetMix!$D$16</definedName>
    <definedName name="FleetTypeF">Inputs_FleetMix!$D$17</definedName>
    <definedName name="FleetTypeG">Inputs_FleetMix!$D$18</definedName>
    <definedName name="FleetTypeH">Inputs_FleetMix!$D$19</definedName>
    <definedName name="FleetTypeI">Inputs_FleetMix!$D$20</definedName>
    <definedName name="FleetTypeJ">Inputs_FleetMix!$D$21</definedName>
    <definedName name="FleetTypeK">Inputs_FleetMix!$D$22</definedName>
    <definedName name="FleetTypeL">Inputs_FleetMix!$D$23</definedName>
    <definedName name="FleetTypeM">Inputs_FleetMix!$D$24</definedName>
    <definedName name="FleetTypeN">Inputs_FleetMix!$D$25</definedName>
    <definedName name="FleetTypeO">Inputs_FleetMix!$D$26</definedName>
    <definedName name="FTEHoursAuthAbsenceYr">Inputs_Salaries!$E$26:$P$26</definedName>
    <definedName name="FTEHoursAvailProductiveYr">Inputs_Salaries!$E$28:$P$28</definedName>
    <definedName name="FTEHoursNormalYr">Inputs_Salaries!$E$11:$P$11</definedName>
    <definedName name="FTEHoursOTYr">Inputs_Salaries!$E$12:$P$12</definedName>
    <definedName name="FTEHoursPaidYr">Inputs_Salaries!$E$13:$P$13</definedName>
    <definedName name="hSystemRecordsShredRate" localSheetId="8">'Costs_RecordArchive&amp;Retrieval'!$E$41:$N$41</definedName>
    <definedName name="hSystems_CFS_PaperBookPurchase">Costs_RecordsOther!$D$845:$N$845</definedName>
    <definedName name="hSystems_CFS_PaperProcess">Costs_RecordsOther!$D$843:$N$843</definedName>
    <definedName name="hSystems_CFS_RecordsMFDLease">Costs_RecordsOther!$D$846:$N$846</definedName>
    <definedName name="hSystems_CFS_RecordsOfficeLease">Costs_RecordsOther!$D$847:$N$847</definedName>
    <definedName name="hSystems_CFS_RecordsPaperArchives" localSheetId="8">'Costs_RecordArchive&amp;Retrieval'!$D$114:$N$114</definedName>
    <definedName name="hSystems_CFS_RecordsPaperPurchase">Costs_RecordsOther!$D$844:$N$844</definedName>
    <definedName name="hSystems_CFS_RecordsTotal">Costs_RecordsOther!$D$848:$N$848</definedName>
    <definedName name="hSystemsBookCostpa_total">Costs_RecordsOther!$E$140:$N$140</definedName>
    <definedName name="hSystemsCompactusArea_Each">Costs_RecordsOther!$E$710:$N$710</definedName>
    <definedName name="hSystemsCompactusArea_Total">Costs_RecordsOther!$E$751:$N$751</definedName>
    <definedName name="hSystemsCost_LaborOther4_CFS">'FTE&amp;SystemEfficiencies'!$D$392:$N$392</definedName>
    <definedName name="hSystemsCost_LaborOther5_CFS">'FTE&amp;SystemEfficiencies'!$D$393:$N$393</definedName>
    <definedName name="hSystemsCost_LaborTotal_CFS">'FTE&amp;SystemEfficiencies'!$D$394:$N$394</definedName>
    <definedName name="hSystemsCost_PaperProcess" localSheetId="7">Costs_RecordsOther!$E$35:$N$35</definedName>
    <definedName name="hSystemsCost_PaperProcess">Costs_RecordsOther!$E$35:$N$35</definedName>
    <definedName name="hSystemsCost_PaperReworkTotal_CFS">Labor_RecordErrorRework!$D$341:$O$341</definedName>
    <definedName name="hSystemsCost_TrgTotal_CFS">Costs_Training!$D$387:$N$387</definedName>
    <definedName name="hSystemsCost_TrgTotalBestCase_CFS">Costs_Training!$D$389:$N$389</definedName>
    <definedName name="hSystemsCost_TrgTotalMostLikely_CFS">Costs_Training!$D$388:$N$388</definedName>
    <definedName name="hSystemsCost_TrgTotalWorstCase_CFS">Costs_Training!$D$387:$N$387</definedName>
    <definedName name="hSystemsCostIT_CodeA">Costs_IT!$E$109:$N$109</definedName>
    <definedName name="hSystemsCostIT_CodeA_Customization">Costs_IT!$E$108:$N$108</definedName>
    <definedName name="hSystemsCostIT_CodeA_Licence">Costs_IT!$E$105:$N$105</definedName>
    <definedName name="hSystemsCostIT_CodeA_Operating">Costs_IT!$E$104:$N$104</definedName>
    <definedName name="hSystemsCostIT_CodeA_Software">Costs_IT!$E$106:$N$106</definedName>
    <definedName name="hSystemsCostIT_CodeA_Total">Costs_IT!$E$109:$N$109</definedName>
    <definedName name="hSystemsCostIT_CodeA_Upgrade">Costs_IT!$E$107:$N$107</definedName>
    <definedName name="hSystemsCostIT_CodeB">Costs_IT!$E$117:$N$117</definedName>
    <definedName name="hSystemsCostIT_CodeB_Customization">Costs_IT!$E$116:$N$116</definedName>
    <definedName name="hSystemsCostIT_CodeB_Licence">Costs_IT!$E$113:$N$113</definedName>
    <definedName name="hSystemsCostIT_CodeB_Operating">Costs_IT!$E$112:$N$112</definedName>
    <definedName name="hSystemsCostIT_CodeB_Software">Costs_IT!$E$114:$N$114</definedName>
    <definedName name="hSystemsCostIT_CodeB_Total">Costs_IT!$E$117:$N$117</definedName>
    <definedName name="hSystemsCostIT_CodeB_Upgrade">Costs_IT!$E$115:$N$115</definedName>
    <definedName name="hSystemsCostIT_CodeC">Costs_IT!$E$125:$N$125</definedName>
    <definedName name="hSystemsCostIT_CodeC_Customization">Costs_IT!$E$124:$N$124</definedName>
    <definedName name="hSystemsCostIT_CodeC_Licence">Costs_IT!$E$121:$N$121</definedName>
    <definedName name="hSystemsCostIT_CodeC_Operating">Costs_IT!$E$120:$N$120</definedName>
    <definedName name="hSystemsCostIT_CodeC_Software">Costs_IT!$E$122:$N$122</definedName>
    <definedName name="hSystemsCostIT_CodeC_Total">Costs_IT!$E$125:$N$125</definedName>
    <definedName name="hSystemsCostIT_CodeC_Upgrade">Costs_IT!$E$123:$N$123</definedName>
    <definedName name="hSystemsCostIT_CodeD">Costs_IT!$E$133:$N$133</definedName>
    <definedName name="hSystemsCostIT_CodeD_Customization">Costs_IT!$E$132:$N$132</definedName>
    <definedName name="hSystemsCostIT_CodeD_Licence">Costs_IT!$E$129:$N$129</definedName>
    <definedName name="hSystemsCostIT_CodeD_Operating">Costs_IT!$E$128:$N$128</definedName>
    <definedName name="hSystemsCostIT_CodeD_Software">Costs_IT!$E$130:$N$130</definedName>
    <definedName name="hSystemsCostIT_CodeD_Total">Costs_IT!$E$133:$N$133</definedName>
    <definedName name="hSystemsCostIT_CodeD_Upgrade">Costs_IT!$E$131:$N$131</definedName>
    <definedName name="hSystemsCostIT_CodeE">Costs_IT!$E$141:$N$141</definedName>
    <definedName name="hSystemsCostIT_CodeE_Customization">Costs_IT!$E$140:$N$140</definedName>
    <definedName name="hSystemsCostIT_CodeE_Licence">Costs_IT!$E$137:$N$137</definedName>
    <definedName name="hSystemsCostIT_CodeE_Operating">Costs_IT!$E$136:$N$136</definedName>
    <definedName name="hSystemsCostIT_CodeE_Software">Costs_IT!$E$138:$N$138</definedName>
    <definedName name="hSystemsCostIT_CodeE_Total">Costs_IT!$E$141:$N$141</definedName>
    <definedName name="hSystemsCostIT_CodeE_Upgrade">Costs_IT!$E$139:$N$139</definedName>
    <definedName name="hSystemsCostIT_CodeF">Costs_IT!$E$149:$N$149</definedName>
    <definedName name="hSystemsCostIT_CodeF_Customization">Costs_IT!$E$148:$N$148</definedName>
    <definedName name="hSystemsCostIT_CodeF_Licence">Costs_IT!$E$145:$N$145</definedName>
    <definedName name="hSystemsCostIT_CodeF_Operating">Costs_IT!$E$144:$N$144</definedName>
    <definedName name="hSystemsCostIT_CodeF_Software">Costs_IT!$E$146:$N$146</definedName>
    <definedName name="hSystemsCostIT_CodeF_Total">Costs_IT!$E$149:$N$149</definedName>
    <definedName name="hSystemsCostIT_CodeF_Upgrade">Costs_IT!$E$147:$N$147</definedName>
    <definedName name="hSystemsCostIT_CodeG">Costs_IT!$E$157:$N$157</definedName>
    <definedName name="hSystemsCostIT_CodeG_Customization">Costs_IT!$E$156:$N$156</definedName>
    <definedName name="hSystemsCostIT_CodeG_Licence">Costs_IT!$E$153:$N$153</definedName>
    <definedName name="hSystemsCostIT_CodeG_Operating">Costs_IT!$E$152:$N$152</definedName>
    <definedName name="hSystemsCostIT_CodeG_Software">Costs_IT!$E$154:$N$154</definedName>
    <definedName name="hSystemsCostIT_CodeG_Total">Costs_IT!$E$157:$N$157</definedName>
    <definedName name="hSystemsCostIT_CodeG_Upgrade">Costs_IT!$E$155:$N$155</definedName>
    <definedName name="hSystemsCostIT_Total">Costs_IT!$E$159:$N$159</definedName>
    <definedName name="hSystemsCostsWarrantyTotal_CFS">Labor_Warranty!$D$69:$N$69</definedName>
    <definedName name="hSystemsCostWarrantyTotal">Labor_Warranty!$E$41:$N$41</definedName>
    <definedName name="hSystemsFilingCabinetArea_Each">Costs_RecordsOther!$E$571:$N$571</definedName>
    <definedName name="hSystemsFilingCabinetArea_Total">Costs_RecordsOther!$E$612:$N$612</definedName>
    <definedName name="hSystemsFleetPaperCMTotal">Inputs_RecordsGeneration!$E$1124:$N$1124</definedName>
    <definedName name="hSystemsFleetPaperCRTTotal">Inputs_RecordsGeneration!$E$1120:$N$1120</definedName>
    <definedName name="hSystemsFleetPaperEMTotal">Inputs_RecordsGeneration!$E$1123:$N$1123</definedName>
    <definedName name="hSystemsFleetPaperENGTotal">Inputs_RecordsGeneration!$E$1118:$N$1118</definedName>
    <definedName name="hSystemsFleetPaperHMTotal">Inputs_RecordsGeneration!$E$1116:$N$1116</definedName>
    <definedName name="hSystemsFleetPaperLMTotal">Inputs_RecordsGeneration!$E$1117:$N$1117</definedName>
    <definedName name="hSystemsFleetPaperO1Total">Inputs_RecordsGeneration!$E$1126:$N$1126</definedName>
    <definedName name="hSystemsFleetPaperO2Total">Inputs_RecordsGeneration!$E$1127:$N$1127</definedName>
    <definedName name="hSystemsFleetPaperPLGTotal">Inputs_RecordsGeneration!$E$1119:$N$1119</definedName>
    <definedName name="hSystemsFleetPaperQSCTotal">Inputs_RecordsGeneration!$E$1122:$N$1122</definedName>
    <definedName name="hSystemsFleetPaperSCLTotal">Inputs_RecordsGeneration!$E$1121:$N$1121</definedName>
    <definedName name="hSystemsFleetPaperSMCSTotal">Inputs_RecordsGeneration!$E$1125:$N$1125</definedName>
    <definedName name="hSystemsFTEBestCase_Total_CFS">'FTE&amp;SystemEfficiencies'!$D$415:$N$415</definedName>
    <definedName name="hSystemsFTECalcResultBestCaseCM">'FTE&amp;SystemEfficiencies'!$E$168:$N$168</definedName>
    <definedName name="hSystemsFTECalcResultBestCaseCRT">'FTE&amp;SystemEfficiencies'!$E$120:$N$120</definedName>
    <definedName name="hSystemsFTECalcResultBestCaseEM">'FTE&amp;SystemEfficiencies'!$E$156:$N$156</definedName>
    <definedName name="hSystemsFTECalcResultBestCaseENG">'FTE&amp;SystemEfficiencies'!$E$96:$N$96</definedName>
    <definedName name="hSystemsFTECalcResultBestCaseHM">'FTE&amp;SystemEfficiencies'!$E$72:$N$72</definedName>
    <definedName name="hSystemsFTECalcResultBestCaseLM">'FTE&amp;SystemEfficiencies'!$E$84:$N$84</definedName>
    <definedName name="hSystemsFTECalcResultBestCaseO1">'FTE&amp;SystemEfficiencies'!$E$192:$N$192</definedName>
    <definedName name="hSystemsFTECalcResultBestCaseO2">'FTE&amp;SystemEfficiencies'!$E$204:$N$204</definedName>
    <definedName name="hSystemsFTECalcResultBestCasePLG">'FTE&amp;SystemEfficiencies'!$E$108:$N$108</definedName>
    <definedName name="hSystemsFTECalcResultBestCaseQSC">'FTE&amp;SystemEfficiencies'!$E$144:$N$144</definedName>
    <definedName name="hSystemsFTECalcResultBestCaseSCL">'FTE&amp;SystemEfficiencies'!$E$132:$N$132</definedName>
    <definedName name="hSystemsFTECalcResultBestCaseSMCS">'FTE&amp;SystemEfficiencies'!$E$180:$N$180</definedName>
    <definedName name="hSystemsFTECalcResultBestCaseTotal">'FTE&amp;SystemEfficiencies'!$E$212:$N$212</definedName>
    <definedName name="hSystemsFTECalcResultMostLikelyCM">'FTE&amp;SystemEfficiencies'!$E$167:$N$167</definedName>
    <definedName name="hSystemsFTECalcResultMostLikelyCRT">'FTE&amp;SystemEfficiencies'!$E$119:$N$119</definedName>
    <definedName name="hSystemsFTECalcResultMostLikelyEM">'FTE&amp;SystemEfficiencies'!$E$155:$N$155</definedName>
    <definedName name="hSystemsFTECalcResultMostLikelyENG">'FTE&amp;SystemEfficiencies'!$E$95:$N$95</definedName>
    <definedName name="hSystemsFTECalcResultMostLikelyHM">'FTE&amp;SystemEfficiencies'!$E$71:$N$71</definedName>
    <definedName name="hSystemsFTECalcResultMostLikelyLM">'FTE&amp;SystemEfficiencies'!$E$83:$N$83</definedName>
    <definedName name="hSystemsFTECalcResultMostLikelyO1">'FTE&amp;SystemEfficiencies'!$E$191:$N$191</definedName>
    <definedName name="hSystemsFTECalcResultMostLikelyO2">'FTE&amp;SystemEfficiencies'!$E$203:$N$203</definedName>
    <definedName name="hSystemsFTECalcResultMostLikelyPLG">'FTE&amp;SystemEfficiencies'!$E$107:$N$107</definedName>
    <definedName name="hSystemsFTECalcResultMostLikelyQSC">'FTE&amp;SystemEfficiencies'!$E$143:$N$143</definedName>
    <definedName name="hSystemsFTECalcResultMostLikelySCL">'FTE&amp;SystemEfficiencies'!$E$131:$N$131</definedName>
    <definedName name="hSystemsFTECalcResultMostLikelySMCS">'FTE&amp;SystemEfficiencies'!$E$179:$N$179</definedName>
    <definedName name="hSystemsFTECalcResultMostLikelyTotal">'FTE&amp;SystemEfficiencies'!$E$211:$N$211</definedName>
    <definedName name="hSystemsFTECalcResultWorstCaseCM">'FTE&amp;SystemEfficiencies'!$E$166:$N$166</definedName>
    <definedName name="hSystemsFTECalcResultWorstCaseCRT">'FTE&amp;SystemEfficiencies'!$E$118:$N$118</definedName>
    <definedName name="hSystemsFTECalcResultWorstCaseEM">'FTE&amp;SystemEfficiencies'!$E$154:$N$154</definedName>
    <definedName name="hSystemsFTECalcResultWorstCaseENG">'FTE&amp;SystemEfficiencies'!$E$94:$N$94</definedName>
    <definedName name="hSystemsFTECalcResultWorstCaseHM">'FTE&amp;SystemEfficiencies'!$E$70:$N$70</definedName>
    <definedName name="hSystemsFTECalcResultWorstCaseLM">'FTE&amp;SystemEfficiencies'!$E$82:$N$82</definedName>
    <definedName name="hSystemsFTECalcResultWorstCaseO1">'FTE&amp;SystemEfficiencies'!$E$190:$N$190</definedName>
    <definedName name="hSystemsFTECalcResultWorstCaseO2">'FTE&amp;SystemEfficiencies'!$E$202:$N$202</definedName>
    <definedName name="hSystemsFTECalcResultWorstCasePLG">'FTE&amp;SystemEfficiencies'!$E$106:$N$106</definedName>
    <definedName name="hSystemsFTECalcResultWorstCaseQSC">'FTE&amp;SystemEfficiencies'!$E$142:$N$142</definedName>
    <definedName name="hSystemsFTECalcResultWorstCaseSCL">'FTE&amp;SystemEfficiencies'!$E$130:$N$130</definedName>
    <definedName name="hSystemsFTECalcResultWorstCaseSMCS">'FTE&amp;SystemEfficiencies'!$E$178:$N$178</definedName>
    <definedName name="hSystemsFTECalcResultWorstCaseTotal">'FTE&amp;SystemEfficiencies'!$E$210:$N$210</definedName>
    <definedName name="hSystemsFTELaborCostBestCase_CFS">'FTE&amp;SystemEfficiencies'!$D$394:$N$394</definedName>
    <definedName name="hSystemsFTELaborCostBestCaseTotal">'FTE&amp;SystemEfficiencies'!$E$216:$N$216</definedName>
    <definedName name="hSystemsFTELaborCostMostLikely_CFS">'FTE&amp;SystemEfficiencies'!$D$393:$N$393</definedName>
    <definedName name="hSystemsFTELaborCostMostLikelyCM">'FTE&amp;SystemEfficiencies'!$E$171:$N$171</definedName>
    <definedName name="hSystemsFTELaborCostMostLikelyCRT">'FTE&amp;SystemEfficiencies'!$E$123:$N$123</definedName>
    <definedName name="hSystemsFTELaborCostMostLikelyEM">'FTE&amp;SystemEfficiencies'!$E$159:$N$159</definedName>
    <definedName name="hSystemsFTELaborCostMostLikelyENG">'FTE&amp;SystemEfficiencies'!$E$99:$N$99</definedName>
    <definedName name="hSystemsFTELaborCostMostLikelyHM">'FTE&amp;SystemEfficiencies'!$E$75:$N$75</definedName>
    <definedName name="hSystemsFTELaborCostMostLikelyLM">'FTE&amp;SystemEfficiencies'!$E$87:$N$87</definedName>
    <definedName name="hSystemsFTELaborCostMostLikelyO1">'FTE&amp;SystemEfficiencies'!$E$195:$N$195</definedName>
    <definedName name="hSystemsFTELaborCostMostLikelyO2">'FTE&amp;SystemEfficiencies'!$E$207:$N$207</definedName>
    <definedName name="hSystemsFTELaborCostMostLikelyPLG">'FTE&amp;SystemEfficiencies'!$E$111:$N$111</definedName>
    <definedName name="hSystemsFTELaborCostMostLikelyQSC">'FTE&amp;SystemEfficiencies'!$E$147:$N$147</definedName>
    <definedName name="hSystemsFTELaborCostMostLikelySCL">'FTE&amp;SystemEfficiencies'!$E$135:$N$135</definedName>
    <definedName name="hSystemsFTELaborCostMostLikelySMCS">'FTE&amp;SystemEfficiencies'!$E$183:$N$183</definedName>
    <definedName name="hSystemsFTELaborCostMostLikelyTotal">'FTE&amp;SystemEfficiencies'!$E$215:$N$215</definedName>
    <definedName name="hSystemsFTELaborCostWorstCase_CFS">'FTE&amp;SystemEfficiencies'!$D$392:$N$392</definedName>
    <definedName name="hSystemsFTELaborCostWorstCaseCM">'FTE&amp;SystemEfficiencies'!$E$170:$N$170</definedName>
    <definedName name="hSystemsFTELaborCostWorstCaseCRT">'FTE&amp;SystemEfficiencies'!$E$122:$N$122</definedName>
    <definedName name="hSystemsFTELaborCostWorstCaseEM">'FTE&amp;SystemEfficiencies'!$E$158:$N$158</definedName>
    <definedName name="hSystemsFTELaborCostWorstCaseENG">'FTE&amp;SystemEfficiencies'!$E$98:$N$98</definedName>
    <definedName name="hSystemsFTELaborCostWorstCaseHM">'FTE&amp;SystemEfficiencies'!$E$74:$N$74</definedName>
    <definedName name="hSystemsFTELaborCostWorstCaseLM">'FTE&amp;SystemEfficiencies'!$E$86:$N$86</definedName>
    <definedName name="hSystemsFTELaborCostWorstCaseO1">'FTE&amp;SystemEfficiencies'!$E$194:$N$194</definedName>
    <definedName name="hSystemsFTELaborCostWorstCaseO2">'FTE&amp;SystemEfficiencies'!$E$206:$N$206</definedName>
    <definedName name="hSystemsFTELaborCostWorstCasePLG">'FTE&amp;SystemEfficiencies'!$E$110:$N$110</definedName>
    <definedName name="hSystemsFTELaborCostWorstCaseQSC">'FTE&amp;SystemEfficiencies'!$E$146:$N$146</definedName>
    <definedName name="hSystemsFTELaborCostWorstCaseSCL">'FTE&amp;SystemEfficiencies'!$E$134:$N$134</definedName>
    <definedName name="hSystemsFTELaborCostWorstCaseSMCS">'FTE&amp;SystemEfficiencies'!$E$182:$N$182</definedName>
    <definedName name="hSystemsFTELaborCostWorstCaseTotal">'FTE&amp;SystemEfficiencies'!$E$214:$N$214</definedName>
    <definedName name="hSystemsFTEMostLikely_Total_CFS">'FTE&amp;SystemEfficiencies'!$D$414:$N$414</definedName>
    <definedName name="hSystemsFTEMostLikelyBestCaseCM">'FTE&amp;SystemEfficiencies'!$E$172:$N$172</definedName>
    <definedName name="hSystemsFTEMostLikelyBestCaseCRT">'FTE&amp;SystemEfficiencies'!$E$124:$N$124</definedName>
    <definedName name="hSystemsFTEMostLikelyBestCaseEM">'FTE&amp;SystemEfficiencies'!$E$160:$N$160</definedName>
    <definedName name="hSystemsFTEMostLikelyBestCaseENG">'FTE&amp;SystemEfficiencies'!$E$100:$N$100</definedName>
    <definedName name="hSystemsFTEMostLikelyBestCaseHM">'FTE&amp;SystemEfficiencies'!$E$76:$N$76</definedName>
    <definedName name="hSystemsFTEMostLikelyBestCaseLM">'FTE&amp;SystemEfficiencies'!$E$88:$N$88</definedName>
    <definedName name="hSystemsFTEMostLikelyBestCaseO1">'FTE&amp;SystemEfficiencies'!$E$196:$N$196</definedName>
    <definedName name="hSystemsFTEMostLikelyBestCaseO2">'FTE&amp;SystemEfficiencies'!$E$208:$N$208</definedName>
    <definedName name="hSystemsFTEMostLikelyBestCasePLG">'FTE&amp;SystemEfficiencies'!$E$112:$N$112</definedName>
    <definedName name="hSystemsFTEMostLikelyBestCaseQSC">'FTE&amp;SystemEfficiencies'!$E$148:$N$148</definedName>
    <definedName name="hSystemsFTEMostLikelyBestCaseSCL">'FTE&amp;SystemEfficiencies'!$E$136:$N$136</definedName>
    <definedName name="hSystemsFTEMostLikelyBestCaseSMCS">'FTE&amp;SystemEfficiencies'!$E$184:$N$184</definedName>
    <definedName name="hSystemsFTEPercentReductionBestCaseCM">'FTE&amp;SystemEfficiencies'!$E$164:$N$164</definedName>
    <definedName name="hSystemsFTEPercentReductionBestCaseCRT">'FTE&amp;SystemEfficiencies'!$E$116:$N$116</definedName>
    <definedName name="hSystemsFTEPercentReductionBestCaseEM">'FTE&amp;SystemEfficiencies'!$E$152:$N$152</definedName>
    <definedName name="hSystemsFTEPercentReductionBestCaseENG">'FTE&amp;SystemEfficiencies'!$E$92:$N$92</definedName>
    <definedName name="hSystemsFTEPercentReductionBestCaseHM">'FTE&amp;SystemEfficiencies'!$E$68:$N$68</definedName>
    <definedName name="hSystemsFTEPercentReductionBestCaseLM">'FTE&amp;SystemEfficiencies'!$E$80:$N$80</definedName>
    <definedName name="hSystemsFTEPercentReductionBestCaseO1">'FTE&amp;SystemEfficiencies'!$E$188:$N$188</definedName>
    <definedName name="hSystemsFTEPercentReductionBestCaseO2">'FTE&amp;SystemEfficiencies'!$E$200:$N$200</definedName>
    <definedName name="hSystemsFTEPercentReductionBestCasePLG">'FTE&amp;SystemEfficiencies'!$E$104:$N$104</definedName>
    <definedName name="hSystemsFTEPercentReductionBestCaseQSC">'FTE&amp;SystemEfficiencies'!$E$140:$N$140</definedName>
    <definedName name="hSystemsFTEPercentReductionBestCaseSCL">'FTE&amp;SystemEfficiencies'!$E$128:$N$128</definedName>
    <definedName name="hSystemsFTEPercentReductionBestCaseSMCS">'FTE&amp;SystemEfficiencies'!$E$176:$N$176</definedName>
    <definedName name="hSystemsFTEPercentReductionMostLikelyCM">'FTE&amp;SystemEfficiencies'!$E$163:$N$163</definedName>
    <definedName name="hSystemsFTEPercentReductionMostLikelyCRT">'FTE&amp;SystemEfficiencies'!$E$115:$N$115</definedName>
    <definedName name="hSystemsFTEPercentReductionMostLikelyEM">'FTE&amp;SystemEfficiencies'!$E$151:$N$151</definedName>
    <definedName name="hSystemsFTEPercentReductionMostLikelyENG">'FTE&amp;SystemEfficiencies'!$E$91:$N$91</definedName>
    <definedName name="hSystemsFTEPercentReductionMostLikelyHM">'FTE&amp;SystemEfficiencies'!$E$67:$N$67</definedName>
    <definedName name="hSystemsFTEPercentReductionMostLikelyLM">'FTE&amp;SystemEfficiencies'!$E$79:$N$79</definedName>
    <definedName name="hSystemsFTEPercentReductionMostLikelyO1">'FTE&amp;SystemEfficiencies'!$E$187:$N$187</definedName>
    <definedName name="hSystemsFTEPercentReductionMostLikelyO2">'FTE&amp;SystemEfficiencies'!$E$199:$N$199</definedName>
    <definedName name="hSystemsFTEPercentReductionMostLikelyPLG">'FTE&amp;SystemEfficiencies'!$E$103:$N$103</definedName>
    <definedName name="hSystemsFTEPercentReductionMostLikelyQSC">'FTE&amp;SystemEfficiencies'!$E$139:$N$139</definedName>
    <definedName name="hSystemsFTEPercentReductionMostLikelySCL">'FTE&amp;SystemEfficiencies'!$E$127:$N$127</definedName>
    <definedName name="hSystemsFTEPercentReductionMostLikelySMCS">'FTE&amp;SystemEfficiencies'!$E$175:$N$175</definedName>
    <definedName name="hSystemsFTEPercentReductionWorstCaseCM">'FTE&amp;SystemEfficiencies'!$E$162:$N$162</definedName>
    <definedName name="hSystemsFTEPercentReductionWorstCaseCRT">'FTE&amp;SystemEfficiencies'!$E$114:$N$114</definedName>
    <definedName name="hSystemsFTEPercentReductionWorstCaseEM">'FTE&amp;SystemEfficiencies'!$E$150:$N$150</definedName>
    <definedName name="hSystemsFTEPercentReductionWorstCaseENG">'FTE&amp;SystemEfficiencies'!$E$90:$N$90</definedName>
    <definedName name="hSystemsFTEPercentReductionWorstCaseHM">'FTE&amp;SystemEfficiencies'!$E$66:$N$66</definedName>
    <definedName name="hSystemsFTEPercentReductionWorstCaseLM">'FTE&amp;SystemEfficiencies'!$E$78:$N$78</definedName>
    <definedName name="hSystemsFTEPercentReductionWorstCaseO1">'FTE&amp;SystemEfficiencies'!$E$186:$N$186</definedName>
    <definedName name="hSystemsFTEPercentReductionWorstCaseO2">'FTE&amp;SystemEfficiencies'!$E$198:$N$198</definedName>
    <definedName name="hSystemsFTEPercentReductionWorstCasePLG">'FTE&amp;SystemEfficiencies'!$E$102:$N$102</definedName>
    <definedName name="hSystemsFTEPercentReductionWorstCaseQSC">'FTE&amp;SystemEfficiencies'!$E$138:$N$138</definedName>
    <definedName name="hSystemsFTEPercentReductionWorstCaseSCL">'FTE&amp;SystemEfficiencies'!$E$126:$N$126</definedName>
    <definedName name="hSystemsFTEPercentReductionWorstCaseSMCS">'FTE&amp;SystemEfficiencies'!$E$174:$N$174</definedName>
    <definedName name="hSystemsFTERework_OutputSummary">Labor_RecordErrorRework!$D$355:$N$355</definedName>
    <definedName name="hSystemsFTETotal_OutputSummary">'FTE&amp;SystemEfficiencies'!$D$413:$N$413</definedName>
    <definedName name="hSystemsFTEWarranty">Labor_Warranty!$E$39:$N$39</definedName>
    <definedName name="hSystemsFTEWarranty_OutputSummary">Labor_Warranty!$D$86:$N$86</definedName>
    <definedName name="hSystemsFTEWorstCase_Total_CFS">'FTE&amp;SystemEfficiencies'!$D$413:$N$413</definedName>
    <definedName name="hSystemsInducedLaborCostTotal">'Outputs - CF hSystems'!$D$31:$N$31</definedName>
    <definedName name="hSystemsInducedTotalCostBCTotalCumGrand">'Outputs - CF hSystems'!$D$60:$N$60</definedName>
    <definedName name="hSystemsInducedTotalCostBCTotalGrand">'Outputs - CF hSystems'!$D$55:$N$55</definedName>
    <definedName name="hSystemsInducedTotalCostMLTotalCumgrand">'Outputs - CF hSystems'!$D$59:$N$59</definedName>
    <definedName name="hSystemsInducedTotalCostMLTotalgrand">'Outputs - CF hSystems'!$D$54:$N$54</definedName>
    <definedName name="hSystemsInducedTotalCostWCTotalCumGrand">'Outputs - CF hSystems'!$D$58:$N$58</definedName>
    <definedName name="hSystemsInducedTotalCostWCTotalGrand">'Outputs - CF hSystems'!$D$53:$N$53</definedName>
    <definedName name="hSystemsIT_CodeA_Total_CFS">Costs_IT!$D$242:$N$242</definedName>
    <definedName name="hSystemsIT_CodeB_Total_CFS">Costs_IT!$D$243:$N$243</definedName>
    <definedName name="hSystemsIT_CodeC_Total_CFS">Costs_IT!$D$244:$N$244</definedName>
    <definedName name="hSystemsIT_CodeD_Total_CFS">Costs_IT!$D$245:$N$245</definedName>
    <definedName name="hSystemsIT_CodeE_Total_CFS">Costs_IT!$D$246:$N$246</definedName>
    <definedName name="hSystemsIT_CodeF_Total_CFS">Costs_IT!$D$247:$N$247</definedName>
    <definedName name="hSystemsIT_CodeG_Total_CFS">Costs_IT!$D$248:$N$248</definedName>
    <definedName name="hSystemsIT_Cost_Total_CFS">Costs_IT!$D$249:$N$249</definedName>
    <definedName name="hSystemsLaborUtilRate">Inputs_Salaries!$E$33:$P$33</definedName>
    <definedName name="hSystemsLease_AAaudit_Total_CFS">Labor_AircraftLessee!$D$1005:$N$1005</definedName>
    <definedName name="hSystemsLease_Cost_Total_CFS">Labor_AircraftLessee!$D$1009:$N$1009</definedName>
    <definedName name="hSystemsLease_DisRec_Total_CFS">Labor_AircraftLessee!$D$1006:$N$1006</definedName>
    <definedName name="hSystemsLease_DueDil_Total_CFS">Labor_AircraftLessee!$D$1008:$N$1008</definedName>
    <definedName name="hSystemsLease_Hosting_Total_CFS">Labor_AircraftLessee!$D$1003:$N$1003</definedName>
    <definedName name="hSystemsLease_LessorAudit_Total_CFS">Labor_AircraftLessee!$D$1004:$N$1004</definedName>
    <definedName name="hSystemsLease_RecSearch_Total_CFS">Labor_AircraftLessee!$D$1007:$N$1007</definedName>
    <definedName name="hSystemsLease_Return_Total_CFS">Labor_AircraftLessee!$D$1002:$N$1002</definedName>
    <definedName name="hSystemsLeaseDisputedRecordFTEsCM">Labor_AircraftLessee!$E$428:$N$428</definedName>
    <definedName name="hSystemsLeaseDisputedRecordFTEsCRT">Labor_AircraftLessee!$E$424:$N$424</definedName>
    <definedName name="hSystemsLeaseDisputedRecordFTEsEM">Labor_AircraftLessee!$E$427:$N$427</definedName>
    <definedName name="hSystemsLeaseDisputedRecordFTEsENG">Labor_AircraftLessee!$E$422:$N$422</definedName>
    <definedName name="hSystemsLeaseDisputedRecordFTEsHM">Labor_AircraftLessee!$E$420:$N$420</definedName>
    <definedName name="hSystemsLeaseDisputedRecordFTEsLM">Labor_AircraftLessee!$E$421:$N$421</definedName>
    <definedName name="hSystemsLeaseDisputedRecordFTEsO1">Labor_AircraftLessee!$E$430:$N$430</definedName>
    <definedName name="hSystemsLeaseDisputedRecordFTEsO2">Labor_AircraftLessee!$E$431:$N$431</definedName>
    <definedName name="hSystemsLeaseDisputedRecordFTEsPLG">Labor_AircraftLessee!$E$423:$N$423</definedName>
    <definedName name="hSystemsLeaseDisputedRecordFTEsQSC">Labor_AircraftLessee!$E$426:$N$426</definedName>
    <definedName name="hSystemsLeaseDisputedRecordFTEsSCL">Labor_AircraftLessee!$E$425:$N$425</definedName>
    <definedName name="hSystemsLeaseDisputedRecordFTEsSMCS">Labor_AircraftLessee!$E$429:$N$429</definedName>
    <definedName name="hSystemsLeaseDisputedRecordLaborCostCM">Labor_AircraftLessee!$E$412:$N$412</definedName>
    <definedName name="hSystemsLeaseDisputedRecordLaborCostCRT">Labor_AircraftLessee!$E$408:$N$408</definedName>
    <definedName name="hSystemsLeaseDisputedRecordLaborCostEM">Labor_AircraftLessee!$E$411:$N$411</definedName>
    <definedName name="hSystemsLeaseDisputedRecordLaborCostENG">Labor_AircraftLessee!$E$406:$N$406</definedName>
    <definedName name="hSystemsLeaseDisputedRecordLaborCostHM">Labor_AircraftLessee!$E$404:$N$404</definedName>
    <definedName name="hSystemsLeaseDisputedRecordLaborCostLM">Labor_AircraftLessee!$E$405:$N$405</definedName>
    <definedName name="hSystemsLeaseDisputedRecordLaborCostO1">Labor_AircraftLessee!$E$414:$N$414</definedName>
    <definedName name="hSystemsLeaseDisputedRecordLaborCostO2">Labor_AircraftLessee!$E$415:$N$415</definedName>
    <definedName name="hSystemsLeaseDisputedRecordLaborCostPLG">Labor_AircraftLessee!$E$407:$N$407</definedName>
    <definedName name="hSystemsLeaseDisputedRecordLaborCostQSC">Labor_AircraftLessee!$E$410:$N$410</definedName>
    <definedName name="hSystemsLeaseDisputedRecordLaborCostSCL">Labor_AircraftLessee!$E$409:$N$409</definedName>
    <definedName name="hSystemsLeaseDisputedRecordLaborCostSMCS">Labor_AircraftLessee!$E$413:$N$413</definedName>
    <definedName name="hSystemsLeaseDisputedRecordLaborCostTotal">Labor_AircraftLessee!$E$416:$N$416</definedName>
    <definedName name="hSystemsLeaseDisputedRecordLaborCostTotal_CFS">Labor_AircraftLessee!$D$1004:$N$1004</definedName>
    <definedName name="hSystemsLeaseDisputedRecordLaborHrsCM">Labor_AircraftLessee!$E$397:$N$397</definedName>
    <definedName name="hSystemsLeaseDisputedRecordLaborHrsCRT">Labor_AircraftLessee!$E$393:$N$393</definedName>
    <definedName name="hSystemsLeaseDisputedRecordLaborHrsEM">Labor_AircraftLessee!$E$396:$N$396</definedName>
    <definedName name="hSystemsLeaseDisputedRecordLaborHrsENG">Labor_AircraftLessee!$E$391:$N$391</definedName>
    <definedName name="hSystemsLeaseDisputedRecordLaborHrsHM">Labor_AircraftLessee!$E$389:$N$389</definedName>
    <definedName name="hSystemsLeaseDisputedRecordLaborHrsLM">Labor_AircraftLessee!$E$390:$N$390</definedName>
    <definedName name="hSystemsLeaseDisputedRecordLaborHrsO1">Labor_AircraftLessee!$E$399:$N$399</definedName>
    <definedName name="hSystemsLeaseDisputedRecordLaborHrsO2">Labor_AircraftLessee!$E$400:$N$400</definedName>
    <definedName name="hSystemsLeaseDisputedRecordLaborHrsPLG">Labor_AircraftLessee!$E$392:$N$392</definedName>
    <definedName name="hSystemsLeaseDisputedRecordLaborHrsQSC">Labor_AircraftLessee!$E$395:$N$395</definedName>
    <definedName name="hSystemsLeaseDisputedRecordLaborHrsSCL">Labor_AircraftLessee!$E$394:$N$394</definedName>
    <definedName name="hSystemsLeaseDisputedRecordLaborHrsSMCS">Labor_AircraftLessee!$E$398:$N$398</definedName>
    <definedName name="hSystemsLeaseDisputedRecordTotalFTEs">Labor_AircraftLessee!$E$432:$N$432</definedName>
    <definedName name="hSystemsLeaseDisputedRecordTotalFTEs_OutputSummary">Labor_AircraftLessee!$D$1043:$N$1043</definedName>
    <definedName name="hSystemsLeaseDisputeRecordsForecast">Labor_AircraftLessee!$E$385:$N$385</definedName>
    <definedName name="hSystemsLeaseDueDilEventForecast">Labor_AircraftLessee!$E$706:$N$706</definedName>
    <definedName name="hSystemsLeaseDueDilFTEsCM">Labor_AircraftLessee!$E$749:$N$749</definedName>
    <definedName name="hSystemsLeaseDueDilFTEsCRT">Labor_AircraftLessee!$E$745:$N$745</definedName>
    <definedName name="hSystemsLeaseDueDilFTEsEM">Labor_AircraftLessee!$E$748:$N$748</definedName>
    <definedName name="hSystemsLeaseDueDilFTEsENG">Labor_AircraftLessee!$E$743:$N$743</definedName>
    <definedName name="hSystemsLeaseDueDilFTEsHM">Labor_AircraftLessee!$E$741:$N$741</definedName>
    <definedName name="hSystemsLeaseDueDilFTEsLM">Labor_AircraftLessee!$E$742:$N$742</definedName>
    <definedName name="hSystemsLeaseDueDilFTEsO1">Labor_AircraftLessee!$E$751:$N$751</definedName>
    <definedName name="hSystemsLeaseDueDilFTEsO2">Labor_AircraftLessee!$E$752:$N$752</definedName>
    <definedName name="hSystemsLeaseDueDilFTEsPLG">Labor_AircraftLessee!$E$744:$N$744</definedName>
    <definedName name="hSystemsLeaseDueDilFTEsQSC">Labor_AircraftLessee!$E$747:$N$747</definedName>
    <definedName name="hSystemsLeaseDueDilFTEsSCL">Labor_AircraftLessee!$E$746:$N$746</definedName>
    <definedName name="hSystemsLeaseDueDilFTEsSMCS">Labor_AircraftLessee!$E$750:$N$750</definedName>
    <definedName name="hSystemsLeaseDueDilLaborCostCM">Labor_AircraftLessee!$E$733:$N$733</definedName>
    <definedName name="hSystemsLeaseDueDilLaborCostCRT">Labor_AircraftLessee!$E$729:$N$729</definedName>
    <definedName name="hSystemsLeaseDueDilLaborCostEM">Labor_AircraftLessee!$E$732:$N$732</definedName>
    <definedName name="hSystemsLeaseDueDilLaborCostENG">Labor_AircraftLessee!$E$727:$N$727</definedName>
    <definedName name="hSystemsLeaseDueDilLaborCostHM">Labor_AircraftLessee!$E$725:$N$725</definedName>
    <definedName name="hSystemsLeaseDueDilLaborCostLM">Labor_AircraftLessee!$E$726:$N$726</definedName>
    <definedName name="hSystemsLeaseDueDilLaborCostO1">Labor_AircraftLessee!$E$735:$N$735</definedName>
    <definedName name="hSystemsLeaseDueDilLaborCostO2">Labor_AircraftLessee!$E$736:$N$736</definedName>
    <definedName name="hSystemsLeaseDueDilLaborCostPLG">Labor_AircraftLessee!$E$728:$N$728</definedName>
    <definedName name="hSystemsLeaseDueDilLaborCostQSC">Labor_AircraftLessee!$E$731:$N$731</definedName>
    <definedName name="hSystemsLeaseDueDilLaborCostSCL">Labor_AircraftLessee!$E$730:$N$730</definedName>
    <definedName name="hSystemsLeaseDueDilLaborCostSMCS">Labor_AircraftLessee!$E$734:$N$734</definedName>
    <definedName name="hSystemsLeaseDueDilLaborCostTotal">Labor_AircraftLessee!$E$737:$N$737</definedName>
    <definedName name="hSystemsLeaseDueDilLaborCostTotal_CFS">Labor_AircraftLessee!$D$1006:$N$1006</definedName>
    <definedName name="hSystemsLeaseDueDilLaborHrsCM">Labor_AircraftLessee!$E$718:$N$718</definedName>
    <definedName name="hSystemsLeaseDueDilLaborHrsCRT">Labor_AircraftLessee!$E$714:$N$714</definedName>
    <definedName name="hSystemsLeaseDueDilLaborHrsEM">Labor_AircraftLessee!$E$717:$N$717</definedName>
    <definedName name="hSystemsLeaseDueDilLaborHrsENG">Labor_AircraftLessee!$E$712:$N$712</definedName>
    <definedName name="hSystemsLeaseDueDilLaborHrsHM">Labor_AircraftLessee!$E$710:$N$710</definedName>
    <definedName name="hSystemsLeaseDueDilLaborHrsLM">Labor_AircraftLessee!$E$711:$N$711</definedName>
    <definedName name="hSystemsLeaseDueDilLaborHrsO1">Labor_AircraftLessee!$E$720:$N$720</definedName>
    <definedName name="hSystemsLeaseDueDilLaborHrsO2">Labor_AircraftLessee!$E$721:$N$721</definedName>
    <definedName name="hSystemsLeaseDueDilLaborHrsPLG">Labor_AircraftLessee!$E$713:$N$713</definedName>
    <definedName name="hSystemsLeaseDueDilLaborHrsQSC">Labor_AircraftLessee!$E$716:$N$716</definedName>
    <definedName name="hSystemsLeaseDueDilLaborHrsSCL">Labor_AircraftLessee!$E$715:$N$715</definedName>
    <definedName name="hSystemsLeaseDueDilLaborHrsSMCS">Labor_AircraftLessee!$E$719:$N$719</definedName>
    <definedName name="hSystemsLeaseDueDilTotalFTEs">Labor_AircraftLessee!$E$753:$N$753</definedName>
    <definedName name="hSystemsLeaseDueDilTotalFTEs_OutputSummary">Labor_AircraftLessee!$D$1044:$N$1044</definedName>
    <definedName name="hSystemsLeaseHostLaborCostCM">Labor_AircraftLessee!$E$250:$N$250</definedName>
    <definedName name="hSystemsLeaseHostLaborCostCRT">Labor_AircraftLessee!$E$246:$N$246</definedName>
    <definedName name="hSystemsLeaseHostLaborCostEM">Labor_AircraftLessee!$E$249:$N$249</definedName>
    <definedName name="hSystemsLeaseHostLaborCostENG">Labor_AircraftLessee!$E$244:$N$244</definedName>
    <definedName name="hSystemsLeaseHostLaborCostHM">Labor_AircraftLessee!$E$242:$N$242</definedName>
    <definedName name="hSystemsLeaseHostLaborCostLM">Labor_AircraftLessee!$E$243:$N$243</definedName>
    <definedName name="hSystemsLeaseHostLaborCostO1">Labor_AircraftLessee!$E$252:$N$252</definedName>
    <definedName name="hSystemsLeaseHostLaborCostO2">Labor_AircraftLessee!$E$253:$N$253</definedName>
    <definedName name="hSystemsLeaseHostLaborCostPLG">Labor_AircraftLessee!$E$245:$N$245</definedName>
    <definedName name="hSystemsLeaseHostLaborCostQSC">Labor_AircraftLessee!$E$248:$N$248</definedName>
    <definedName name="hSystemsLeaseHostLaborCostSCL">Labor_AircraftLessee!$E$247:$N$247</definedName>
    <definedName name="hSystemsLeaseHostLaborCostSMCS">Labor_AircraftLessee!$E$251:$N$251</definedName>
    <definedName name="hSystemsLeaseHostLaborCostTotal">Labor_AircraftLessee!$E$254:$N$254</definedName>
    <definedName name="hSystemsLeaseHostLaborCostTotal_CFS">Labor_AircraftLessee!$D$1003:$N$1003</definedName>
    <definedName name="hSystemsLeaseHostLaborHrsCM">Labor_AircraftLessee!$E$235:$N$235</definedName>
    <definedName name="hSystemsLeaseHostLaborHrsCRT">Labor_AircraftLessee!$E$231:$N$231</definedName>
    <definedName name="hSystemsLeaseHostLaborHrsEM">Labor_AircraftLessee!$E$234:$N$234</definedName>
    <definedName name="hSystemsLeaseHostLaborHrsENG">Labor_AircraftLessee!$E$229:$N$229</definedName>
    <definedName name="hSystemsLeaseHostLaborHrsHM">Labor_AircraftLessee!$E$227:$N$227</definedName>
    <definedName name="hSystemsLeaseHostLaborHrsLM">Labor_AircraftLessee!$E$228:$N$228</definedName>
    <definedName name="hSystemsLeaseHostLaborHrsO1">Labor_AircraftLessee!$E$237:$N$237</definedName>
    <definedName name="hSystemsLeaseHostLaborHrsO2">Labor_AircraftLessee!$E$238:$N$238</definedName>
    <definedName name="hSystemsLeaseHostLaborHrsPLG">Labor_AircraftLessee!$E$230:$N$230</definedName>
    <definedName name="hSystemsLeaseHostLaborHrsQSC">Labor_AircraftLessee!$E$233:$N$233</definedName>
    <definedName name="hSystemsLeaseHostLaborHrsSCL">Labor_AircraftLessee!$E$232:$N$232</definedName>
    <definedName name="hSystemsLeaseHostLaborHrsSMCS">Labor_AircraftLessee!$E$236:$N$236</definedName>
    <definedName name="hSystemsLeaseLaborCostCM">Labor_AircraftLessee!$E$94:$N$94</definedName>
    <definedName name="hSystemsLeaseLaborCostCRT">Labor_AircraftLessee!$E$90:$N$90</definedName>
    <definedName name="hSystemsLeaseLaborCostEM">Labor_AircraftLessee!$E$93:$N$93</definedName>
    <definedName name="hSystemsLeaseLaborCostENG">Labor_AircraftLessee!$E$88:$N$88</definedName>
    <definedName name="hSystemsLeaseLaborCostHM">Labor_AircraftLessee!$E$86:$N$86</definedName>
    <definedName name="hSystemsLeaseLaborCostLM">Labor_AircraftLessee!$E$87:$N$87</definedName>
    <definedName name="hSystemsLeaseLaborCostO1">Labor_AircraftLessee!$E$96:$N$96</definedName>
    <definedName name="hSystemsLeaseLaborCostO2">Labor_AircraftLessee!$E$97:$N$97</definedName>
    <definedName name="hSystemsLeaseLaborCostPLG">Labor_AircraftLessee!$E$89:$N$89</definedName>
    <definedName name="hSystemsLeaseLaborCostQSC">Labor_AircraftLessee!$E$92:$N$92</definedName>
    <definedName name="hSystemsLeaseLaborCostSCL">Labor_AircraftLessee!$E$91:$N$91</definedName>
    <definedName name="hSystemsLeaseLaborCostSMCS">Labor_AircraftLessee!$E$95:$N$95</definedName>
    <definedName name="hSystemsLeaseLaborCostTotalpa">Labor_AircraftLessee!$E$98:$N$98</definedName>
    <definedName name="hSystemsLeaseLaborCostTotalpa_CFS">Labor_AircraftLessee!$D$1002:$N$1002</definedName>
    <definedName name="hSystemsLeaseLaborHrsCM">Labor_AircraftLessee!$E$79:$N$79</definedName>
    <definedName name="hSystemsLeaseLaborHrsCRT">Labor_AircraftLessee!$E$75:$N$75</definedName>
    <definedName name="hSystemsLeaseLaborHrsEM">Labor_AircraftLessee!$E$78:$N$78</definedName>
    <definedName name="hSystemsLeaseLaborHrsENG">Labor_AircraftLessee!$E$73:$N$73</definedName>
    <definedName name="hSystemsLeaseLaborHrsHM">Labor_AircraftLessee!$E$71:$N$71</definedName>
    <definedName name="hSystemsLeaseLaborHrsLM">Labor_AircraftLessee!$E$72:$N$72</definedName>
    <definedName name="hSystemsLeaseLaborHrsO1">Labor_AircraftLessee!$E$81:$N$81</definedName>
    <definedName name="hSystemsLeaseLaborHrsO2">Labor_AircraftLessee!$E$82:$N$82</definedName>
    <definedName name="hSystemsLeaseLaborHrsPLG">Labor_AircraftLessee!$E$74:$N$74</definedName>
    <definedName name="hSystemsLeaseLaborHrsQSC">Labor_AircraftLessee!$E$77:$N$77</definedName>
    <definedName name="hSystemsLeaseLaborHrsSCL">Labor_AircraftLessee!$E$76:$N$76</definedName>
    <definedName name="hSystemsLeaseLaborHrsSMCS">Labor_AircraftLessee!$E$80:$N$80</definedName>
    <definedName name="hSystemsLeaseLessorVisitFTEsCM">Labor_AircraftLessee!$E$266:$N$266</definedName>
    <definedName name="hSystemsLeaseLessorVisitFTEsCRT">Labor_AircraftLessee!$E$262:$N$262</definedName>
    <definedName name="hSystemsLeaseLessorVisitFTEsEM">Labor_AircraftLessee!$E$265:$N$265</definedName>
    <definedName name="hSystemsLeaseLessorVisitFTEsENG">Labor_AircraftLessee!$E$260:$N$260</definedName>
    <definedName name="hSystemsLeaseLessorVisitFTEsHM">Labor_AircraftLessee!$E$258:$N$258</definedName>
    <definedName name="hSystemsLeaseLessorVisitFTEsLM">Labor_AircraftLessee!$E$259:$N$259</definedName>
    <definedName name="hSystemsLeaseLessorVisitFTEsO1">Labor_AircraftLessee!$E$268:$N$268</definedName>
    <definedName name="hSystemsLeaseLessorVisitFTEsO2">Labor_AircraftLessee!$E$269:$N$269</definedName>
    <definedName name="hSystemsLeaseLessorVisitFTEsPLG">Labor_AircraftLessee!$E$261:$N$261</definedName>
    <definedName name="hSystemsLeaseLessorVisitFTEsQSC">Labor_AircraftLessee!$E$264:$N$264</definedName>
    <definedName name="hSystemsLeaseLessorVisitFTEsSCL">Labor_AircraftLessee!$E$263:$N$263</definedName>
    <definedName name="hSystemsLeaseLessorVisitFTEsSMCS">Labor_AircraftLessee!$E$267:$N$267</definedName>
    <definedName name="hSystemsLeaseLessorVisitTotalFTEs">Labor_AircraftLessee!$E$270:$N$270</definedName>
    <definedName name="hSystemsLeaseLessorVisitTotalFTEs_OutputSummary">Labor_AircraftLessee!$D$1042:$N$1042</definedName>
    <definedName name="hSystemsLeasePaperPrint">Labor_AircraftLessee!$D$819</definedName>
    <definedName name="hSystemsLeasePaperPrintPA">Labor_AircraftLessee!$E$819:$N$819</definedName>
    <definedName name="hSystemsLeaseRecordSearchFTEsCM">Labor_AircraftLessee!$E$588:$N$588</definedName>
    <definedName name="hSystemsLeaseRecordSearchFTEsCRT">Labor_AircraftLessee!$E$584:$N$584</definedName>
    <definedName name="hSystemsLeaseRecordSearchFTEsEM">Labor_AircraftLessee!$E$587:$N$587</definedName>
    <definedName name="hSystemsLeaseRecordSearchFTEsENG">Labor_AircraftLessee!$E$582:$N$582</definedName>
    <definedName name="hSystemsLeaseRecordSearchFTEsHM">Labor_AircraftLessee!$E$580:$N$580</definedName>
    <definedName name="hSystemsLeaseRecordSearchFTEsLM">Labor_AircraftLessee!$E$581:$N$581</definedName>
    <definedName name="hSystemsLeaseRecordSearchFTEsO1">Labor_AircraftLessee!$E$590:$N$590</definedName>
    <definedName name="hSystemsLeaseRecordSearchFTEsO2">Labor_AircraftLessee!$E$591:$N$591</definedName>
    <definedName name="hSystemsLeaseRecordSearchFTEsPLG">Labor_AircraftLessee!$E$583:$N$583</definedName>
    <definedName name="hSystemsLeaseRecordSearchFTEsQSC">Labor_AircraftLessee!$E$586:$N$586</definedName>
    <definedName name="hSystemsLeaseRecordSearchFTEsSCL">Labor_AircraftLessee!$E$585:$N$585</definedName>
    <definedName name="hSystemsLeaseRecordSearchFTEsSMCS">Labor_AircraftLessee!$E$589:$N$589</definedName>
    <definedName name="hSystemsLeaseRecordSearchLaborCostCM">Labor_AircraftLessee!$E$572:$N$572</definedName>
    <definedName name="hSystemsLeaseRecordSearchLaborCostCRT">Labor_AircraftLessee!$E$568:$N$568</definedName>
    <definedName name="hSystemsLeaseRecordSearchLaborCostEM">Labor_AircraftLessee!$E$571:$N$571</definedName>
    <definedName name="hSystemsLeaseRecordSearchLaborCostENG">Labor_AircraftLessee!$E$566:$N$566</definedName>
    <definedName name="hSystemsLeaseRecordSearchLaborCostHM">Labor_AircraftLessee!$E$564:$N$564</definedName>
    <definedName name="hSystemsLeaseRecordSearchLaborCostLM">Labor_AircraftLessee!$E$565:$N$565</definedName>
    <definedName name="hSystemsLeaseRecordSearchLaborCostO1">Labor_AircraftLessee!$E$574:$N$574</definedName>
    <definedName name="hSystemsLeaseRecordSearchLaborCostO2">Labor_AircraftLessee!$E$575:$N$575</definedName>
    <definedName name="hSystemsLeaseRecordSearchLaborCostPLG">Labor_AircraftLessee!$E$567:$N$567</definedName>
    <definedName name="hSystemsLeaseRecordSearchLaborCostQSC">Labor_AircraftLessee!$E$570:$N$570</definedName>
    <definedName name="hSystemsLeaseRecordSearchLaborCostSCL">Labor_AircraftLessee!$E$569:$N$569</definedName>
    <definedName name="hSystemsLeaseRecordSearchLaborCostSMCS">Labor_AircraftLessee!$E$573:$N$573</definedName>
    <definedName name="hSystemsLeaseRecordSearchLaborCostTotal">Labor_AircraftLessee!$E$576:$N$576</definedName>
    <definedName name="hSystemsLeaseRecordSearchLaborCostTotal_CFS">Labor_AircraftLessee!$D$1005:$N$1005</definedName>
    <definedName name="hSystemsLeaseRecordSearchLaborHrsCM">Labor_AircraftLessee!$E$557:$N$557</definedName>
    <definedName name="hSystemsLeaseRecordSearchLaborHrsCRT">Labor_AircraftLessee!$E$553:$N$553</definedName>
    <definedName name="hSystemsLeaseRecordSearchLaborHrsEM">Labor_AircraftLessee!$E$556:$N$556</definedName>
    <definedName name="hSystemsLeaseRecordSearchLaborHrsENG">Labor_AircraftLessee!$E$551:$N$551</definedName>
    <definedName name="hSystemsLeaseRecordSearchLaborHrsHM">Labor_AircraftLessee!$E$549:$N$549</definedName>
    <definedName name="hSystemsLeaseRecordSearchLaborHrsLM">Labor_AircraftLessee!$E$550:$N$550</definedName>
    <definedName name="hSystemsLeaseRecordSearchLaborHrsO1">Labor_AircraftLessee!$E$559:$N$559</definedName>
    <definedName name="hSystemsLeaseRecordSearchLaborHrsO2">Labor_AircraftLessee!$E$560:$N$560</definedName>
    <definedName name="hSystemsLeaseRecordSearchLaborHrsPLG">Labor_AircraftLessee!$E$552:$N$552</definedName>
    <definedName name="hSystemsLeaseRecordSearchLaborHrsQSC">Labor_AircraftLessee!$E$555:$N$555</definedName>
    <definedName name="hSystemsLeaseRecordSearchLaborHrsSCL">Labor_AircraftLessee!$E$554:$N$554</definedName>
    <definedName name="hSystemsLeaseRecordSearchLaborHrsSMCS">Labor_AircraftLessee!$E$558:$N$558</definedName>
    <definedName name="hSystemsLeaseRecordSearchTotalFTEs">Labor_AircraftLessee!$E$592:$N$592</definedName>
    <definedName name="hSystemsLeaseRecordSearchTotalFTEs_OutputSummary">Labor_AircraftLessee!$D$1046:$N$1046</definedName>
    <definedName name="hSystemsLeaseRecordsSearchForecast">Labor_AircraftLessee!$E$545:$N$545</definedName>
    <definedName name="hSystemsLeaseRelatedTotalFTEs_OutputSummary">Labor_AircraftLessee!$D$1047:$N$1047</definedName>
    <definedName name="hSystemsLeaseReturnFTEsCM">Labor_AircraftLessee!$E$110:$N$110</definedName>
    <definedName name="hSystemsLeaseReturnFTEsCRT">Labor_AircraftLessee!$E$106:$N$106</definedName>
    <definedName name="hSystemsLeaseReturnFTEsEM">Labor_AircraftLessee!$E$109:$N$109</definedName>
    <definedName name="hSystemsLeaseReturnFTEsENG">Labor_AircraftLessee!$E$104:$N$104</definedName>
    <definedName name="hSystemsLeaseReturnFTEsHM">Labor_AircraftLessee!$E$102:$N$102</definedName>
    <definedName name="hSystemsLeaseReturnFTEsLM">Labor_AircraftLessee!$E$103:$N$103</definedName>
    <definedName name="hSystemsLeaseReturnFTEsO1">Labor_AircraftLessee!$E$112:$N$112</definedName>
    <definedName name="hSystemsLeaseReturnFTEsO2">Labor_AircraftLessee!$E$113:$N$113</definedName>
    <definedName name="hSystemsLeaseReturnFTEsPLG">Labor_AircraftLessee!$E$105:$N$105</definedName>
    <definedName name="hSystemsLeaseReturnFTEsQSC">Labor_AircraftLessee!$E$108:$N$108</definedName>
    <definedName name="hSystemsLeaseReturnFTEsSCL">Labor_AircraftLessee!$E$107:$N$107</definedName>
    <definedName name="hSystemsLeaseReturnFTEsSMCS">Labor_AircraftLessee!$E$111:$N$111</definedName>
    <definedName name="hSystemsLeaseReturnPaperPrintCost">Labor_AircraftLessee!$E$831:$N$831</definedName>
    <definedName name="hSystemsLeaseReturnPaperPrintCost_CFS">Labor_AircraftLessee!$D$1007:$N$1007</definedName>
    <definedName name="hSystemsLeaseReturnPrintCollFTEsCM">Labor_AircraftLessee!$E$925:$N$925</definedName>
    <definedName name="hSystemsLeaseReturnPrintCollFTEsCRT">Labor_AircraftLessee!$E$921:$N$921</definedName>
    <definedName name="hSystemsLeaseReturnPrintCollFTEsEM">Labor_AircraftLessee!$E$924:$N$924</definedName>
    <definedName name="hSystemsLeaseReturnPrintCollFTEsENG">Labor_AircraftLessee!$E$919:$N$919</definedName>
    <definedName name="hSystemsLeaseReturnPrintCollFTEsHM">Labor_AircraftLessee!$E$917:$N$917</definedName>
    <definedName name="hSystemsLeaseReturnPrintCollFTEsLM">Labor_AircraftLessee!$E$918:$N$918</definedName>
    <definedName name="hSystemsLeaseReturnPrintCollFTEsO1">Labor_AircraftLessee!$E$927:$N$927</definedName>
    <definedName name="hSystemsLeaseReturnPrintCollFTEsO2">Labor_AircraftLessee!$E$928:$N$928</definedName>
    <definedName name="hSystemsLeaseReturnPrintCollFTEsPLG">Labor_AircraftLessee!$E$920:$N$920</definedName>
    <definedName name="hSystemsLeaseReturnPrintCollFTEsQSC">Labor_AircraftLessee!$E$923:$N$923</definedName>
    <definedName name="hSystemsLeaseReturnPrintCollFTEsSCL">Labor_AircraftLessee!$E$922:$N$922</definedName>
    <definedName name="hSystemsLeaseReturnPrintCollFTEsSMCS">Labor_AircraftLessee!$E$926:$N$926</definedName>
    <definedName name="hSystemsLeaseReturnPrintCollLaborCostCM">Labor_AircraftLessee!$E$909:$N$909</definedName>
    <definedName name="hSystemsLeaseReturnPrintCollLaborCostCRT">Labor_AircraftLessee!$E$905:$N$905</definedName>
    <definedName name="hSystemsLeaseReturnPrintCollLaborCostEM">Labor_AircraftLessee!$E$908:$N$908</definedName>
    <definedName name="hSystemsLeaseReturnPrintCollLaborCostENG">Labor_AircraftLessee!$E$903:$N$903</definedName>
    <definedName name="hSystemsLeaseReturnPrintCollLaborCostHM">Labor_AircraftLessee!$E$901:$N$901</definedName>
    <definedName name="hSystemsLeaseReturnPrintCollLaborCostLM">Labor_AircraftLessee!$E$902:$N$902</definedName>
    <definedName name="hSystemsLeaseReturnPrintCollLaborCostO1">Labor_AircraftLessee!$E$911:$N$911</definedName>
    <definedName name="hSystemsLeaseReturnPrintCollLaborCostO2">Labor_AircraftLessee!$E$912:$N$912</definedName>
    <definedName name="hSystemsLeaseReturnPrintCollLaborCostPLG">Labor_AircraftLessee!$E$904:$N$904</definedName>
    <definedName name="hSystemsLeaseReturnPrintCollLaborCostQSC">Labor_AircraftLessee!$E$907:$N$907</definedName>
    <definedName name="hSystemsLeaseReturnPrintCollLaborCostSCL">Labor_AircraftLessee!$E$906:$N$906</definedName>
    <definedName name="hSystemsLeaseReturnPrintCollLaborCostSMCS">Labor_AircraftLessee!$E$910:$N$910</definedName>
    <definedName name="hSystemsLeaseReturnPrintCollLaborCostTotal">Labor_AircraftLessee!$E$913:$N$913</definedName>
    <definedName name="hSystemsLeaseReturnPrintCollLaborCostTotal_CFS">Labor_AircraftLessee!$D$1008:$N$1008</definedName>
    <definedName name="hSystemsLeaseReturnPrintCollLaborHrsCM">Labor_AircraftLessee!$E$894:$N$894</definedName>
    <definedName name="hSystemsLeaseReturnPrintCollLaborHrsCRT">Labor_AircraftLessee!$E$890:$N$890</definedName>
    <definedName name="hSystemsLeaseReturnPrintCollLaborHrsEM">Labor_AircraftLessee!$E$893:$N$893</definedName>
    <definedName name="hSystemsLeaseReturnPrintCollLaborHrsENG">Labor_AircraftLessee!$E$888:$N$888</definedName>
    <definedName name="hSystemsLeaseReturnPrintCollLaborHrsHM">Labor_AircraftLessee!$E$886:$N$886</definedName>
    <definedName name="hSystemsLeaseReturnPrintCollLaborHrsLM">Labor_AircraftLessee!$E$887:$N$887</definedName>
    <definedName name="hSystemsLeaseReturnPrintCollLaborHrsO1">Labor_AircraftLessee!$E$896:$N$896</definedName>
    <definedName name="hSystemsLeaseReturnPrintCollLaborHrsO2">Labor_AircraftLessee!$E$897:$N$897</definedName>
    <definedName name="hSystemsLeaseReturnPrintCollLaborHrsPLG">Labor_AircraftLessee!$E$889:$N$889</definedName>
    <definedName name="hSystemsLeaseReturnPrintCollLaborHrsQSC">Labor_AircraftLessee!$E$892:$N$892</definedName>
    <definedName name="hSystemsLeaseReturnPrintCollLaborHrsSCL">Labor_AircraftLessee!$E$891:$N$891</definedName>
    <definedName name="hSystemsLeaseReturnPrintCollLaborHrsSMCS">Labor_AircraftLessee!$E$895:$N$895</definedName>
    <definedName name="hSystemsLeaseReturnPrintCollTotalFTEs">Labor_AircraftLessee!$E$929:$N$929</definedName>
    <definedName name="hSystemsLeaseReturnPrintCollTotalFTEs_OutputSummary">Labor_AircraftLessee!$D$1045:$N$1045</definedName>
    <definedName name="hSystemsLeaseReturnTotalFTEs">Labor_AircraftLessee!$E$114:$N$114</definedName>
    <definedName name="hSystemsLeaseReturnTotalFTEs_OutputSummary">Labor_AircraftLessee!$D$1041:$N$1041</definedName>
    <definedName name="hSystemsLessorVisitForecast">Labor_AircraftLessee!$E$223:$N$223</definedName>
    <definedName name="hSystemsMFD_Total">Costs_RecordsOther!$E$270:$N$270</definedName>
    <definedName name="hSystemsMFDCostpa_TotalGrand">Costs_RecordsOther!$E$365:$N$365</definedName>
    <definedName name="hSystemsMFDLeaseCostpa_Total">Costs_RecordsOther!$E$333:$N$333</definedName>
    <definedName name="hSystemsMFDPrintCostpa_Total">Costs_RecordsOther!$E$351:$N$351</definedName>
    <definedName name="hSystemsOfficeLeaseCostpa_Total">Costs_RecordsOther!$E$819:$N$819</definedName>
    <definedName name="hSystemsOfficeSpace_Total">Costs_RecordsOther!$E$809:$N$809</definedName>
    <definedName name="hSystemsPaperPercentCM">Inputs_RecordsGeneration!$E$1110:$N$1110</definedName>
    <definedName name="hSystemsPaperPercentCRT">Inputs_RecordsGeneration!$E$1106:$N$1106</definedName>
    <definedName name="hSystemsPaperPercentEM">Inputs_RecordsGeneration!$E$1109:$N$1109</definedName>
    <definedName name="hSystemsPaperPercentENG">Inputs_RecordsGeneration!$E$1104:$N$1104</definedName>
    <definedName name="hSystemsPaperPercentErrorCM">Labor_RecordErrorRework!$E$67:$N$67</definedName>
    <definedName name="hSystemsPaperPercentErrorCRT">Labor_RecordErrorRework!$E$63:$N$63</definedName>
    <definedName name="hSystemsPaperPercentErrorEM">Labor_RecordErrorRework!$E$66:$N$66</definedName>
    <definedName name="hSystemsPaperPercentErrorENG">Labor_RecordErrorRework!$E$61:$N$61</definedName>
    <definedName name="hSystemsPaperPercentErrorHM">Labor_RecordErrorRework!$E$59:$N$59</definedName>
    <definedName name="hSystemsPaperPercentErrorLM">Labor_RecordErrorRework!$E$60:$N$60</definedName>
    <definedName name="hSystemsPaperPercentErrorO1">Labor_RecordErrorRework!$E$69:$N$69</definedName>
    <definedName name="hSystemsPaperPercentErrorO2">Labor_RecordErrorRework!$E$70:$N$70</definedName>
    <definedName name="hSystemsPaperPercentErrorPLG">Labor_RecordErrorRework!$E$62:$N$62</definedName>
    <definedName name="hSystemsPaperPercentErrorQSC">Labor_RecordErrorRework!$E$65:$N$65</definedName>
    <definedName name="hSystemsPaperPercentErrorSCL">Labor_RecordErrorRework!$E$64:$N$64</definedName>
    <definedName name="hSystemsPaperPercentErrorSMCS">Labor_RecordErrorRework!$E$68:$N$68</definedName>
    <definedName name="hSystemsPaperPercentHM">Inputs_RecordsGeneration!$E$1102:$N$1102</definedName>
    <definedName name="hSystemsPaperPercentLM">Inputs_RecordsGeneration!$E$1103:$N$1103</definedName>
    <definedName name="hSystemsPaperPercentO1">Inputs_RecordsGeneration!$E$1112:$N$1112</definedName>
    <definedName name="hSystemsPaperPercentO2">Inputs_RecordsGeneration!$E$1113:$N$1113</definedName>
    <definedName name="hSystemsPaperPercentPLG">Inputs_RecordsGeneration!$E$1105:$N$1105</definedName>
    <definedName name="hSystemsPaperPercentQSC">Inputs_RecordsGeneration!$E$1108:$N$1108</definedName>
    <definedName name="hSystemsPaperPercentSCL">Inputs_RecordsGeneration!$E$1107:$N$1107</definedName>
    <definedName name="hSystemsPaperPercentSMCS">Inputs_RecordsGeneration!$E$1111:$N$1111</definedName>
    <definedName name="hSystemsPaperRecords_Total">Inputs_RecordsGeneration!$E$1128:$N$1128</definedName>
    <definedName name="hSystemsPaperRecordsErrors_Total">Labor_RecordErrorRework!$E$85:$N$85</definedName>
    <definedName name="hSystemsPaperRequiredReworksCM">Labor_RecordErrorRework!$E$81:$N$81</definedName>
    <definedName name="hSystemsPaperRequiredReworksCRT">Labor_RecordErrorRework!$E$77:$N$77</definedName>
    <definedName name="hSystemsPaperRequiredReworksEM">Labor_RecordErrorRework!$E$80:$N$80</definedName>
    <definedName name="hSystemsPaperRequiredReworksENG">Labor_RecordErrorRework!$E$75:$N$75</definedName>
    <definedName name="hSystemsPaperRequiredReworksHM">Labor_RecordErrorRework!$E$73:$N$73</definedName>
    <definedName name="hSystemsPaperRequiredReworksLM">Labor_RecordErrorRework!$E$74:$N$74</definedName>
    <definedName name="hSystemsPaperRequiredReworksO1">Labor_RecordErrorRework!$E$83:$N$83</definedName>
    <definedName name="hSystemsPaperRequiredReworksO2">Labor_RecordErrorRework!$E$84:$N$84</definedName>
    <definedName name="hSystemsPaperRequiredReworksPLG">Labor_RecordErrorRework!$E$76:$N$76</definedName>
    <definedName name="hSystemsPaperRequiredReworksQSC">Labor_RecordErrorRework!$E$79:$N$79</definedName>
    <definedName name="hSystemsPaperRequiredReworksSCL">Labor_RecordErrorRework!$E$78:$N$78</definedName>
    <definedName name="hSystemsPaperRequiredReworksSMCS">Labor_RecordErrorRework!$E$82:$N$82</definedName>
    <definedName name="hSystemsPrintRoomArea_Each">Costs_RecordsOther!$E$426:$N$426</definedName>
    <definedName name="hSystemsPrintRoomArea_Total">Costs_RecordsOther!$E$467:$N$467</definedName>
    <definedName name="hSystemsRecordsArchiveCumulative_Gross" localSheetId="8">'Costs_RecordArchive&amp;Retrieval'!$E$42:$N$42</definedName>
    <definedName name="hSystemsRecordsArchiveCumulative_Net" localSheetId="8">'Costs_RecordArchive&amp;Retrieval'!$E$45:$N$45</definedName>
    <definedName name="hSystemsRecordsArchiveShredDisposal" localSheetId="8">'Costs_RecordArchive&amp;Retrieval'!$E$43:$N$43</definedName>
    <definedName name="hSystemsRecordsArchiveShredDueDigital" localSheetId="8">'Costs_RecordArchive&amp;Retrieval'!$E$44:$N$44</definedName>
    <definedName name="hSystemsRecordsPaperArchive_CFS">'Costs_RecordArchive&amp;Retrieval'!$D$114:$N$114</definedName>
    <definedName name="hSystemsReworkCostpaCM">Labor_RecordErrorRework!$E$252:$N$252</definedName>
    <definedName name="hSystemsReworkCostpaCRT">Labor_RecordErrorRework!$E$248:$N$248</definedName>
    <definedName name="hSystemsReworkCostpaEM">Labor_RecordErrorRework!$E$251:$N$251</definedName>
    <definedName name="hSystemsReworkCostpaENG">Labor_RecordErrorRework!$E$246:$N$246</definedName>
    <definedName name="hSystemsReworkCostpaHM">Labor_RecordErrorRework!$E$244:$N$244</definedName>
    <definedName name="hSystemsReworkCostpaLM">Labor_RecordErrorRework!$E$245:$N$245</definedName>
    <definedName name="hSystemsReworkCostpaO1">Labor_RecordErrorRework!$E$254:$N$254</definedName>
    <definedName name="hSystemsReworkCostpaO2">Labor_RecordErrorRework!$E$255:$N$255</definedName>
    <definedName name="hSystemsReworkCostpaPLG">Labor_RecordErrorRework!$E$247:$N$247</definedName>
    <definedName name="hSystemsReworkCostpaQSC">Labor_RecordErrorRework!$E$250:$N$250</definedName>
    <definedName name="hSystemsReworkCostpaSCL">Labor_RecordErrorRework!$E$249:$N$249</definedName>
    <definedName name="hSystemsReworkCostpaSMCS">Labor_RecordErrorRework!$E$253:$N$253</definedName>
    <definedName name="hSystemsReworkFTEsCM">Labor_RecordErrorRework!$E$308:$N$308</definedName>
    <definedName name="hSystemsReworkFTEsCRT">Labor_RecordErrorRework!$E$304:$N$304</definedName>
    <definedName name="hSystemsReworkFTEsEM">Labor_RecordErrorRework!$E$307:$N$307</definedName>
    <definedName name="hSystemsReworkFTEsENG">Labor_RecordErrorRework!$E$302:$N$302</definedName>
    <definedName name="hSystemsReworkFTEsHM">Labor_RecordErrorRework!$E$300:$N$300</definedName>
    <definedName name="hSystemsReworkFTEsLM">Labor_RecordErrorRework!$E$301:$N$301</definedName>
    <definedName name="hSystemsReworkFTEsO1">Labor_RecordErrorRework!$E$310:$N$310</definedName>
    <definedName name="hSystemsReworkFTEsO2">Labor_RecordErrorRework!$E$311:$N$311</definedName>
    <definedName name="hSystemsReworkFTEsPLG">Labor_RecordErrorRework!$E$303:$N$303</definedName>
    <definedName name="hSystemsReworkFTEsQSC">Labor_RecordErrorRework!$E$306:$N$306</definedName>
    <definedName name="hSystemsReworkFTEsSCL">Labor_RecordErrorRework!$E$305:$N$305</definedName>
    <definedName name="hSystemsReworkFTEsSMCS">Labor_RecordErrorRework!$E$309:$N$309</definedName>
    <definedName name="hSystemsReworkHoursCM">Labor_RecordErrorRework!$E$165:$N$165</definedName>
    <definedName name="hSystemsReworkHoursCRT">Labor_RecordErrorRework!$E$161:$N$161</definedName>
    <definedName name="hSystemsReworkHoursEM">Labor_RecordErrorRework!$E$164:$N$164</definedName>
    <definedName name="hSystemsReworkHoursENG">Labor_RecordErrorRework!$E$159:$N$159</definedName>
    <definedName name="hSystemsReworkHoursHM">Labor_RecordErrorRework!$E$157:$N$157</definedName>
    <definedName name="hSystemsReworkHoursLM">Labor_RecordErrorRework!$E$158:$N$158</definedName>
    <definedName name="hSystemsReworkHoursO1">Labor_RecordErrorRework!$E$167:$N$167</definedName>
    <definedName name="hSystemsReworkHoursO2">Labor_RecordErrorRework!$E$168:$N$168</definedName>
    <definedName name="hSystemsReworkHourspaCM">Labor_RecordErrorRework!$E$181:$N$181</definedName>
    <definedName name="hSystemsReworkHourspaCRT">Labor_RecordErrorRework!$E$177:$N$177</definedName>
    <definedName name="hSystemsReworkHourspaEM">Labor_RecordErrorRework!$E$180:$N$180</definedName>
    <definedName name="hSystemsReworkHourspaENG">Labor_RecordErrorRework!$E$175:$N$175</definedName>
    <definedName name="hSystemsReworkHourspaHM">Labor_RecordErrorRework!$E$173:$N$173</definedName>
    <definedName name="hSystemsReworkHourspaLM">Labor_RecordErrorRework!$E$174:$N$174</definedName>
    <definedName name="hSystemsReworkHourspaO1">Labor_RecordErrorRework!$E$183:$N$183</definedName>
    <definedName name="hSystemsReworkHourspaO2">Labor_RecordErrorRework!$E$184:$N$184</definedName>
    <definedName name="hSystemsReworkHourspaPLG">Labor_RecordErrorRework!$E$176:$N$176</definedName>
    <definedName name="hSystemsReworkHourspaQSC">Labor_RecordErrorRework!$E$179:$N$179</definedName>
    <definedName name="hSystemsReworkHourspaSCL">Labor_RecordErrorRework!$E$178:$N$178</definedName>
    <definedName name="hSystemsReworkHourspaSMCS">Labor_RecordErrorRework!$E$182:$N$182</definedName>
    <definedName name="hSystemsReworkHoursPLG">Labor_RecordErrorRework!$E$160:$N$160</definedName>
    <definedName name="hSystemsReworkHoursQSC">Labor_RecordErrorRework!$E$163:$N$163</definedName>
    <definedName name="hSystemsReworkHoursSCL">Labor_RecordErrorRework!$E$162:$N$162</definedName>
    <definedName name="hSystemsReworkHoursSMCS">Labor_RecordErrorRework!$E$166:$N$166</definedName>
    <definedName name="hSystemsReworkTotalCostpa">Labor_RecordErrorRework!$E$256:$N$256</definedName>
    <definedName name="hSystemsReworkTotalCostpa_CFS">Labor_RecordErrorRework!$D$341:$N$341</definedName>
    <definedName name="hSystemsReworkTotalFTEs">Labor_RecordErrorRework!$E$312:$N$312</definedName>
    <definedName name="hSystemsTouchHourspaCM">Inputs_Salaries!$M$41</definedName>
    <definedName name="hSystemsTouchHourspaCRT">Inputs_Salaries!$I$41</definedName>
    <definedName name="hSystemsTouchHourspaEM">Inputs_Salaries!$L$41</definedName>
    <definedName name="hSystemsTouchHourspaENG">Inputs_Salaries!$E$41</definedName>
    <definedName name="hSystemsTouchHourspaHM">Inputs_Salaries!$H$41</definedName>
    <definedName name="hSystemsTouchHourspaLM">Inputs_Salaries!$G$41</definedName>
    <definedName name="hSystemsTouchHourspaO1">Inputs_Salaries!$O$41</definedName>
    <definedName name="hSystemsTouchHourspaO2">Inputs_Salaries!$P$41</definedName>
    <definedName name="hSystemsTouchHourspaPLG">Inputs_Salaries!$F$41</definedName>
    <definedName name="hSystemsTouchHourspaQSC">Inputs_Salaries!$K$41</definedName>
    <definedName name="hSystemsTouchHourspaSCL">Inputs_Salaries!$J$41</definedName>
    <definedName name="hSystemsTouchHourspaSMCS">Inputs_Salaries!$N$41</definedName>
    <definedName name="hSystemsTouchRateHourCM">Inputs_Salaries!$M$61</definedName>
    <definedName name="hSystemsTouchRateHourCRT">Inputs_Salaries!$I$61</definedName>
    <definedName name="hSystemsTouchRateHourEM">Inputs_Salaries!$L$61</definedName>
    <definedName name="hSystemsTouchRateHourENG">Inputs_Salaries!$E$61</definedName>
    <definedName name="hSystemsTouchRateHourHM">Inputs_Salaries!$H$61</definedName>
    <definedName name="hSystemsTouchRateHourLM">Inputs_Salaries!$G$61</definedName>
    <definedName name="hSystemsTouchRateHourO1">Inputs_Salaries!$O$61</definedName>
    <definedName name="hSystemsTouchRateHourO2">Inputs_Salaries!$P$61</definedName>
    <definedName name="hSystemsTouchRateHourPLG">Inputs_Salaries!$F$61</definedName>
    <definedName name="hSystemsTouchRateHourQSC">Inputs_Salaries!$K$61</definedName>
    <definedName name="hSystemsTouchRateHourSCL">Inputs_Salaries!$J$61</definedName>
    <definedName name="hSystemsTouchRateHourSMCS">Inputs_Salaries!$N$61</definedName>
    <definedName name="hSystemsTrainingCostBestCaseCM">Costs_Training!$E$203:$N$203</definedName>
    <definedName name="hSystemsTrainingCostBestCaseCRT">Costs_Training!$E$159:$N$159</definedName>
    <definedName name="hSystemsTrainingCostBestCaseEM">Costs_Training!$E$192:$N$192</definedName>
    <definedName name="hSystemsTrainingCostBestCaseENG">Costs_Training!$E$137:$N$137</definedName>
    <definedName name="hSystemsTrainingCostBestCaseHM">Costs_Training!$E$126:$N$126</definedName>
    <definedName name="hSystemsTrainingCostBestCaseLM">Costs_Training!$E$115:$N$115</definedName>
    <definedName name="hSystemsTrainingCostBestCaseO1">Costs_Training!$E$225:$N$225</definedName>
    <definedName name="hSystemsTrainingCostBestCaseO2">Costs_Training!$E$236:$N$236</definedName>
    <definedName name="hSystemsTrainingCostBestCasePLG">Costs_Training!$E$148:$N$148</definedName>
    <definedName name="hSystemsTrainingCostBestCaseQSC">Costs_Training!$E$181:$N$181</definedName>
    <definedName name="hSystemsTrainingCostBestCaseSCL">Costs_Training!$E$170:$N$170</definedName>
    <definedName name="hSystemsTrainingCostBestCaseSMCS">Costs_Training!$E$214:$N$214</definedName>
    <definedName name="hSystemsTrainingCostMostLikelyCM">Costs_Training!$E$202:$N$202</definedName>
    <definedName name="hSystemsTrainingCostMostLikelyCRT">Costs_Training!$E$158:$N$158</definedName>
    <definedName name="hSystemsTrainingCostMostLikelyEM">Costs_Training!$E$191:$N$191</definedName>
    <definedName name="hSystemsTrainingCostMostLikelyENG">Costs_Training!$E$136:$N$136</definedName>
    <definedName name="hSystemsTrainingCostMostLikelyHM">Costs_Training!$E$125:$N$125</definedName>
    <definedName name="hSystemsTrainingCostMostLikelyLM">Costs_Training!$E$114:$N$114</definedName>
    <definedName name="hSystemsTrainingCostMostLikelyO1">Costs_Training!$E$224:$N$224</definedName>
    <definedName name="hSystemsTrainingCostMostLikelyO2">Costs_Training!$E$235:$N$235</definedName>
    <definedName name="hSystemsTrainingCostMostLikelyPLG">Costs_Training!$E$147:$N$147</definedName>
    <definedName name="hSystemsTrainingCostMostLikelyQSC">Costs_Training!$E$180:$N$180</definedName>
    <definedName name="hSystemsTrainingCostMostLikelySCL">Costs_Training!$E$169:$N$169</definedName>
    <definedName name="hSystemsTrainingCostMostLikelySMCS">Costs_Training!$E$213:$N$213</definedName>
    <definedName name="hSystemsTrainingCostPerFTE_CM">Costs_Training!$D$195</definedName>
    <definedName name="hSystemsTrainingCostPerFTE_CRT">Costs_Training!$D$151</definedName>
    <definedName name="hSystemsTrainingCostPerFTE_EM">Costs_Training!$D$184</definedName>
    <definedName name="hSystemsTrainingCostPerFTE_ENG">Costs_Training!$D$129</definedName>
    <definedName name="hSystemsTrainingCostPerFTE_HM">Costs_Training!$D$118</definedName>
    <definedName name="hSystemsTrainingCostPerFTE_LM">Costs_Training!$D$107</definedName>
    <definedName name="hSystemsTrainingCostPerFTE_O1">Costs_Training!$D$217</definedName>
    <definedName name="hSystemsTrainingCostPerFTE_O2">Costs_Training!$D$228</definedName>
    <definedName name="hSystemsTrainingCostPerFTE_PLG">Costs_Training!$D$140</definedName>
    <definedName name="hSystemsTrainingCostPerFTE_QSC">Costs_Training!$D$173</definedName>
    <definedName name="hSystemsTrainingCostPerFTE_SCL">Costs_Training!$D$162</definedName>
    <definedName name="hSystemsTrainingCostPerFTE_SMCS">Costs_Training!$D$206</definedName>
    <definedName name="hSystemsTrainingCostWorstCaseCM">Costs_Training!$E$201:$N$201</definedName>
    <definedName name="hSystemsTrainingCostWorstCaseCRT">Costs_Training!$E$157:$N$157</definedName>
    <definedName name="hSystemsTrainingCostWorstCaseEM">Costs_Training!$E$190:$N$190</definedName>
    <definedName name="hSystemsTrainingCostWorstCaseENG">Costs_Training!$E$135:$N$135</definedName>
    <definedName name="hSystemsTrainingCostWorstCaseHM">Costs_Training!$E$124:$N$124</definedName>
    <definedName name="hSystemsTrainingCostWorstCaseLM">Costs_Training!$E$113:$N$113</definedName>
    <definedName name="hSystemsTrainingCostWorstCaseO1">Costs_Training!$E$223:$N$223</definedName>
    <definedName name="hSystemsTrainingCostWorstCaseO2">Costs_Training!$E$234:$N$234</definedName>
    <definedName name="hSystemsTrainingCostWorstCasePLG">Costs_Training!$E$146:$N$146</definedName>
    <definedName name="hSystemsTrainingCostWorstCaseQSC">Costs_Training!$E$179:$N$179</definedName>
    <definedName name="hSystemsTrainingCostWorstCaseSCL">Costs_Training!$E$168:$N$168</definedName>
    <definedName name="hSystemsTrainingCostWorstCaseSMCS">Costs_Training!$E$212:$N$212</definedName>
    <definedName name="hSystemsTrainingFTEsBestCaseCM">Costs_Training!$E$199:$N$199</definedName>
    <definedName name="hSystemsTrainingFTEsBestCaseCRT">Costs_Training!$E$155:$N$155</definedName>
    <definedName name="hSystemsTrainingFTEsBestCaseEM">Costs_Training!$E$188:$N$188</definedName>
    <definedName name="hSystemsTrainingFTEsBestCaseENG">Costs_Training!$E$133:$N$133</definedName>
    <definedName name="hSystemsTrainingFTEsBestCaseHM">Costs_Training!$E$122:$N$122</definedName>
    <definedName name="hSystemsTrainingFTEsBestCaseLM">Costs_Training!$E$111:$N$111</definedName>
    <definedName name="hSystemsTrainingFTEsBestCaseO1">Costs_Training!$E$221:$N$221</definedName>
    <definedName name="hSystemsTrainingFTEsBestCaseO2">Costs_Training!$E$232:$N$232</definedName>
    <definedName name="hSystemsTrainingFTEsBestCasePLG">Costs_Training!$E$144:$N$144</definedName>
    <definedName name="hSystemsTrainingFTEsBestCaseQSC">Costs_Training!$E$177:$N$177</definedName>
    <definedName name="hSystemsTrainingFTEsBestCaseSCL">Costs_Training!$E$166:$N$166</definedName>
    <definedName name="hSystemsTrainingFTEsBestCaseSMCS">Costs_Training!$E$210:$N$210</definedName>
    <definedName name="hSystemsTrainingFTEsMostLikelyCM">Costs_Training!$E$198:$N$198</definedName>
    <definedName name="hSystemsTrainingFTEsMostLikelyCRT">Costs_Training!$E$154:$N$154</definedName>
    <definedName name="hSystemsTrainingFTEsMostLikelyEM">Costs_Training!$E$187:$N$187</definedName>
    <definedName name="hSystemsTrainingFTEsMostLikelyENG">Costs_Training!$E$132:$N$132</definedName>
    <definedName name="hSystemsTrainingFTEsMostLikelyHM">Costs_Training!$E$121:$N$121</definedName>
    <definedName name="hSystemsTrainingFTEsMostLikelyLM">Costs_Training!$E$110:$N$110</definedName>
    <definedName name="hSystemsTrainingFTEsMostLikelyO1">Costs_Training!$E$220:$N$220</definedName>
    <definedName name="hSystemsTrainingFTEsMostLikelyO2">Costs_Training!$E$231:$N$231</definedName>
    <definedName name="hSystemsTrainingFTEsMostLikelyPLG">Costs_Training!$E$143:$N$143</definedName>
    <definedName name="hSystemsTrainingFTEsMostLikelyQSC">Costs_Training!$E$176:$N$176</definedName>
    <definedName name="hSystemsTrainingFTEsMostLikelySCL">Costs_Training!$E$165:$N$165</definedName>
    <definedName name="hSystemsTrainingFTEsMostLikelySMCS">Costs_Training!$E$209:$N$209</definedName>
    <definedName name="hSystemsTrainingFTEsWorstCaseCM">Costs_Training!$E$197:$N$197</definedName>
    <definedName name="hSystemsTrainingFTEsWorstCaseCRT">Costs_Training!$E$153:$N$153</definedName>
    <definedName name="hSystemsTrainingFTEsWorstCaseEM">Costs_Training!$E$186:$N$186</definedName>
    <definedName name="hSystemsTrainingFTEsWorstCaseENG">Costs_Training!$E$131:$N$131</definedName>
    <definedName name="hSystemsTrainingFTEsWorstCaseHM">Costs_Training!$E$120:$N$120</definedName>
    <definedName name="hSystemsTrainingFTEsWorstCaseLM">Costs_Training!$E$109:$N$109</definedName>
    <definedName name="hSystemsTrainingFTEsWorstCaseO1">Costs_Training!$E$219:$N$219</definedName>
    <definedName name="hSystemsTrainingFTEsWorstCaseO2">Costs_Training!$E$230:$N$230</definedName>
    <definedName name="hSystemsTrainingFTEsWorstCasePLG">Costs_Training!$E$142:$N$142</definedName>
    <definedName name="hSystemsTrainingFTEsWorstCaseQSC">Costs_Training!$E$175:$N$175</definedName>
    <definedName name="hSystemsTrainingFTEsWorstCaseSCL">Costs_Training!$E$164:$N$164</definedName>
    <definedName name="hSystemsTrainingFTEsWorstCaseSMCS">Costs_Training!$E$208:$N$208</definedName>
    <definedName name="hSystemsTrainingPercentFTEsCM">Costs_Training!$E$196:$N$196</definedName>
    <definedName name="hSystemsTrainingPercentFTEsCRT">Costs_Training!$E$152:$N$152</definedName>
    <definedName name="hSystemsTrainingPercentFTEsEM">Costs_Training!$E$185:$N$185</definedName>
    <definedName name="hSystemsTrainingPercentFTEsENG">Costs_Training!$E$130:$N$130</definedName>
    <definedName name="hSystemsTrainingPercentFTEsHM">Costs_Training!$E$119:$N$119</definedName>
    <definedName name="hSystemsTrainingPercentFTEsLM">Costs_Training!$E$108:$N$108</definedName>
    <definedName name="hSystemsTrainingPercentFTEsO1">Costs_Training!$E$218:$N$218</definedName>
    <definedName name="hSystemsTrainingPercentFTEsO2">Costs_Training!$E$229:$N$229</definedName>
    <definedName name="hSystemsTrainingPercentFTEsPLG">Costs_Training!$E$141:$N$141</definedName>
    <definedName name="hSystemsTrainingPercentFTEsQSC">Costs_Training!$E$174:$N$174</definedName>
    <definedName name="hSystemsTrainingPercentFTEsSCL">Costs_Training!$E$163:$N$163</definedName>
    <definedName name="hSystemsTrainingPercentFTEsSMCS">Costs_Training!$E$207:$N$207</definedName>
    <definedName name="Inflation">Inputs_SetUp!$D$38</definedName>
    <definedName name="IT_CodeA">Costs_IT!$D$26</definedName>
    <definedName name="IT_CodeB">Costs_IT!$D$27</definedName>
    <definedName name="IT_CodeC">Costs_IT!$D$28</definedName>
    <definedName name="IT_CodeD">Costs_IT!$D$29</definedName>
    <definedName name="IT_CodeE">Costs_IT!$D$30</definedName>
    <definedName name="IT_CodeF">Costs_IT!$D$31</definedName>
    <definedName name="IT_CodeG">Costs_IT!$D$32</definedName>
    <definedName name="LeaseReturnForecast">Labor_AircraftLessee!$E$20:$N$20</definedName>
    <definedName name="LocCM">'Inputs_M&amp;ELocations'!$E$29:$N$29</definedName>
    <definedName name="LocCRT">'Inputs_M&amp;ELocations'!$E$21:$N$21</definedName>
    <definedName name="LocEM">'Inputs_M&amp;ELocations'!$E$27:$N$27</definedName>
    <definedName name="LocENG">'Inputs_M&amp;ELocations'!$E$17:$N$17</definedName>
    <definedName name="LocHM">'Inputs_M&amp;ELocations'!$E$15:$N$15</definedName>
    <definedName name="LocLM">'Inputs_M&amp;ELocations'!$E$13:$N$13</definedName>
    <definedName name="LocO1">'Inputs_M&amp;ELocations'!$E$33:$N$33</definedName>
    <definedName name="LocO2">'Inputs_M&amp;ELocations'!$E$35:$N$35</definedName>
    <definedName name="LocPLG">'Inputs_M&amp;ELocations'!$E$19:$N$19</definedName>
    <definedName name="LocQSC">'Inputs_M&amp;ELocations'!$E$25:$N$25</definedName>
    <definedName name="LocSCL">'Inputs_M&amp;ELocations'!$E$23:$N$23</definedName>
    <definedName name="LocSMCS">'Inputs_M&amp;ELocations'!$E$31:$N$31</definedName>
    <definedName name="LocTransit">'Inputs_M&amp;ELocations'!$E$11:$N$11</definedName>
    <definedName name="MFD_Leasing_Costs" localSheetId="7">Costs_RecordsOther!$D$837:$M$837</definedName>
    <definedName name="MFD_Value">Costs_RecordsOther!$D$327</definedName>
    <definedName name="MFDLeaseCostpa_Each">Costs_RecordsOther!$E$329:$N$329</definedName>
    <definedName name="OfficeLeaseRate">Inputs_SetUp!$D$41</definedName>
    <definedName name="OfficeLeaseUnit">Inputs_SetUp!$D$43</definedName>
    <definedName name="pSystemRecordsShredRate" localSheetId="8">'Costs_RecordArchive&amp;Retrieval'!$E$34:$N$34</definedName>
    <definedName name="pSystems_CFS_PaperBookPurchase">Costs_RecordsOther!$D$836:$N$836</definedName>
    <definedName name="pSystems_CFS_PaperProcess">Costs_RecordsOther!$D$834:$N$834</definedName>
    <definedName name="pSystems_CFS_RecordsMFDLease">Costs_RecordsOther!$D$837:$N$837</definedName>
    <definedName name="pSystems_CFS_RecordsOfficeLease">Costs_RecordsOther!$D$838:$N$838</definedName>
    <definedName name="pSystems_CFS_RecordsPaperArchives" localSheetId="8">'Costs_RecordArchive&amp;Retrieval'!$D$110:$N$110</definedName>
    <definedName name="pSystems_CFS_RecordsPaperPurchase">Costs_RecordsOther!$D$835:$N$835</definedName>
    <definedName name="pSystems_CFS_RecordsTotal">Costs_RecordsOther!$D$839:$N$839</definedName>
    <definedName name="pSystemsBookCostpa_total">Costs_RecordsOther!$E$106:$N$106</definedName>
    <definedName name="pSystemsCompactusArea_Each">Costs_RecordsOther!$E$664:$N$664</definedName>
    <definedName name="pSystemsCompactusArea_Total">Costs_RecordsOther!$E$705:$N$705</definedName>
    <definedName name="pSystemsCost_MFDLease_CFS" localSheetId="7">Costs_RecordsOther!$D$837:$N$837</definedName>
    <definedName name="pSystemsCost_PaperProcess" localSheetId="7">Costs_RecordsOther!$E$34:$N$34</definedName>
    <definedName name="pSystemsCost_PaperReworkTotal_CFS">Labor_RecordErrorRework!$D$340:$O$340</definedName>
    <definedName name="pSystemsCost_TrgTotal_CFS">Costs_Training!$D$385:$N$385</definedName>
    <definedName name="pSystemsCostIT_CodeA_Customization">Costs_IT!$E$48:$N$48</definedName>
    <definedName name="pSystemsCostIT_CodeA_Licence">Costs_IT!$E$45:$N$45</definedName>
    <definedName name="pSystemsCostIT_CodeA_Operating">Costs_IT!$E$44:$N$44</definedName>
    <definedName name="pSystemsCostIT_CodeA_Software">Costs_IT!$E$46:$N$46</definedName>
    <definedName name="pSystemsCostIT_CodeA_Total">Costs_IT!$E$49:$N$49</definedName>
    <definedName name="pSystemsCostIT_CodeA_Upgrade">Costs_IT!$E$47:$N$47</definedName>
    <definedName name="pSystemsCostIT_CodeB">Costs_IT!$E$57:$N$57</definedName>
    <definedName name="pSystemsCostIT_CodeB_Customization">Costs_IT!$E$56:$N$56</definedName>
    <definedName name="pSystemsCostIT_CodeB_Licence">Costs_IT!$E$53:$N$53</definedName>
    <definedName name="pSystemsCostIT_CodeB_Operating">Costs_IT!$E$52:$N$52</definedName>
    <definedName name="pSystemsCostIT_CodeB_Software">Costs_IT!$E$54:$N$54</definedName>
    <definedName name="pSystemsCostIT_CodeB_Total">Costs_IT!$E$57:$N$57</definedName>
    <definedName name="pSystemsCostIT_CodeB_Upgrade">Costs_IT!$E$55:$N$55</definedName>
    <definedName name="pSystemsCostIT_CodeC">Costs_IT!$E$65:$N$65</definedName>
    <definedName name="pSystemsCostIT_CodeC_Customization">Costs_IT!$E$64:$N$64</definedName>
    <definedName name="pSystemsCostIT_CodeC_Licence">Costs_IT!$E$61:$N$61</definedName>
    <definedName name="pSystemsCostIT_CodeC_Operating">Costs_IT!$E$60:$N$60</definedName>
    <definedName name="pSystemsCostIT_CodeC_Software">Costs_IT!$E$62:$N$62</definedName>
    <definedName name="pSystemsCostIT_CodeC_Total">Costs_IT!$E$65:$N$65</definedName>
    <definedName name="pSystemsCostIT_CodeC_Upgrade">Costs_IT!$E$63:$N$63</definedName>
    <definedName name="pSystemsCostIT_CodeD">Costs_IT!$E$73:$N$73</definedName>
    <definedName name="pSystemsCostIT_CodeD_Customization">Costs_IT!$E$72:$N$72</definedName>
    <definedName name="pSystemsCostIT_CodeD_Licence">Costs_IT!$E$69:$N$69</definedName>
    <definedName name="pSystemsCostIT_CodeD_Operating">Costs_IT!$E$68:$N$68</definedName>
    <definedName name="pSystemsCostIT_CodeD_Software">Costs_IT!$E$70:$N$70</definedName>
    <definedName name="pSystemsCostIT_CodeD_Total">Costs_IT!$E$73:$N$73</definedName>
    <definedName name="pSystemsCostIT_CodeD_Upgrade">Costs_IT!$E$71:$N$71</definedName>
    <definedName name="pSystemsCostIT_CodeE">Costs_IT!$E$81:$N$81</definedName>
    <definedName name="pSystemsCostIT_CodeE_Customization">Costs_IT!$E$80:$N$80</definedName>
    <definedName name="pSystemsCostIT_CodeE_Licence">Costs_IT!$E$77:$N$77</definedName>
    <definedName name="pSystemsCostIT_CodeE_Operating">Costs_IT!$E$76:$N$76</definedName>
    <definedName name="pSystemsCostIT_CodeE_Software">Costs_IT!$E$78:$N$78</definedName>
    <definedName name="pSystemsCostIT_CodeE_Total">Costs_IT!$E$81:$N$81</definedName>
    <definedName name="pSystemsCostIT_CodeE_Upgrade">Costs_IT!$E$79:$N$79</definedName>
    <definedName name="pSystemsCostIT_CodeF">Costs_IT!$E$89:$N$89</definedName>
    <definedName name="pSystemsCostIT_CodeF_Customization">Costs_IT!$E$88:$N$88</definedName>
    <definedName name="pSystemsCostIT_CodeF_Licence">Costs_IT!$E$85:$N$85</definedName>
    <definedName name="pSystemsCostIT_CodeF_Operating">Costs_IT!$E$84:$N$84</definedName>
    <definedName name="pSystemsCostIT_CodeF_Software">Costs_IT!$E$86:$N$86</definedName>
    <definedName name="pSystemsCostIT_CodeF_Total">Costs_IT!$E$89:$N$89</definedName>
    <definedName name="pSystemsCostIT_CodeF_Upgrade">Costs_IT!$E$87:$N$87</definedName>
    <definedName name="pSystemsCostIT_CodeG">Costs_IT!$E$97:$N$97</definedName>
    <definedName name="pSystemsCostIT_CodeG_Customization">Costs_IT!$E$96:$N$96</definedName>
    <definedName name="pSystemsCostIT_CodeG_Licence">Costs_IT!$E$93:$N$93</definedName>
    <definedName name="pSystemsCostIT_CodeG_Operating">Costs_IT!$E$92:$N$92</definedName>
    <definedName name="pSystemsCostIT_CodeG_Software">Costs_IT!$E$94:$N$94</definedName>
    <definedName name="pSystemsCostIT_CodeG_Total">Costs_IT!$E$97:$N$97</definedName>
    <definedName name="pSystemsCostIT_CodeG_Upgrade">Costs_IT!$E$95:$N$95</definedName>
    <definedName name="pSystemsCostIT_Total">Costs_IT!$E$99:$N$99</definedName>
    <definedName name="pSystemsCostsTotalGrand" localSheetId="17">'Outputs - CF eSystems'!$O$53</definedName>
    <definedName name="pSystemsCostsTotalGrand" localSheetId="16">'Outputs - CF hSystems'!$O$53</definedName>
    <definedName name="pSystemsCostsTotalGrand">'Outputs - CF pSystems'!$O$40</definedName>
    <definedName name="pSystemsCostsWarrantyTotal_CFS">Labor_Warranty!$D$65:$N$65</definedName>
    <definedName name="pSystemsCostTotal" localSheetId="17">'Outputs - CF eSystems'!$E$53:$N$53</definedName>
    <definedName name="pSystemsCostTotal" localSheetId="16">'Outputs - CF hSystems'!$E$53:$N$53</definedName>
    <definedName name="pSystemsCostTotal">'Outputs - CF pSystems'!$E$40:$N$40</definedName>
    <definedName name="pSystemsCostWarrantyTotal">Labor_Warranty!$E$29:$N$29</definedName>
    <definedName name="pSystemsCostWarrantyTotal_CFS">Labor_Warranty!$D$65:$N$65</definedName>
    <definedName name="pSystemsFilingCabinetArea_Each">Costs_RecordsOther!$E$525:$N$525</definedName>
    <definedName name="pSystemsFilingCabinetArea_Total">Costs_RecordsOther!$E$566:$N$566</definedName>
    <definedName name="pSystemsFleetPaperCMTotal">Inputs_RecordsGeneration!$E$1095:$N$1095</definedName>
    <definedName name="pSystemsFleetPaperCRTTotal">Inputs_RecordsGeneration!$E$1091:$N$1091</definedName>
    <definedName name="pSystemsFleetPaperEMTotal">Inputs_RecordsGeneration!$E$1094:$N$1094</definedName>
    <definedName name="pSystemsFleetPaperENGTotal">Inputs_RecordsGeneration!$E$1089:$N$1089</definedName>
    <definedName name="pSystemsFleetPaperHMTotal">Inputs_RecordsGeneration!$E$1087:$N$1087</definedName>
    <definedName name="pSystemsFleetPaperLMTotal">Inputs_RecordsGeneration!$E$1088:$N$1088</definedName>
    <definedName name="pSystemsFleetPaperO1Total">Inputs_RecordsGeneration!$E$1097:$N$1097</definedName>
    <definedName name="pSystemsFleetPaperO2Total">Inputs_RecordsGeneration!$E$1098:$N$1098</definedName>
    <definedName name="pSystemsFleetPaperPLGTotal">Inputs_RecordsGeneration!$E$1090:$N$1090</definedName>
    <definedName name="pSystemsFleetPaperQSCTotal">Inputs_RecordsGeneration!$E$1093:$N$1093</definedName>
    <definedName name="pSystemsFleetPaperSCLTotal">Inputs_RecordsGeneration!$E$1092:$N$1092</definedName>
    <definedName name="pSystemsFleetPaperSMCSTotal">Inputs_RecordsGeneration!$E$1096:$N$1096</definedName>
    <definedName name="pSystemsFTE_CM">'FTE&amp;SystemEfficiencies'!$E$36:$N$36</definedName>
    <definedName name="pSystemsFTE_CRT">'FTE&amp;SystemEfficiencies'!$E$32:$N$32</definedName>
    <definedName name="pSystemsFTE_EM">'FTE&amp;SystemEfficiencies'!$E$35:$N$35</definedName>
    <definedName name="pSystemsFTE_ENG">'FTE&amp;SystemEfficiencies'!$E$30:$N$30</definedName>
    <definedName name="pSystemsFTE_HM">'FTE&amp;SystemEfficiencies'!$E$28:$N$28</definedName>
    <definedName name="pSystemsFTE_LM">'FTE&amp;SystemEfficiencies'!$E$29:$N$29</definedName>
    <definedName name="pSystemsFTE_O1">'FTE&amp;SystemEfficiencies'!$E$38:$N$38</definedName>
    <definedName name="pSystemsFTE_O2">'FTE&amp;SystemEfficiencies'!$E$39:$N$39</definedName>
    <definedName name="pSystemsFTE_PLG">'FTE&amp;SystemEfficiencies'!$E$31:$N$31</definedName>
    <definedName name="pSystemsFTE_QSC">'FTE&amp;SystemEfficiencies'!$E$34:$N$34</definedName>
    <definedName name="pSystemsFTE_SCL">'FTE&amp;SystemEfficiencies'!$E$33:$N$33</definedName>
    <definedName name="pSystemsFTE_SMCS">'FTE&amp;SystemEfficiencies'!$E$37:$N$37</definedName>
    <definedName name="pSystemsFTE_Total">'FTE&amp;SystemEfficiencies'!$E$40:$N$40</definedName>
    <definedName name="pSystemsFTE_Total_CFS">'FTE&amp;SystemEfficiencies'!$D$411:$N$411</definedName>
    <definedName name="pSystemsFTECostAnnualBurdenedCM">'FTE&amp;SystemEfficiencies'!$E$50:$N$50</definedName>
    <definedName name="pSystemsFTECostAnnualBurdenedCRT">'FTE&amp;SystemEfficiencies'!$E$46:$N$46</definedName>
    <definedName name="pSystemsFTECostAnnualBurdenedEM">'FTE&amp;SystemEfficiencies'!$E$49:$N$49</definedName>
    <definedName name="pSystemsFTECostAnnualBurdenedENG">'FTE&amp;SystemEfficiencies'!$E$44:$N$44</definedName>
    <definedName name="pSystemsFTECostAnnualBurdenedHM">'FTE&amp;SystemEfficiencies'!$E$42:$N$42</definedName>
    <definedName name="pSystemsFTECostAnnualBurdenedLM">'FTE&amp;SystemEfficiencies'!$E$43:$N$43</definedName>
    <definedName name="pSystemsFTECostAnnualBurdenedO1">'FTE&amp;SystemEfficiencies'!$E$52:$N$52</definedName>
    <definedName name="pSystemsFTECostAnnualBurdenedO2">'FTE&amp;SystemEfficiencies'!$E$53:$N$53</definedName>
    <definedName name="pSystemsFTECostAnnualBurdenedPLG">'FTE&amp;SystemEfficiencies'!$E$45:$N$45</definedName>
    <definedName name="pSystemsFTECostAnnualBurdenedQSC">'FTE&amp;SystemEfficiencies'!$E$48:$N$48</definedName>
    <definedName name="pSystemsFTECostAnnualBurdenedSCL">'FTE&amp;SystemEfficiencies'!$E$47:$N$47</definedName>
    <definedName name="pSystemsFTECostAnnualBurdenedSMCS">'FTE&amp;SystemEfficiencies'!$E$51:$N$51</definedName>
    <definedName name="pSystemsFTECostAnnualBurdenedTotal">'FTE&amp;SystemEfficiencies'!$E$54:$N$54</definedName>
    <definedName name="pSystemsFTECostAnnualBurdenedTotal_CFS">'FTE&amp;SystemEfficiencies'!$D$390:$N$390</definedName>
    <definedName name="pSystemsFTERework_OutputSummary">Labor_RecordErrorRework!$D$354:$N$354</definedName>
    <definedName name="pSystemsFTEWarranty">Labor_Warranty!$E$27:$N$27</definedName>
    <definedName name="pSystemsFTEWarranty_OutputSummary">Labor_Warranty!$D$85:$N$85</definedName>
    <definedName name="pSystemsInducedArchivingCostTotal">'Outputs - CF pSystems'!$D$34:$N$34</definedName>
    <definedName name="pSystemsInducedCostTotalCumGrand">'Outputs - CF pSystems'!$D$42:$N$42</definedName>
    <definedName name="pSystemsInducedCostTotalGrand">'Outputs - CF pSystems'!$D$40:$N$40</definedName>
    <definedName name="pSystemsInducedITCostTotal">'Outputs - CF pSystems'!$D$38:$N$38</definedName>
    <definedName name="pSystemsInducedLaborCostTotal">'Outputs - CF pSystems'!$D$25:$N$25</definedName>
    <definedName name="pSystemsInducedRecordsCostTotal">'Outputs - CF pSystems'!$D$32:$N$32</definedName>
    <definedName name="pSystemsInducedTrainingCostTotal">'Outputs - CF pSystems'!$D$36:$N$36</definedName>
    <definedName name="pSystemsIT_CodeA_Total_CFS">Costs_IT!$D$231:$N$231</definedName>
    <definedName name="pSystemsIT_CodeB_Total_CFS">Costs_IT!$D$232:$N$232</definedName>
    <definedName name="pSystemsIT_CodeC_Total_CFS">Costs_IT!$D$233:$N$233</definedName>
    <definedName name="pSystemsIT_CodeD_Total_CFS">Costs_IT!$D$234:$N$234</definedName>
    <definedName name="pSystemsIT_CodeE_Total_CFS">Costs_IT!$D$235:$N$235</definedName>
    <definedName name="pSystemsIT_CodeF_Total_CFS">Costs_IT!$D$236:$N$236</definedName>
    <definedName name="pSystemsIT_CodeG_Total_CFS">Costs_IT!$D$237:$N$237</definedName>
    <definedName name="pSystemsIT_Cost_Total_CFS">Costs_IT!$D$238:$N$238</definedName>
    <definedName name="pSystemsLaborUtilRate">Inputs_Salaries!$E$32:$P$32</definedName>
    <definedName name="pSystemsLease_AAaudit_Total_CFS">Labor_AircraftLessee!$D$994:$N$994</definedName>
    <definedName name="pSystemsLease_Cost_Total_CFS">Labor_AircraftLessee!$D$998:$N$998</definedName>
    <definedName name="pSystemsLease_DisRec_Total_CFS">Labor_AircraftLessee!$D$995:$N$995</definedName>
    <definedName name="pSystemsLease_DueDil_Total_CFS">Labor_AircraftLessee!$D$997:$N$997</definedName>
    <definedName name="pSystemsLease_Hosting_Total_CFS">Labor_AircraftLessee!$D$992:$N$992</definedName>
    <definedName name="pSystemsLease_LessorAudit_Total_CFS">Labor_AircraftLessee!$D$993:$N$993</definedName>
    <definedName name="pSystemsLease_RecSearch_Total_CFS">Labor_AircraftLessee!$D$996:$N$996</definedName>
    <definedName name="pSystemsLease_Return_Total_CFS">Labor_AircraftLessee!$D$991:$N$991</definedName>
    <definedName name="pSystemsLeaseDisputedRecordFTEsCM">Labor_AircraftLessee!$E$376:$N$376</definedName>
    <definedName name="pSystemsLeaseDisputedRecordFTEsCRT">Labor_AircraftLessee!$E$372:$N$372</definedName>
    <definedName name="pSystemsLeaseDisputedRecordFTEsEM">Labor_AircraftLessee!$E$375:$N$375</definedName>
    <definedName name="pSystemsLeaseDisputedRecordFTEsENG">Labor_AircraftLessee!$E$370:$N$370</definedName>
    <definedName name="pSystemsLeaseDisputedRecordFTEsHM">Labor_AircraftLessee!$E$368:$N$368</definedName>
    <definedName name="pSystemsLeaseDisputedRecordFTEsLM">Labor_AircraftLessee!$E$369:$N$369</definedName>
    <definedName name="pSystemsLeaseDisputedRecordFTEsO1">Labor_AircraftLessee!$E$378:$N$378</definedName>
    <definedName name="pSystemsLeaseDisputedRecordFTEsO2">Labor_AircraftLessee!$E$379:$N$379</definedName>
    <definedName name="pSystemsLeaseDisputedRecordFTEsPLG">Labor_AircraftLessee!$E$371:$N$371</definedName>
    <definedName name="pSystemsLeaseDisputedRecordFTEsQSC">Labor_AircraftLessee!$E$374:$N$374</definedName>
    <definedName name="pSystemsLeaseDisputedRecordFTEsSCL">Labor_AircraftLessee!$E$373:$N$373</definedName>
    <definedName name="pSystemsLeaseDisputedRecordFTEsSMCS">Labor_AircraftLessee!$E$377:$N$377</definedName>
    <definedName name="pSystemsLeaseDisputedRecordLaborCostCM">Labor_AircraftLessee!$E$360:$N$360</definedName>
    <definedName name="pSystemsLeaseDisputedRecordLaborCostCRT">Labor_AircraftLessee!$E$356:$N$356</definedName>
    <definedName name="pSystemsLeaseDisputedRecordLaborCostEM">Labor_AircraftLessee!$E$359:$N$359</definedName>
    <definedName name="pSystemsLeaseDisputedRecordLaborCostENG">Labor_AircraftLessee!$E$354:$N$354</definedName>
    <definedName name="pSystemsLeaseDisputedRecordLaborCostHM">Labor_AircraftLessee!$E$352:$N$352</definedName>
    <definedName name="pSystemsLeaseDisputedRecordLaborCostLM">Labor_AircraftLessee!$E$353:$N$353</definedName>
    <definedName name="pSystemsLeaseDisputedRecordLaborCostO1">Labor_AircraftLessee!$E$362:$N$362</definedName>
    <definedName name="pSystemsLeaseDisputedRecordLaborCostO2">Labor_AircraftLessee!$E$363:$N$363</definedName>
    <definedName name="pSystemsLeaseDisputedRecordLaborCostPLG">Labor_AircraftLessee!$E$355:$N$355</definedName>
    <definedName name="pSystemsLeaseDisputedRecordLaborCostQSC">Labor_AircraftLessee!$E$358:$N$358</definedName>
    <definedName name="pSystemsLeaseDisputedRecordLaborCostSCL">Labor_AircraftLessee!$E$357:$N$357</definedName>
    <definedName name="pSystemsLeaseDisputedRecordLaborCostSMCS">Labor_AircraftLessee!$E$361:$N$361</definedName>
    <definedName name="pSystemsLeaseDisputedRecordLaborCostTotal">Labor_AircraftLessee!$E$364:$N$364</definedName>
    <definedName name="pSystemsLeaseDisputedRecordLaborCostTotal_CFS">Labor_AircraftLessee!$D$993:$N$993</definedName>
    <definedName name="pSystemsLeaseDisputedRecordLaborHrsCM">Labor_AircraftLessee!$E$345:$N$345</definedName>
    <definedName name="pSystemsLeaseDisputedRecordLaborHrsCRT">Labor_AircraftLessee!$E$341:$N$341</definedName>
    <definedName name="pSystemsLeaseDisputedRecordLaborHrsEM">Labor_AircraftLessee!$E$344:$N$344</definedName>
    <definedName name="pSystemsLeaseDisputedRecordLaborHrsENG">Labor_AircraftLessee!$E$339:$N$339</definedName>
    <definedName name="pSystemsLeaseDisputedRecordLaborHrsHM">Labor_AircraftLessee!$E$337:$N$337</definedName>
    <definedName name="pSystemsLeaseDisputedRecordLaborHrsLM">Labor_AircraftLessee!$E$338:$N$338</definedName>
    <definedName name="pSystemsLeaseDisputedRecordLaborHrsO1">Labor_AircraftLessee!$E$347:$N$347</definedName>
    <definedName name="pSystemsLeaseDisputedRecordLaborHrsO2">Labor_AircraftLessee!$E$348:$N$348</definedName>
    <definedName name="pSystemsLeaseDisputedRecordLaborHrsPLG">Labor_AircraftLessee!$E$340:$N$340</definedName>
    <definedName name="pSystemsLeaseDisputedRecordLaborHrsQSC">Labor_AircraftLessee!$E$343:$N$343</definedName>
    <definedName name="pSystemsLeaseDisputedRecordLaborHrsSCL">Labor_AircraftLessee!$E$342:$N$342</definedName>
    <definedName name="pSystemsLeaseDisputedRecordLaborHrsSMCS">Labor_AircraftLessee!$E$346:$N$346</definedName>
    <definedName name="pSystemsLeaseDisputedRecordTotalFTEs">Labor_AircraftLessee!$E$380:$N$380</definedName>
    <definedName name="pSystemsLeaseDisputedRecordTotalFTEs_OutputSummary">Labor_AircraftLessee!$D$1033:$N$1033</definedName>
    <definedName name="pSystemsLeaseDisputeRecordsForecast">Labor_AircraftLessee!$E$333:$N$333</definedName>
    <definedName name="pSystemsLeaseDueDilEventForecast">Labor_AircraftLessee!$E$655:$N$655</definedName>
    <definedName name="pSystemsLeaseDueDilFTEsCM">Labor_AircraftLessee!$E$698:$N$698</definedName>
    <definedName name="pSystemsLeaseDueDilFTEsCRT">Labor_AircraftLessee!$E$694:$N$694</definedName>
    <definedName name="pSystemsLeaseDueDilFTEsEM">Labor_AircraftLessee!$E$697:$N$697</definedName>
    <definedName name="pSystemsLeaseDueDilFTEsENG">Labor_AircraftLessee!$E$692:$N$692</definedName>
    <definedName name="pSystemsLeaseDueDilFTEsHM">Labor_AircraftLessee!$E$690:$N$690</definedName>
    <definedName name="pSystemsLeaseDueDilFTEsLM">Labor_AircraftLessee!$E$691:$N$691</definedName>
    <definedName name="pSystemsLeaseDueDilFTEsO1">Labor_AircraftLessee!$E$700:$N$700</definedName>
    <definedName name="pSystemsLeaseDueDilFTEsO2">Labor_AircraftLessee!$E$701:$N$701</definedName>
    <definedName name="pSystemsLeaseDueDilFTEsPLG">Labor_AircraftLessee!$E$693:$N$693</definedName>
    <definedName name="pSystemsLeaseDueDilFTEsQSC">Labor_AircraftLessee!$E$696:$N$696</definedName>
    <definedName name="pSystemsLeaseDueDilFTEsSCL">Labor_AircraftLessee!$E$695:$N$695</definedName>
    <definedName name="pSystemsLeaseDueDilFTEsSMCS">Labor_AircraftLessee!$E$699:$N$699</definedName>
    <definedName name="pSystemsLeaseDueDilLaborCostCM">Labor_AircraftLessee!$E$682:$N$682</definedName>
    <definedName name="pSystemsLeaseDueDilLaborCostCRT">Labor_AircraftLessee!$E$678:$N$678</definedName>
    <definedName name="pSystemsLeaseDueDilLaborCostEM">Labor_AircraftLessee!$E$681:$N$681</definedName>
    <definedName name="pSystemsLeaseDueDilLaborCostENG">Labor_AircraftLessee!$E$676:$N$676</definedName>
    <definedName name="pSystemsLeaseDueDilLaborCostHM">Labor_AircraftLessee!$E$674:$N$674</definedName>
    <definedName name="pSystemsLeaseDueDilLaborCostLM">Labor_AircraftLessee!$E$675:$N$675</definedName>
    <definedName name="pSystemsLeaseDueDilLaborCostO1">Labor_AircraftLessee!$E$684:$N$684</definedName>
    <definedName name="pSystemsLeaseDueDilLaborCostO2">Labor_AircraftLessee!$E$685:$N$685</definedName>
    <definedName name="pSystemsLeaseDueDilLaborCostPLG">Labor_AircraftLessee!$E$677:$N$677</definedName>
    <definedName name="pSystemsLeaseDueDilLaborCostQSC">Labor_AircraftLessee!$E$680:$N$680</definedName>
    <definedName name="pSystemsLeaseDueDilLaborCostSCL">Labor_AircraftLessee!$E$679:$N$679</definedName>
    <definedName name="pSystemsLeaseDueDilLaborCostSMCS">Labor_AircraftLessee!$E$683:$N$683</definedName>
    <definedName name="pSystemsLeaseDueDilLaborCostTotal">Labor_AircraftLessee!$E$686:$N$686</definedName>
    <definedName name="pSystemsLeaseDueDilLaborCostTotal_CFS">Labor_AircraftLessee!$D$995:$N$995</definedName>
    <definedName name="pSystemsLeaseDueDilLaborHrsCM">Labor_AircraftLessee!$E$667:$N$667</definedName>
    <definedName name="pSystemsLeaseDueDilLaborHrsCRT">Labor_AircraftLessee!$E$663:$N$663</definedName>
    <definedName name="pSystemsLeaseDueDilLaborHrsEM">Labor_AircraftLessee!$E$666:$N$666</definedName>
    <definedName name="pSystemsLeaseDueDilLaborHrsENG">Labor_AircraftLessee!$E$661:$N$661</definedName>
    <definedName name="pSystemsLeaseDueDilLaborHrsHM">Labor_AircraftLessee!$E$659:$N$659</definedName>
    <definedName name="pSystemsLeaseDueDilLaborHrsLM">Labor_AircraftLessee!$E$660:$N$660</definedName>
    <definedName name="pSystemsLeaseDueDilLaborHrsO1">Labor_AircraftLessee!$E$669:$N$669</definedName>
    <definedName name="pSystemsLeaseDueDilLaborHrsO2">Labor_AircraftLessee!$E$670:$N$670</definedName>
    <definedName name="pSystemsLeaseDueDilLaborHrsPLG">Labor_AircraftLessee!$E$662:$N$662</definedName>
    <definedName name="pSystemsLeaseDueDilLaborHrsQSC">Labor_AircraftLessee!$E$665:$N$665</definedName>
    <definedName name="pSystemsLeaseDueDilLaborHrsSCL">Labor_AircraftLessee!$E$664:$N$664</definedName>
    <definedName name="pSystemsLeaseDueDilLaborHrsSMCS">Labor_AircraftLessee!$E$668:$N$668</definedName>
    <definedName name="pSystemsLeaseDueDilTotalFTEs">Labor_AircraftLessee!$E$702:$N$702</definedName>
    <definedName name="pSystemsLeaseDueDilTotalFTEs_OutputSummary">Labor_AircraftLessee!$D$1034:$N$1034</definedName>
    <definedName name="pSystemsLeaseHostLaborCostCM">Labor_AircraftLessee!$E$199:$N$199</definedName>
    <definedName name="pSystemsLeaseHostLaborCostCRT">Labor_AircraftLessee!$E$195:$N$195</definedName>
    <definedName name="pSystemsLeaseHostLaborCostEM">Labor_AircraftLessee!$E$198:$N$198</definedName>
    <definedName name="pSystemsLeaseHostLaborCostENG">Labor_AircraftLessee!$E$193:$N$193</definedName>
    <definedName name="pSystemsLeaseHostLaborCostHM">Labor_AircraftLessee!$E$191:$N$191</definedName>
    <definedName name="pSystemsLeaseHostLaborCostLM">Labor_AircraftLessee!$E$192:$N$192</definedName>
    <definedName name="pSystemsLeaseHostLaborCostO1">Labor_AircraftLessee!$E$201:$N$201</definedName>
    <definedName name="pSystemsLeaseHostLaborCostO2">Labor_AircraftLessee!$E$202:$N$202</definedName>
    <definedName name="pSystemsLeaseHostLaborCostPLG">Labor_AircraftLessee!$E$194:$N$194</definedName>
    <definedName name="pSystemsLeaseHostLaborCostQSC">Labor_AircraftLessee!$E$197:$N$197</definedName>
    <definedName name="pSystemsLeaseHostLaborCostSCL">Labor_AircraftLessee!$E$196:$N$196</definedName>
    <definedName name="pSystemsLeaseHostLaborCostSMCS">Labor_AircraftLessee!$E$200:$N$200</definedName>
    <definedName name="pSystemsLeaseHostLaborCostTotal">Labor_AircraftLessee!$E$203:$N$203</definedName>
    <definedName name="pSystemsLeaseHostLaborCostTotal_CFS">Labor_AircraftLessee!$D$992:$N$992</definedName>
    <definedName name="pSystemsLeaseHostLaborHrsCM">Labor_AircraftLessee!$E$184:$N$184</definedName>
    <definedName name="pSystemsLeaseHostLaborHrsCRT">Labor_AircraftLessee!$E$180:$N$180</definedName>
    <definedName name="pSystemsLeaseHostLaborHrsEM">Labor_AircraftLessee!$E$183:$N$183</definedName>
    <definedName name="pSystemsLeaseHostLaborHrsENG">Labor_AircraftLessee!$E$178:$N$178</definedName>
    <definedName name="pSystemsLeaseHostLaborHrsHM">Labor_AircraftLessee!$E$176:$N$176</definedName>
    <definedName name="pSystemsLeaseHostLaborHrsLM">Labor_AircraftLessee!$E$177:$N$177</definedName>
    <definedName name="pSystemsLeaseHostLaborHrsO1">Labor_AircraftLessee!$E$186:$N$186</definedName>
    <definedName name="pSystemsLeaseHostLaborHrsO2">Labor_AircraftLessee!$E$187:$N$187</definedName>
    <definedName name="pSystemsLeaseHostLaborHrsPLG">Labor_AircraftLessee!$E$179:$N$179</definedName>
    <definedName name="pSystemsLeaseHostLaborHrsQSC">Labor_AircraftLessee!$E$182:$N$182</definedName>
    <definedName name="pSystemsLeaseHostLaborHrsSCL">Labor_AircraftLessee!$E$181:$N$181</definedName>
    <definedName name="pSystemsLeaseHostLaborHrsSMCS">Labor_AircraftLessee!$E$185:$N$185</definedName>
    <definedName name="pSystemsLeaseLaborCostCM">Labor_AircraftLessee!$E$47:$N$47</definedName>
    <definedName name="pSystemsLeaseLaborCostCRT">Labor_AircraftLessee!$E$43:$N$43</definedName>
    <definedName name="pSystemsLeaseLaborCostEM">Labor_AircraftLessee!$E$46:$N$46</definedName>
    <definedName name="pSystemsLeaseLaborCostENG">Labor_AircraftLessee!$E$41:$N$41</definedName>
    <definedName name="pSystemsLeaseLaborCostHM">Labor_AircraftLessee!$E$39:$N$39</definedName>
    <definedName name="pSystemsLeaseLaborCostLM">Labor_AircraftLessee!$E$40:$N$40</definedName>
    <definedName name="pSystemsLeaseLaborCostO1">Labor_AircraftLessee!$E$49:$N$49</definedName>
    <definedName name="pSystemsLeaseLaborCostO2">Labor_AircraftLessee!$E$50:$N$50</definedName>
    <definedName name="pSystemsLeaseLaborCostPLG">Labor_AircraftLessee!$E$42:$N$42</definedName>
    <definedName name="pSystemsLeaseLaborCostQSC">Labor_AircraftLessee!$E$45:$N$45</definedName>
    <definedName name="pSystemsLeaseLaborCostSCL">Labor_AircraftLessee!$E$44:$N$44</definedName>
    <definedName name="pSystemsLeaseLaborCostSMCS">Labor_AircraftLessee!$E$48:$N$48</definedName>
    <definedName name="pSystemsLeaseLaborCostTotalpa" localSheetId="10">Labor_AircraftLessee!$E$51:$N$51</definedName>
    <definedName name="pSystemsLeaseLaborCostTotalpa_CFS">Labor_AircraftLessee!$D$991:$N$991</definedName>
    <definedName name="pSystemsLeaseLaborHrsCM">Labor_AircraftLessee!$E$32:$N$32</definedName>
    <definedName name="pSystemsLeaseLaborHrsCRT">Labor_AircraftLessee!$E$28:$N$28</definedName>
    <definedName name="pSystemsLeaseLaborHrsEM">Labor_AircraftLessee!$E$31:$N$31</definedName>
    <definedName name="pSystemsLeaseLaborHrsENG">Labor_AircraftLessee!$E$26:$N$26</definedName>
    <definedName name="pSystemsLeaseLaborHrsHM">Labor_AircraftLessee!$E$24:$N$24</definedName>
    <definedName name="pSystemsLeaseLaborHrsLM">Labor_AircraftLessee!$E$25:$N$25</definedName>
    <definedName name="pSystemsLeaseLaborHrsO1">Labor_AircraftLessee!$E$34:$N$34</definedName>
    <definedName name="pSystemsLeaseLaborHrsO2">Labor_AircraftLessee!$E$35:$N$35</definedName>
    <definedName name="pSystemsLeaseLaborHrsPLG">Labor_AircraftLessee!$E$27:$N$27</definedName>
    <definedName name="pSystemsLeaseLaborHrsQSC">Labor_AircraftLessee!$E$30:$N$30</definedName>
    <definedName name="pSystemsLeaseLaborHrsSCL">Labor_AircraftLessee!$E$29:$N$29</definedName>
    <definedName name="pSystemsLeaseLaborHrsSMCS">Labor_AircraftLessee!$E$33:$N$33</definedName>
    <definedName name="pSystemsLeaseLessorVisitFTEsCM">Labor_AircraftLessee!$E$215:$N$215</definedName>
    <definedName name="pSystemsLeaseLessorVisitFTEsCRT">Labor_AircraftLessee!$E$211:$N$211</definedName>
    <definedName name="pSystemsLeaseLessorVisitFTEsEM">Labor_AircraftLessee!$E$214:$N$214</definedName>
    <definedName name="pSystemsLeaseLessorVisitFTEsENG">Labor_AircraftLessee!$E$209:$N$209</definedName>
    <definedName name="pSystemsLeaseLessorVisitFTEsHM">Labor_AircraftLessee!$E$207:$N$207</definedName>
    <definedName name="pSystemsLeaseLessorVisitFTEsLM">Labor_AircraftLessee!$E$208:$N$208</definedName>
    <definedName name="pSystemsLeaseLessorVisitFTEsO1">Labor_AircraftLessee!$E$217:$N$217</definedName>
    <definedName name="pSystemsLeaseLessorVisitFTEsO2">Labor_AircraftLessee!$E$218:$N$218</definedName>
    <definedName name="pSystemsLeaseLessorVisitFTEsPLG">Labor_AircraftLessee!$E$210:$N$210</definedName>
    <definedName name="pSystemsLeaseLessorVisitFTEsQSC">Labor_AircraftLessee!$E$213:$N$213</definedName>
    <definedName name="pSystemsLeaseLessorVisitFTEsSCL">Labor_AircraftLessee!$E$212:$N$212</definedName>
    <definedName name="pSystemsLeaseLessorVisitFTEsSMCS">Labor_AircraftLessee!$E$216:$N$216</definedName>
    <definedName name="pSystemsLeaseLessorVisitTotalFTEs">Labor_AircraftLessee!$E$219:$N$219</definedName>
    <definedName name="pSystemsLeaseLessorVisitTotalFTEs_OutputSummary">Labor_AircraftLessee!$D$1032:$N$1032</definedName>
    <definedName name="pSystemsLeasePaperPrint">Labor_AircraftLessee!$D$816</definedName>
    <definedName name="pSystemsLeasePaperPrintPA">Labor_AircraftLessee!$E$816:$N$816</definedName>
    <definedName name="pSystemsLeaseRecordSearchFTEsCM">Labor_AircraftLessee!$E$537:$N$537</definedName>
    <definedName name="pSystemsLeaseRecordSearchFTEsCRT">Labor_AircraftLessee!$E$533:$N$533</definedName>
    <definedName name="pSystemsLeaseRecordSearchFTEsEM">Labor_AircraftLessee!$E$536:$N$536</definedName>
    <definedName name="pSystemsLeaseRecordSearchFTEsENG">Labor_AircraftLessee!$E$531:$N$531</definedName>
    <definedName name="pSystemsLeaseRecordSearchFTEsHM">Labor_AircraftLessee!$E$529:$N$529</definedName>
    <definedName name="pSystemsLeaseRecordSearchFTEsLM">Labor_AircraftLessee!$E$530:$N$530</definedName>
    <definedName name="pSystemsLeaseRecordSearchFTEsO1">Labor_AircraftLessee!$E$539:$N$539</definedName>
    <definedName name="pSystemsLeaseRecordSearchFTEsO2">Labor_AircraftLessee!$E$540:$N$540</definedName>
    <definedName name="pSystemsLeaseRecordSearchFTEsPLG">Labor_AircraftLessee!$E$532:$N$532</definedName>
    <definedName name="pSystemsLeaseRecordSearchFTEsQSC">Labor_AircraftLessee!$E$535:$N$535</definedName>
    <definedName name="pSystemsLeaseRecordSearchFTEsSCL">Labor_AircraftLessee!$E$534:$N$534</definedName>
    <definedName name="pSystemsLeaseRecordSearchFTEsSMCS">Labor_AircraftLessee!$E$538:$N$538</definedName>
    <definedName name="pSystemsLeaseRecordSearchLaborCostCM">Labor_AircraftLessee!$E$521:$N$521</definedName>
    <definedName name="pSystemsLeaseRecordSearchLaborCostCRT">Labor_AircraftLessee!$E$517:$N$517</definedName>
    <definedName name="pSystemsLeaseRecordSearchLaborCostEM">Labor_AircraftLessee!$E$520:$N$520</definedName>
    <definedName name="pSystemsLeaseRecordSearchLaborCostENG">Labor_AircraftLessee!$E$515:$N$515</definedName>
    <definedName name="pSystemsLeaseRecordSearchLaborCostHM">Labor_AircraftLessee!$E$513:$N$513</definedName>
    <definedName name="pSystemsLeaseRecordSearchLaborCostLM">Labor_AircraftLessee!$E$514:$N$514</definedName>
    <definedName name="pSystemsLeaseRecordSearchLaborCostO1">Labor_AircraftLessee!$E$523:$N$523</definedName>
    <definedName name="pSystemsLeaseRecordSearchLaborCostO2">Labor_AircraftLessee!$E$524:$N$524</definedName>
    <definedName name="pSystemsLeaseRecordSearchLaborCostPLG">Labor_AircraftLessee!$E$516:$N$516</definedName>
    <definedName name="pSystemsLeaseRecordSearchLaborCostQSC">Labor_AircraftLessee!$E$519:$N$519</definedName>
    <definedName name="pSystemsLeaseRecordSearchLaborCostSCL">Labor_AircraftLessee!$E$518:$N$518</definedName>
    <definedName name="pSystemsLeaseRecordSearchLaborCostSMCS">Labor_AircraftLessee!$E$522:$N$522</definedName>
    <definedName name="pSystemsLeaseRecordSearchLaborCostTotal">Labor_AircraftLessee!$E$525:$N$525</definedName>
    <definedName name="pSystemsLeaseRecordSearchLaborCostTotal_CFS">Labor_AircraftLessee!$D$994:$N$994</definedName>
    <definedName name="pSystemsLeaseRecordSearchLaborHrsCM">Labor_AircraftLessee!$E$506:$N$506</definedName>
    <definedName name="pSystemsLeaseRecordSearchLaborHrsCRT">Labor_AircraftLessee!$E$502:$N$502</definedName>
    <definedName name="pSystemsLeaseRecordSearchLaborHrsEM">Labor_AircraftLessee!$E$505:$N$505</definedName>
    <definedName name="pSystemsLeaseRecordSearchLaborHrsENG">Labor_AircraftLessee!$E$500:$N$500</definedName>
    <definedName name="pSystemsLeaseRecordSearchLaborHrsHM">Labor_AircraftLessee!$E$498:$N$498</definedName>
    <definedName name="pSystemsLeaseRecordSearchLaborHrsLM">Labor_AircraftLessee!$E$499:$N$499</definedName>
    <definedName name="pSystemsLeaseRecordSearchLaborHrsO1">Labor_AircraftLessee!$E$508:$N$508</definedName>
    <definedName name="pSystemsLeaseRecordSearchLaborHrsO2">Labor_AircraftLessee!$E$509:$N$509</definedName>
    <definedName name="pSystemsLeaseRecordSearchLaborHrsPLG">Labor_AircraftLessee!$E$501:$N$501</definedName>
    <definedName name="pSystemsLeaseRecordSearchLaborHrsQSC">Labor_AircraftLessee!$E$504:$N$504</definedName>
    <definedName name="pSystemsLeaseRecordSearchLaborHrsSCL">Labor_AircraftLessee!$E$503:$N$503</definedName>
    <definedName name="pSystemsLeaseRecordSearchLaborHrsSMCS">Labor_AircraftLessee!$E$507:$N$507</definedName>
    <definedName name="pSystemsLeaseRecordSearchTotalFTEs">Labor_AircraftLessee!$E$541:$N$541</definedName>
    <definedName name="pSystemsLeaseRecordSearchTotalFTEs_OutputSummary">Labor_AircraftLessee!$D$1036:$N$1036</definedName>
    <definedName name="pSystemsLeaseRecordsSearchForecast">Labor_AircraftLessee!$E$494:$N$494</definedName>
    <definedName name="pSystemsLeaseRelatedTotalFTEs_OutputSummary">Labor_AircraftLessee!$D$1037:$N$1037</definedName>
    <definedName name="pSystemsLeaseReturnFTEsCM">Labor_AircraftLessee!$E$63:$N$63</definedName>
    <definedName name="pSystemsLeaseReturnFTEsCRT">Labor_AircraftLessee!$E$59:$N$59</definedName>
    <definedName name="pSystemsLeaseReturnFTEsEM">Labor_AircraftLessee!$E$62:$N$62</definedName>
    <definedName name="pSystemsLeaseReturnFTEsENG">Labor_AircraftLessee!$E$57:$N$57</definedName>
    <definedName name="pSystemsLeaseReturnFTEsHM">Labor_AircraftLessee!$E$55:$N$55</definedName>
    <definedName name="pSystemsLeaseReturnFTEsLM">Labor_AircraftLessee!$E$56:$N$56</definedName>
    <definedName name="pSystemsLeaseReturnFTEsO1">Labor_AircraftLessee!$E$65:$N$65</definedName>
    <definedName name="pSystemsLeaseReturnFTEsO2">Labor_AircraftLessee!$E$66:$N$66</definedName>
    <definedName name="pSystemsLeaseReturnFTEsPLG">Labor_AircraftLessee!$E$58:$N$58</definedName>
    <definedName name="pSystemsLeaseReturnFTEsQSC">Labor_AircraftLessee!$E$61:$N$61</definedName>
    <definedName name="pSystemsLeaseReturnFTEsSCL">Labor_AircraftLessee!$E$60:$N$60</definedName>
    <definedName name="pSystemsLeaseReturnFTEsSMCS">Labor_AircraftLessee!$E$64:$N$64</definedName>
    <definedName name="pSystemsLeaseReturnPaperPrintCost">Labor_AircraftLessee!$E$829:$N$829</definedName>
    <definedName name="pSystemsLeaseReturnPaperPrintCost_CFS">Labor_AircraftLessee!$D$996:$N$996</definedName>
    <definedName name="pSystemsLeaseReturnPrintCollFTEsCM">Labor_AircraftLessee!$E$877:$N$877</definedName>
    <definedName name="pSystemsLeaseReturnPrintCollFTEsCRT">Labor_AircraftLessee!$E$873:$N$873</definedName>
    <definedName name="pSystemsLeaseReturnPrintCollFTEsEM">Labor_AircraftLessee!$E$876:$N$876</definedName>
    <definedName name="pSystemsLeaseReturnPrintCollFTEsENG">Labor_AircraftLessee!$E$871:$N$871</definedName>
    <definedName name="pSystemsLeaseReturnPrintCollFTEsHM">Labor_AircraftLessee!$E$869:$N$869</definedName>
    <definedName name="pSystemsLeaseReturnPrintCollFTEsLM">Labor_AircraftLessee!$E$870:$N$870</definedName>
    <definedName name="pSystemsLeaseReturnPrintCollFTEsO1">Labor_AircraftLessee!$E$879:$N$879</definedName>
    <definedName name="pSystemsLeaseReturnPrintCollFTEsO2">Labor_AircraftLessee!$E$880:$N$880</definedName>
    <definedName name="pSystemsLeaseReturnPrintCollFTEsPLG">Labor_AircraftLessee!$E$872:$N$872</definedName>
    <definedName name="pSystemsLeaseReturnPrintCollFTEsQSC">Labor_AircraftLessee!$E$875:$N$875</definedName>
    <definedName name="pSystemsLeaseReturnPrintCollFTEsSCL">Labor_AircraftLessee!$E$874:$N$874</definedName>
    <definedName name="pSystemsLeaseReturnPrintCollFTEsSMCS">Labor_AircraftLessee!$E$878:$N$878</definedName>
    <definedName name="pSystemsLeaseReturnPrintCollLaborCostCM">Labor_AircraftLessee!$E$861:$N$861</definedName>
    <definedName name="pSystemsLeaseReturnPrintCollLaborCostCRT">Labor_AircraftLessee!$E$857:$N$857</definedName>
    <definedName name="pSystemsLeaseReturnPrintCollLaborCostEM">Labor_AircraftLessee!$E$860:$N$860</definedName>
    <definedName name="pSystemsLeaseReturnPrintCollLaborCostENG">Labor_AircraftLessee!$E$855:$N$855</definedName>
    <definedName name="pSystemsLeaseReturnPrintCollLaborCostHM">Labor_AircraftLessee!$E$853:$N$853</definedName>
    <definedName name="pSystemsLeaseReturnPrintCollLaborCostLM">Labor_AircraftLessee!$E$854:$N$854</definedName>
    <definedName name="pSystemsLeaseReturnPrintCollLaborCostO1">Labor_AircraftLessee!$E$863:$N$863</definedName>
    <definedName name="pSystemsLeaseReturnPrintCollLaborCostO2">Labor_AircraftLessee!$E$864:$N$864</definedName>
    <definedName name="pSystemsLeaseReturnPrintCollLaborCostPLG">Labor_AircraftLessee!$E$856:$N$856</definedName>
    <definedName name="pSystemsLeaseReturnPrintCollLaborCostQSC">Labor_AircraftLessee!$E$859:$N$859</definedName>
    <definedName name="pSystemsLeaseReturnPrintCollLaborCostSCL">Labor_AircraftLessee!$E$858:$N$858</definedName>
    <definedName name="pSystemsLeaseReturnPrintCollLaborCostSMCS">Labor_AircraftLessee!$E$862:$N$862</definedName>
    <definedName name="pSystemsLeaseReturnPrintCollLaborCostTotal">Labor_AircraftLessee!$E$865:$N$865</definedName>
    <definedName name="pSystemsLeaseReturnPrintCollLaborCostTotal_CFS">Labor_AircraftLessee!$D$997:$N$997</definedName>
    <definedName name="pSystemsLeaseReturnPrintCollLaborHrsCM">Labor_AircraftLessee!$E$846:$N$846</definedName>
    <definedName name="pSystemsLeaseReturnPrintCollLaborHrsCRT">Labor_AircraftLessee!$E$842:$N$842</definedName>
    <definedName name="pSystemsLeaseReturnPrintCollLaborHrsEM">Labor_AircraftLessee!$E$845:$N$845</definedName>
    <definedName name="pSystemsLeaseReturnPrintCollLaborHrsENG">Labor_AircraftLessee!$E$840:$N$840</definedName>
    <definedName name="pSystemsLeaseReturnPrintCollLaborHrsHM">Labor_AircraftLessee!$E$838:$N$838</definedName>
    <definedName name="pSystemsLeaseReturnPrintCollLaborHrsLM">Labor_AircraftLessee!$E$839:$N$839</definedName>
    <definedName name="pSystemsLeaseReturnPrintCollLaborHrsO1">Labor_AircraftLessee!$E$848:$N$848</definedName>
    <definedName name="pSystemsLeaseReturnPrintCollLaborHrsO2">Labor_AircraftLessee!$E$849:$N$849</definedName>
    <definedName name="pSystemsLeaseReturnPrintCollLaborHrsPLG">Labor_AircraftLessee!$E$841:$N$841</definedName>
    <definedName name="pSystemsLeaseReturnPrintCollLaborHrsQSC">Labor_AircraftLessee!$E$844:$N$844</definedName>
    <definedName name="pSystemsLeaseReturnPrintCollLaborHrsSCL">Labor_AircraftLessee!$E$843:$N$843</definedName>
    <definedName name="pSystemsLeaseReturnPrintCollLaborHrsSMCS">Labor_AircraftLessee!$E$847:$N$847</definedName>
    <definedName name="pSystemsLeaseReturnPrintCollTotalFTEs">Labor_AircraftLessee!$E$881:$N$881</definedName>
    <definedName name="pSystemsLeaseReturnPrintCollTotalFTEs_OutputSummary">Labor_AircraftLessee!$D$1035:$N$1035</definedName>
    <definedName name="pSystemsLeaseReturnTotalFTEs">Labor_AircraftLessee!$E$67:$N$67</definedName>
    <definedName name="pSystemsLeaseReturnTotalFTEs_OutputSummary">Labor_AircraftLessee!$D$1031:$N$1031</definedName>
    <definedName name="pSystemsLessorVisitForecast">Labor_AircraftLessee!$E$172:$N$172</definedName>
    <definedName name="pSystemsMFD_Total">Costs_RecordsOther!$E$226:$N$226</definedName>
    <definedName name="pSystemsMFDCostpa_TotalGrand">Costs_RecordsOther!$E$363:$N$363</definedName>
    <definedName name="pSystemsMFDLeaseCostpa_Total">Costs_RecordsOther!$E$331:$N$331</definedName>
    <definedName name="pSystemsMFDPrintCostpa_Total">Costs_RecordsOther!$E$349:$N$349</definedName>
    <definedName name="pSystemsNetCF" localSheetId="17">'Outputs - CF eSystems'!$E$53:$O$53</definedName>
    <definedName name="pSystemsNetCF" localSheetId="16">'Outputs - CF hSystems'!$E$53:$O$53</definedName>
    <definedName name="pSystemsNetCF">'Outputs - CF pSystems'!$E$40:$O$40</definedName>
    <definedName name="pSystemsOfficeLeaseCostpa_Total">Costs_RecordsOther!$E$818:$N$818</definedName>
    <definedName name="pSystemsOfficeSpace_Total">Costs_RecordsOther!$E$808:$N$808</definedName>
    <definedName name="pSystemsPaperPercent" localSheetId="6">Inputs_RecordsGeneration!$E$1073:$N$1073</definedName>
    <definedName name="pSystemsPaperPercentCM">Inputs_RecordsGeneration!$E$1081:$N$1081</definedName>
    <definedName name="pSystemsPaperPercentCRT">Inputs_RecordsGeneration!$E$1077:$N$1077</definedName>
    <definedName name="pSystemsPaperPercentEM">Inputs_RecordsGeneration!$E$1080:$N$1080</definedName>
    <definedName name="pSystemsPaperPercentENG">Inputs_RecordsGeneration!$E$1075:$N$1075</definedName>
    <definedName name="pSystemsPaperPercentErrorCM">Labor_RecordErrorRework!$E$35:$N$35</definedName>
    <definedName name="pSystemsPaperPercentErrorCRT">Labor_RecordErrorRework!$E$31:$N$31</definedName>
    <definedName name="pSystemsPaperPercentErrorEM">Labor_RecordErrorRework!$E$34:$N$34</definedName>
    <definedName name="pSystemsPaperPercentErrorENG">Labor_RecordErrorRework!$E$29:$N$29</definedName>
    <definedName name="pSystemsPaperPercentErrorHM">Labor_RecordErrorRework!$E$27:$N$27</definedName>
    <definedName name="pSystemsPaperPercentErrorLM">Labor_RecordErrorRework!$E$28:$N$28</definedName>
    <definedName name="pSystemsPaperPercentErrorO1">Labor_RecordErrorRework!$E$37:$N$37</definedName>
    <definedName name="pSystemsPaperPercentErrorO2">Labor_RecordErrorRework!$E$38:$N$38</definedName>
    <definedName name="pSystemsPaperPercentErrorPLG">Labor_RecordErrorRework!$E$30:$N$30</definedName>
    <definedName name="pSystemsPaperPercentErrorQSC">Labor_RecordErrorRework!$E$33:$N$33</definedName>
    <definedName name="pSystemsPaperPercentErrorSCL">Labor_RecordErrorRework!$E$32:$N$32</definedName>
    <definedName name="pSystemsPaperPercentErrorSMCS">Labor_RecordErrorRework!$E$36:$N$36</definedName>
    <definedName name="pSystemsPaperPercentHM">Inputs_RecordsGeneration!$E$1073:$N$1073</definedName>
    <definedName name="pSystemsPaperPercentLM">Inputs_RecordsGeneration!$E$1074:$N$1074</definedName>
    <definedName name="pSystemsPaperPercentO1">Inputs_RecordsGeneration!$E$1083:$N$1083</definedName>
    <definedName name="pSystemsPaperPercentO2">Inputs_RecordsGeneration!$E$1084:$N$1084</definedName>
    <definedName name="pSystemsPaperPercentPLG">Inputs_RecordsGeneration!$E$1076:$N$1076</definedName>
    <definedName name="pSystemsPaperPercentQSC">Inputs_RecordsGeneration!$E$1079:$N$1079</definedName>
    <definedName name="pSystemsPaperPercentSCL">Inputs_RecordsGeneration!$E$1078:$N$1078</definedName>
    <definedName name="pSystemsPaperPercentSMCS">Inputs_RecordsGeneration!$E$1082:$N$1082</definedName>
    <definedName name="pSystemsPaperRecords_Total">Inputs_RecordsGeneration!$E$1099:$N$1099</definedName>
    <definedName name="pSystemsPaperRecordsErrors_Total">Labor_RecordErrorRework!$E$53:$N$53</definedName>
    <definedName name="pSystemsPaperRequiredReworksCM">Labor_RecordErrorRework!$E$49:$N$49</definedName>
    <definedName name="pSystemsPaperRequiredReworksCRT">Labor_RecordErrorRework!$E$45:$N$45</definedName>
    <definedName name="pSystemsPaperRequiredReworksEM">Labor_RecordErrorRework!$E$48:$N$48</definedName>
    <definedName name="pSystemsPaperRequiredReworksENG">Labor_RecordErrorRework!$E$43:$N$43</definedName>
    <definedName name="pSystemsPaperRequiredReworksHM">Labor_RecordErrorRework!$E$41:$N$41</definedName>
    <definedName name="pSystemsPaperRequiredReworksLM">Labor_RecordErrorRework!$E$42:$N$42</definedName>
    <definedName name="pSystemsPaperRequiredReworksO1">Labor_RecordErrorRework!$E$51:$N$51</definedName>
    <definedName name="pSystemsPaperRequiredReworksO2">Labor_RecordErrorRework!$E$52:$N$52</definedName>
    <definedName name="pSystemsPaperRequiredReworksPLG">Labor_RecordErrorRework!$E$44:$N$44</definedName>
    <definedName name="pSystemsPaperRequiredReworksQSC">Labor_RecordErrorRework!$E$47:$N$47</definedName>
    <definedName name="pSystemsPaperRequiredReworksSCL">Labor_RecordErrorRework!$E$46:$N$46</definedName>
    <definedName name="pSystemsPaperRequiredReworksSMCS">Labor_RecordErrorRework!$E$50:$N$50</definedName>
    <definedName name="pSystemsPrintRoomArea_Each">Costs_RecordsOther!$E$380:$N$380</definedName>
    <definedName name="pSystemsPrintRoomArea_Total">Costs_RecordsOther!$E$421:$N$421</definedName>
    <definedName name="pSystemsRecordsArchiveCumulative_Gross" localSheetId="8">'Costs_RecordArchive&amp;Retrieval'!$E$35:$N$35</definedName>
    <definedName name="pSystemsRecordsArchiveCumulative_Net" localSheetId="8">'Costs_RecordArchive&amp;Retrieval'!$E$38:$N$38</definedName>
    <definedName name="pSystemsRecordsArchiveShredDisposal" localSheetId="8">'Costs_RecordArchive&amp;Retrieval'!$E$36:$N$36</definedName>
    <definedName name="pSystemsRecordsArchiveShredDueDigital" localSheetId="8">'Costs_RecordArchive&amp;Retrieval'!$E$37:$N$37</definedName>
    <definedName name="pSystemsRecordsPaperArchive_CFS">'Costs_RecordArchive&amp;Retrieval'!$D$110:$N$110</definedName>
    <definedName name="pSystemsReworkCostpaCM">Labor_RecordErrorRework!$E$235:$N$235</definedName>
    <definedName name="pSystemsReworkCostpaCRT">Labor_RecordErrorRework!$E$231:$N$231</definedName>
    <definedName name="pSystemsReworkCostpaEM">Labor_RecordErrorRework!$E$234:$N$234</definedName>
    <definedName name="pSystemsReworkCostpaENG">Labor_RecordErrorRework!$E$229:$N$229</definedName>
    <definedName name="pSystemsReworkCostpaHM">Labor_RecordErrorRework!$E$227:$N$227</definedName>
    <definedName name="pSystemsReworkCostpaLM">Labor_RecordErrorRework!$E$228:$N$228</definedName>
    <definedName name="pSystemsReworkCostpaO1">Labor_RecordErrorRework!$E$237:$N$237</definedName>
    <definedName name="pSystemsReworkCostpaO2">Labor_RecordErrorRework!$E$238:$N$238</definedName>
    <definedName name="pSystemsReworkCostpaPLG">Labor_RecordErrorRework!$E$230:$N$230</definedName>
    <definedName name="pSystemsReworkCostpaQSC">Labor_RecordErrorRework!$E$233:$N$233</definedName>
    <definedName name="pSystemsReworkCostpaSCL">Labor_RecordErrorRework!$E$232:$N$232</definedName>
    <definedName name="pSystemsReworkCostpaSMCS">Labor_RecordErrorRework!$E$236:$N$236</definedName>
    <definedName name="pSystemsReworkFTEsCM">Labor_RecordErrorRework!$E$293:$N$293</definedName>
    <definedName name="pSystemsReworkFTEsCRT">Labor_RecordErrorRework!$E$289:$N$289</definedName>
    <definedName name="pSystemsReworkFTEsEM">Labor_RecordErrorRework!$E$292:$N$292</definedName>
    <definedName name="pSystemsReworkFTEsENG">Labor_RecordErrorRework!$E$287:$N$287</definedName>
    <definedName name="pSystemsReworkFTEsHM">Labor_RecordErrorRework!$E$285:$N$285</definedName>
    <definedName name="pSystemsReworkFTEsLM">Labor_RecordErrorRework!$E$286:$N$286</definedName>
    <definedName name="pSystemsReworkFTEsO1">Labor_RecordErrorRework!$E$295:$N$295</definedName>
    <definedName name="pSystemsReworkFTEsO2">Labor_RecordErrorRework!$E$296:$N$296</definedName>
    <definedName name="pSystemsReworkFTEsPLG">Labor_RecordErrorRework!$E$288:$N$288</definedName>
    <definedName name="pSystemsReworkFTEsQSC">Labor_RecordErrorRework!$E$291:$N$291</definedName>
    <definedName name="pSystemsReworkFTEsSCL">Labor_RecordErrorRework!$E$290:$N$290</definedName>
    <definedName name="pSystemsReworkFTEsSMCS">Labor_RecordErrorRework!$E$294:$N$294</definedName>
    <definedName name="pSystemsReworkHoursCM">Labor_RecordErrorRework!$E$134:$N$134</definedName>
    <definedName name="pSystemsReworkHoursCRT">Labor_RecordErrorRework!$E$130:$N$130</definedName>
    <definedName name="pSystemsReworkHoursEM">Labor_RecordErrorRework!$E$133:$N$133</definedName>
    <definedName name="pSystemsReworkHoursENG">Labor_RecordErrorRework!$E$128:$N$128</definedName>
    <definedName name="pSystemsReworkHoursHM">Labor_RecordErrorRework!$E$126:$N$126</definedName>
    <definedName name="pSystemsReworkHoursLM">Labor_RecordErrorRework!$E$127:$N$127</definedName>
    <definedName name="pSystemsReworkHoursO1">Labor_RecordErrorRework!$E$136:$N$136</definedName>
    <definedName name="pSystemsReworkHoursO2">Labor_RecordErrorRework!$E$137:$N$137</definedName>
    <definedName name="pSystemsReworkHourspaCM">Labor_RecordErrorRework!$E$150:$N$150</definedName>
    <definedName name="pSystemsReworkHourspaCRT">Labor_RecordErrorRework!$E$146:$N$146</definedName>
    <definedName name="pSystemsReworkHourspaEM">Labor_RecordErrorRework!$E$149:$N$149</definedName>
    <definedName name="pSystemsReworkHourspaENG">Labor_RecordErrorRework!$E$144:$N$144</definedName>
    <definedName name="pSystemsReworkHourspaHM">Labor_RecordErrorRework!$E$142:$N$142</definedName>
    <definedName name="pSystemsReworkHourspaLM">Labor_RecordErrorRework!$E$143:$N$143</definedName>
    <definedName name="pSystemsReworkHourspaO1">Labor_RecordErrorRework!$E$152:$N$152</definedName>
    <definedName name="pSystemsReworkHourspaO2">Labor_RecordErrorRework!$E$153:$N$153</definedName>
    <definedName name="pSystemsReworkHourspaPLG">Labor_RecordErrorRework!$E$145:$N$145</definedName>
    <definedName name="pSystemsReworkHourspaQSC">Labor_RecordErrorRework!$E$148:$N$148</definedName>
    <definedName name="pSystemsReworkHourspaSCL">Labor_RecordErrorRework!$E$147:$N$147</definedName>
    <definedName name="pSystemsReworkHourspaSMCS">Labor_RecordErrorRework!$E$151:$N$151</definedName>
    <definedName name="pSystemsReworkHoursPLG">Labor_RecordErrorRework!$E$129:$N$129</definedName>
    <definedName name="pSystemsReworkHoursQSC">Labor_RecordErrorRework!$E$132:$N$132</definedName>
    <definedName name="pSystemsReworkHoursSCL">Labor_RecordErrorRework!$E$131:$N$131</definedName>
    <definedName name="pSystemsReworkHoursSMCS">Labor_RecordErrorRework!$E$135:$N$135</definedName>
    <definedName name="pSystemsReworkTotalCostpa">Labor_RecordErrorRework!$E$239:$N$239</definedName>
    <definedName name="pSystemsReworkTotalCostpa_CFS">Labor_RecordErrorRework!$D$340:$N$340</definedName>
    <definedName name="pSystemsReworkTotalFTEs">Labor_RecordErrorRework!$E$297:$N$297</definedName>
    <definedName name="pSystemsTouchHourspaCM">Inputs_Salaries!$M$39</definedName>
    <definedName name="pSystemsTouchHourspaCRT">Inputs_Salaries!$I$39</definedName>
    <definedName name="pSystemsTouchHourspaEM">Inputs_Salaries!$L$39</definedName>
    <definedName name="pSystemsTouchHourspaENG">Inputs_Salaries!$E$39</definedName>
    <definedName name="pSystemsTouchHourspaHM">Inputs_Salaries!$H$39</definedName>
    <definedName name="pSystemsTouchHourspaLM">Inputs_Salaries!$G$39</definedName>
    <definedName name="pSystemsTouchHourspaO1">Inputs_Salaries!$O$39</definedName>
    <definedName name="pSystemsTouchHourspaO2">Inputs_Salaries!$P$39</definedName>
    <definedName name="pSystemsTouchHourspaPLG">Inputs_Salaries!$F$39</definedName>
    <definedName name="pSystemsTouchHourspaQSC">Inputs_Salaries!$K$39</definedName>
    <definedName name="pSystemsTouchHourspaSCL">Inputs_Salaries!$J$39</definedName>
    <definedName name="pSystemsTouchHourspaSMCS">Inputs_Salaries!$N$39</definedName>
    <definedName name="pSystemsTouchRateHourCM">Inputs_Salaries!$M$59</definedName>
    <definedName name="pSystemsTouchRateHourCRT">Inputs_Salaries!$I$59</definedName>
    <definedName name="pSystemsTouchRateHourEM">Inputs_Salaries!$L$59</definedName>
    <definedName name="pSystemsTouchRateHourENG">Inputs_Salaries!$E$59</definedName>
    <definedName name="pSystemsTouchRateHourHM">Inputs_Salaries!$H$59</definedName>
    <definedName name="pSystemsTouchRateHourLM">Inputs_Salaries!$G$59</definedName>
    <definedName name="pSystemsTouchRateHourO1">Inputs_Salaries!$O$59</definedName>
    <definedName name="pSystemsTouchRateHourO2">Inputs_Salaries!$P$59</definedName>
    <definedName name="pSystemsTouchRateHourPLG">Inputs_Salaries!$F$59</definedName>
    <definedName name="pSystemsTouchRateHourQSC">Inputs_Salaries!$K$59</definedName>
    <definedName name="pSystemsTouchRateHourSCL">Inputs_Salaries!$J$59</definedName>
    <definedName name="pSystemsTouchRateHourSMCS">Inputs_Salaries!$N$59</definedName>
    <definedName name="pSystemsTrainingCostCM">Costs_Training!$E$80:$N$80</definedName>
    <definedName name="pSystemsTrainingCostCRT">Costs_Training!$E$56:$N$56</definedName>
    <definedName name="pSystemsTrainingCostEM">Costs_Training!$E$74:$N$74</definedName>
    <definedName name="pSystemsTrainingCostENG">Costs_Training!$E$44:$N$44</definedName>
    <definedName name="pSystemsTrainingCostHM">Costs_Training!$E$38:$N$38</definedName>
    <definedName name="pSystemsTrainingCostLM">Costs_Training!$E$32:$N$32</definedName>
    <definedName name="pSystemsTrainingCostO1">Costs_Training!$E$92:$N$92</definedName>
    <definedName name="pSystemsTrainingCostO2">Costs_Training!$E$98:$N$98</definedName>
    <definedName name="pSystemsTrainingCostPerFTE_CM">Costs_Training!$D$77</definedName>
    <definedName name="pSystemsTrainingCostPerFTE_CRT">Costs_Training!$D$53</definedName>
    <definedName name="pSystemsTrainingCostPerFTE_EM">Costs_Training!$D$71</definedName>
    <definedName name="pSystemsTrainingCostPerFTE_ENG">Costs_Training!$D$41</definedName>
    <definedName name="pSystemsTrainingCostPerFTE_HM">Costs_Training!$D$35</definedName>
    <definedName name="pSystemsTrainingCostPerFTE_LM">Costs_Training!$D$29</definedName>
    <definedName name="pSystemsTrainingCostPerFTE_O1">Costs_Training!$D$89</definedName>
    <definedName name="pSystemsTrainingCostPerFTE_O2">Costs_Training!$D$95</definedName>
    <definedName name="pSystemsTrainingCostPerFTE_PLG">Costs_Training!$D$47</definedName>
    <definedName name="pSystemsTrainingCostPerFTE_QSC">Costs_Training!$D$65</definedName>
    <definedName name="pSystemsTrainingCostPerFTE_SCL">Costs_Training!$D$59</definedName>
    <definedName name="pSystemsTrainingCostPerFTE_SMCS">Costs_Training!$D$83</definedName>
    <definedName name="pSystemsTrainingCostPLG">Costs_Training!$E$50:$N$50</definedName>
    <definedName name="pSystemsTrainingCostQSC">Costs_Training!$E$68:$N$68</definedName>
    <definedName name="pSystemsTrainingCostSCL">Costs_Training!$E$62:$N$62</definedName>
    <definedName name="pSystemsTrainingCostSMCS">Costs_Training!$E$86:$N$86</definedName>
    <definedName name="pSystemsTrainingFTEsCM">Costs_Training!$E$79:$N$79</definedName>
    <definedName name="pSystemsTrainingFTEsCRT">Costs_Training!$E$55:$N$55</definedName>
    <definedName name="pSystemsTrainingFTEsEM">Costs_Training!$E$73:$N$73</definedName>
    <definedName name="pSystemsTrainingFTEsENG">Costs_Training!$E$43:$N$43</definedName>
    <definedName name="pSystemsTrainingFTEsHM">Costs_Training!$E$37:$N$37</definedName>
    <definedName name="pSystemsTrainingFTEsLM">Costs_Training!$E$31:$N$31</definedName>
    <definedName name="pSystemsTrainingFTEsO1">Costs_Training!$E$91:$N$91</definedName>
    <definedName name="pSystemsTrainingFTEsO2">Costs_Training!$E$97:$N$97</definedName>
    <definedName name="pSystemsTrainingFTEsPLG">Costs_Training!$E$49:$N$49</definedName>
    <definedName name="pSystemsTrainingFTEsQSC">Costs_Training!$E$67:$N$67</definedName>
    <definedName name="pSystemsTrainingFTEsSCL">Costs_Training!$E$61:$N$61</definedName>
    <definedName name="pSystemsTrainingFTEsSMCS">Costs_Training!$E$85:$N$85</definedName>
    <definedName name="RecordsCMFleetTotalpa_A">Inputs_RecordsGeneration!$E$69:$N$69</definedName>
    <definedName name="RecordsCMFleetTotalpa_B">Inputs_RecordsGeneration!$E$144:$N$144</definedName>
    <definedName name="RecordsCMFleetTotalpa_C">Inputs_RecordsGeneration!$E$212:$N$212</definedName>
    <definedName name="RecordsCMFleetTotalpa_D">Inputs_RecordsGeneration!$E$279:$N$279</definedName>
    <definedName name="RecordsCMFleetTotalpa_E">Inputs_RecordsGeneration!$E$348:$N$348</definedName>
    <definedName name="RecordsCMFleetTotalpa_F">Inputs_RecordsGeneration!$E$416:$N$416</definedName>
    <definedName name="RecordsCMFleetTotalpa_G">Inputs_RecordsGeneration!$E$484:$N$484</definedName>
    <definedName name="RecordsCMFleetTotalpa_H">Inputs_RecordsGeneration!$E$552:$N$552</definedName>
    <definedName name="RecordsCMFleetTotalpa_I">Inputs_RecordsGeneration!$E$619:$N$619</definedName>
    <definedName name="RecordsCMFleetTotalpa_J">Inputs_RecordsGeneration!$E$687:$N$687</definedName>
    <definedName name="RecordsCMFleetTotalpa_K">Inputs_RecordsGeneration!$E$755:$N$755</definedName>
    <definedName name="RecordsCMFleetTotalpa_L">Inputs_RecordsGeneration!$E$823:$N$823</definedName>
    <definedName name="RecordsCMFleetTotalpa_M">Inputs_RecordsGeneration!$E$891:$N$891</definedName>
    <definedName name="RecordsCMFleetTotalpa_N">Inputs_RecordsGeneration!$E$959:$N$959</definedName>
    <definedName name="RecordsCMFleetTotalpa_O">Inputs_RecordsGeneration!$E$1027:$N$1027</definedName>
    <definedName name="RecordsCRTFleetTotalpa_A">Inputs_RecordsGeneration!$E$53:$N$53</definedName>
    <definedName name="RecordsCRTFleetTotalpa_B">Inputs_RecordsGeneration!$E$128:$N$128</definedName>
    <definedName name="RecordsCRTFleetTotalpa_C">Inputs_RecordsGeneration!$E$196:$N$196</definedName>
    <definedName name="RecordsCRTFleetTotalpa_D">Inputs_RecordsGeneration!$E$263:$N$263</definedName>
    <definedName name="RecordsCRTFleetTotalpa_E">Inputs_RecordsGeneration!$E$332:$N$332</definedName>
    <definedName name="RecordsCRTFleetTotalpa_F">Inputs_RecordsGeneration!$E$400:$N$400</definedName>
    <definedName name="RecordsCRTFleetTotalpa_G">Inputs_RecordsGeneration!$E$468:$N$468</definedName>
    <definedName name="RecordsCRTFleetTotalpa_H">Inputs_RecordsGeneration!$E$536:$N$536</definedName>
    <definedName name="RecordsCRTFleetTotalpa_I">Inputs_RecordsGeneration!$E$603:$N$603</definedName>
    <definedName name="RecordsCRTFleetTotalpa_J">Inputs_RecordsGeneration!$E$671:$N$671</definedName>
    <definedName name="RecordsCRTFleetTotalpa_K">Inputs_RecordsGeneration!$E$739:$N$739</definedName>
    <definedName name="RecordsCRTFleetTotalpa_L">Inputs_RecordsGeneration!$E$807:$N$807</definedName>
    <definedName name="RecordsCRTFleetTotalpa_M">Inputs_RecordsGeneration!$E$875:$N$875</definedName>
    <definedName name="RecordsCRTFleetTotalpa_N">Inputs_RecordsGeneration!$E$943:$N$943</definedName>
    <definedName name="RecordsCRTFleetTotalpa_O">Inputs_RecordsGeneration!$E$1011:$N$1011</definedName>
    <definedName name="RecordsEMFleetTotalpa_A">Inputs_RecordsGeneration!$E$65:$N$65</definedName>
    <definedName name="RecordsEMFleetTotalpa_B">Inputs_RecordsGeneration!$E$140:$N$140</definedName>
    <definedName name="RecordsEMFleetTotalpa_C">Inputs_RecordsGeneration!$E$208:$N$208</definedName>
    <definedName name="RecordsEMFleetTotalpa_D">Inputs_RecordsGeneration!$E$275:$N$275</definedName>
    <definedName name="RecordsEMFleetTotalpa_E">Inputs_RecordsGeneration!$E$344:$N$344</definedName>
    <definedName name="RecordsEMFleetTotalpa_F">Inputs_RecordsGeneration!$E$412:$N$412</definedName>
    <definedName name="RecordsEMFleetTotalpa_G">Inputs_RecordsGeneration!$E$480:$N$480</definedName>
    <definedName name="RecordsEMFleetTotalpa_H">Inputs_RecordsGeneration!$E$548:$N$548</definedName>
    <definedName name="RecordsEMFleetTotalpa_I">Inputs_RecordsGeneration!$E$615:$N$615</definedName>
    <definedName name="RecordsEMFleetTotalpa_J">Inputs_RecordsGeneration!$E$683:$N$683</definedName>
    <definedName name="RecordsEMFleetTotalpa_K">Inputs_RecordsGeneration!$E$751:$N$751</definedName>
    <definedName name="RecordsEMFleetTotalpa_L">Inputs_RecordsGeneration!$E$819:$N$819</definedName>
    <definedName name="RecordsEMFleetTotalpa_M">Inputs_RecordsGeneration!$E$887:$N$887</definedName>
    <definedName name="RecordsEMFleetTotalpa_N">Inputs_RecordsGeneration!$E$955:$N$955</definedName>
    <definedName name="RecordsEMFleetTotalpa_O">Inputs_RecordsGeneration!$E$1023:$N$1023</definedName>
    <definedName name="RecordsEngFleetTotalpa_A">Inputs_RecordsGeneration!$E$45:$N$45</definedName>
    <definedName name="RecordsEngFleetTotalpa_B">Inputs_RecordsGeneration!$E$119:$N$119</definedName>
    <definedName name="RecordsEngFleetTotalpa_C">Inputs_RecordsGeneration!$E$188:$N$188</definedName>
    <definedName name="RecordsEngFleetTotalpa_D">Inputs_RecordsGeneration!$E$255:$N$255</definedName>
    <definedName name="RecordsEngFleetTotalpa_E">Inputs_RecordsGeneration!$E$324:$N$324</definedName>
    <definedName name="RecordsEngFleetTotalpa_F">Inputs_RecordsGeneration!$E$392:$N$392</definedName>
    <definedName name="RecordsEngFleetTotalpa_G">Inputs_RecordsGeneration!$E$460:$N$460</definedName>
    <definedName name="RecordsEngFleetTotalpa_H">Inputs_RecordsGeneration!$E$528:$N$528</definedName>
    <definedName name="RecordsEngFleetTotalpa_I">Inputs_RecordsGeneration!$E$595:$N$595</definedName>
    <definedName name="RecordsEngFleetTotalpa_J">Inputs_RecordsGeneration!$E$663:$N$663</definedName>
    <definedName name="RecordsEngFleetTotalpa_K">Inputs_RecordsGeneration!$E$731:$N$731</definedName>
    <definedName name="RecordsEngFleetTotalpa_L">Inputs_RecordsGeneration!$E$799:$N$799</definedName>
    <definedName name="RecordsEngFleetTotalpa_M">Inputs_RecordsGeneration!$E$867:$N$867</definedName>
    <definedName name="RecordsEngFleetTotalpa_N">Inputs_RecordsGeneration!$E$935:$N$935</definedName>
    <definedName name="RecordsEngFleetTotalpa_O">Inputs_RecordsGeneration!$E$1003:$N$1003</definedName>
    <definedName name="RecordsFleetTotalGrandpa_A">Inputs_RecordsGeneration!$E$83:$N$83</definedName>
    <definedName name="RecordsFleetTotalGrandpa_C">Inputs_RecordsGeneration!$E$226:$N$226</definedName>
    <definedName name="RecordsFleetTotalGrandpa_D">Inputs_RecordsGeneration!$E$293:$N$293</definedName>
    <definedName name="RecordsFleetTotalGrandpa_E">Inputs_RecordsGeneration!$E$362:$N$362</definedName>
    <definedName name="RecordsFleetTotalGrandpa_F">Inputs_RecordsGeneration!$E$430:$N$430</definedName>
    <definedName name="RecordsFleetTotalGrandpa_G">Inputs_RecordsGeneration!$E$498:$N$498</definedName>
    <definedName name="RecordsFleetTotalGrandpa_H">Inputs_RecordsGeneration!$E$566:$N$566</definedName>
    <definedName name="RecordsFleetTotalGrandpa_I">Inputs_RecordsGeneration!$E$633:$N$633</definedName>
    <definedName name="RecordsFleetTotalGrandpa_J">Inputs_RecordsGeneration!$E$701:$N$701</definedName>
    <definedName name="RecordsFleetTotalGrandpa_K">Inputs_RecordsGeneration!$E$769:$N$769</definedName>
    <definedName name="RecordsFleetTotalGrandpa_L">Inputs_RecordsGeneration!$E$837:$N$837</definedName>
    <definedName name="RecordsFleetTotalGrandpa_M">Inputs_RecordsGeneration!$E$905:$N$905</definedName>
    <definedName name="RecordsFleetTotalGrandpa_N">Inputs_RecordsGeneration!$E$973:$N$973</definedName>
    <definedName name="RecordsFleetTotalGrandpa_O">Inputs_RecordsGeneration!$E$1041:$N$1041</definedName>
    <definedName name="RecordsHMCycleTotal_A">Inputs_RecordsGeneration!$E$36:$N$36</definedName>
    <definedName name="RecordsHMCycleTotal_B">Inputs_RecordsGeneration!$E$102:$N$102</definedName>
    <definedName name="RecordsHMCycleTotal_C">Inputs_RecordsGeneration!$E$179:$N$179</definedName>
    <definedName name="RecordsHMCycleTotal_D">Inputs_RecordsGeneration!$E$246:$N$246</definedName>
    <definedName name="RecordsHMCycleTotal_E">Inputs_RecordsGeneration!$E$315:$N$315</definedName>
    <definedName name="RecordsHMCycleTotal_F">Inputs_RecordsGeneration!$E$383:$N$383</definedName>
    <definedName name="RecordsHMCycleTotal_G">Inputs_RecordsGeneration!$E$451:$N$451</definedName>
    <definedName name="RecordsHMCycleTotal_H">Inputs_RecordsGeneration!$E$519:$N$519</definedName>
    <definedName name="RecordsHMCycleTotal_I">Inputs_RecordsGeneration!$E$586:$N$586</definedName>
    <definedName name="RecordsHMCycleTotal_J">Inputs_RecordsGeneration!$E$654:$N$654</definedName>
    <definedName name="RecordsHMCycleTotal_K">Inputs_RecordsGeneration!$E$722:$N$722</definedName>
    <definedName name="RecordsHMCycleTotal_L">Inputs_RecordsGeneration!$E$790:$N$790</definedName>
    <definedName name="RecordsHMCycleTotal_M">Inputs_RecordsGeneration!$E$858:$N$858</definedName>
    <definedName name="RecordsHMCycleTotal_N">Inputs_RecordsGeneration!$E$926:$N$926</definedName>
    <definedName name="RecordsHMCycleTotal_O">Inputs_RecordsGeneration!$E$994:$N$994</definedName>
    <definedName name="RecordsHMFleetTotalpa_A">Inputs_RecordsGeneration!$E$37:$N$37</definedName>
    <definedName name="RecordsHMFleetTotalpa_B">Inputs_RecordsGeneration!$E$103:$N$103</definedName>
    <definedName name="RecordsHMFleetTotalpa_C">Inputs_RecordsGeneration!$E$180:$N$180</definedName>
    <definedName name="RecordsHMFleetTotalpa_D">Inputs_RecordsGeneration!$E$247:$N$247</definedName>
    <definedName name="RecordsHMFleetTotalpa_E">Inputs_RecordsGeneration!$E$316:$N$316</definedName>
    <definedName name="RecordsHMFleetTotalpa_F">Inputs_RecordsGeneration!$E$384:$N$384</definedName>
    <definedName name="RecordsHMFleetTotalpa_G">Inputs_RecordsGeneration!$E$452:$N$452</definedName>
    <definedName name="RecordsHMFleetTotalpa_H">Inputs_RecordsGeneration!$E$520:$N$520</definedName>
    <definedName name="RecordsHMFleetTotalpa_I">Inputs_RecordsGeneration!$E$587:$N$587</definedName>
    <definedName name="RecordsHMFleetTotalpa_J">Inputs_RecordsGeneration!$E$655:$N$655</definedName>
    <definedName name="RecordsHMFleetTotalpa_K">Inputs_RecordsGeneration!$E$723:$N$723</definedName>
    <definedName name="RecordsHMFleetTotalpa_L">Inputs_RecordsGeneration!$E$791:$N$791</definedName>
    <definedName name="RecordsHMFleetTotalpa_M">Inputs_RecordsGeneration!$E$859:$N$859</definedName>
    <definedName name="RecordsHMFleetTotalpa_N">Inputs_RecordsGeneration!$E$927:$N$927</definedName>
    <definedName name="RecordsHMFleetTotalpa_O">Inputs_RecordsGeneration!$E$995:$N$995</definedName>
    <definedName name="RecordsLegacyYr1" localSheetId="8">'Costs_RecordArchive&amp;Retrieval'!$E$31</definedName>
    <definedName name="RecordsLMFleetTotalpa_A">Inputs_RecordsGeneration!$E$41:$N$41</definedName>
    <definedName name="RecordsLMFleetTotalpa_B">Inputs_RecordsGeneration!$E$107:$N$107</definedName>
    <definedName name="RecordsLMFleetTotalpa_C">Inputs_RecordsGeneration!$E$184:$N$184</definedName>
    <definedName name="RecordsLMFleetTotalpa_D">Inputs_RecordsGeneration!$E$251:$N$251</definedName>
    <definedName name="RecordsLMFleetTotalpa_E">Inputs_RecordsGeneration!$E$320:$N$320</definedName>
    <definedName name="RecordsLMFleetTotalpa_F">Inputs_RecordsGeneration!$E$388:$N$388</definedName>
    <definedName name="RecordsLMFleetTotalpa_G">Inputs_RecordsGeneration!$E$456:$N$456</definedName>
    <definedName name="RecordsLMFleetTotalpa_H">Inputs_RecordsGeneration!$E$524:$N$524</definedName>
    <definedName name="RecordsLMFleetTotalpa_I">Inputs_RecordsGeneration!$E$591:$N$591</definedName>
    <definedName name="RecordsLMFleetTotalpa_J">Inputs_RecordsGeneration!$E$659:$N$659</definedName>
    <definedName name="RecordsLMFleetTotalpa_K">Inputs_RecordsGeneration!$E$727:$N$727</definedName>
    <definedName name="RecordsLMFleetTotalpa_L">Inputs_RecordsGeneration!$E$795:$N$795</definedName>
    <definedName name="RecordsLMFleetTotalpa_M">Inputs_RecordsGeneration!$E$863:$N$863</definedName>
    <definedName name="RecordsLMFleetTotalpa_N">Inputs_RecordsGeneration!$E$931:$N$931</definedName>
    <definedName name="RecordsLMFleetTotalpa_O">Inputs_RecordsGeneration!$E$999:$N$999</definedName>
    <definedName name="RecordsO1FleetTotalpa_A">Inputs_RecordsGeneration!$E$77:$N$77</definedName>
    <definedName name="RecordsO1FleetTotalpa_B">Inputs_RecordsGeneration!$E$152:$N$152</definedName>
    <definedName name="RecordsO1FleetTotalpa_C">Inputs_RecordsGeneration!$E$220:$N$220</definedName>
    <definedName name="RecordsO1FleetTotalpa_D">Inputs_RecordsGeneration!$E$287:$N$287</definedName>
    <definedName name="RecordsO1FleetTotalpa_E">Inputs_RecordsGeneration!$E$356:$N$356</definedName>
    <definedName name="RecordsO1FleetTotalpa_F">Inputs_RecordsGeneration!$E$424:$N$424</definedName>
    <definedName name="RecordsO1FleetTotalpa_G">Inputs_RecordsGeneration!$E$492:$N$492</definedName>
    <definedName name="RecordsO1FleetTotalpa_H">Inputs_RecordsGeneration!$E$560:$N$560</definedName>
    <definedName name="RecordsO1FleetTotalpa_I">Inputs_RecordsGeneration!$E$627:$N$627</definedName>
    <definedName name="RecordsO1FleetTotalpa_J">Inputs_RecordsGeneration!$E$695:$N$695</definedName>
    <definedName name="RecordsO1FleetTotalpa_K">Inputs_RecordsGeneration!$E$763:$N$763</definedName>
    <definedName name="RecordsO1FleetTotalpa_L">Inputs_RecordsGeneration!$E$831:$N$831</definedName>
    <definedName name="RecordsO1FleetTotalpa_M">Inputs_RecordsGeneration!$E$899:$N$899</definedName>
    <definedName name="RecordsO1FleetTotalpa_N">Inputs_RecordsGeneration!$E$967:$N$967</definedName>
    <definedName name="RecordsO1FleetTotalpa_O">Inputs_RecordsGeneration!$E$1035:$N$1035</definedName>
    <definedName name="RecordsO2FleetTotalpa_A">Inputs_RecordsGeneration!$E$81:$N$81</definedName>
    <definedName name="RecordsO2FleetTotalpa_B">Inputs_RecordsGeneration!$E$156:$N$156</definedName>
    <definedName name="RecordsO2FleetTotalpa_C">Inputs_RecordsGeneration!$E$224:$N$224</definedName>
    <definedName name="RecordsO2FleetTotalpa_D">Inputs_RecordsGeneration!$E$291:$N$291</definedName>
    <definedName name="RecordsO2FleetTotalpa_E">Inputs_RecordsGeneration!$E$360:$N$360</definedName>
    <definedName name="RecordsO2FleetTotalpa_F">Inputs_RecordsGeneration!$E$428:$N$428</definedName>
    <definedName name="RecordsO2FleetTotalpa_G">Inputs_RecordsGeneration!$E$496:$N$496</definedName>
    <definedName name="RecordsO2FleetTotalpa_H">Inputs_RecordsGeneration!$E$564:$N$564</definedName>
    <definedName name="RecordsO2FleetTotalpa_I">Inputs_RecordsGeneration!$E$631:$N$631</definedName>
    <definedName name="RecordsO2FleetTotalpa_J">Inputs_RecordsGeneration!$E$699:$N$699</definedName>
    <definedName name="RecordsO2FleetTotalpa_K">Inputs_RecordsGeneration!$E$767:$N$767</definedName>
    <definedName name="RecordsO2FleetTotalpa_L">Inputs_RecordsGeneration!$E$835:$N$835</definedName>
    <definedName name="RecordsO2FleetTotalpa_M">Inputs_RecordsGeneration!$E$903:$N$903</definedName>
    <definedName name="RecordsO2FleetTotalpa_N">Inputs_RecordsGeneration!$E$971:$N$971</definedName>
    <definedName name="RecordsO2FleetTotalpa_O">Inputs_RecordsGeneration!$E$1039:$N$1039</definedName>
    <definedName name="RecordsperArchiveBox" localSheetId="8">'Costs_RecordArchive&amp;Retrieval'!$D$54</definedName>
    <definedName name="RecordsPlgFleetTotalpa_A">Inputs_RecordsGeneration!$E$49:$N$49</definedName>
    <definedName name="RecordsPlgFleetTotalpa_B">Inputs_RecordsGeneration!$E$123:$N$123</definedName>
    <definedName name="RecordsPlgFleetTotalpa_C">Inputs_RecordsGeneration!$E$192:$N$192</definedName>
    <definedName name="RecordsPlgFleetTotalpa_D">Inputs_RecordsGeneration!$E$259:$N$259</definedName>
    <definedName name="RecordsPlgFleetTotalpa_E">Inputs_RecordsGeneration!$E$328:$N$328</definedName>
    <definedName name="RecordsPlgFleetTotalpa_F">Inputs_RecordsGeneration!$E$396:$N$396</definedName>
    <definedName name="RecordsPlgFleetTotalpa_G">Inputs_RecordsGeneration!$E$464:$N$464</definedName>
    <definedName name="RecordsPlgFleetTotalpa_H">Inputs_RecordsGeneration!$E$532:$N$532</definedName>
    <definedName name="RecordsPlgFleetTotalpa_I">Inputs_RecordsGeneration!$E$599:$N$599</definedName>
    <definedName name="RecordsPlgFleetTotalpa_J">Inputs_RecordsGeneration!$E$667:$N$667</definedName>
    <definedName name="RecordsPlgFleetTotalpa_K">Inputs_RecordsGeneration!$E$735:$N$735</definedName>
    <definedName name="RecordsPlgFleetTotalpa_L">Inputs_RecordsGeneration!$E$803:$N$803</definedName>
    <definedName name="RecordsPlgFleetTotalpa_M">Inputs_RecordsGeneration!$E$871:$N$871</definedName>
    <definedName name="RecordsPlgFleetTotalpa_N">Inputs_RecordsGeneration!$E$939:$N$939</definedName>
    <definedName name="RecordsPlgFleetTotalpa_O">Inputs_RecordsGeneration!$E$1007:$N$1007</definedName>
    <definedName name="RecordsQSCFleetTotalpa_A">Inputs_RecordsGeneration!$E$61:$N$61</definedName>
    <definedName name="RecordsQSCFleetTotalpa_B">Inputs_RecordsGeneration!$E$136:$N$136</definedName>
    <definedName name="RecordsQSCFleetTotalpa_C">Inputs_RecordsGeneration!$E$204:$N$204</definedName>
    <definedName name="RecordsQSCFleetTotalpa_D">Inputs_RecordsGeneration!$E$271:$N$271</definedName>
    <definedName name="RecordsQSCFleetTotalpa_E">Inputs_RecordsGeneration!$E$340:$N$340</definedName>
    <definedName name="RecordsQSCFleetTotalpa_F">Inputs_RecordsGeneration!$E$408:$N$408</definedName>
    <definedName name="RecordsQSCFleetTotalpa_G">Inputs_RecordsGeneration!$E$476:$N$476</definedName>
    <definedName name="RecordsQSCFleetTotalpa_H">Inputs_RecordsGeneration!$E$544:$N$544</definedName>
    <definedName name="RecordsQSCFleetTotalpa_I">Inputs_RecordsGeneration!$E$611:$N$611</definedName>
    <definedName name="RecordsQSCFleetTotalpa_J">Inputs_RecordsGeneration!$E$679:$N$679</definedName>
    <definedName name="RecordsQSCFleetTotalpa_K">Inputs_RecordsGeneration!$E$747:$N$747</definedName>
    <definedName name="RecordsQSCFleetTotalpa_L">Inputs_RecordsGeneration!$E$815:$N$815</definedName>
    <definedName name="RecordsQSCFleetTotalpa_M">Inputs_RecordsGeneration!$E$883:$N$883</definedName>
    <definedName name="RecordsQSCFleetTotalpa_N">Inputs_RecordsGeneration!$E$951:$N$951</definedName>
    <definedName name="RecordsQSCFleetTotalpa_O">Inputs_RecordsGeneration!$E$1019:$N$1019</definedName>
    <definedName name="RecordsSCLFleetTotalpa_A">Inputs_RecordsGeneration!$E$57:$N$57</definedName>
    <definedName name="RecordsSCLFleetTotalpa_B">Inputs_RecordsGeneration!$E$132:$N$132</definedName>
    <definedName name="RecordsSCLFleetTotalpa_C">Inputs_RecordsGeneration!$E$200:$N$200</definedName>
    <definedName name="RecordsSCLFleetTotalpa_D">Inputs_RecordsGeneration!$E$267:$N$267</definedName>
    <definedName name="RecordsSCLFleetTotalpa_E">Inputs_RecordsGeneration!$E$336:$N$336</definedName>
    <definedName name="RecordsSCLFleetTotalpa_F">Inputs_RecordsGeneration!$E$404:$N$404</definedName>
    <definedName name="RecordsSCLFleetTotalpa_G">Inputs_RecordsGeneration!$E$472:$N$472</definedName>
    <definedName name="RecordsSCLFleetTotalpa_H">Inputs_RecordsGeneration!$E$540:$N$540</definedName>
    <definedName name="RecordsSCLFleetTotalpa_I">Inputs_RecordsGeneration!$E$607:$N$607</definedName>
    <definedName name="RecordsSCLFleetTotalpa_J">Inputs_RecordsGeneration!$E$675:$N$675</definedName>
    <definedName name="RecordsSCLFleetTotalpa_K">Inputs_RecordsGeneration!$E$743:$N$743</definedName>
    <definedName name="RecordsSCLFleetTotalpa_L">Inputs_RecordsGeneration!$E$811:$N$811</definedName>
    <definedName name="RecordsSCLFleetTotalpa_M">Inputs_RecordsGeneration!$E$879:$N$879</definedName>
    <definedName name="RecordsSCLFleetTotalpa_N">Inputs_RecordsGeneration!$E$947:$N$947</definedName>
    <definedName name="RecordsSCLFleetTotalpa_O">Inputs_RecordsGeneration!$E$1015:$N$1015</definedName>
    <definedName name="RecordsSMCSFleetTotalpa_A">Inputs_RecordsGeneration!$E$73:$N$73</definedName>
    <definedName name="RecordsSMCSFleetTotalpa_B">Inputs_RecordsGeneration!$E$148:$N$148</definedName>
    <definedName name="RecordsSMCSFleetTotalpa_C">Inputs_RecordsGeneration!$E$216:$N$216</definedName>
    <definedName name="RecordsSMCSFleetTotalpa_D">Inputs_RecordsGeneration!$E$283:$N$283</definedName>
    <definedName name="RecordsSMCSFleetTotalpa_E">Inputs_RecordsGeneration!$E$352:$N$352</definedName>
    <definedName name="RecordsSMCSFleetTotalpa_F">Inputs_RecordsGeneration!$E$420:$N$420</definedName>
    <definedName name="RecordsSMCSFleetTotalpa_G">Inputs_RecordsGeneration!$E$488:$N$488</definedName>
    <definedName name="RecordsSMCSFleetTotalpa_H">Inputs_RecordsGeneration!$E$556:$N$556</definedName>
    <definedName name="RecordsSMCSFleetTotalpa_I">Inputs_RecordsGeneration!$E$623:$N$623</definedName>
    <definedName name="RecordsSMCSFleetTotalpa_J">Inputs_RecordsGeneration!$E$691:$N$691</definedName>
    <definedName name="RecordsSMCSFleetTotalpa_K">Inputs_RecordsGeneration!$E$759:$N$759</definedName>
    <definedName name="RecordsSMCSFleetTotalpa_L">Inputs_RecordsGeneration!$E$827:$N$827</definedName>
    <definedName name="RecordsSMCSFleetTotalpa_M">Inputs_RecordsGeneration!$E$895:$N$895</definedName>
    <definedName name="RecordsSMCSFleetTotalpa_N">Inputs_RecordsGeneration!$E$963:$N$963</definedName>
    <definedName name="RecordsSMCSFleetTotalpa_O">Inputs_RecordsGeneration!$E$1031:$N$1031</definedName>
    <definedName name="RevisionDate">Inputs_SetUp!$D$21</definedName>
    <definedName name="SalaryBaseRateHrly">Inputs_Salaries!$E$48:$P$48</definedName>
    <definedName name="SalaryBaseYr">Inputs_Salaries!$E$47:$P$47</definedName>
    <definedName name="SalaryDirectpa">Inputs_Salaries!$E$51:$P$51</definedName>
    <definedName name="SalaryOTpa">Inputs_Salaries!$E$50:$P$50</definedName>
    <definedName name="SalaryOTPercent">Inputs_Salaries!$E$49:$P$49</definedName>
    <definedName name="Scenario1">Inputs_SetUp!$D$28</definedName>
    <definedName name="Scenario2">Inputs_SetUp!$D$30</definedName>
    <definedName name="Scenario3">Inputs_SetUp!$D$32</definedName>
    <definedName name="StartDate">Inputs_SetUp!$D$47</definedName>
    <definedName name="VersionNo">Inputs_SetUp!$D$19</definedName>
    <definedName name="Yr10end">Inputs_SetUp!$G$60</definedName>
    <definedName name="Yr10Start">Inputs_SetUp!$E$60</definedName>
    <definedName name="Yr1End">Inputs_SetUp!$G$51</definedName>
    <definedName name="Yr1Start">Inputs_SetUp!$E$51</definedName>
    <definedName name="Yr2End">Inputs_SetUp!$G$52</definedName>
    <definedName name="Yr2Start">Inputs_SetUp!$E$52</definedName>
    <definedName name="Yr3End">Inputs_SetUp!$G$53</definedName>
    <definedName name="Yr3Start">Inputs_SetUp!$E$53</definedName>
    <definedName name="Yr4end">Inputs_SetUp!$G$54</definedName>
    <definedName name="Yr4Start">Inputs_SetUp!$E$54</definedName>
    <definedName name="Yr5end">Inputs_SetUp!$G$55</definedName>
    <definedName name="Yr5Start">Inputs_SetUp!$E$55</definedName>
    <definedName name="Yr6end">Inputs_SetUp!$G$56</definedName>
    <definedName name="Yr6Start">Inputs_SetUp!$E$56</definedName>
    <definedName name="Yr7end">Inputs_SetUp!$G$57</definedName>
    <definedName name="Yr7Start">Inputs_SetUp!$E$57</definedName>
    <definedName name="Yr8end">Inputs_SetUp!$G$58</definedName>
    <definedName name="Yr8Start">Inputs_SetUp!$E$58</definedName>
    <definedName name="Yr9end">Inputs_SetUp!$G$59</definedName>
    <definedName name="Yr9Start">Inputs_SetUp!$E$59</definedName>
  </definedNames>
  <calcPr calcId="152511"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 l="1"/>
  <c r="L3" i="76"/>
  <c r="A3" i="76"/>
  <c r="A2" i="76"/>
  <c r="M3" i="72"/>
  <c r="B3" i="72"/>
  <c r="B2" i="72"/>
  <c r="M3" i="71"/>
  <c r="B3" i="71"/>
  <c r="B2" i="71"/>
  <c r="M3" i="70"/>
  <c r="B3" i="70"/>
  <c r="B2" i="70"/>
  <c r="M3" i="2"/>
  <c r="B3" i="2"/>
  <c r="B2" i="2"/>
  <c r="M3" i="74"/>
  <c r="B3" i="74"/>
  <c r="B2" i="74"/>
  <c r="M3" i="53"/>
  <c r="B3" i="53"/>
  <c r="B2" i="53"/>
  <c r="M3" i="1"/>
  <c r="B2" i="1"/>
  <c r="M3" i="67"/>
  <c r="B3" i="67"/>
  <c r="B2" i="67"/>
  <c r="M3" i="19"/>
  <c r="B3" i="19"/>
  <c r="B2" i="19"/>
  <c r="M3" i="23"/>
  <c r="B3" i="23"/>
  <c r="B2" i="23"/>
  <c r="E51" i="1"/>
  <c r="G51" i="1"/>
  <c r="E7" i="23"/>
  <c r="G52" i="1"/>
  <c r="F7" i="23"/>
  <c r="G53" i="1"/>
  <c r="G7" i="23"/>
  <c r="G54" i="1"/>
  <c r="H7" i="23"/>
  <c r="G55" i="1"/>
  <c r="I7" i="23"/>
  <c r="G56" i="1"/>
  <c r="J7" i="23"/>
  <c r="G57" i="1"/>
  <c r="K7" i="23"/>
  <c r="G58" i="1"/>
  <c r="L7" i="23"/>
  <c r="G59" i="1"/>
  <c r="M7" i="23"/>
  <c r="G60" i="1"/>
  <c r="N7" i="23"/>
  <c r="E8" i="23"/>
  <c r="F8" i="23"/>
  <c r="G8" i="23"/>
  <c r="H8" i="23"/>
  <c r="I8" i="23"/>
  <c r="J8" i="23"/>
  <c r="K8" i="23"/>
  <c r="L8" i="23"/>
  <c r="M8" i="23"/>
  <c r="N8" i="23"/>
  <c r="M3" i="68"/>
  <c r="B3" i="68"/>
  <c r="B2" i="68"/>
  <c r="M3" i="54"/>
  <c r="B3" i="54"/>
  <c r="B2" i="54"/>
  <c r="M3" i="69"/>
  <c r="B3" i="69"/>
  <c r="B2" i="69"/>
  <c r="M3" i="20"/>
  <c r="B3" i="20"/>
  <c r="B2" i="20"/>
  <c r="M3" i="58"/>
  <c r="B3" i="58"/>
  <c r="B2" i="58"/>
  <c r="M3" i="47"/>
  <c r="B3" i="47"/>
  <c r="B2" i="47"/>
  <c r="M3" i="60"/>
  <c r="B3" i="60"/>
  <c r="B2" i="60"/>
  <c r="M3" i="29"/>
  <c r="B3" i="29"/>
  <c r="B2" i="29"/>
  <c r="M3" i="66"/>
  <c r="B3" i="66"/>
  <c r="B2" i="66"/>
  <c r="N36" i="68"/>
  <c r="N37" i="68"/>
  <c r="N102" i="68"/>
  <c r="N103" i="68"/>
  <c r="N179" i="68"/>
  <c r="N180" i="68"/>
  <c r="N246" i="68"/>
  <c r="N247" i="68"/>
  <c r="N315" i="68"/>
  <c r="N316" i="68"/>
  <c r="N383" i="68"/>
  <c r="N384" i="68"/>
  <c r="N451" i="68"/>
  <c r="N452" i="68"/>
  <c r="N519" i="68"/>
  <c r="N520" i="68"/>
  <c r="N586" i="68"/>
  <c r="N587" i="68"/>
  <c r="N654" i="68"/>
  <c r="N655" i="68"/>
  <c r="N722" i="68"/>
  <c r="N723" i="68"/>
  <c r="N790" i="68"/>
  <c r="N791" i="68"/>
  <c r="N858" i="68"/>
  <c r="N859" i="68"/>
  <c r="N926" i="68"/>
  <c r="N927" i="68"/>
  <c r="N994" i="68"/>
  <c r="N995" i="68"/>
  <c r="N1051" i="68"/>
  <c r="N1145" i="68"/>
  <c r="N41" i="68"/>
  <c r="N107" i="68"/>
  <c r="N184" i="68"/>
  <c r="N251" i="68"/>
  <c r="N320" i="68"/>
  <c r="N388" i="68"/>
  <c r="N456" i="68"/>
  <c r="N524" i="68"/>
  <c r="N591" i="68"/>
  <c r="N659" i="68"/>
  <c r="N727" i="68"/>
  <c r="N795" i="68"/>
  <c r="N863" i="68"/>
  <c r="N931" i="68"/>
  <c r="N999" i="68"/>
  <c r="N1052" i="68"/>
  <c r="N1146" i="68"/>
  <c r="N45" i="68"/>
  <c r="N119" i="68"/>
  <c r="N188" i="68"/>
  <c r="N255" i="68"/>
  <c r="N324" i="68"/>
  <c r="N392" i="68"/>
  <c r="N460" i="68"/>
  <c r="N528" i="68"/>
  <c r="N595" i="68"/>
  <c r="N663" i="68"/>
  <c r="N731" i="68"/>
  <c r="N799" i="68"/>
  <c r="N867" i="68"/>
  <c r="N935" i="68"/>
  <c r="N1003" i="68"/>
  <c r="N1053" i="68"/>
  <c r="N1147" i="68"/>
  <c r="N49" i="68"/>
  <c r="N123" i="68"/>
  <c r="N192" i="68"/>
  <c r="N259" i="68"/>
  <c r="N328" i="68"/>
  <c r="N396" i="68"/>
  <c r="N464" i="68"/>
  <c r="N532" i="68"/>
  <c r="N599" i="68"/>
  <c r="N667" i="68"/>
  <c r="N735" i="68"/>
  <c r="N803" i="68"/>
  <c r="N871" i="68"/>
  <c r="N939" i="68"/>
  <c r="N1007" i="68"/>
  <c r="N1054" i="68"/>
  <c r="N1148" i="68"/>
  <c r="N53" i="68"/>
  <c r="N128" i="68"/>
  <c r="N196" i="68"/>
  <c r="N263" i="68"/>
  <c r="N332" i="68"/>
  <c r="N400" i="68"/>
  <c r="N468" i="68"/>
  <c r="N536" i="68"/>
  <c r="N603" i="68"/>
  <c r="N671" i="68"/>
  <c r="N739" i="68"/>
  <c r="N807" i="68"/>
  <c r="N875" i="68"/>
  <c r="N943" i="68"/>
  <c r="N1011" i="68"/>
  <c r="N1055" i="68"/>
  <c r="N1149" i="68"/>
  <c r="N57" i="68"/>
  <c r="N132" i="68"/>
  <c r="N200" i="68"/>
  <c r="N267" i="68"/>
  <c r="N336" i="68"/>
  <c r="N404" i="68"/>
  <c r="N472" i="68"/>
  <c r="N540" i="68"/>
  <c r="N607" i="68"/>
  <c r="N675" i="68"/>
  <c r="N743" i="68"/>
  <c r="N811" i="68"/>
  <c r="N879" i="68"/>
  <c r="N947" i="68"/>
  <c r="N1015" i="68"/>
  <c r="N1056" i="68"/>
  <c r="N1150" i="68"/>
  <c r="N61" i="68"/>
  <c r="N136" i="68"/>
  <c r="N204" i="68"/>
  <c r="N271" i="68"/>
  <c r="N340" i="68"/>
  <c r="N408" i="68"/>
  <c r="N476" i="68"/>
  <c r="N544" i="68"/>
  <c r="N611" i="68"/>
  <c r="N679" i="68"/>
  <c r="N747" i="68"/>
  <c r="N815" i="68"/>
  <c r="N883" i="68"/>
  <c r="N951" i="68"/>
  <c r="N1019" i="68"/>
  <c r="N1057" i="68"/>
  <c r="N1151" i="68"/>
  <c r="N65" i="68"/>
  <c r="N140" i="68"/>
  <c r="N208" i="68"/>
  <c r="N275" i="68"/>
  <c r="N344" i="68"/>
  <c r="N412" i="68"/>
  <c r="N480" i="68"/>
  <c r="N548" i="68"/>
  <c r="N615" i="68"/>
  <c r="N683" i="68"/>
  <c r="N751" i="68"/>
  <c r="N819" i="68"/>
  <c r="N887" i="68"/>
  <c r="N955" i="68"/>
  <c r="N1023" i="68"/>
  <c r="N1058" i="68"/>
  <c r="N1152" i="68"/>
  <c r="N69" i="68"/>
  <c r="N144" i="68"/>
  <c r="N212" i="68"/>
  <c r="N279" i="68"/>
  <c r="N348" i="68"/>
  <c r="N416" i="68"/>
  <c r="N484" i="68"/>
  <c r="N552" i="68"/>
  <c r="N619" i="68"/>
  <c r="N687" i="68"/>
  <c r="N755" i="68"/>
  <c r="N823" i="68"/>
  <c r="N891" i="68"/>
  <c r="N959" i="68"/>
  <c r="N1027" i="68"/>
  <c r="N1059" i="68"/>
  <c r="N1153" i="68"/>
  <c r="N73" i="68"/>
  <c r="N148" i="68"/>
  <c r="N216" i="68"/>
  <c r="N283" i="68"/>
  <c r="N352" i="68"/>
  <c r="N420" i="68"/>
  <c r="N488" i="68"/>
  <c r="N556" i="68"/>
  <c r="N623" i="68"/>
  <c r="N691" i="68"/>
  <c r="N759" i="68"/>
  <c r="N827" i="68"/>
  <c r="N895" i="68"/>
  <c r="N963" i="68"/>
  <c r="N1031" i="68"/>
  <c r="N1060" i="68"/>
  <c r="N1154" i="68"/>
  <c r="N77" i="68"/>
  <c r="N152" i="68"/>
  <c r="N220" i="68"/>
  <c r="N287" i="68"/>
  <c r="N356" i="68"/>
  <c r="N424" i="68"/>
  <c r="N492" i="68"/>
  <c r="N560" i="68"/>
  <c r="N627" i="68"/>
  <c r="N695" i="68"/>
  <c r="N763" i="68"/>
  <c r="N831" i="68"/>
  <c r="N899" i="68"/>
  <c r="N967" i="68"/>
  <c r="N1035" i="68"/>
  <c r="N1061" i="68"/>
  <c r="N1155" i="68"/>
  <c r="N81" i="68"/>
  <c r="N156" i="68"/>
  <c r="N224" i="68"/>
  <c r="N291" i="68"/>
  <c r="N360" i="68"/>
  <c r="N428" i="68"/>
  <c r="N496" i="68"/>
  <c r="N564" i="68"/>
  <c r="N631" i="68"/>
  <c r="N699" i="68"/>
  <c r="N767" i="68"/>
  <c r="N835" i="68"/>
  <c r="N903" i="68"/>
  <c r="N971" i="68"/>
  <c r="N1039" i="68"/>
  <c r="N1062" i="68"/>
  <c r="N1156" i="68"/>
  <c r="N1157" i="68"/>
  <c r="N28" i="23"/>
  <c r="N50" i="69"/>
  <c r="E36" i="68"/>
  <c r="E37" i="68"/>
  <c r="E102" i="68"/>
  <c r="E103" i="68"/>
  <c r="E179" i="68"/>
  <c r="E180" i="68"/>
  <c r="E246" i="68"/>
  <c r="E247" i="68"/>
  <c r="E315" i="68"/>
  <c r="E316" i="68"/>
  <c r="E383" i="68"/>
  <c r="E384" i="68"/>
  <c r="E451" i="68"/>
  <c r="E452" i="68"/>
  <c r="E519" i="68"/>
  <c r="E520" i="68"/>
  <c r="E586" i="68"/>
  <c r="E587" i="68"/>
  <c r="E654" i="68"/>
  <c r="E655" i="68"/>
  <c r="E722" i="68"/>
  <c r="E723" i="68"/>
  <c r="E790" i="68"/>
  <c r="E791" i="68"/>
  <c r="E858" i="68"/>
  <c r="E859" i="68"/>
  <c r="E926" i="68"/>
  <c r="E927" i="68"/>
  <c r="E994" i="68"/>
  <c r="E995" i="68"/>
  <c r="E1051" i="68"/>
  <c r="E1145" i="68"/>
  <c r="E41" i="68"/>
  <c r="E107" i="68"/>
  <c r="E184" i="68"/>
  <c r="E251" i="68"/>
  <c r="E320" i="68"/>
  <c r="E388" i="68"/>
  <c r="E456" i="68"/>
  <c r="E524" i="68"/>
  <c r="E591" i="68"/>
  <c r="E659" i="68"/>
  <c r="E727" i="68"/>
  <c r="E795" i="68"/>
  <c r="E863" i="68"/>
  <c r="E931" i="68"/>
  <c r="E999" i="68"/>
  <c r="E1052" i="68"/>
  <c r="E1146" i="68"/>
  <c r="E45" i="68"/>
  <c r="E119" i="68"/>
  <c r="E188" i="68"/>
  <c r="E255" i="68"/>
  <c r="E324" i="68"/>
  <c r="E392" i="68"/>
  <c r="E460" i="68"/>
  <c r="E528" i="68"/>
  <c r="E595" i="68"/>
  <c r="E663" i="68"/>
  <c r="E731" i="68"/>
  <c r="E799" i="68"/>
  <c r="E867" i="68"/>
  <c r="E935" i="68"/>
  <c r="E1003" i="68"/>
  <c r="E1053" i="68"/>
  <c r="E1147" i="68"/>
  <c r="E49" i="68"/>
  <c r="E123" i="68"/>
  <c r="E192" i="68"/>
  <c r="E259" i="68"/>
  <c r="E328" i="68"/>
  <c r="E396" i="68"/>
  <c r="E464" i="68"/>
  <c r="E532" i="68"/>
  <c r="E599" i="68"/>
  <c r="E667" i="68"/>
  <c r="E735" i="68"/>
  <c r="E803" i="68"/>
  <c r="E871" i="68"/>
  <c r="E939" i="68"/>
  <c r="E1007" i="68"/>
  <c r="E1054" i="68"/>
  <c r="E1148" i="68"/>
  <c r="E53" i="68"/>
  <c r="E128" i="68"/>
  <c r="E196" i="68"/>
  <c r="E263" i="68"/>
  <c r="E332" i="68"/>
  <c r="E400" i="68"/>
  <c r="E468" i="68"/>
  <c r="E536" i="68"/>
  <c r="E603" i="68"/>
  <c r="E671" i="68"/>
  <c r="E739" i="68"/>
  <c r="E807" i="68"/>
  <c r="E875" i="68"/>
  <c r="E943" i="68"/>
  <c r="E1011" i="68"/>
  <c r="E1055" i="68"/>
  <c r="E1149" i="68"/>
  <c r="E57" i="68"/>
  <c r="E132" i="68"/>
  <c r="E200" i="68"/>
  <c r="E267" i="68"/>
  <c r="E336" i="68"/>
  <c r="E404" i="68"/>
  <c r="E472" i="68"/>
  <c r="E540" i="68"/>
  <c r="E607" i="68"/>
  <c r="E675" i="68"/>
  <c r="E743" i="68"/>
  <c r="E811" i="68"/>
  <c r="E879" i="68"/>
  <c r="E947" i="68"/>
  <c r="E1015" i="68"/>
  <c r="E1056" i="68"/>
  <c r="E1150" i="68"/>
  <c r="E61" i="68"/>
  <c r="E136" i="68"/>
  <c r="E204" i="68"/>
  <c r="E271" i="68"/>
  <c r="E340" i="68"/>
  <c r="E408" i="68"/>
  <c r="E476" i="68"/>
  <c r="E544" i="68"/>
  <c r="E611" i="68"/>
  <c r="E679" i="68"/>
  <c r="E747" i="68"/>
  <c r="E815" i="68"/>
  <c r="E883" i="68"/>
  <c r="E951" i="68"/>
  <c r="E1019" i="68"/>
  <c r="E1057" i="68"/>
  <c r="E1151" i="68"/>
  <c r="E65" i="68"/>
  <c r="E140" i="68"/>
  <c r="E208" i="68"/>
  <c r="E275" i="68"/>
  <c r="E344" i="68"/>
  <c r="E412" i="68"/>
  <c r="E480" i="68"/>
  <c r="E548" i="68"/>
  <c r="E615" i="68"/>
  <c r="E683" i="68"/>
  <c r="E751" i="68"/>
  <c r="E819" i="68"/>
  <c r="E887" i="68"/>
  <c r="E955" i="68"/>
  <c r="E1023" i="68"/>
  <c r="E1058" i="68"/>
  <c r="E1152" i="68"/>
  <c r="E69" i="68"/>
  <c r="E144" i="68"/>
  <c r="E212" i="68"/>
  <c r="E279" i="68"/>
  <c r="E348" i="68"/>
  <c r="E416" i="68"/>
  <c r="E484" i="68"/>
  <c r="E552" i="68"/>
  <c r="E619" i="68"/>
  <c r="E687" i="68"/>
  <c r="E755" i="68"/>
  <c r="E823" i="68"/>
  <c r="E891" i="68"/>
  <c r="E959" i="68"/>
  <c r="E1027" i="68"/>
  <c r="E1059" i="68"/>
  <c r="E1153" i="68"/>
  <c r="E73" i="68"/>
  <c r="E148" i="68"/>
  <c r="E216" i="68"/>
  <c r="E283" i="68"/>
  <c r="E352" i="68"/>
  <c r="E420" i="68"/>
  <c r="E488" i="68"/>
  <c r="E556" i="68"/>
  <c r="E623" i="68"/>
  <c r="E691" i="68"/>
  <c r="E759" i="68"/>
  <c r="E827" i="68"/>
  <c r="E895" i="68"/>
  <c r="E963" i="68"/>
  <c r="E1031" i="68"/>
  <c r="E1060" i="68"/>
  <c r="E1154" i="68"/>
  <c r="E77" i="68"/>
  <c r="E152" i="68"/>
  <c r="E220" i="68"/>
  <c r="E287" i="68"/>
  <c r="E356" i="68"/>
  <c r="E424" i="68"/>
  <c r="E492" i="68"/>
  <c r="E560" i="68"/>
  <c r="E627" i="68"/>
  <c r="E695" i="68"/>
  <c r="E763" i="68"/>
  <c r="E831" i="68"/>
  <c r="E899" i="68"/>
  <c r="E967" i="68"/>
  <c r="E1035" i="68"/>
  <c r="E1061" i="68"/>
  <c r="E1155" i="68"/>
  <c r="E81" i="68"/>
  <c r="E156" i="68"/>
  <c r="E224" i="68"/>
  <c r="E291" i="68"/>
  <c r="E360" i="68"/>
  <c r="E428" i="68"/>
  <c r="E496" i="68"/>
  <c r="E564" i="68"/>
  <c r="E631" i="68"/>
  <c r="E699" i="68"/>
  <c r="E767" i="68"/>
  <c r="E835" i="68"/>
  <c r="E903" i="68"/>
  <c r="E971" i="68"/>
  <c r="E1039" i="68"/>
  <c r="E1062" i="68"/>
  <c r="E1156" i="68"/>
  <c r="E1157" i="68"/>
  <c r="E49" i="69"/>
  <c r="F36" i="68"/>
  <c r="F37" i="68"/>
  <c r="F102" i="68"/>
  <c r="F103" i="68"/>
  <c r="F179" i="68"/>
  <c r="F180" i="68"/>
  <c r="F246" i="68"/>
  <c r="F247" i="68"/>
  <c r="F315" i="68"/>
  <c r="F316" i="68"/>
  <c r="F383" i="68"/>
  <c r="F384" i="68"/>
  <c r="F451" i="68"/>
  <c r="F452" i="68"/>
  <c r="F519" i="68"/>
  <c r="F520" i="68"/>
  <c r="F586" i="68"/>
  <c r="F587" i="68"/>
  <c r="F654" i="68"/>
  <c r="F655" i="68"/>
  <c r="F722" i="68"/>
  <c r="F723" i="68"/>
  <c r="F790" i="68"/>
  <c r="F791" i="68"/>
  <c r="F858" i="68"/>
  <c r="F859" i="68"/>
  <c r="F926" i="68"/>
  <c r="F927" i="68"/>
  <c r="F994" i="68"/>
  <c r="F995" i="68"/>
  <c r="F1051" i="68"/>
  <c r="F1145" i="68"/>
  <c r="F41" i="68"/>
  <c r="F107" i="68"/>
  <c r="F184" i="68"/>
  <c r="F251" i="68"/>
  <c r="F320" i="68"/>
  <c r="F388" i="68"/>
  <c r="F456" i="68"/>
  <c r="F524" i="68"/>
  <c r="F591" i="68"/>
  <c r="F659" i="68"/>
  <c r="F727" i="68"/>
  <c r="F795" i="68"/>
  <c r="F863" i="68"/>
  <c r="F931" i="68"/>
  <c r="F999" i="68"/>
  <c r="F1052" i="68"/>
  <c r="F1146" i="68"/>
  <c r="F45" i="68"/>
  <c r="F119" i="68"/>
  <c r="F188" i="68"/>
  <c r="F255" i="68"/>
  <c r="F324" i="68"/>
  <c r="F392" i="68"/>
  <c r="F460" i="68"/>
  <c r="F528" i="68"/>
  <c r="F595" i="68"/>
  <c r="F663" i="68"/>
  <c r="F731" i="68"/>
  <c r="F799" i="68"/>
  <c r="F867" i="68"/>
  <c r="F935" i="68"/>
  <c r="F1003" i="68"/>
  <c r="F1053" i="68"/>
  <c r="F1147" i="68"/>
  <c r="F49" i="68"/>
  <c r="F123" i="68"/>
  <c r="F192" i="68"/>
  <c r="F259" i="68"/>
  <c r="F328" i="68"/>
  <c r="F396" i="68"/>
  <c r="F464" i="68"/>
  <c r="F532" i="68"/>
  <c r="F599" i="68"/>
  <c r="F667" i="68"/>
  <c r="F735" i="68"/>
  <c r="F803" i="68"/>
  <c r="F871" i="68"/>
  <c r="F939" i="68"/>
  <c r="F1007" i="68"/>
  <c r="F1054" i="68"/>
  <c r="F1148" i="68"/>
  <c r="F53" i="68"/>
  <c r="F128" i="68"/>
  <c r="F196" i="68"/>
  <c r="F263" i="68"/>
  <c r="F332" i="68"/>
  <c r="F400" i="68"/>
  <c r="F468" i="68"/>
  <c r="F536" i="68"/>
  <c r="F603" i="68"/>
  <c r="F671" i="68"/>
  <c r="F739" i="68"/>
  <c r="F807" i="68"/>
  <c r="F875" i="68"/>
  <c r="F943" i="68"/>
  <c r="F1011" i="68"/>
  <c r="F1055" i="68"/>
  <c r="F1149" i="68"/>
  <c r="F57" i="68"/>
  <c r="F132" i="68"/>
  <c r="F200" i="68"/>
  <c r="F267" i="68"/>
  <c r="F336" i="68"/>
  <c r="F404" i="68"/>
  <c r="F472" i="68"/>
  <c r="F540" i="68"/>
  <c r="F607" i="68"/>
  <c r="F675" i="68"/>
  <c r="F743" i="68"/>
  <c r="F811" i="68"/>
  <c r="F879" i="68"/>
  <c r="F947" i="68"/>
  <c r="F1015" i="68"/>
  <c r="F1056" i="68"/>
  <c r="F1150" i="68"/>
  <c r="F61" i="68"/>
  <c r="F136" i="68"/>
  <c r="F204" i="68"/>
  <c r="F271" i="68"/>
  <c r="F340" i="68"/>
  <c r="F408" i="68"/>
  <c r="F476" i="68"/>
  <c r="F544" i="68"/>
  <c r="F611" i="68"/>
  <c r="F679" i="68"/>
  <c r="F747" i="68"/>
  <c r="F815" i="68"/>
  <c r="F883" i="68"/>
  <c r="F951" i="68"/>
  <c r="F1019" i="68"/>
  <c r="F1057" i="68"/>
  <c r="F1151" i="68"/>
  <c r="F65" i="68"/>
  <c r="F140" i="68"/>
  <c r="F208" i="68"/>
  <c r="F275" i="68"/>
  <c r="F344" i="68"/>
  <c r="F412" i="68"/>
  <c r="F480" i="68"/>
  <c r="F548" i="68"/>
  <c r="F615" i="68"/>
  <c r="F683" i="68"/>
  <c r="F751" i="68"/>
  <c r="F819" i="68"/>
  <c r="F887" i="68"/>
  <c r="F955" i="68"/>
  <c r="F1023" i="68"/>
  <c r="F1058" i="68"/>
  <c r="F1152" i="68"/>
  <c r="F69" i="68"/>
  <c r="F144" i="68"/>
  <c r="F212" i="68"/>
  <c r="F279" i="68"/>
  <c r="F348" i="68"/>
  <c r="F416" i="68"/>
  <c r="F484" i="68"/>
  <c r="F552" i="68"/>
  <c r="F619" i="68"/>
  <c r="F687" i="68"/>
  <c r="F755" i="68"/>
  <c r="F823" i="68"/>
  <c r="F891" i="68"/>
  <c r="F959" i="68"/>
  <c r="F1027" i="68"/>
  <c r="F1059" i="68"/>
  <c r="F1153" i="68"/>
  <c r="F73" i="68"/>
  <c r="F148" i="68"/>
  <c r="F216" i="68"/>
  <c r="F283" i="68"/>
  <c r="F352" i="68"/>
  <c r="F420" i="68"/>
  <c r="F488" i="68"/>
  <c r="F556" i="68"/>
  <c r="F623" i="68"/>
  <c r="F691" i="68"/>
  <c r="F759" i="68"/>
  <c r="F827" i="68"/>
  <c r="F895" i="68"/>
  <c r="F963" i="68"/>
  <c r="F1031" i="68"/>
  <c r="F1060" i="68"/>
  <c r="F1154" i="68"/>
  <c r="F77" i="68"/>
  <c r="F152" i="68"/>
  <c r="F220" i="68"/>
  <c r="F287" i="68"/>
  <c r="F356" i="68"/>
  <c r="F424" i="68"/>
  <c r="F492" i="68"/>
  <c r="F560" i="68"/>
  <c r="F627" i="68"/>
  <c r="F695" i="68"/>
  <c r="F763" i="68"/>
  <c r="F831" i="68"/>
  <c r="F899" i="68"/>
  <c r="F967" i="68"/>
  <c r="F1035" i="68"/>
  <c r="F1061" i="68"/>
  <c r="F1155" i="68"/>
  <c r="F81" i="68"/>
  <c r="F156" i="68"/>
  <c r="F224" i="68"/>
  <c r="F291" i="68"/>
  <c r="F360" i="68"/>
  <c r="F428" i="68"/>
  <c r="F496" i="68"/>
  <c r="F564" i="68"/>
  <c r="F631" i="68"/>
  <c r="F699" i="68"/>
  <c r="F767" i="68"/>
  <c r="F835" i="68"/>
  <c r="F903" i="68"/>
  <c r="F971" i="68"/>
  <c r="F1039" i="68"/>
  <c r="F1062" i="68"/>
  <c r="F1156" i="68"/>
  <c r="F1157" i="68"/>
  <c r="F49" i="69"/>
  <c r="G36" i="68"/>
  <c r="G37" i="68"/>
  <c r="G102" i="68"/>
  <c r="G103" i="68"/>
  <c r="G179" i="68"/>
  <c r="G180" i="68"/>
  <c r="G246" i="68"/>
  <c r="G247" i="68"/>
  <c r="G315" i="68"/>
  <c r="G316" i="68"/>
  <c r="G383" i="68"/>
  <c r="G384" i="68"/>
  <c r="G451" i="68"/>
  <c r="G452" i="68"/>
  <c r="G519" i="68"/>
  <c r="G520" i="68"/>
  <c r="G586" i="68"/>
  <c r="G587" i="68"/>
  <c r="G654" i="68"/>
  <c r="G655" i="68"/>
  <c r="G722" i="68"/>
  <c r="G723" i="68"/>
  <c r="G790" i="68"/>
  <c r="G791" i="68"/>
  <c r="G858" i="68"/>
  <c r="G859" i="68"/>
  <c r="G926" i="68"/>
  <c r="G927" i="68"/>
  <c r="G994" i="68"/>
  <c r="G995" i="68"/>
  <c r="G1051" i="68"/>
  <c r="G1145" i="68"/>
  <c r="G41" i="68"/>
  <c r="G107" i="68"/>
  <c r="G184" i="68"/>
  <c r="G251" i="68"/>
  <c r="G320" i="68"/>
  <c r="G388" i="68"/>
  <c r="G456" i="68"/>
  <c r="G524" i="68"/>
  <c r="G591" i="68"/>
  <c r="G659" i="68"/>
  <c r="G727" i="68"/>
  <c r="G795" i="68"/>
  <c r="G863" i="68"/>
  <c r="G931" i="68"/>
  <c r="G999" i="68"/>
  <c r="G1052" i="68"/>
  <c r="G1146" i="68"/>
  <c r="G45" i="68"/>
  <c r="G119" i="68"/>
  <c r="G188" i="68"/>
  <c r="G255" i="68"/>
  <c r="G324" i="68"/>
  <c r="G392" i="68"/>
  <c r="G460" i="68"/>
  <c r="G528" i="68"/>
  <c r="G595" i="68"/>
  <c r="G663" i="68"/>
  <c r="G731" i="68"/>
  <c r="G799" i="68"/>
  <c r="G867" i="68"/>
  <c r="G935" i="68"/>
  <c r="G1003" i="68"/>
  <c r="G1053" i="68"/>
  <c r="G1147" i="68"/>
  <c r="G49" i="68"/>
  <c r="G123" i="68"/>
  <c r="G192" i="68"/>
  <c r="G259" i="68"/>
  <c r="G328" i="68"/>
  <c r="G396" i="68"/>
  <c r="G464" i="68"/>
  <c r="G532" i="68"/>
  <c r="G599" i="68"/>
  <c r="G667" i="68"/>
  <c r="G735" i="68"/>
  <c r="G803" i="68"/>
  <c r="G871" i="68"/>
  <c r="G939" i="68"/>
  <c r="G1007" i="68"/>
  <c r="G1054" i="68"/>
  <c r="G1148" i="68"/>
  <c r="G53" i="68"/>
  <c r="G128" i="68"/>
  <c r="G196" i="68"/>
  <c r="G263" i="68"/>
  <c r="G332" i="68"/>
  <c r="G400" i="68"/>
  <c r="G468" i="68"/>
  <c r="G536" i="68"/>
  <c r="G603" i="68"/>
  <c r="G671" i="68"/>
  <c r="G739" i="68"/>
  <c r="G807" i="68"/>
  <c r="G875" i="68"/>
  <c r="G943" i="68"/>
  <c r="G1011" i="68"/>
  <c r="G1055" i="68"/>
  <c r="G1149" i="68"/>
  <c r="G57" i="68"/>
  <c r="G132" i="68"/>
  <c r="G200" i="68"/>
  <c r="G267" i="68"/>
  <c r="G336" i="68"/>
  <c r="G404" i="68"/>
  <c r="G472" i="68"/>
  <c r="G540" i="68"/>
  <c r="G607" i="68"/>
  <c r="G675" i="68"/>
  <c r="G743" i="68"/>
  <c r="G811" i="68"/>
  <c r="G879" i="68"/>
  <c r="G947" i="68"/>
  <c r="G1015" i="68"/>
  <c r="G1056" i="68"/>
  <c r="G1150" i="68"/>
  <c r="G61" i="68"/>
  <c r="G136" i="68"/>
  <c r="G204" i="68"/>
  <c r="G271" i="68"/>
  <c r="G340" i="68"/>
  <c r="G408" i="68"/>
  <c r="G476" i="68"/>
  <c r="G544" i="68"/>
  <c r="G611" i="68"/>
  <c r="G679" i="68"/>
  <c r="G747" i="68"/>
  <c r="G815" i="68"/>
  <c r="G883" i="68"/>
  <c r="G951" i="68"/>
  <c r="G1019" i="68"/>
  <c r="G1057" i="68"/>
  <c r="G1151" i="68"/>
  <c r="G65" i="68"/>
  <c r="G140" i="68"/>
  <c r="G208" i="68"/>
  <c r="G275" i="68"/>
  <c r="G344" i="68"/>
  <c r="G412" i="68"/>
  <c r="G480" i="68"/>
  <c r="G548" i="68"/>
  <c r="G615" i="68"/>
  <c r="G683" i="68"/>
  <c r="G751" i="68"/>
  <c r="G819" i="68"/>
  <c r="G887" i="68"/>
  <c r="G955" i="68"/>
  <c r="G1023" i="68"/>
  <c r="G1058" i="68"/>
  <c r="G1152" i="68"/>
  <c r="G69" i="68"/>
  <c r="G144" i="68"/>
  <c r="G212" i="68"/>
  <c r="G279" i="68"/>
  <c r="G348" i="68"/>
  <c r="G416" i="68"/>
  <c r="G484" i="68"/>
  <c r="G552" i="68"/>
  <c r="G619" i="68"/>
  <c r="G687" i="68"/>
  <c r="G755" i="68"/>
  <c r="G823" i="68"/>
  <c r="G891" i="68"/>
  <c r="G959" i="68"/>
  <c r="G1027" i="68"/>
  <c r="G1059" i="68"/>
  <c r="G1153" i="68"/>
  <c r="G73" i="68"/>
  <c r="G148" i="68"/>
  <c r="G216" i="68"/>
  <c r="G283" i="68"/>
  <c r="G352" i="68"/>
  <c r="G420" i="68"/>
  <c r="G488" i="68"/>
  <c r="G556" i="68"/>
  <c r="G623" i="68"/>
  <c r="G691" i="68"/>
  <c r="G759" i="68"/>
  <c r="G827" i="68"/>
  <c r="G895" i="68"/>
  <c r="G963" i="68"/>
  <c r="G1031" i="68"/>
  <c r="G1060" i="68"/>
  <c r="G1154" i="68"/>
  <c r="G77" i="68"/>
  <c r="G152" i="68"/>
  <c r="G220" i="68"/>
  <c r="G287" i="68"/>
  <c r="G356" i="68"/>
  <c r="G424" i="68"/>
  <c r="G492" i="68"/>
  <c r="G560" i="68"/>
  <c r="G627" i="68"/>
  <c r="G695" i="68"/>
  <c r="G763" i="68"/>
  <c r="G831" i="68"/>
  <c r="G899" i="68"/>
  <c r="G967" i="68"/>
  <c r="G1035" i="68"/>
  <c r="G1061" i="68"/>
  <c r="G1155" i="68"/>
  <c r="G81" i="68"/>
  <c r="G156" i="68"/>
  <c r="G224" i="68"/>
  <c r="G291" i="68"/>
  <c r="G360" i="68"/>
  <c r="G428" i="68"/>
  <c r="G496" i="68"/>
  <c r="G564" i="68"/>
  <c r="G631" i="68"/>
  <c r="G699" i="68"/>
  <c r="G767" i="68"/>
  <c r="G835" i="68"/>
  <c r="G903" i="68"/>
  <c r="G971" i="68"/>
  <c r="G1039" i="68"/>
  <c r="G1062" i="68"/>
  <c r="G1156" i="68"/>
  <c r="G1157" i="68"/>
  <c r="G49" i="69"/>
  <c r="H36" i="68"/>
  <c r="H37" i="68"/>
  <c r="H102" i="68"/>
  <c r="H103" i="68"/>
  <c r="H179" i="68"/>
  <c r="H180" i="68"/>
  <c r="H246" i="68"/>
  <c r="H247" i="68"/>
  <c r="H315" i="68"/>
  <c r="H316" i="68"/>
  <c r="H383" i="68"/>
  <c r="H384" i="68"/>
  <c r="H451" i="68"/>
  <c r="H452" i="68"/>
  <c r="H519" i="68"/>
  <c r="H520" i="68"/>
  <c r="H586" i="68"/>
  <c r="H587" i="68"/>
  <c r="H654" i="68"/>
  <c r="H655" i="68"/>
  <c r="H722" i="68"/>
  <c r="H723" i="68"/>
  <c r="H790" i="68"/>
  <c r="H791" i="68"/>
  <c r="H858" i="68"/>
  <c r="H859" i="68"/>
  <c r="H926" i="68"/>
  <c r="H927" i="68"/>
  <c r="H994" i="68"/>
  <c r="H995" i="68"/>
  <c r="H1051" i="68"/>
  <c r="H1145" i="68"/>
  <c r="H41" i="68"/>
  <c r="H107" i="68"/>
  <c r="H184" i="68"/>
  <c r="H251" i="68"/>
  <c r="H320" i="68"/>
  <c r="H388" i="68"/>
  <c r="H456" i="68"/>
  <c r="H524" i="68"/>
  <c r="H591" i="68"/>
  <c r="H659" i="68"/>
  <c r="H727" i="68"/>
  <c r="H795" i="68"/>
  <c r="H863" i="68"/>
  <c r="H931" i="68"/>
  <c r="H999" i="68"/>
  <c r="H1052" i="68"/>
  <c r="H1146" i="68"/>
  <c r="H45" i="68"/>
  <c r="H119" i="68"/>
  <c r="H188" i="68"/>
  <c r="H255" i="68"/>
  <c r="H324" i="68"/>
  <c r="H392" i="68"/>
  <c r="H460" i="68"/>
  <c r="H528" i="68"/>
  <c r="H595" i="68"/>
  <c r="H663" i="68"/>
  <c r="H731" i="68"/>
  <c r="H799" i="68"/>
  <c r="H867" i="68"/>
  <c r="H935" i="68"/>
  <c r="H1003" i="68"/>
  <c r="H1053" i="68"/>
  <c r="H1147" i="68"/>
  <c r="H49" i="68"/>
  <c r="H123" i="68"/>
  <c r="H192" i="68"/>
  <c r="H259" i="68"/>
  <c r="H328" i="68"/>
  <c r="H396" i="68"/>
  <c r="H464" i="68"/>
  <c r="H532" i="68"/>
  <c r="H599" i="68"/>
  <c r="H667" i="68"/>
  <c r="H735" i="68"/>
  <c r="H803" i="68"/>
  <c r="H871" i="68"/>
  <c r="H939" i="68"/>
  <c r="H1007" i="68"/>
  <c r="H1054" i="68"/>
  <c r="H1148" i="68"/>
  <c r="H53" i="68"/>
  <c r="H128" i="68"/>
  <c r="H196" i="68"/>
  <c r="H263" i="68"/>
  <c r="H332" i="68"/>
  <c r="H400" i="68"/>
  <c r="H468" i="68"/>
  <c r="H536" i="68"/>
  <c r="H603" i="68"/>
  <c r="H671" i="68"/>
  <c r="H739" i="68"/>
  <c r="H807" i="68"/>
  <c r="H875" i="68"/>
  <c r="H943" i="68"/>
  <c r="H1011" i="68"/>
  <c r="H1055" i="68"/>
  <c r="H1149" i="68"/>
  <c r="H57" i="68"/>
  <c r="H132" i="68"/>
  <c r="H200" i="68"/>
  <c r="H267" i="68"/>
  <c r="H336" i="68"/>
  <c r="H404" i="68"/>
  <c r="H472" i="68"/>
  <c r="H540" i="68"/>
  <c r="H607" i="68"/>
  <c r="H675" i="68"/>
  <c r="H743" i="68"/>
  <c r="H811" i="68"/>
  <c r="H879" i="68"/>
  <c r="H947" i="68"/>
  <c r="H1015" i="68"/>
  <c r="H1056" i="68"/>
  <c r="H1150" i="68"/>
  <c r="H61" i="68"/>
  <c r="H136" i="68"/>
  <c r="H204" i="68"/>
  <c r="H271" i="68"/>
  <c r="H340" i="68"/>
  <c r="H408" i="68"/>
  <c r="H476" i="68"/>
  <c r="H544" i="68"/>
  <c r="H611" i="68"/>
  <c r="H679" i="68"/>
  <c r="H747" i="68"/>
  <c r="H815" i="68"/>
  <c r="H883" i="68"/>
  <c r="H951" i="68"/>
  <c r="H1019" i="68"/>
  <c r="H1057" i="68"/>
  <c r="H1151" i="68"/>
  <c r="H65" i="68"/>
  <c r="H140" i="68"/>
  <c r="H208" i="68"/>
  <c r="H275" i="68"/>
  <c r="H344" i="68"/>
  <c r="H412" i="68"/>
  <c r="H480" i="68"/>
  <c r="H548" i="68"/>
  <c r="H615" i="68"/>
  <c r="H683" i="68"/>
  <c r="H751" i="68"/>
  <c r="H819" i="68"/>
  <c r="H887" i="68"/>
  <c r="H955" i="68"/>
  <c r="H1023" i="68"/>
  <c r="H1058" i="68"/>
  <c r="H1152" i="68"/>
  <c r="H69" i="68"/>
  <c r="H144" i="68"/>
  <c r="H212" i="68"/>
  <c r="H279" i="68"/>
  <c r="H348" i="68"/>
  <c r="H416" i="68"/>
  <c r="H484" i="68"/>
  <c r="H552" i="68"/>
  <c r="H619" i="68"/>
  <c r="H687" i="68"/>
  <c r="H755" i="68"/>
  <c r="H823" i="68"/>
  <c r="H891" i="68"/>
  <c r="H959" i="68"/>
  <c r="H1027" i="68"/>
  <c r="H1059" i="68"/>
  <c r="H1153" i="68"/>
  <c r="H73" i="68"/>
  <c r="H148" i="68"/>
  <c r="H216" i="68"/>
  <c r="H283" i="68"/>
  <c r="H352" i="68"/>
  <c r="H420" i="68"/>
  <c r="H488" i="68"/>
  <c r="H556" i="68"/>
  <c r="H623" i="68"/>
  <c r="H691" i="68"/>
  <c r="H759" i="68"/>
  <c r="H827" i="68"/>
  <c r="H895" i="68"/>
  <c r="H963" i="68"/>
  <c r="H1031" i="68"/>
  <c r="H1060" i="68"/>
  <c r="H1154" i="68"/>
  <c r="H77" i="68"/>
  <c r="H152" i="68"/>
  <c r="H220" i="68"/>
  <c r="H287" i="68"/>
  <c r="H356" i="68"/>
  <c r="H424" i="68"/>
  <c r="H492" i="68"/>
  <c r="H560" i="68"/>
  <c r="H627" i="68"/>
  <c r="H695" i="68"/>
  <c r="H763" i="68"/>
  <c r="H831" i="68"/>
  <c r="H899" i="68"/>
  <c r="H967" i="68"/>
  <c r="H1035" i="68"/>
  <c r="H1061" i="68"/>
  <c r="H1155" i="68"/>
  <c r="H81" i="68"/>
  <c r="H156" i="68"/>
  <c r="H224" i="68"/>
  <c r="H291" i="68"/>
  <c r="H360" i="68"/>
  <c r="H428" i="68"/>
  <c r="H496" i="68"/>
  <c r="H564" i="68"/>
  <c r="H631" i="68"/>
  <c r="H699" i="68"/>
  <c r="H767" i="68"/>
  <c r="H835" i="68"/>
  <c r="H903" i="68"/>
  <c r="H971" i="68"/>
  <c r="H1039" i="68"/>
  <c r="H1062" i="68"/>
  <c r="H1156" i="68"/>
  <c r="H1157" i="68"/>
  <c r="H49" i="69"/>
  <c r="I36" i="68"/>
  <c r="I37" i="68"/>
  <c r="I102" i="68"/>
  <c r="I103" i="68"/>
  <c r="I179" i="68"/>
  <c r="I180" i="68"/>
  <c r="I246" i="68"/>
  <c r="I247" i="68"/>
  <c r="I315" i="68"/>
  <c r="I316" i="68"/>
  <c r="I383" i="68"/>
  <c r="I384" i="68"/>
  <c r="I451" i="68"/>
  <c r="I452" i="68"/>
  <c r="I519" i="68"/>
  <c r="I520" i="68"/>
  <c r="I586" i="68"/>
  <c r="I587" i="68"/>
  <c r="I654" i="68"/>
  <c r="I655" i="68"/>
  <c r="I722" i="68"/>
  <c r="I723" i="68"/>
  <c r="I790" i="68"/>
  <c r="I791" i="68"/>
  <c r="I858" i="68"/>
  <c r="I859" i="68"/>
  <c r="I926" i="68"/>
  <c r="I927" i="68"/>
  <c r="I994" i="68"/>
  <c r="I995" i="68"/>
  <c r="I1051" i="68"/>
  <c r="I1145" i="68"/>
  <c r="I41" i="68"/>
  <c r="I107" i="68"/>
  <c r="I184" i="68"/>
  <c r="I251" i="68"/>
  <c r="I320" i="68"/>
  <c r="I388" i="68"/>
  <c r="I456" i="68"/>
  <c r="I524" i="68"/>
  <c r="I591" i="68"/>
  <c r="I659" i="68"/>
  <c r="I727" i="68"/>
  <c r="I795" i="68"/>
  <c r="I863" i="68"/>
  <c r="I931" i="68"/>
  <c r="I999" i="68"/>
  <c r="I1052" i="68"/>
  <c r="I1146" i="68"/>
  <c r="I45" i="68"/>
  <c r="I119" i="68"/>
  <c r="I188" i="68"/>
  <c r="I255" i="68"/>
  <c r="I324" i="68"/>
  <c r="I392" i="68"/>
  <c r="I460" i="68"/>
  <c r="I528" i="68"/>
  <c r="I595" i="68"/>
  <c r="I663" i="68"/>
  <c r="I731" i="68"/>
  <c r="I799" i="68"/>
  <c r="I867" i="68"/>
  <c r="I935" i="68"/>
  <c r="I1003" i="68"/>
  <c r="I1053" i="68"/>
  <c r="I1147" i="68"/>
  <c r="I49" i="68"/>
  <c r="I123" i="68"/>
  <c r="I192" i="68"/>
  <c r="I259" i="68"/>
  <c r="I328" i="68"/>
  <c r="I396" i="68"/>
  <c r="I464" i="68"/>
  <c r="I532" i="68"/>
  <c r="I599" i="68"/>
  <c r="I667" i="68"/>
  <c r="I735" i="68"/>
  <c r="I803" i="68"/>
  <c r="I871" i="68"/>
  <c r="I939" i="68"/>
  <c r="I1007" i="68"/>
  <c r="I1054" i="68"/>
  <c r="I1148" i="68"/>
  <c r="I53" i="68"/>
  <c r="I128" i="68"/>
  <c r="I196" i="68"/>
  <c r="I263" i="68"/>
  <c r="I332" i="68"/>
  <c r="I400" i="68"/>
  <c r="I468" i="68"/>
  <c r="I536" i="68"/>
  <c r="I603" i="68"/>
  <c r="I671" i="68"/>
  <c r="I739" i="68"/>
  <c r="I807" i="68"/>
  <c r="I875" i="68"/>
  <c r="I943" i="68"/>
  <c r="I1011" i="68"/>
  <c r="I1055" i="68"/>
  <c r="I1149" i="68"/>
  <c r="I57" i="68"/>
  <c r="I132" i="68"/>
  <c r="I200" i="68"/>
  <c r="I267" i="68"/>
  <c r="I336" i="68"/>
  <c r="I404" i="68"/>
  <c r="I472" i="68"/>
  <c r="I540" i="68"/>
  <c r="I607" i="68"/>
  <c r="I675" i="68"/>
  <c r="I743" i="68"/>
  <c r="I811" i="68"/>
  <c r="I879" i="68"/>
  <c r="I947" i="68"/>
  <c r="I1015" i="68"/>
  <c r="I1056" i="68"/>
  <c r="I1150" i="68"/>
  <c r="I61" i="68"/>
  <c r="I136" i="68"/>
  <c r="I204" i="68"/>
  <c r="I271" i="68"/>
  <c r="I340" i="68"/>
  <c r="I408" i="68"/>
  <c r="I476" i="68"/>
  <c r="I544" i="68"/>
  <c r="I611" i="68"/>
  <c r="I679" i="68"/>
  <c r="I747" i="68"/>
  <c r="I815" i="68"/>
  <c r="I883" i="68"/>
  <c r="I951" i="68"/>
  <c r="I1019" i="68"/>
  <c r="I1057" i="68"/>
  <c r="I1151" i="68"/>
  <c r="I65" i="68"/>
  <c r="I140" i="68"/>
  <c r="I208" i="68"/>
  <c r="I275" i="68"/>
  <c r="I344" i="68"/>
  <c r="I412" i="68"/>
  <c r="I480" i="68"/>
  <c r="I548" i="68"/>
  <c r="I615" i="68"/>
  <c r="I683" i="68"/>
  <c r="I751" i="68"/>
  <c r="I819" i="68"/>
  <c r="I887" i="68"/>
  <c r="I955" i="68"/>
  <c r="I1023" i="68"/>
  <c r="I1058" i="68"/>
  <c r="I1152" i="68"/>
  <c r="I69" i="68"/>
  <c r="I144" i="68"/>
  <c r="I212" i="68"/>
  <c r="I279" i="68"/>
  <c r="I348" i="68"/>
  <c r="I416" i="68"/>
  <c r="I484" i="68"/>
  <c r="I552" i="68"/>
  <c r="I619" i="68"/>
  <c r="I687" i="68"/>
  <c r="I755" i="68"/>
  <c r="I823" i="68"/>
  <c r="I891" i="68"/>
  <c r="I959" i="68"/>
  <c r="I1027" i="68"/>
  <c r="I1059" i="68"/>
  <c r="I1153" i="68"/>
  <c r="I73" i="68"/>
  <c r="I148" i="68"/>
  <c r="I216" i="68"/>
  <c r="I283" i="68"/>
  <c r="I352" i="68"/>
  <c r="I420" i="68"/>
  <c r="I488" i="68"/>
  <c r="I556" i="68"/>
  <c r="I623" i="68"/>
  <c r="I691" i="68"/>
  <c r="I759" i="68"/>
  <c r="I827" i="68"/>
  <c r="I895" i="68"/>
  <c r="I963" i="68"/>
  <c r="I1031" i="68"/>
  <c r="I1060" i="68"/>
  <c r="I1154" i="68"/>
  <c r="I77" i="68"/>
  <c r="I152" i="68"/>
  <c r="I220" i="68"/>
  <c r="I287" i="68"/>
  <c r="I356" i="68"/>
  <c r="I424" i="68"/>
  <c r="I492" i="68"/>
  <c r="I560" i="68"/>
  <c r="I627" i="68"/>
  <c r="I695" i="68"/>
  <c r="I763" i="68"/>
  <c r="I831" i="68"/>
  <c r="I899" i="68"/>
  <c r="I967" i="68"/>
  <c r="I1035" i="68"/>
  <c r="I1061" i="68"/>
  <c r="I1155" i="68"/>
  <c r="I81" i="68"/>
  <c r="I156" i="68"/>
  <c r="I224" i="68"/>
  <c r="I291" i="68"/>
  <c r="I360" i="68"/>
  <c r="I428" i="68"/>
  <c r="I496" i="68"/>
  <c r="I564" i="68"/>
  <c r="I631" i="68"/>
  <c r="I699" i="68"/>
  <c r="I767" i="68"/>
  <c r="I835" i="68"/>
  <c r="I903" i="68"/>
  <c r="I971" i="68"/>
  <c r="I1039" i="68"/>
  <c r="I1062" i="68"/>
  <c r="I1156" i="68"/>
  <c r="I1157" i="68"/>
  <c r="I49" i="69"/>
  <c r="J36" i="68"/>
  <c r="J37" i="68"/>
  <c r="J102" i="68"/>
  <c r="J103" i="68"/>
  <c r="J179" i="68"/>
  <c r="J180" i="68"/>
  <c r="J246" i="68"/>
  <c r="J247" i="68"/>
  <c r="J315" i="68"/>
  <c r="J316" i="68"/>
  <c r="J383" i="68"/>
  <c r="J384" i="68"/>
  <c r="J451" i="68"/>
  <c r="J452" i="68"/>
  <c r="J519" i="68"/>
  <c r="J520" i="68"/>
  <c r="J586" i="68"/>
  <c r="J587" i="68"/>
  <c r="J654" i="68"/>
  <c r="J655" i="68"/>
  <c r="J722" i="68"/>
  <c r="J723" i="68"/>
  <c r="J790" i="68"/>
  <c r="J791" i="68"/>
  <c r="J858" i="68"/>
  <c r="J859" i="68"/>
  <c r="J926" i="68"/>
  <c r="J927" i="68"/>
  <c r="J994" i="68"/>
  <c r="J995" i="68"/>
  <c r="J1051" i="68"/>
  <c r="J1145" i="68"/>
  <c r="J41" i="68"/>
  <c r="J107" i="68"/>
  <c r="J184" i="68"/>
  <c r="J251" i="68"/>
  <c r="J320" i="68"/>
  <c r="J388" i="68"/>
  <c r="J456" i="68"/>
  <c r="J524" i="68"/>
  <c r="J591" i="68"/>
  <c r="J659" i="68"/>
  <c r="J727" i="68"/>
  <c r="J795" i="68"/>
  <c r="J863" i="68"/>
  <c r="J931" i="68"/>
  <c r="J999" i="68"/>
  <c r="J1052" i="68"/>
  <c r="J1146" i="68"/>
  <c r="J45" i="68"/>
  <c r="J119" i="68"/>
  <c r="J188" i="68"/>
  <c r="J255" i="68"/>
  <c r="J324" i="68"/>
  <c r="J392" i="68"/>
  <c r="J460" i="68"/>
  <c r="J528" i="68"/>
  <c r="J595" i="68"/>
  <c r="J663" i="68"/>
  <c r="J731" i="68"/>
  <c r="J799" i="68"/>
  <c r="J867" i="68"/>
  <c r="J935" i="68"/>
  <c r="J1003" i="68"/>
  <c r="J1053" i="68"/>
  <c r="J1147" i="68"/>
  <c r="J49" i="68"/>
  <c r="J123" i="68"/>
  <c r="J192" i="68"/>
  <c r="J259" i="68"/>
  <c r="J328" i="68"/>
  <c r="J396" i="68"/>
  <c r="J464" i="68"/>
  <c r="J532" i="68"/>
  <c r="J599" i="68"/>
  <c r="J667" i="68"/>
  <c r="J735" i="68"/>
  <c r="J803" i="68"/>
  <c r="J871" i="68"/>
  <c r="J939" i="68"/>
  <c r="J1007" i="68"/>
  <c r="J1054" i="68"/>
  <c r="J1148" i="68"/>
  <c r="J53" i="68"/>
  <c r="J128" i="68"/>
  <c r="J196" i="68"/>
  <c r="J263" i="68"/>
  <c r="J332" i="68"/>
  <c r="J400" i="68"/>
  <c r="J468" i="68"/>
  <c r="J536" i="68"/>
  <c r="J603" i="68"/>
  <c r="J671" i="68"/>
  <c r="J739" i="68"/>
  <c r="J807" i="68"/>
  <c r="J875" i="68"/>
  <c r="J943" i="68"/>
  <c r="J1011" i="68"/>
  <c r="J1055" i="68"/>
  <c r="J1149" i="68"/>
  <c r="J57" i="68"/>
  <c r="J132" i="68"/>
  <c r="J200" i="68"/>
  <c r="J267" i="68"/>
  <c r="J336" i="68"/>
  <c r="J404" i="68"/>
  <c r="J472" i="68"/>
  <c r="J540" i="68"/>
  <c r="J607" i="68"/>
  <c r="J675" i="68"/>
  <c r="J743" i="68"/>
  <c r="J811" i="68"/>
  <c r="J879" i="68"/>
  <c r="J947" i="68"/>
  <c r="J1015" i="68"/>
  <c r="J1056" i="68"/>
  <c r="J1150" i="68"/>
  <c r="J61" i="68"/>
  <c r="J136" i="68"/>
  <c r="J204" i="68"/>
  <c r="J271" i="68"/>
  <c r="J340" i="68"/>
  <c r="J408" i="68"/>
  <c r="J476" i="68"/>
  <c r="J544" i="68"/>
  <c r="J611" i="68"/>
  <c r="J679" i="68"/>
  <c r="J747" i="68"/>
  <c r="J815" i="68"/>
  <c r="J883" i="68"/>
  <c r="J951" i="68"/>
  <c r="J1019" i="68"/>
  <c r="J1057" i="68"/>
  <c r="J1151" i="68"/>
  <c r="J65" i="68"/>
  <c r="J140" i="68"/>
  <c r="J208" i="68"/>
  <c r="J275" i="68"/>
  <c r="J344" i="68"/>
  <c r="J412" i="68"/>
  <c r="J480" i="68"/>
  <c r="J548" i="68"/>
  <c r="J615" i="68"/>
  <c r="J683" i="68"/>
  <c r="J751" i="68"/>
  <c r="J819" i="68"/>
  <c r="J887" i="68"/>
  <c r="J955" i="68"/>
  <c r="J1023" i="68"/>
  <c r="J1058" i="68"/>
  <c r="J1152" i="68"/>
  <c r="J69" i="68"/>
  <c r="J144" i="68"/>
  <c r="J212" i="68"/>
  <c r="J279" i="68"/>
  <c r="J348" i="68"/>
  <c r="J416" i="68"/>
  <c r="J484" i="68"/>
  <c r="J552" i="68"/>
  <c r="J619" i="68"/>
  <c r="J687" i="68"/>
  <c r="J755" i="68"/>
  <c r="J823" i="68"/>
  <c r="J891" i="68"/>
  <c r="J959" i="68"/>
  <c r="J1027" i="68"/>
  <c r="J1059" i="68"/>
  <c r="J1153" i="68"/>
  <c r="J73" i="68"/>
  <c r="J148" i="68"/>
  <c r="J216" i="68"/>
  <c r="J283" i="68"/>
  <c r="J352" i="68"/>
  <c r="J420" i="68"/>
  <c r="J488" i="68"/>
  <c r="J556" i="68"/>
  <c r="J623" i="68"/>
  <c r="J691" i="68"/>
  <c r="J759" i="68"/>
  <c r="J827" i="68"/>
  <c r="J895" i="68"/>
  <c r="J963" i="68"/>
  <c r="J1031" i="68"/>
  <c r="J1060" i="68"/>
  <c r="J1154" i="68"/>
  <c r="J77" i="68"/>
  <c r="J152" i="68"/>
  <c r="J220" i="68"/>
  <c r="J287" i="68"/>
  <c r="J356" i="68"/>
  <c r="J424" i="68"/>
  <c r="J492" i="68"/>
  <c r="J560" i="68"/>
  <c r="J627" i="68"/>
  <c r="J695" i="68"/>
  <c r="J763" i="68"/>
  <c r="J831" i="68"/>
  <c r="J899" i="68"/>
  <c r="J967" i="68"/>
  <c r="J1035" i="68"/>
  <c r="J1061" i="68"/>
  <c r="J1155" i="68"/>
  <c r="J81" i="68"/>
  <c r="J156" i="68"/>
  <c r="J224" i="68"/>
  <c r="J291" i="68"/>
  <c r="J360" i="68"/>
  <c r="J428" i="68"/>
  <c r="J496" i="68"/>
  <c r="J564" i="68"/>
  <c r="J631" i="68"/>
  <c r="J699" i="68"/>
  <c r="J767" i="68"/>
  <c r="J835" i="68"/>
  <c r="J903" i="68"/>
  <c r="J971" i="68"/>
  <c r="J1039" i="68"/>
  <c r="J1062" i="68"/>
  <c r="J1156" i="68"/>
  <c r="J1157" i="68"/>
  <c r="J49" i="69"/>
  <c r="K36" i="68"/>
  <c r="K37" i="68"/>
  <c r="K102" i="68"/>
  <c r="K103" i="68"/>
  <c r="K179" i="68"/>
  <c r="K180" i="68"/>
  <c r="K246" i="68"/>
  <c r="K247" i="68"/>
  <c r="K315" i="68"/>
  <c r="K316" i="68"/>
  <c r="K383" i="68"/>
  <c r="K384" i="68"/>
  <c r="K451" i="68"/>
  <c r="K452" i="68"/>
  <c r="K519" i="68"/>
  <c r="K520" i="68"/>
  <c r="K586" i="68"/>
  <c r="K587" i="68"/>
  <c r="K654" i="68"/>
  <c r="K655" i="68"/>
  <c r="K722" i="68"/>
  <c r="K723" i="68"/>
  <c r="K790" i="68"/>
  <c r="K791" i="68"/>
  <c r="K858" i="68"/>
  <c r="K859" i="68"/>
  <c r="K926" i="68"/>
  <c r="K927" i="68"/>
  <c r="K994" i="68"/>
  <c r="K995" i="68"/>
  <c r="K1051" i="68"/>
  <c r="K1145" i="68"/>
  <c r="K41" i="68"/>
  <c r="K107" i="68"/>
  <c r="K184" i="68"/>
  <c r="K251" i="68"/>
  <c r="K320" i="68"/>
  <c r="K388" i="68"/>
  <c r="K456" i="68"/>
  <c r="K524" i="68"/>
  <c r="K591" i="68"/>
  <c r="K659" i="68"/>
  <c r="K727" i="68"/>
  <c r="K795" i="68"/>
  <c r="K863" i="68"/>
  <c r="K931" i="68"/>
  <c r="K999" i="68"/>
  <c r="K1052" i="68"/>
  <c r="K1146" i="68"/>
  <c r="K45" i="68"/>
  <c r="K119" i="68"/>
  <c r="K188" i="68"/>
  <c r="K255" i="68"/>
  <c r="K324" i="68"/>
  <c r="K392" i="68"/>
  <c r="K460" i="68"/>
  <c r="K528" i="68"/>
  <c r="K595" i="68"/>
  <c r="K663" i="68"/>
  <c r="K731" i="68"/>
  <c r="K799" i="68"/>
  <c r="K867" i="68"/>
  <c r="K935" i="68"/>
  <c r="K1003" i="68"/>
  <c r="K1053" i="68"/>
  <c r="K1147" i="68"/>
  <c r="K49" i="68"/>
  <c r="K123" i="68"/>
  <c r="K192" i="68"/>
  <c r="K259" i="68"/>
  <c r="K328" i="68"/>
  <c r="K396" i="68"/>
  <c r="K464" i="68"/>
  <c r="K532" i="68"/>
  <c r="K599" i="68"/>
  <c r="K667" i="68"/>
  <c r="K735" i="68"/>
  <c r="K803" i="68"/>
  <c r="K871" i="68"/>
  <c r="K939" i="68"/>
  <c r="K1007" i="68"/>
  <c r="K1054" i="68"/>
  <c r="K1148" i="68"/>
  <c r="K53" i="68"/>
  <c r="K128" i="68"/>
  <c r="K196" i="68"/>
  <c r="K263" i="68"/>
  <c r="K332" i="68"/>
  <c r="K400" i="68"/>
  <c r="K468" i="68"/>
  <c r="K536" i="68"/>
  <c r="K603" i="68"/>
  <c r="K671" i="68"/>
  <c r="K739" i="68"/>
  <c r="K807" i="68"/>
  <c r="K875" i="68"/>
  <c r="K943" i="68"/>
  <c r="K1011" i="68"/>
  <c r="K1055" i="68"/>
  <c r="K1149" i="68"/>
  <c r="K57" i="68"/>
  <c r="K132" i="68"/>
  <c r="K200" i="68"/>
  <c r="K267" i="68"/>
  <c r="K336" i="68"/>
  <c r="K404" i="68"/>
  <c r="K472" i="68"/>
  <c r="K540" i="68"/>
  <c r="K607" i="68"/>
  <c r="K675" i="68"/>
  <c r="K743" i="68"/>
  <c r="K811" i="68"/>
  <c r="K879" i="68"/>
  <c r="K947" i="68"/>
  <c r="K1015" i="68"/>
  <c r="K1056" i="68"/>
  <c r="K1150" i="68"/>
  <c r="K61" i="68"/>
  <c r="K136" i="68"/>
  <c r="K204" i="68"/>
  <c r="K271" i="68"/>
  <c r="K340" i="68"/>
  <c r="K408" i="68"/>
  <c r="K476" i="68"/>
  <c r="K544" i="68"/>
  <c r="K611" i="68"/>
  <c r="K679" i="68"/>
  <c r="K747" i="68"/>
  <c r="K815" i="68"/>
  <c r="K883" i="68"/>
  <c r="K951" i="68"/>
  <c r="K1019" i="68"/>
  <c r="K1057" i="68"/>
  <c r="K1151" i="68"/>
  <c r="K65" i="68"/>
  <c r="K140" i="68"/>
  <c r="K208" i="68"/>
  <c r="K275" i="68"/>
  <c r="K344" i="68"/>
  <c r="K412" i="68"/>
  <c r="K480" i="68"/>
  <c r="K548" i="68"/>
  <c r="K615" i="68"/>
  <c r="K683" i="68"/>
  <c r="K751" i="68"/>
  <c r="K819" i="68"/>
  <c r="K887" i="68"/>
  <c r="K955" i="68"/>
  <c r="K1023" i="68"/>
  <c r="K1058" i="68"/>
  <c r="K1152" i="68"/>
  <c r="K69" i="68"/>
  <c r="K144" i="68"/>
  <c r="K212" i="68"/>
  <c r="K279" i="68"/>
  <c r="K348" i="68"/>
  <c r="K416" i="68"/>
  <c r="K484" i="68"/>
  <c r="K552" i="68"/>
  <c r="K619" i="68"/>
  <c r="K687" i="68"/>
  <c r="K755" i="68"/>
  <c r="K823" i="68"/>
  <c r="K891" i="68"/>
  <c r="K959" i="68"/>
  <c r="K1027" i="68"/>
  <c r="K1059" i="68"/>
  <c r="K1153" i="68"/>
  <c r="K73" i="68"/>
  <c r="K148" i="68"/>
  <c r="K216" i="68"/>
  <c r="K283" i="68"/>
  <c r="K352" i="68"/>
  <c r="K420" i="68"/>
  <c r="K488" i="68"/>
  <c r="K556" i="68"/>
  <c r="K623" i="68"/>
  <c r="K691" i="68"/>
  <c r="K759" i="68"/>
  <c r="K827" i="68"/>
  <c r="K895" i="68"/>
  <c r="K963" i="68"/>
  <c r="K1031" i="68"/>
  <c r="K1060" i="68"/>
  <c r="K1154" i="68"/>
  <c r="K77" i="68"/>
  <c r="K152" i="68"/>
  <c r="K220" i="68"/>
  <c r="K287" i="68"/>
  <c r="K356" i="68"/>
  <c r="K424" i="68"/>
  <c r="K492" i="68"/>
  <c r="K560" i="68"/>
  <c r="K627" i="68"/>
  <c r="K695" i="68"/>
  <c r="K763" i="68"/>
  <c r="K831" i="68"/>
  <c r="K899" i="68"/>
  <c r="K967" i="68"/>
  <c r="K1035" i="68"/>
  <c r="K1061" i="68"/>
  <c r="K1155" i="68"/>
  <c r="K81" i="68"/>
  <c r="K156" i="68"/>
  <c r="K224" i="68"/>
  <c r="K291" i="68"/>
  <c r="K360" i="68"/>
  <c r="K428" i="68"/>
  <c r="K496" i="68"/>
  <c r="K564" i="68"/>
  <c r="K631" i="68"/>
  <c r="K699" i="68"/>
  <c r="K767" i="68"/>
  <c r="K835" i="68"/>
  <c r="K903" i="68"/>
  <c r="K971" i="68"/>
  <c r="K1039" i="68"/>
  <c r="K1062" i="68"/>
  <c r="K1156" i="68"/>
  <c r="K1157" i="68"/>
  <c r="K49" i="69"/>
  <c r="L36" i="68"/>
  <c r="L37" i="68"/>
  <c r="L102" i="68"/>
  <c r="L103" i="68"/>
  <c r="L179" i="68"/>
  <c r="L180" i="68"/>
  <c r="L246" i="68"/>
  <c r="L247" i="68"/>
  <c r="L315" i="68"/>
  <c r="L316" i="68"/>
  <c r="L383" i="68"/>
  <c r="L384" i="68"/>
  <c r="L451" i="68"/>
  <c r="L452" i="68"/>
  <c r="L519" i="68"/>
  <c r="L520" i="68"/>
  <c r="L586" i="68"/>
  <c r="L587" i="68"/>
  <c r="L654" i="68"/>
  <c r="L655" i="68"/>
  <c r="L722" i="68"/>
  <c r="L723" i="68"/>
  <c r="L790" i="68"/>
  <c r="L791" i="68"/>
  <c r="L858" i="68"/>
  <c r="L859" i="68"/>
  <c r="L926" i="68"/>
  <c r="L927" i="68"/>
  <c r="L994" i="68"/>
  <c r="L995" i="68"/>
  <c r="L1051" i="68"/>
  <c r="L1145" i="68"/>
  <c r="L41" i="68"/>
  <c r="L107" i="68"/>
  <c r="L184" i="68"/>
  <c r="L251" i="68"/>
  <c r="L320" i="68"/>
  <c r="L388" i="68"/>
  <c r="L456" i="68"/>
  <c r="L524" i="68"/>
  <c r="L591" i="68"/>
  <c r="L659" i="68"/>
  <c r="L727" i="68"/>
  <c r="L795" i="68"/>
  <c r="L863" i="68"/>
  <c r="L931" i="68"/>
  <c r="L999" i="68"/>
  <c r="L1052" i="68"/>
  <c r="L1146" i="68"/>
  <c r="L45" i="68"/>
  <c r="L119" i="68"/>
  <c r="L188" i="68"/>
  <c r="L255" i="68"/>
  <c r="L324" i="68"/>
  <c r="L392" i="68"/>
  <c r="L460" i="68"/>
  <c r="L528" i="68"/>
  <c r="L595" i="68"/>
  <c r="L663" i="68"/>
  <c r="L731" i="68"/>
  <c r="L799" i="68"/>
  <c r="L867" i="68"/>
  <c r="L935" i="68"/>
  <c r="L1003" i="68"/>
  <c r="L1053" i="68"/>
  <c r="L1147" i="68"/>
  <c r="L49" i="68"/>
  <c r="L123" i="68"/>
  <c r="L192" i="68"/>
  <c r="L259" i="68"/>
  <c r="L328" i="68"/>
  <c r="L396" i="68"/>
  <c r="L464" i="68"/>
  <c r="L532" i="68"/>
  <c r="L599" i="68"/>
  <c r="L667" i="68"/>
  <c r="L735" i="68"/>
  <c r="L803" i="68"/>
  <c r="L871" i="68"/>
  <c r="L939" i="68"/>
  <c r="L1007" i="68"/>
  <c r="L1054" i="68"/>
  <c r="L1148" i="68"/>
  <c r="L53" i="68"/>
  <c r="L128" i="68"/>
  <c r="L196" i="68"/>
  <c r="L263" i="68"/>
  <c r="L332" i="68"/>
  <c r="L400" i="68"/>
  <c r="L468" i="68"/>
  <c r="L536" i="68"/>
  <c r="L603" i="68"/>
  <c r="L671" i="68"/>
  <c r="L739" i="68"/>
  <c r="L807" i="68"/>
  <c r="L875" i="68"/>
  <c r="L943" i="68"/>
  <c r="L1011" i="68"/>
  <c r="L1055" i="68"/>
  <c r="L1149" i="68"/>
  <c r="L57" i="68"/>
  <c r="L132" i="68"/>
  <c r="L200" i="68"/>
  <c r="L267" i="68"/>
  <c r="L336" i="68"/>
  <c r="L404" i="68"/>
  <c r="L472" i="68"/>
  <c r="L540" i="68"/>
  <c r="L607" i="68"/>
  <c r="L675" i="68"/>
  <c r="L743" i="68"/>
  <c r="L811" i="68"/>
  <c r="L879" i="68"/>
  <c r="L947" i="68"/>
  <c r="L1015" i="68"/>
  <c r="L1056" i="68"/>
  <c r="L1150" i="68"/>
  <c r="L61" i="68"/>
  <c r="L136" i="68"/>
  <c r="L204" i="68"/>
  <c r="L271" i="68"/>
  <c r="L340" i="68"/>
  <c r="L408" i="68"/>
  <c r="L476" i="68"/>
  <c r="L544" i="68"/>
  <c r="L611" i="68"/>
  <c r="L679" i="68"/>
  <c r="L747" i="68"/>
  <c r="L815" i="68"/>
  <c r="L883" i="68"/>
  <c r="L951" i="68"/>
  <c r="L1019" i="68"/>
  <c r="L1057" i="68"/>
  <c r="L1151" i="68"/>
  <c r="L65" i="68"/>
  <c r="L140" i="68"/>
  <c r="L208" i="68"/>
  <c r="L275" i="68"/>
  <c r="L344" i="68"/>
  <c r="L412" i="68"/>
  <c r="L480" i="68"/>
  <c r="L548" i="68"/>
  <c r="L615" i="68"/>
  <c r="L683" i="68"/>
  <c r="L751" i="68"/>
  <c r="L819" i="68"/>
  <c r="L887" i="68"/>
  <c r="L955" i="68"/>
  <c r="L1023" i="68"/>
  <c r="L1058" i="68"/>
  <c r="L1152" i="68"/>
  <c r="L69" i="68"/>
  <c r="L144" i="68"/>
  <c r="L212" i="68"/>
  <c r="L279" i="68"/>
  <c r="L348" i="68"/>
  <c r="L416" i="68"/>
  <c r="L484" i="68"/>
  <c r="L552" i="68"/>
  <c r="L619" i="68"/>
  <c r="L687" i="68"/>
  <c r="L755" i="68"/>
  <c r="L823" i="68"/>
  <c r="L891" i="68"/>
  <c r="L959" i="68"/>
  <c r="L1027" i="68"/>
  <c r="L1059" i="68"/>
  <c r="L1153" i="68"/>
  <c r="L73" i="68"/>
  <c r="L148" i="68"/>
  <c r="L216" i="68"/>
  <c r="L283" i="68"/>
  <c r="L352" i="68"/>
  <c r="L420" i="68"/>
  <c r="L488" i="68"/>
  <c r="L556" i="68"/>
  <c r="L623" i="68"/>
  <c r="L691" i="68"/>
  <c r="L759" i="68"/>
  <c r="L827" i="68"/>
  <c r="L895" i="68"/>
  <c r="L963" i="68"/>
  <c r="L1031" i="68"/>
  <c r="L1060" i="68"/>
  <c r="L1154" i="68"/>
  <c r="L77" i="68"/>
  <c r="L152" i="68"/>
  <c r="L220" i="68"/>
  <c r="L287" i="68"/>
  <c r="L356" i="68"/>
  <c r="L424" i="68"/>
  <c r="L492" i="68"/>
  <c r="L560" i="68"/>
  <c r="L627" i="68"/>
  <c r="L695" i="68"/>
  <c r="L763" i="68"/>
  <c r="L831" i="68"/>
  <c r="L899" i="68"/>
  <c r="L967" i="68"/>
  <c r="L1035" i="68"/>
  <c r="L1061" i="68"/>
  <c r="L1155" i="68"/>
  <c r="L81" i="68"/>
  <c r="L156" i="68"/>
  <c r="L224" i="68"/>
  <c r="L291" i="68"/>
  <c r="L360" i="68"/>
  <c r="L428" i="68"/>
  <c r="L496" i="68"/>
  <c r="L564" i="68"/>
  <c r="L631" i="68"/>
  <c r="L699" i="68"/>
  <c r="L767" i="68"/>
  <c r="L835" i="68"/>
  <c r="L903" i="68"/>
  <c r="L971" i="68"/>
  <c r="L1039" i="68"/>
  <c r="L1062" i="68"/>
  <c r="L1156" i="68"/>
  <c r="L1157" i="68"/>
  <c r="L49" i="69"/>
  <c r="M36" i="68"/>
  <c r="M37" i="68"/>
  <c r="M102" i="68"/>
  <c r="M103" i="68"/>
  <c r="M179" i="68"/>
  <c r="M180" i="68"/>
  <c r="M246" i="68"/>
  <c r="M247" i="68"/>
  <c r="M315" i="68"/>
  <c r="M316" i="68"/>
  <c r="M383" i="68"/>
  <c r="M384" i="68"/>
  <c r="M451" i="68"/>
  <c r="M452" i="68"/>
  <c r="M519" i="68"/>
  <c r="M520" i="68"/>
  <c r="M586" i="68"/>
  <c r="M587" i="68"/>
  <c r="M654" i="68"/>
  <c r="M655" i="68"/>
  <c r="M722" i="68"/>
  <c r="M723" i="68"/>
  <c r="M790" i="68"/>
  <c r="M791" i="68"/>
  <c r="M858" i="68"/>
  <c r="M859" i="68"/>
  <c r="M926" i="68"/>
  <c r="M927" i="68"/>
  <c r="M994" i="68"/>
  <c r="M995" i="68"/>
  <c r="M1051" i="68"/>
  <c r="M1145" i="68"/>
  <c r="M41" i="68"/>
  <c r="M107" i="68"/>
  <c r="M184" i="68"/>
  <c r="M251" i="68"/>
  <c r="M320" i="68"/>
  <c r="M388" i="68"/>
  <c r="M456" i="68"/>
  <c r="M524" i="68"/>
  <c r="M591" i="68"/>
  <c r="M659" i="68"/>
  <c r="M727" i="68"/>
  <c r="M795" i="68"/>
  <c r="M863" i="68"/>
  <c r="M931" i="68"/>
  <c r="M999" i="68"/>
  <c r="M1052" i="68"/>
  <c r="M1146" i="68"/>
  <c r="M45" i="68"/>
  <c r="M119" i="68"/>
  <c r="M188" i="68"/>
  <c r="M255" i="68"/>
  <c r="M324" i="68"/>
  <c r="M392" i="68"/>
  <c r="M460" i="68"/>
  <c r="M528" i="68"/>
  <c r="M595" i="68"/>
  <c r="M663" i="68"/>
  <c r="M731" i="68"/>
  <c r="M799" i="68"/>
  <c r="M867" i="68"/>
  <c r="M935" i="68"/>
  <c r="M1003" i="68"/>
  <c r="M1053" i="68"/>
  <c r="M1147" i="68"/>
  <c r="M49" i="68"/>
  <c r="M123" i="68"/>
  <c r="M192" i="68"/>
  <c r="M259" i="68"/>
  <c r="M328" i="68"/>
  <c r="M396" i="68"/>
  <c r="M464" i="68"/>
  <c r="M532" i="68"/>
  <c r="M599" i="68"/>
  <c r="M667" i="68"/>
  <c r="M735" i="68"/>
  <c r="M803" i="68"/>
  <c r="M871" i="68"/>
  <c r="M939" i="68"/>
  <c r="M1007" i="68"/>
  <c r="M1054" i="68"/>
  <c r="M1148" i="68"/>
  <c r="M53" i="68"/>
  <c r="M128" i="68"/>
  <c r="M196" i="68"/>
  <c r="M263" i="68"/>
  <c r="M332" i="68"/>
  <c r="M400" i="68"/>
  <c r="M468" i="68"/>
  <c r="M536" i="68"/>
  <c r="M603" i="68"/>
  <c r="M671" i="68"/>
  <c r="M739" i="68"/>
  <c r="M807" i="68"/>
  <c r="M875" i="68"/>
  <c r="M943" i="68"/>
  <c r="M1011" i="68"/>
  <c r="M1055" i="68"/>
  <c r="M1149" i="68"/>
  <c r="M57" i="68"/>
  <c r="M132" i="68"/>
  <c r="M200" i="68"/>
  <c r="M267" i="68"/>
  <c r="M336" i="68"/>
  <c r="M404" i="68"/>
  <c r="M472" i="68"/>
  <c r="M540" i="68"/>
  <c r="M607" i="68"/>
  <c r="M675" i="68"/>
  <c r="M743" i="68"/>
  <c r="M811" i="68"/>
  <c r="M879" i="68"/>
  <c r="M947" i="68"/>
  <c r="M1015" i="68"/>
  <c r="M1056" i="68"/>
  <c r="M1150" i="68"/>
  <c r="M61" i="68"/>
  <c r="M136" i="68"/>
  <c r="M204" i="68"/>
  <c r="M271" i="68"/>
  <c r="M340" i="68"/>
  <c r="M408" i="68"/>
  <c r="M476" i="68"/>
  <c r="M544" i="68"/>
  <c r="M611" i="68"/>
  <c r="M679" i="68"/>
  <c r="M747" i="68"/>
  <c r="M815" i="68"/>
  <c r="M883" i="68"/>
  <c r="M951" i="68"/>
  <c r="M1019" i="68"/>
  <c r="M1057" i="68"/>
  <c r="M1151" i="68"/>
  <c r="M65" i="68"/>
  <c r="M140" i="68"/>
  <c r="M208" i="68"/>
  <c r="M275" i="68"/>
  <c r="M344" i="68"/>
  <c r="M412" i="68"/>
  <c r="M480" i="68"/>
  <c r="M548" i="68"/>
  <c r="M615" i="68"/>
  <c r="M683" i="68"/>
  <c r="M751" i="68"/>
  <c r="M819" i="68"/>
  <c r="M887" i="68"/>
  <c r="M955" i="68"/>
  <c r="M1023" i="68"/>
  <c r="M1058" i="68"/>
  <c r="M1152" i="68"/>
  <c r="M69" i="68"/>
  <c r="M144" i="68"/>
  <c r="M212" i="68"/>
  <c r="M279" i="68"/>
  <c r="M348" i="68"/>
  <c r="M416" i="68"/>
  <c r="M484" i="68"/>
  <c r="M552" i="68"/>
  <c r="M619" i="68"/>
  <c r="M687" i="68"/>
  <c r="M755" i="68"/>
  <c r="M823" i="68"/>
  <c r="M891" i="68"/>
  <c r="M959" i="68"/>
  <c r="M1027" i="68"/>
  <c r="M1059" i="68"/>
  <c r="M1153" i="68"/>
  <c r="M73" i="68"/>
  <c r="M148" i="68"/>
  <c r="M216" i="68"/>
  <c r="M283" i="68"/>
  <c r="M352" i="68"/>
  <c r="M420" i="68"/>
  <c r="M488" i="68"/>
  <c r="M556" i="68"/>
  <c r="M623" i="68"/>
  <c r="M691" i="68"/>
  <c r="M759" i="68"/>
  <c r="M827" i="68"/>
  <c r="M895" i="68"/>
  <c r="M963" i="68"/>
  <c r="M1031" i="68"/>
  <c r="M1060" i="68"/>
  <c r="M1154" i="68"/>
  <c r="M77" i="68"/>
  <c r="M152" i="68"/>
  <c r="M220" i="68"/>
  <c r="M287" i="68"/>
  <c r="M356" i="68"/>
  <c r="M424" i="68"/>
  <c r="M492" i="68"/>
  <c r="M560" i="68"/>
  <c r="M627" i="68"/>
  <c r="M695" i="68"/>
  <c r="M763" i="68"/>
  <c r="M831" i="68"/>
  <c r="M899" i="68"/>
  <c r="M967" i="68"/>
  <c r="M1035" i="68"/>
  <c r="M1061" i="68"/>
  <c r="M1155" i="68"/>
  <c r="M81" i="68"/>
  <c r="M156" i="68"/>
  <c r="M224" i="68"/>
  <c r="M291" i="68"/>
  <c r="M360" i="68"/>
  <c r="M428" i="68"/>
  <c r="M496" i="68"/>
  <c r="M564" i="68"/>
  <c r="M631" i="68"/>
  <c r="M699" i="68"/>
  <c r="M767" i="68"/>
  <c r="M835" i="68"/>
  <c r="M903" i="68"/>
  <c r="M971" i="68"/>
  <c r="M1039" i="68"/>
  <c r="M1062" i="68"/>
  <c r="M1156" i="68"/>
  <c r="M1157" i="68"/>
  <c r="M49" i="69"/>
  <c r="N49" i="69"/>
  <c r="N51" i="69"/>
  <c r="N52" i="69"/>
  <c r="N58" i="69"/>
  <c r="N60" i="69"/>
  <c r="N64" i="69"/>
  <c r="N75" i="69"/>
  <c r="N83" i="69"/>
  <c r="N96" i="69"/>
  <c r="N118" i="69"/>
  <c r="N42" i="71"/>
  <c r="H48" i="67"/>
  <c r="H50" i="67"/>
  <c r="H51" i="67"/>
  <c r="H54" i="67"/>
  <c r="E13" i="67"/>
  <c r="E26" i="67"/>
  <c r="E28" i="67"/>
  <c r="E43" i="67"/>
  <c r="H63" i="67"/>
  <c r="N133" i="58"/>
  <c r="G48" i="67"/>
  <c r="G50" i="67"/>
  <c r="G51" i="67"/>
  <c r="G54" i="67"/>
  <c r="G63" i="67"/>
  <c r="N134" i="58"/>
  <c r="E48" i="67"/>
  <c r="E50" i="67"/>
  <c r="E51" i="67"/>
  <c r="E54" i="67"/>
  <c r="E63" i="67"/>
  <c r="N135" i="58"/>
  <c r="F48" i="67"/>
  <c r="F50" i="67"/>
  <c r="F51" i="67"/>
  <c r="F54" i="67"/>
  <c r="F63" i="67"/>
  <c r="N136" i="58"/>
  <c r="I48" i="67"/>
  <c r="I50" i="67"/>
  <c r="I51" i="67"/>
  <c r="I54" i="67"/>
  <c r="I63" i="67"/>
  <c r="N137" i="58"/>
  <c r="J48" i="67"/>
  <c r="J50" i="67"/>
  <c r="J51" i="67"/>
  <c r="J54" i="67"/>
  <c r="J63" i="67"/>
  <c r="N138" i="58"/>
  <c r="K48" i="67"/>
  <c r="K50" i="67"/>
  <c r="K51" i="67"/>
  <c r="K54" i="67"/>
  <c r="K63" i="67"/>
  <c r="N139" i="58"/>
  <c r="L48" i="67"/>
  <c r="L50" i="67"/>
  <c r="L51" i="67"/>
  <c r="L54" i="67"/>
  <c r="L63" i="67"/>
  <c r="N140" i="58"/>
  <c r="M48" i="67"/>
  <c r="M50" i="67"/>
  <c r="M51" i="67"/>
  <c r="M54" i="67"/>
  <c r="M63" i="67"/>
  <c r="N141" i="58"/>
  <c r="N48" i="67"/>
  <c r="N50" i="67"/>
  <c r="N51" i="67"/>
  <c r="N54" i="67"/>
  <c r="N63" i="67"/>
  <c r="N142" i="58"/>
  <c r="O48" i="67"/>
  <c r="O50" i="67"/>
  <c r="O51" i="67"/>
  <c r="O54" i="67"/>
  <c r="O63" i="67"/>
  <c r="N143" i="58"/>
  <c r="P48" i="67"/>
  <c r="P50" i="67"/>
  <c r="P51" i="67"/>
  <c r="P54" i="67"/>
  <c r="P63" i="67"/>
  <c r="N144" i="58"/>
  <c r="N145" i="58"/>
  <c r="N1013" i="58"/>
  <c r="N822" i="58"/>
  <c r="N833" i="58"/>
  <c r="N1018" i="58"/>
  <c r="N949" i="58"/>
  <c r="N950" i="58"/>
  <c r="N951" i="58"/>
  <c r="N952" i="58"/>
  <c r="N953" i="58"/>
  <c r="N954" i="58"/>
  <c r="N955" i="58"/>
  <c r="N956" i="58"/>
  <c r="N957" i="58"/>
  <c r="N958" i="58"/>
  <c r="N959" i="58"/>
  <c r="N960" i="58"/>
  <c r="N961" i="58"/>
  <c r="N1019" i="58"/>
  <c r="N294" i="58"/>
  <c r="N295" i="58"/>
  <c r="N296" i="58"/>
  <c r="N297" i="58"/>
  <c r="N298" i="58"/>
  <c r="N299" i="58"/>
  <c r="N300" i="58"/>
  <c r="N301" i="58"/>
  <c r="N302" i="58"/>
  <c r="N303" i="58"/>
  <c r="N304" i="58"/>
  <c r="N305" i="58"/>
  <c r="N306" i="58"/>
  <c r="N1014" i="58"/>
  <c r="N455" i="58"/>
  <c r="N456" i="58"/>
  <c r="N457" i="58"/>
  <c r="N458" i="58"/>
  <c r="N459" i="58"/>
  <c r="N460" i="58"/>
  <c r="N461" i="58"/>
  <c r="N462" i="58"/>
  <c r="N463" i="58"/>
  <c r="N464" i="58"/>
  <c r="N465" i="58"/>
  <c r="N466" i="58"/>
  <c r="N467" i="58"/>
  <c r="N1015" i="58"/>
  <c r="N616" i="58"/>
  <c r="N617" i="58"/>
  <c r="N618" i="58"/>
  <c r="N619" i="58"/>
  <c r="N620" i="58"/>
  <c r="N621" i="58"/>
  <c r="N622" i="58"/>
  <c r="N623" i="58"/>
  <c r="N624" i="58"/>
  <c r="N625" i="58"/>
  <c r="N626" i="58"/>
  <c r="N627" i="58"/>
  <c r="N628" i="58"/>
  <c r="N1016" i="58"/>
  <c r="N776" i="58"/>
  <c r="N777" i="58"/>
  <c r="N778" i="58"/>
  <c r="N779" i="58"/>
  <c r="N780" i="58"/>
  <c r="N781" i="58"/>
  <c r="N782" i="58"/>
  <c r="N783" i="58"/>
  <c r="N784" i="58"/>
  <c r="N785" i="58"/>
  <c r="N786" i="58"/>
  <c r="N787" i="58"/>
  <c r="N788" i="58"/>
  <c r="N1017" i="58"/>
  <c r="N1020" i="58"/>
  <c r="N29" i="71"/>
  <c r="N47" i="47"/>
  <c r="N49" i="47"/>
  <c r="N53" i="47"/>
  <c r="N73" i="47"/>
  <c r="N30" i="71"/>
  <c r="N103" i="20"/>
  <c r="N204" i="20"/>
  <c r="N261" i="20"/>
  <c r="N104" i="20"/>
  <c r="N205" i="20"/>
  <c r="N262" i="20"/>
  <c r="N105" i="20"/>
  <c r="N206" i="20"/>
  <c r="N263" i="20"/>
  <c r="N106" i="20"/>
  <c r="N207" i="20"/>
  <c r="N264" i="20"/>
  <c r="N107" i="20"/>
  <c r="N208" i="20"/>
  <c r="N265" i="20"/>
  <c r="N108" i="20"/>
  <c r="N209" i="20"/>
  <c r="N266" i="20"/>
  <c r="N109" i="20"/>
  <c r="N210" i="20"/>
  <c r="N267" i="20"/>
  <c r="N110" i="20"/>
  <c r="N211" i="20"/>
  <c r="N268" i="20"/>
  <c r="N111" i="20"/>
  <c r="N212" i="20"/>
  <c r="N269" i="20"/>
  <c r="N112" i="20"/>
  <c r="N213" i="20"/>
  <c r="N270" i="20"/>
  <c r="N113" i="20"/>
  <c r="N214" i="20"/>
  <c r="N271" i="20"/>
  <c r="N114" i="20"/>
  <c r="N215" i="20"/>
  <c r="N272" i="20"/>
  <c r="N273" i="20"/>
  <c r="N342" i="20"/>
  <c r="N28" i="71"/>
  <c r="N31" i="71"/>
  <c r="N245" i="66"/>
  <c r="N248" i="29"/>
  <c r="N252" i="29"/>
  <c r="N233" i="66"/>
  <c r="N259" i="29"/>
  <c r="N263" i="29"/>
  <c r="N257" i="66"/>
  <c r="N270" i="29"/>
  <c r="N274" i="29"/>
  <c r="N269" i="66"/>
  <c r="N281" i="29"/>
  <c r="N285" i="29"/>
  <c r="N281" i="66"/>
  <c r="N292" i="29"/>
  <c r="N296" i="29"/>
  <c r="N293" i="66"/>
  <c r="N303" i="29"/>
  <c r="N307" i="29"/>
  <c r="N305" i="66"/>
  <c r="N314" i="29"/>
  <c r="N318" i="29"/>
  <c r="N317" i="66"/>
  <c r="N325" i="29"/>
  <c r="N329" i="29"/>
  <c r="N329" i="66"/>
  <c r="N336" i="29"/>
  <c r="N340" i="29"/>
  <c r="N341" i="66"/>
  <c r="N347" i="29"/>
  <c r="N351" i="29"/>
  <c r="N353" i="66"/>
  <c r="N358" i="29"/>
  <c r="N362" i="29"/>
  <c r="N365" i="66"/>
  <c r="N369" i="29"/>
  <c r="N373" i="29"/>
  <c r="N393" i="29"/>
  <c r="N47" i="71"/>
  <c r="N169" i="60"/>
  <c r="N185" i="60"/>
  <c r="N193" i="60"/>
  <c r="N201" i="60"/>
  <c r="N209" i="60"/>
  <c r="N217" i="60"/>
  <c r="N177" i="60"/>
  <c r="N219" i="60"/>
  <c r="N259" i="60"/>
  <c r="N50" i="71"/>
  <c r="N32" i="54"/>
  <c r="N19" i="54"/>
  <c r="N36" i="54"/>
  <c r="N852" i="54"/>
  <c r="N49" i="54"/>
  <c r="N53" i="54"/>
  <c r="N853" i="54"/>
  <c r="N171" i="54"/>
  <c r="N172" i="54"/>
  <c r="N167" i="54"/>
  <c r="N168" i="54"/>
  <c r="N163" i="54"/>
  <c r="N164" i="54"/>
  <c r="N159" i="54"/>
  <c r="N160" i="54"/>
  <c r="N154" i="54"/>
  <c r="N155" i="54"/>
  <c r="N150" i="54"/>
  <c r="N151" i="54"/>
  <c r="N146" i="54"/>
  <c r="N147" i="54"/>
  <c r="N174" i="54"/>
  <c r="N854" i="54"/>
  <c r="N353" i="54"/>
  <c r="N327" i="54"/>
  <c r="N329" i="54"/>
  <c r="N312" i="54"/>
  <c r="N309" i="54"/>
  <c r="N306" i="54"/>
  <c r="N303" i="54"/>
  <c r="N300" i="54"/>
  <c r="N297" i="54"/>
  <c r="N294" i="54"/>
  <c r="N291" i="54"/>
  <c r="N288" i="54"/>
  <c r="N282" i="54"/>
  <c r="N279" i="54"/>
  <c r="N276" i="54"/>
  <c r="N314" i="54"/>
  <c r="N335" i="54"/>
  <c r="N367" i="54"/>
  <c r="N855" i="54"/>
  <c r="N814" i="54"/>
  <c r="N511" i="54"/>
  <c r="N508" i="54"/>
  <c r="N505" i="54"/>
  <c r="N502" i="54"/>
  <c r="N499" i="54"/>
  <c r="N496" i="54"/>
  <c r="N493" i="54"/>
  <c r="N490" i="54"/>
  <c r="N487" i="54"/>
  <c r="N481" i="54"/>
  <c r="N478" i="54"/>
  <c r="N475" i="54"/>
  <c r="N513" i="54"/>
  <c r="N650" i="54"/>
  <c r="N647" i="54"/>
  <c r="N644" i="54"/>
  <c r="N641" i="54"/>
  <c r="N638" i="54"/>
  <c r="N635" i="54"/>
  <c r="N632" i="54"/>
  <c r="N629" i="54"/>
  <c r="N626" i="54"/>
  <c r="N620" i="54"/>
  <c r="N652" i="54"/>
  <c r="N795" i="54"/>
  <c r="N792" i="54"/>
  <c r="N789" i="54"/>
  <c r="N786" i="54"/>
  <c r="N783" i="54"/>
  <c r="N780" i="54"/>
  <c r="N777" i="54"/>
  <c r="N774" i="54"/>
  <c r="N771" i="54"/>
  <c r="N765" i="54"/>
  <c r="N762" i="54"/>
  <c r="N759" i="54"/>
  <c r="N797" i="54"/>
  <c r="N810" i="54"/>
  <c r="N820" i="54"/>
  <c r="N856" i="54"/>
  <c r="N857" i="54"/>
  <c r="N39" i="71"/>
  <c r="N55" i="71"/>
  <c r="M28" i="23"/>
  <c r="M50" i="69"/>
  <c r="M51" i="69"/>
  <c r="M52" i="69"/>
  <c r="M58" i="69"/>
  <c r="M60" i="69"/>
  <c r="M64" i="69"/>
  <c r="M75" i="69"/>
  <c r="M83" i="69"/>
  <c r="M96" i="69"/>
  <c r="M118" i="69"/>
  <c r="M42" i="71"/>
  <c r="M133" i="58"/>
  <c r="M134" i="58"/>
  <c r="M135" i="58"/>
  <c r="M136" i="58"/>
  <c r="M137" i="58"/>
  <c r="M138" i="58"/>
  <c r="M139" i="58"/>
  <c r="M140" i="58"/>
  <c r="M141" i="58"/>
  <c r="M142" i="58"/>
  <c r="M143" i="58"/>
  <c r="M144" i="58"/>
  <c r="M145" i="58"/>
  <c r="M1013" i="58"/>
  <c r="M822" i="58"/>
  <c r="M833" i="58"/>
  <c r="M1018" i="58"/>
  <c r="M949" i="58"/>
  <c r="M950" i="58"/>
  <c r="M951" i="58"/>
  <c r="M952" i="58"/>
  <c r="M953" i="58"/>
  <c r="M954" i="58"/>
  <c r="M955" i="58"/>
  <c r="M956" i="58"/>
  <c r="M957" i="58"/>
  <c r="M958" i="58"/>
  <c r="M959" i="58"/>
  <c r="M960" i="58"/>
  <c r="M961" i="58"/>
  <c r="M1019" i="58"/>
  <c r="M294" i="58"/>
  <c r="M295" i="58"/>
  <c r="M296" i="58"/>
  <c r="M297" i="58"/>
  <c r="M298" i="58"/>
  <c r="M299" i="58"/>
  <c r="M300" i="58"/>
  <c r="M301" i="58"/>
  <c r="M302" i="58"/>
  <c r="M303" i="58"/>
  <c r="M304" i="58"/>
  <c r="M305" i="58"/>
  <c r="M306" i="58"/>
  <c r="M1014" i="58"/>
  <c r="M455" i="58"/>
  <c r="M456" i="58"/>
  <c r="M457" i="58"/>
  <c r="M458" i="58"/>
  <c r="M459" i="58"/>
  <c r="M460" i="58"/>
  <c r="M461" i="58"/>
  <c r="M462" i="58"/>
  <c r="M463" i="58"/>
  <c r="M464" i="58"/>
  <c r="M465" i="58"/>
  <c r="M466" i="58"/>
  <c r="M467" i="58"/>
  <c r="M1015" i="58"/>
  <c r="M616" i="58"/>
  <c r="M617" i="58"/>
  <c r="M618" i="58"/>
  <c r="M619" i="58"/>
  <c r="M620" i="58"/>
  <c r="M621" i="58"/>
  <c r="M622" i="58"/>
  <c r="M623" i="58"/>
  <c r="M624" i="58"/>
  <c r="M625" i="58"/>
  <c r="M626" i="58"/>
  <c r="M627" i="58"/>
  <c r="M628" i="58"/>
  <c r="M1016" i="58"/>
  <c r="M776" i="58"/>
  <c r="M777" i="58"/>
  <c r="M778" i="58"/>
  <c r="M779" i="58"/>
  <c r="M780" i="58"/>
  <c r="M781" i="58"/>
  <c r="M782" i="58"/>
  <c r="M783" i="58"/>
  <c r="M784" i="58"/>
  <c r="M785" i="58"/>
  <c r="M786" i="58"/>
  <c r="M787" i="58"/>
  <c r="M788" i="58"/>
  <c r="M1017" i="58"/>
  <c r="M1020" i="58"/>
  <c r="M29" i="71"/>
  <c r="M47" i="47"/>
  <c r="M49" i="47"/>
  <c r="M53" i="47"/>
  <c r="M73" i="47"/>
  <c r="M30" i="71"/>
  <c r="M103" i="20"/>
  <c r="M204" i="20"/>
  <c r="M261" i="20"/>
  <c r="M104" i="20"/>
  <c r="M205" i="20"/>
  <c r="M262" i="20"/>
  <c r="M105" i="20"/>
  <c r="M206" i="20"/>
  <c r="M263" i="20"/>
  <c r="M106" i="20"/>
  <c r="M207" i="20"/>
  <c r="M264" i="20"/>
  <c r="M107" i="20"/>
  <c r="M208" i="20"/>
  <c r="M265" i="20"/>
  <c r="M108" i="20"/>
  <c r="M209" i="20"/>
  <c r="M266" i="20"/>
  <c r="M109" i="20"/>
  <c r="M210" i="20"/>
  <c r="M267" i="20"/>
  <c r="M110" i="20"/>
  <c r="M211" i="20"/>
  <c r="M268" i="20"/>
  <c r="M111" i="20"/>
  <c r="M212" i="20"/>
  <c r="M269" i="20"/>
  <c r="M112" i="20"/>
  <c r="M213" i="20"/>
  <c r="M270" i="20"/>
  <c r="M113" i="20"/>
  <c r="M214" i="20"/>
  <c r="M271" i="20"/>
  <c r="M114" i="20"/>
  <c r="M215" i="20"/>
  <c r="M272" i="20"/>
  <c r="M273" i="20"/>
  <c r="M342" i="20"/>
  <c r="M28" i="71"/>
  <c r="M31" i="71"/>
  <c r="M245" i="66"/>
  <c r="M248" i="29"/>
  <c r="M252" i="29"/>
  <c r="M233" i="66"/>
  <c r="M259" i="29"/>
  <c r="M263" i="29"/>
  <c r="M257" i="66"/>
  <c r="M270" i="29"/>
  <c r="M274" i="29"/>
  <c r="M269" i="66"/>
  <c r="M281" i="29"/>
  <c r="M285" i="29"/>
  <c r="M281" i="66"/>
  <c r="M292" i="29"/>
  <c r="M296" i="29"/>
  <c r="M293" i="66"/>
  <c r="M303" i="29"/>
  <c r="M307" i="29"/>
  <c r="M305" i="66"/>
  <c r="M314" i="29"/>
  <c r="M318" i="29"/>
  <c r="M317" i="66"/>
  <c r="M325" i="29"/>
  <c r="M329" i="29"/>
  <c r="M329" i="66"/>
  <c r="M336" i="29"/>
  <c r="M340" i="29"/>
  <c r="M341" i="66"/>
  <c r="M347" i="29"/>
  <c r="M351" i="29"/>
  <c r="M353" i="66"/>
  <c r="M358" i="29"/>
  <c r="M362" i="29"/>
  <c r="M365" i="66"/>
  <c r="M369" i="29"/>
  <c r="M373" i="29"/>
  <c r="M393" i="29"/>
  <c r="M47" i="71"/>
  <c r="M169" i="60"/>
  <c r="M185" i="60"/>
  <c r="M193" i="60"/>
  <c r="M201" i="60"/>
  <c r="M209" i="60"/>
  <c r="M217" i="60"/>
  <c r="M177" i="60"/>
  <c r="M219" i="60"/>
  <c r="M259" i="60"/>
  <c r="M50" i="71"/>
  <c r="M32" i="54"/>
  <c r="M19" i="54"/>
  <c r="M36" i="54"/>
  <c r="M852" i="54"/>
  <c r="M49" i="54"/>
  <c r="M53" i="54"/>
  <c r="M853" i="54"/>
  <c r="M171" i="54"/>
  <c r="M172" i="54"/>
  <c r="M167" i="54"/>
  <c r="M168" i="54"/>
  <c r="M163" i="54"/>
  <c r="M164" i="54"/>
  <c r="M159" i="54"/>
  <c r="M160" i="54"/>
  <c r="M154" i="54"/>
  <c r="M155" i="54"/>
  <c r="M150" i="54"/>
  <c r="M151" i="54"/>
  <c r="M146" i="54"/>
  <c r="M147" i="54"/>
  <c r="M174" i="54"/>
  <c r="M854" i="54"/>
  <c r="M353" i="54"/>
  <c r="M327" i="54"/>
  <c r="M329" i="54"/>
  <c r="M312" i="54"/>
  <c r="M309" i="54"/>
  <c r="M306" i="54"/>
  <c r="M303" i="54"/>
  <c r="M300" i="54"/>
  <c r="M297" i="54"/>
  <c r="M294" i="54"/>
  <c r="M291" i="54"/>
  <c r="M288" i="54"/>
  <c r="M282" i="54"/>
  <c r="M279" i="54"/>
  <c r="M276" i="54"/>
  <c r="M314" i="54"/>
  <c r="M335" i="54"/>
  <c r="M367" i="54"/>
  <c r="M855" i="54"/>
  <c r="M814" i="54"/>
  <c r="M511" i="54"/>
  <c r="M508" i="54"/>
  <c r="M505" i="54"/>
  <c r="M502" i="54"/>
  <c r="M499" i="54"/>
  <c r="M496" i="54"/>
  <c r="M493" i="54"/>
  <c r="M490" i="54"/>
  <c r="M487" i="54"/>
  <c r="M481" i="54"/>
  <c r="M478" i="54"/>
  <c r="M475" i="54"/>
  <c r="M513" i="54"/>
  <c r="M650" i="54"/>
  <c r="M647" i="54"/>
  <c r="M644" i="54"/>
  <c r="M641" i="54"/>
  <c r="M638" i="54"/>
  <c r="M635" i="54"/>
  <c r="M632" i="54"/>
  <c r="M629" i="54"/>
  <c r="M626" i="54"/>
  <c r="M620" i="54"/>
  <c r="M652" i="54"/>
  <c r="M795" i="54"/>
  <c r="M792" i="54"/>
  <c r="M789" i="54"/>
  <c r="M786" i="54"/>
  <c r="M783" i="54"/>
  <c r="M780" i="54"/>
  <c r="M777" i="54"/>
  <c r="M774" i="54"/>
  <c r="M771" i="54"/>
  <c r="M765" i="54"/>
  <c r="M762" i="54"/>
  <c r="M759" i="54"/>
  <c r="M797" i="54"/>
  <c r="M810" i="54"/>
  <c r="M820" i="54"/>
  <c r="M856" i="54"/>
  <c r="M857" i="54"/>
  <c r="M39" i="71"/>
  <c r="M55" i="71"/>
  <c r="L28" i="23"/>
  <c r="L50" i="69"/>
  <c r="L51" i="69"/>
  <c r="L52" i="69"/>
  <c r="L58" i="69"/>
  <c r="L60" i="69"/>
  <c r="L64" i="69"/>
  <c r="L75" i="69"/>
  <c r="L83" i="69"/>
  <c r="L96" i="69"/>
  <c r="L118" i="69"/>
  <c r="L42" i="71"/>
  <c r="L133" i="58"/>
  <c r="L134" i="58"/>
  <c r="L135" i="58"/>
  <c r="L136" i="58"/>
  <c r="L137" i="58"/>
  <c r="L138" i="58"/>
  <c r="L139" i="58"/>
  <c r="L140" i="58"/>
  <c r="L141" i="58"/>
  <c r="L142" i="58"/>
  <c r="L143" i="58"/>
  <c r="L144" i="58"/>
  <c r="L145" i="58"/>
  <c r="L1013" i="58"/>
  <c r="L822" i="58"/>
  <c r="L833" i="58"/>
  <c r="L1018" i="58"/>
  <c r="L949" i="58"/>
  <c r="L950" i="58"/>
  <c r="L951" i="58"/>
  <c r="L952" i="58"/>
  <c r="L953" i="58"/>
  <c r="L954" i="58"/>
  <c r="L955" i="58"/>
  <c r="L956" i="58"/>
  <c r="L957" i="58"/>
  <c r="L958" i="58"/>
  <c r="L959" i="58"/>
  <c r="L960" i="58"/>
  <c r="L961" i="58"/>
  <c r="L1019" i="58"/>
  <c r="L294" i="58"/>
  <c r="L295" i="58"/>
  <c r="L296" i="58"/>
  <c r="L297" i="58"/>
  <c r="L298" i="58"/>
  <c r="L299" i="58"/>
  <c r="L300" i="58"/>
  <c r="L301" i="58"/>
  <c r="L302" i="58"/>
  <c r="L303" i="58"/>
  <c r="L304" i="58"/>
  <c r="L305" i="58"/>
  <c r="L306" i="58"/>
  <c r="L1014" i="58"/>
  <c r="L455" i="58"/>
  <c r="L456" i="58"/>
  <c r="L457" i="58"/>
  <c r="L458" i="58"/>
  <c r="L459" i="58"/>
  <c r="L460" i="58"/>
  <c r="L461" i="58"/>
  <c r="L462" i="58"/>
  <c r="L463" i="58"/>
  <c r="L464" i="58"/>
  <c r="L465" i="58"/>
  <c r="L466" i="58"/>
  <c r="L467" i="58"/>
  <c r="L1015" i="58"/>
  <c r="L616" i="58"/>
  <c r="L617" i="58"/>
  <c r="L618" i="58"/>
  <c r="L619" i="58"/>
  <c r="L620" i="58"/>
  <c r="L621" i="58"/>
  <c r="L622" i="58"/>
  <c r="L623" i="58"/>
  <c r="L624" i="58"/>
  <c r="L625" i="58"/>
  <c r="L626" i="58"/>
  <c r="L627" i="58"/>
  <c r="L628" i="58"/>
  <c r="L1016" i="58"/>
  <c r="L776" i="58"/>
  <c r="L777" i="58"/>
  <c r="L778" i="58"/>
  <c r="L779" i="58"/>
  <c r="L780" i="58"/>
  <c r="L781" i="58"/>
  <c r="L782" i="58"/>
  <c r="L783" i="58"/>
  <c r="L784" i="58"/>
  <c r="L785" i="58"/>
  <c r="L786" i="58"/>
  <c r="L787" i="58"/>
  <c r="L788" i="58"/>
  <c r="L1017" i="58"/>
  <c r="L1020" i="58"/>
  <c r="L29" i="71"/>
  <c r="L47" i="47"/>
  <c r="L49" i="47"/>
  <c r="L53" i="47"/>
  <c r="L73" i="47"/>
  <c r="L30" i="71"/>
  <c r="L103" i="20"/>
  <c r="L204" i="20"/>
  <c r="L261" i="20"/>
  <c r="L104" i="20"/>
  <c r="L205" i="20"/>
  <c r="L262" i="20"/>
  <c r="L105" i="20"/>
  <c r="L206" i="20"/>
  <c r="L263" i="20"/>
  <c r="L106" i="20"/>
  <c r="L207" i="20"/>
  <c r="L264" i="20"/>
  <c r="L107" i="20"/>
  <c r="L208" i="20"/>
  <c r="L265" i="20"/>
  <c r="L108" i="20"/>
  <c r="L209" i="20"/>
  <c r="L266" i="20"/>
  <c r="L109" i="20"/>
  <c r="L210" i="20"/>
  <c r="L267" i="20"/>
  <c r="L110" i="20"/>
  <c r="L211" i="20"/>
  <c r="L268" i="20"/>
  <c r="L111" i="20"/>
  <c r="L212" i="20"/>
  <c r="L269" i="20"/>
  <c r="L112" i="20"/>
  <c r="L213" i="20"/>
  <c r="L270" i="20"/>
  <c r="L113" i="20"/>
  <c r="L214" i="20"/>
  <c r="L271" i="20"/>
  <c r="L114" i="20"/>
  <c r="L215" i="20"/>
  <c r="L272" i="20"/>
  <c r="L273" i="20"/>
  <c r="L342" i="20"/>
  <c r="L28" i="71"/>
  <c r="L31" i="71"/>
  <c r="L245" i="66"/>
  <c r="L248" i="29"/>
  <c r="L252" i="29"/>
  <c r="L233" i="66"/>
  <c r="L259" i="29"/>
  <c r="L263" i="29"/>
  <c r="L257" i="66"/>
  <c r="L270" i="29"/>
  <c r="L274" i="29"/>
  <c r="L269" i="66"/>
  <c r="L281" i="29"/>
  <c r="L285" i="29"/>
  <c r="L281" i="66"/>
  <c r="L292" i="29"/>
  <c r="L296" i="29"/>
  <c r="L293" i="66"/>
  <c r="L303" i="29"/>
  <c r="L307" i="29"/>
  <c r="L305" i="66"/>
  <c r="L314" i="29"/>
  <c r="L318" i="29"/>
  <c r="L317" i="66"/>
  <c r="L325" i="29"/>
  <c r="L329" i="29"/>
  <c r="L329" i="66"/>
  <c r="L336" i="29"/>
  <c r="L340" i="29"/>
  <c r="L341" i="66"/>
  <c r="L347" i="29"/>
  <c r="L351" i="29"/>
  <c r="L353" i="66"/>
  <c r="L358" i="29"/>
  <c r="L362" i="29"/>
  <c r="L365" i="66"/>
  <c r="L369" i="29"/>
  <c r="L373" i="29"/>
  <c r="L393" i="29"/>
  <c r="L47" i="71"/>
  <c r="L169" i="60"/>
  <c r="L185" i="60"/>
  <c r="L193" i="60"/>
  <c r="L201" i="60"/>
  <c r="L209" i="60"/>
  <c r="L217" i="60"/>
  <c r="L177" i="60"/>
  <c r="L219" i="60"/>
  <c r="L259" i="60"/>
  <c r="L50" i="71"/>
  <c r="L32" i="54"/>
  <c r="L19" i="54"/>
  <c r="L36" i="54"/>
  <c r="L852" i="54"/>
  <c r="L49" i="54"/>
  <c r="L53" i="54"/>
  <c r="L853" i="54"/>
  <c r="L171" i="54"/>
  <c r="L172" i="54"/>
  <c r="L167" i="54"/>
  <c r="L168" i="54"/>
  <c r="L163" i="54"/>
  <c r="L164" i="54"/>
  <c r="L159" i="54"/>
  <c r="L160" i="54"/>
  <c r="L154" i="54"/>
  <c r="L155" i="54"/>
  <c r="L150" i="54"/>
  <c r="L151" i="54"/>
  <c r="L146" i="54"/>
  <c r="L147" i="54"/>
  <c r="L174" i="54"/>
  <c r="L854" i="54"/>
  <c r="L353" i="54"/>
  <c r="L327" i="54"/>
  <c r="L329" i="54"/>
  <c r="L312" i="54"/>
  <c r="L309" i="54"/>
  <c r="L306" i="54"/>
  <c r="L303" i="54"/>
  <c r="L300" i="54"/>
  <c r="L297" i="54"/>
  <c r="L294" i="54"/>
  <c r="L291" i="54"/>
  <c r="L288" i="54"/>
  <c r="L282" i="54"/>
  <c r="L279" i="54"/>
  <c r="L276" i="54"/>
  <c r="L314" i="54"/>
  <c r="L335" i="54"/>
  <c r="L367" i="54"/>
  <c r="L855" i="54"/>
  <c r="L814" i="54"/>
  <c r="L511" i="54"/>
  <c r="L508" i="54"/>
  <c r="L505" i="54"/>
  <c r="L502" i="54"/>
  <c r="L499" i="54"/>
  <c r="L496" i="54"/>
  <c r="L493" i="54"/>
  <c r="L490" i="54"/>
  <c r="L487" i="54"/>
  <c r="L481" i="54"/>
  <c r="L478" i="54"/>
  <c r="L475" i="54"/>
  <c r="L513" i="54"/>
  <c r="L650" i="54"/>
  <c r="L647" i="54"/>
  <c r="L644" i="54"/>
  <c r="L641" i="54"/>
  <c r="L638" i="54"/>
  <c r="L635" i="54"/>
  <c r="L632" i="54"/>
  <c r="L629" i="54"/>
  <c r="L626" i="54"/>
  <c r="L620" i="54"/>
  <c r="L652" i="54"/>
  <c r="L795" i="54"/>
  <c r="L792" i="54"/>
  <c r="L789" i="54"/>
  <c r="L786" i="54"/>
  <c r="L783" i="54"/>
  <c r="L780" i="54"/>
  <c r="L777" i="54"/>
  <c r="L774" i="54"/>
  <c r="L771" i="54"/>
  <c r="L765" i="54"/>
  <c r="L762" i="54"/>
  <c r="L759" i="54"/>
  <c r="L797" i="54"/>
  <c r="L810" i="54"/>
  <c r="L820" i="54"/>
  <c r="L856" i="54"/>
  <c r="L857" i="54"/>
  <c r="L39" i="71"/>
  <c r="L55" i="71"/>
  <c r="K28" i="23"/>
  <c r="K50" i="69"/>
  <c r="K51" i="69"/>
  <c r="K52" i="69"/>
  <c r="K58" i="69"/>
  <c r="K60" i="69"/>
  <c r="K64" i="69"/>
  <c r="K75" i="69"/>
  <c r="K83" i="69"/>
  <c r="K96" i="69"/>
  <c r="K118" i="69"/>
  <c r="K42" i="71"/>
  <c r="K133" i="58"/>
  <c r="K134" i="58"/>
  <c r="K135" i="58"/>
  <c r="K136" i="58"/>
  <c r="K137" i="58"/>
  <c r="K138" i="58"/>
  <c r="K139" i="58"/>
  <c r="K140" i="58"/>
  <c r="K141" i="58"/>
  <c r="K142" i="58"/>
  <c r="K143" i="58"/>
  <c r="K144" i="58"/>
  <c r="K145" i="58"/>
  <c r="K1013" i="58"/>
  <c r="K822" i="58"/>
  <c r="K833" i="58"/>
  <c r="K1018" i="58"/>
  <c r="K949" i="58"/>
  <c r="K950" i="58"/>
  <c r="K951" i="58"/>
  <c r="K952" i="58"/>
  <c r="K953" i="58"/>
  <c r="K954" i="58"/>
  <c r="K955" i="58"/>
  <c r="K956" i="58"/>
  <c r="K957" i="58"/>
  <c r="K958" i="58"/>
  <c r="K959" i="58"/>
  <c r="K960" i="58"/>
  <c r="K961" i="58"/>
  <c r="K1019" i="58"/>
  <c r="K294" i="58"/>
  <c r="K295" i="58"/>
  <c r="K296" i="58"/>
  <c r="K297" i="58"/>
  <c r="K298" i="58"/>
  <c r="K299" i="58"/>
  <c r="K300" i="58"/>
  <c r="K301" i="58"/>
  <c r="K302" i="58"/>
  <c r="K303" i="58"/>
  <c r="K304" i="58"/>
  <c r="K305" i="58"/>
  <c r="K306" i="58"/>
  <c r="K1014" i="58"/>
  <c r="K455" i="58"/>
  <c r="K456" i="58"/>
  <c r="K457" i="58"/>
  <c r="K458" i="58"/>
  <c r="K459" i="58"/>
  <c r="K460" i="58"/>
  <c r="K461" i="58"/>
  <c r="K462" i="58"/>
  <c r="K463" i="58"/>
  <c r="K464" i="58"/>
  <c r="K465" i="58"/>
  <c r="K466" i="58"/>
  <c r="K467" i="58"/>
  <c r="K1015" i="58"/>
  <c r="K616" i="58"/>
  <c r="K617" i="58"/>
  <c r="K618" i="58"/>
  <c r="K619" i="58"/>
  <c r="K620" i="58"/>
  <c r="K621" i="58"/>
  <c r="K622" i="58"/>
  <c r="K623" i="58"/>
  <c r="K624" i="58"/>
  <c r="K625" i="58"/>
  <c r="K626" i="58"/>
  <c r="K627" i="58"/>
  <c r="K628" i="58"/>
  <c r="K1016" i="58"/>
  <c r="K776" i="58"/>
  <c r="K777" i="58"/>
  <c r="K778" i="58"/>
  <c r="K779" i="58"/>
  <c r="K780" i="58"/>
  <c r="K781" i="58"/>
  <c r="K782" i="58"/>
  <c r="K783" i="58"/>
  <c r="K784" i="58"/>
  <c r="K785" i="58"/>
  <c r="K786" i="58"/>
  <c r="K787" i="58"/>
  <c r="K788" i="58"/>
  <c r="K1017" i="58"/>
  <c r="K1020" i="58"/>
  <c r="K29" i="71"/>
  <c r="K47" i="47"/>
  <c r="K49" i="47"/>
  <c r="K53" i="47"/>
  <c r="K73" i="47"/>
  <c r="K30" i="71"/>
  <c r="K103" i="20"/>
  <c r="K204" i="20"/>
  <c r="K261" i="20"/>
  <c r="K104" i="20"/>
  <c r="K205" i="20"/>
  <c r="K262" i="20"/>
  <c r="K105" i="20"/>
  <c r="K206" i="20"/>
  <c r="K263" i="20"/>
  <c r="K106" i="20"/>
  <c r="K207" i="20"/>
  <c r="K264" i="20"/>
  <c r="K107" i="20"/>
  <c r="K208" i="20"/>
  <c r="K265" i="20"/>
  <c r="K108" i="20"/>
  <c r="K209" i="20"/>
  <c r="K266" i="20"/>
  <c r="K109" i="20"/>
  <c r="K210" i="20"/>
  <c r="K267" i="20"/>
  <c r="K110" i="20"/>
  <c r="K211" i="20"/>
  <c r="K268" i="20"/>
  <c r="K111" i="20"/>
  <c r="K212" i="20"/>
  <c r="K269" i="20"/>
  <c r="K112" i="20"/>
  <c r="K213" i="20"/>
  <c r="K270" i="20"/>
  <c r="K113" i="20"/>
  <c r="K214" i="20"/>
  <c r="K271" i="20"/>
  <c r="K114" i="20"/>
  <c r="K215" i="20"/>
  <c r="K272" i="20"/>
  <c r="K273" i="20"/>
  <c r="K342" i="20"/>
  <c r="K28" i="71"/>
  <c r="K31" i="71"/>
  <c r="K245" i="66"/>
  <c r="K248" i="29"/>
  <c r="K252" i="29"/>
  <c r="K233" i="66"/>
  <c r="K259" i="29"/>
  <c r="K263" i="29"/>
  <c r="K257" i="66"/>
  <c r="K270" i="29"/>
  <c r="K274" i="29"/>
  <c r="K269" i="66"/>
  <c r="K281" i="29"/>
  <c r="K285" i="29"/>
  <c r="K281" i="66"/>
  <c r="K292" i="29"/>
  <c r="K296" i="29"/>
  <c r="K293" i="66"/>
  <c r="K303" i="29"/>
  <c r="K307" i="29"/>
  <c r="K305" i="66"/>
  <c r="K314" i="29"/>
  <c r="K318" i="29"/>
  <c r="K317" i="66"/>
  <c r="K325" i="29"/>
  <c r="K329" i="29"/>
  <c r="K329" i="66"/>
  <c r="K336" i="29"/>
  <c r="K340" i="29"/>
  <c r="K341" i="66"/>
  <c r="K347" i="29"/>
  <c r="K351" i="29"/>
  <c r="K353" i="66"/>
  <c r="K358" i="29"/>
  <c r="K362" i="29"/>
  <c r="K365" i="66"/>
  <c r="K369" i="29"/>
  <c r="K373" i="29"/>
  <c r="K393" i="29"/>
  <c r="K47" i="71"/>
  <c r="K169" i="60"/>
  <c r="K185" i="60"/>
  <c r="K193" i="60"/>
  <c r="K201" i="60"/>
  <c r="K209" i="60"/>
  <c r="K217" i="60"/>
  <c r="K177" i="60"/>
  <c r="K219" i="60"/>
  <c r="K259" i="60"/>
  <c r="K50" i="71"/>
  <c r="K32" i="54"/>
  <c r="K19" i="54"/>
  <c r="K36" i="54"/>
  <c r="K852" i="54"/>
  <c r="K49" i="54"/>
  <c r="K53" i="54"/>
  <c r="K853" i="54"/>
  <c r="K171" i="54"/>
  <c r="K172" i="54"/>
  <c r="K167" i="54"/>
  <c r="K168" i="54"/>
  <c r="K163" i="54"/>
  <c r="K164" i="54"/>
  <c r="K159" i="54"/>
  <c r="K160" i="54"/>
  <c r="K154" i="54"/>
  <c r="K155" i="54"/>
  <c r="K150" i="54"/>
  <c r="K151" i="54"/>
  <c r="K146" i="54"/>
  <c r="K147" i="54"/>
  <c r="K174" i="54"/>
  <c r="K854" i="54"/>
  <c r="K353" i="54"/>
  <c r="K327" i="54"/>
  <c r="K329" i="54"/>
  <c r="K312" i="54"/>
  <c r="K309" i="54"/>
  <c r="K306" i="54"/>
  <c r="K303" i="54"/>
  <c r="K300" i="54"/>
  <c r="K297" i="54"/>
  <c r="K294" i="54"/>
  <c r="K291" i="54"/>
  <c r="K288" i="54"/>
  <c r="K282" i="54"/>
  <c r="K279" i="54"/>
  <c r="K276" i="54"/>
  <c r="K314" i="54"/>
  <c r="K335" i="54"/>
  <c r="K367" i="54"/>
  <c r="K855" i="54"/>
  <c r="K814" i="54"/>
  <c r="K511" i="54"/>
  <c r="K508" i="54"/>
  <c r="K505" i="54"/>
  <c r="K502" i="54"/>
  <c r="K499" i="54"/>
  <c r="K496" i="54"/>
  <c r="K493" i="54"/>
  <c r="K490" i="54"/>
  <c r="K487" i="54"/>
  <c r="K481" i="54"/>
  <c r="K478" i="54"/>
  <c r="K475" i="54"/>
  <c r="K513" i="54"/>
  <c r="K650" i="54"/>
  <c r="K647" i="54"/>
  <c r="K644" i="54"/>
  <c r="K641" i="54"/>
  <c r="K638" i="54"/>
  <c r="K635" i="54"/>
  <c r="K632" i="54"/>
  <c r="K629" i="54"/>
  <c r="K626" i="54"/>
  <c r="K620" i="54"/>
  <c r="K652" i="54"/>
  <c r="K795" i="54"/>
  <c r="K792" i="54"/>
  <c r="K789" i="54"/>
  <c r="K786" i="54"/>
  <c r="K783" i="54"/>
  <c r="K780" i="54"/>
  <c r="K777" i="54"/>
  <c r="K774" i="54"/>
  <c r="K771" i="54"/>
  <c r="K765" i="54"/>
  <c r="K762" i="54"/>
  <c r="K759" i="54"/>
  <c r="K797" i="54"/>
  <c r="K810" i="54"/>
  <c r="K820" i="54"/>
  <c r="K856" i="54"/>
  <c r="K857" i="54"/>
  <c r="K39" i="71"/>
  <c r="K55" i="71"/>
  <c r="J28" i="23"/>
  <c r="J50" i="69"/>
  <c r="J51" i="69"/>
  <c r="J52" i="69"/>
  <c r="J58" i="69"/>
  <c r="J60" i="69"/>
  <c r="J64" i="69"/>
  <c r="J75" i="69"/>
  <c r="J83" i="69"/>
  <c r="J96" i="69"/>
  <c r="J118" i="69"/>
  <c r="J42" i="71"/>
  <c r="J133" i="58"/>
  <c r="J134" i="58"/>
  <c r="J135" i="58"/>
  <c r="J136" i="58"/>
  <c r="J137" i="58"/>
  <c r="J138" i="58"/>
  <c r="J139" i="58"/>
  <c r="J140" i="58"/>
  <c r="J141" i="58"/>
  <c r="J142" i="58"/>
  <c r="J143" i="58"/>
  <c r="J144" i="58"/>
  <c r="J145" i="58"/>
  <c r="J1013" i="58"/>
  <c r="J822" i="58"/>
  <c r="J833" i="58"/>
  <c r="J1018" i="58"/>
  <c r="J949" i="58"/>
  <c r="J950" i="58"/>
  <c r="J951" i="58"/>
  <c r="J952" i="58"/>
  <c r="J953" i="58"/>
  <c r="J954" i="58"/>
  <c r="J955" i="58"/>
  <c r="J956" i="58"/>
  <c r="J957" i="58"/>
  <c r="J958" i="58"/>
  <c r="J959" i="58"/>
  <c r="J960" i="58"/>
  <c r="J961" i="58"/>
  <c r="J1019" i="58"/>
  <c r="J294" i="58"/>
  <c r="J295" i="58"/>
  <c r="J296" i="58"/>
  <c r="J297" i="58"/>
  <c r="J298" i="58"/>
  <c r="J299" i="58"/>
  <c r="J300" i="58"/>
  <c r="J301" i="58"/>
  <c r="J302" i="58"/>
  <c r="J303" i="58"/>
  <c r="J304" i="58"/>
  <c r="J305" i="58"/>
  <c r="J306" i="58"/>
  <c r="J1014" i="58"/>
  <c r="J455" i="58"/>
  <c r="J456" i="58"/>
  <c r="J457" i="58"/>
  <c r="J458" i="58"/>
  <c r="J459" i="58"/>
  <c r="J460" i="58"/>
  <c r="J461" i="58"/>
  <c r="J462" i="58"/>
  <c r="J463" i="58"/>
  <c r="J464" i="58"/>
  <c r="J465" i="58"/>
  <c r="J466" i="58"/>
  <c r="J467" i="58"/>
  <c r="J1015" i="58"/>
  <c r="J616" i="58"/>
  <c r="J617" i="58"/>
  <c r="J618" i="58"/>
  <c r="J619" i="58"/>
  <c r="J620" i="58"/>
  <c r="J621" i="58"/>
  <c r="J622" i="58"/>
  <c r="J623" i="58"/>
  <c r="J624" i="58"/>
  <c r="J625" i="58"/>
  <c r="J626" i="58"/>
  <c r="J627" i="58"/>
  <c r="J628" i="58"/>
  <c r="J1016" i="58"/>
  <c r="J776" i="58"/>
  <c r="J777" i="58"/>
  <c r="J778" i="58"/>
  <c r="J779" i="58"/>
  <c r="J780" i="58"/>
  <c r="J781" i="58"/>
  <c r="J782" i="58"/>
  <c r="J783" i="58"/>
  <c r="J784" i="58"/>
  <c r="J785" i="58"/>
  <c r="J786" i="58"/>
  <c r="J787" i="58"/>
  <c r="J788" i="58"/>
  <c r="J1017" i="58"/>
  <c r="J1020" i="58"/>
  <c r="J29" i="71"/>
  <c r="J47" i="47"/>
  <c r="J49" i="47"/>
  <c r="J53" i="47"/>
  <c r="J73" i="47"/>
  <c r="J30" i="71"/>
  <c r="J103" i="20"/>
  <c r="J204" i="20"/>
  <c r="J261" i="20"/>
  <c r="J104" i="20"/>
  <c r="J205" i="20"/>
  <c r="J262" i="20"/>
  <c r="J105" i="20"/>
  <c r="J206" i="20"/>
  <c r="J263" i="20"/>
  <c r="J106" i="20"/>
  <c r="J207" i="20"/>
  <c r="J264" i="20"/>
  <c r="J107" i="20"/>
  <c r="J208" i="20"/>
  <c r="J265" i="20"/>
  <c r="J108" i="20"/>
  <c r="J209" i="20"/>
  <c r="J266" i="20"/>
  <c r="J109" i="20"/>
  <c r="J210" i="20"/>
  <c r="J267" i="20"/>
  <c r="J110" i="20"/>
  <c r="J211" i="20"/>
  <c r="J268" i="20"/>
  <c r="J111" i="20"/>
  <c r="J212" i="20"/>
  <c r="J269" i="20"/>
  <c r="J112" i="20"/>
  <c r="J213" i="20"/>
  <c r="J270" i="20"/>
  <c r="J113" i="20"/>
  <c r="J214" i="20"/>
  <c r="J271" i="20"/>
  <c r="J114" i="20"/>
  <c r="J215" i="20"/>
  <c r="J272" i="20"/>
  <c r="J273" i="20"/>
  <c r="J342" i="20"/>
  <c r="J28" i="71"/>
  <c r="J31" i="71"/>
  <c r="J245" i="66"/>
  <c r="J248" i="29"/>
  <c r="J252" i="29"/>
  <c r="J233" i="66"/>
  <c r="J259" i="29"/>
  <c r="J263" i="29"/>
  <c r="J257" i="66"/>
  <c r="J270" i="29"/>
  <c r="J274" i="29"/>
  <c r="J269" i="66"/>
  <c r="J281" i="29"/>
  <c r="J285" i="29"/>
  <c r="J281" i="66"/>
  <c r="J292" i="29"/>
  <c r="J296" i="29"/>
  <c r="J293" i="66"/>
  <c r="J303" i="29"/>
  <c r="J307" i="29"/>
  <c r="J305" i="66"/>
  <c r="J314" i="29"/>
  <c r="J318" i="29"/>
  <c r="J317" i="66"/>
  <c r="J325" i="29"/>
  <c r="J329" i="29"/>
  <c r="J329" i="66"/>
  <c r="J336" i="29"/>
  <c r="J340" i="29"/>
  <c r="J341" i="66"/>
  <c r="J347" i="29"/>
  <c r="J351" i="29"/>
  <c r="J353" i="66"/>
  <c r="J358" i="29"/>
  <c r="J362" i="29"/>
  <c r="J365" i="66"/>
  <c r="J369" i="29"/>
  <c r="J373" i="29"/>
  <c r="J393" i="29"/>
  <c r="J47" i="71"/>
  <c r="J169" i="60"/>
  <c r="J185" i="60"/>
  <c r="J193" i="60"/>
  <c r="J201" i="60"/>
  <c r="J209" i="60"/>
  <c r="J217" i="60"/>
  <c r="J177" i="60"/>
  <c r="J219" i="60"/>
  <c r="J259" i="60"/>
  <c r="J50" i="71"/>
  <c r="J32" i="54"/>
  <c r="J19" i="54"/>
  <c r="J36" i="54"/>
  <c r="J852" i="54"/>
  <c r="J49" i="54"/>
  <c r="J53" i="54"/>
  <c r="J853" i="54"/>
  <c r="J171" i="54"/>
  <c r="J172" i="54"/>
  <c r="J167" i="54"/>
  <c r="J168" i="54"/>
  <c r="J163" i="54"/>
  <c r="J164" i="54"/>
  <c r="J159" i="54"/>
  <c r="J160" i="54"/>
  <c r="J154" i="54"/>
  <c r="J155" i="54"/>
  <c r="J150" i="54"/>
  <c r="J151" i="54"/>
  <c r="J146" i="54"/>
  <c r="J147" i="54"/>
  <c r="J174" i="54"/>
  <c r="J854" i="54"/>
  <c r="J353" i="54"/>
  <c r="J327" i="54"/>
  <c r="J329" i="54"/>
  <c r="J312" i="54"/>
  <c r="J309" i="54"/>
  <c r="J306" i="54"/>
  <c r="J303" i="54"/>
  <c r="J300" i="54"/>
  <c r="J297" i="54"/>
  <c r="J294" i="54"/>
  <c r="J291" i="54"/>
  <c r="J288" i="54"/>
  <c r="J282" i="54"/>
  <c r="J279" i="54"/>
  <c r="J276" i="54"/>
  <c r="J314" i="54"/>
  <c r="J335" i="54"/>
  <c r="J367" i="54"/>
  <c r="J855" i="54"/>
  <c r="J814" i="54"/>
  <c r="J511" i="54"/>
  <c r="J508" i="54"/>
  <c r="J505" i="54"/>
  <c r="J502" i="54"/>
  <c r="J499" i="54"/>
  <c r="J496" i="54"/>
  <c r="J493" i="54"/>
  <c r="J490" i="54"/>
  <c r="J487" i="54"/>
  <c r="J481" i="54"/>
  <c r="J478" i="54"/>
  <c r="J475" i="54"/>
  <c r="J513" i="54"/>
  <c r="J650" i="54"/>
  <c r="J647" i="54"/>
  <c r="J644" i="54"/>
  <c r="J641" i="54"/>
  <c r="J638" i="54"/>
  <c r="J635" i="54"/>
  <c r="J632" i="54"/>
  <c r="J629" i="54"/>
  <c r="J626" i="54"/>
  <c r="J620" i="54"/>
  <c r="J652" i="54"/>
  <c r="J795" i="54"/>
  <c r="J792" i="54"/>
  <c r="J789" i="54"/>
  <c r="J786" i="54"/>
  <c r="J783" i="54"/>
  <c r="J780" i="54"/>
  <c r="J777" i="54"/>
  <c r="J774" i="54"/>
  <c r="J771" i="54"/>
  <c r="J765" i="54"/>
  <c r="J762" i="54"/>
  <c r="J759" i="54"/>
  <c r="J797" i="54"/>
  <c r="J810" i="54"/>
  <c r="J820" i="54"/>
  <c r="J856" i="54"/>
  <c r="J857" i="54"/>
  <c r="J39" i="71"/>
  <c r="J55" i="71"/>
  <c r="I28" i="23"/>
  <c r="I50" i="69"/>
  <c r="I51" i="69"/>
  <c r="I52" i="69"/>
  <c r="I58" i="69"/>
  <c r="I60" i="69"/>
  <c r="I64" i="69"/>
  <c r="I75" i="69"/>
  <c r="I83" i="69"/>
  <c r="I96" i="69"/>
  <c r="I118" i="69"/>
  <c r="I42" i="71"/>
  <c r="I133" i="58"/>
  <c r="I134" i="58"/>
  <c r="I135" i="58"/>
  <c r="I136" i="58"/>
  <c r="I137" i="58"/>
  <c r="I138" i="58"/>
  <c r="I139" i="58"/>
  <c r="I140" i="58"/>
  <c r="I141" i="58"/>
  <c r="I142" i="58"/>
  <c r="I143" i="58"/>
  <c r="I144" i="58"/>
  <c r="I145" i="58"/>
  <c r="I1013" i="58"/>
  <c r="I822" i="58"/>
  <c r="I833" i="58"/>
  <c r="I1018" i="58"/>
  <c r="I949" i="58"/>
  <c r="I950" i="58"/>
  <c r="I951" i="58"/>
  <c r="I952" i="58"/>
  <c r="I953" i="58"/>
  <c r="I954" i="58"/>
  <c r="I955" i="58"/>
  <c r="I956" i="58"/>
  <c r="I957" i="58"/>
  <c r="I958" i="58"/>
  <c r="I959" i="58"/>
  <c r="I960" i="58"/>
  <c r="I961" i="58"/>
  <c r="I1019" i="58"/>
  <c r="I294" i="58"/>
  <c r="I295" i="58"/>
  <c r="I296" i="58"/>
  <c r="I297" i="58"/>
  <c r="I298" i="58"/>
  <c r="I299" i="58"/>
  <c r="I300" i="58"/>
  <c r="I301" i="58"/>
  <c r="I302" i="58"/>
  <c r="I303" i="58"/>
  <c r="I304" i="58"/>
  <c r="I305" i="58"/>
  <c r="I306" i="58"/>
  <c r="I1014" i="58"/>
  <c r="I455" i="58"/>
  <c r="I456" i="58"/>
  <c r="I457" i="58"/>
  <c r="I458" i="58"/>
  <c r="I459" i="58"/>
  <c r="I460" i="58"/>
  <c r="I461" i="58"/>
  <c r="I462" i="58"/>
  <c r="I463" i="58"/>
  <c r="I464" i="58"/>
  <c r="I465" i="58"/>
  <c r="I466" i="58"/>
  <c r="I467" i="58"/>
  <c r="I1015" i="58"/>
  <c r="I616" i="58"/>
  <c r="I617" i="58"/>
  <c r="I618" i="58"/>
  <c r="I619" i="58"/>
  <c r="I620" i="58"/>
  <c r="I621" i="58"/>
  <c r="I622" i="58"/>
  <c r="I623" i="58"/>
  <c r="I624" i="58"/>
  <c r="I625" i="58"/>
  <c r="I626" i="58"/>
  <c r="I627" i="58"/>
  <c r="I628" i="58"/>
  <c r="I1016" i="58"/>
  <c r="I776" i="58"/>
  <c r="I777" i="58"/>
  <c r="I778" i="58"/>
  <c r="I779" i="58"/>
  <c r="I780" i="58"/>
  <c r="I781" i="58"/>
  <c r="I782" i="58"/>
  <c r="I783" i="58"/>
  <c r="I784" i="58"/>
  <c r="I785" i="58"/>
  <c r="I786" i="58"/>
  <c r="I787" i="58"/>
  <c r="I788" i="58"/>
  <c r="I1017" i="58"/>
  <c r="I1020" i="58"/>
  <c r="I29" i="71"/>
  <c r="I47" i="47"/>
  <c r="I49" i="47"/>
  <c r="I53" i="47"/>
  <c r="I73" i="47"/>
  <c r="I30" i="71"/>
  <c r="I103" i="20"/>
  <c r="I204" i="20"/>
  <c r="I261" i="20"/>
  <c r="I104" i="20"/>
  <c r="I205" i="20"/>
  <c r="I262" i="20"/>
  <c r="I105" i="20"/>
  <c r="I206" i="20"/>
  <c r="I263" i="20"/>
  <c r="I106" i="20"/>
  <c r="I207" i="20"/>
  <c r="I264" i="20"/>
  <c r="I107" i="20"/>
  <c r="I208" i="20"/>
  <c r="I265" i="20"/>
  <c r="I108" i="20"/>
  <c r="I209" i="20"/>
  <c r="I266" i="20"/>
  <c r="I109" i="20"/>
  <c r="I210" i="20"/>
  <c r="I267" i="20"/>
  <c r="I110" i="20"/>
  <c r="I211" i="20"/>
  <c r="I268" i="20"/>
  <c r="I111" i="20"/>
  <c r="I212" i="20"/>
  <c r="I269" i="20"/>
  <c r="I112" i="20"/>
  <c r="I213" i="20"/>
  <c r="I270" i="20"/>
  <c r="I113" i="20"/>
  <c r="I214" i="20"/>
  <c r="I271" i="20"/>
  <c r="I114" i="20"/>
  <c r="I215" i="20"/>
  <c r="I272" i="20"/>
  <c r="I273" i="20"/>
  <c r="I342" i="20"/>
  <c r="I28" i="71"/>
  <c r="I31" i="71"/>
  <c r="I245" i="66"/>
  <c r="I248" i="29"/>
  <c r="I252" i="29"/>
  <c r="I233" i="66"/>
  <c r="I259" i="29"/>
  <c r="I263" i="29"/>
  <c r="I257" i="66"/>
  <c r="I270" i="29"/>
  <c r="I274" i="29"/>
  <c r="I269" i="66"/>
  <c r="I281" i="29"/>
  <c r="I285" i="29"/>
  <c r="I281" i="66"/>
  <c r="I292" i="29"/>
  <c r="I296" i="29"/>
  <c r="I293" i="66"/>
  <c r="I303" i="29"/>
  <c r="I307" i="29"/>
  <c r="I305" i="66"/>
  <c r="I314" i="29"/>
  <c r="I318" i="29"/>
  <c r="I317" i="66"/>
  <c r="I325" i="29"/>
  <c r="I329" i="29"/>
  <c r="I329" i="66"/>
  <c r="I336" i="29"/>
  <c r="I340" i="29"/>
  <c r="I341" i="66"/>
  <c r="I347" i="29"/>
  <c r="I351" i="29"/>
  <c r="I353" i="66"/>
  <c r="I358" i="29"/>
  <c r="I362" i="29"/>
  <c r="I365" i="66"/>
  <c r="I369" i="29"/>
  <c r="I373" i="29"/>
  <c r="I393" i="29"/>
  <c r="I47" i="71"/>
  <c r="I169" i="60"/>
  <c r="I185" i="60"/>
  <c r="I193" i="60"/>
  <c r="I201" i="60"/>
  <c r="I209" i="60"/>
  <c r="I217" i="60"/>
  <c r="I177" i="60"/>
  <c r="I219" i="60"/>
  <c r="I259" i="60"/>
  <c r="I50" i="71"/>
  <c r="I32" i="54"/>
  <c r="I19" i="54"/>
  <c r="I36" i="54"/>
  <c r="I852" i="54"/>
  <c r="I49" i="54"/>
  <c r="I53" i="54"/>
  <c r="I853" i="54"/>
  <c r="I171" i="54"/>
  <c r="I172" i="54"/>
  <c r="I167" i="54"/>
  <c r="I168" i="54"/>
  <c r="I163" i="54"/>
  <c r="I164" i="54"/>
  <c r="I159" i="54"/>
  <c r="I160" i="54"/>
  <c r="I154" i="54"/>
  <c r="I155" i="54"/>
  <c r="I150" i="54"/>
  <c r="I151" i="54"/>
  <c r="I146" i="54"/>
  <c r="I147" i="54"/>
  <c r="I174" i="54"/>
  <c r="I854" i="54"/>
  <c r="I353" i="54"/>
  <c r="I327" i="54"/>
  <c r="I329" i="54"/>
  <c r="I312" i="54"/>
  <c r="I309" i="54"/>
  <c r="I306" i="54"/>
  <c r="I303" i="54"/>
  <c r="I300" i="54"/>
  <c r="I297" i="54"/>
  <c r="I294" i="54"/>
  <c r="I291" i="54"/>
  <c r="I288" i="54"/>
  <c r="I282" i="54"/>
  <c r="I279" i="54"/>
  <c r="I276" i="54"/>
  <c r="I314" i="54"/>
  <c r="I335" i="54"/>
  <c r="I367" i="54"/>
  <c r="I855" i="54"/>
  <c r="I814" i="54"/>
  <c r="I511" i="54"/>
  <c r="I508" i="54"/>
  <c r="I505" i="54"/>
  <c r="I502" i="54"/>
  <c r="I499" i="54"/>
  <c r="I496" i="54"/>
  <c r="I493" i="54"/>
  <c r="I490" i="54"/>
  <c r="I487" i="54"/>
  <c r="I481" i="54"/>
  <c r="I478" i="54"/>
  <c r="I475" i="54"/>
  <c r="I513" i="54"/>
  <c r="I650" i="54"/>
  <c r="I647" i="54"/>
  <c r="I644" i="54"/>
  <c r="I641" i="54"/>
  <c r="I638" i="54"/>
  <c r="I635" i="54"/>
  <c r="I632" i="54"/>
  <c r="I629" i="54"/>
  <c r="I626" i="54"/>
  <c r="I620" i="54"/>
  <c r="I652" i="54"/>
  <c r="I795" i="54"/>
  <c r="I792" i="54"/>
  <c r="I789" i="54"/>
  <c r="I786" i="54"/>
  <c r="I783" i="54"/>
  <c r="I780" i="54"/>
  <c r="I777" i="54"/>
  <c r="I774" i="54"/>
  <c r="I771" i="54"/>
  <c r="I765" i="54"/>
  <c r="I762" i="54"/>
  <c r="I759" i="54"/>
  <c r="I797" i="54"/>
  <c r="I810" i="54"/>
  <c r="I820" i="54"/>
  <c r="I856" i="54"/>
  <c r="I857" i="54"/>
  <c r="I39" i="71"/>
  <c r="I55" i="71"/>
  <c r="H28" i="23"/>
  <c r="H50" i="69"/>
  <c r="H51" i="69"/>
  <c r="H52" i="69"/>
  <c r="H58" i="69"/>
  <c r="H60" i="69"/>
  <c r="H64" i="69"/>
  <c r="H75" i="69"/>
  <c r="H83" i="69"/>
  <c r="H96" i="69"/>
  <c r="H118" i="69"/>
  <c r="H42" i="71"/>
  <c r="H133" i="58"/>
  <c r="H134" i="58"/>
  <c r="H135" i="58"/>
  <c r="H136" i="58"/>
  <c r="H137" i="58"/>
  <c r="H138" i="58"/>
  <c r="H139" i="58"/>
  <c r="H140" i="58"/>
  <c r="H141" i="58"/>
  <c r="H142" i="58"/>
  <c r="H143" i="58"/>
  <c r="H144" i="58"/>
  <c r="H145" i="58"/>
  <c r="H1013" i="58"/>
  <c r="H822" i="58"/>
  <c r="H833" i="58"/>
  <c r="H1018" i="58"/>
  <c r="H949" i="58"/>
  <c r="H950" i="58"/>
  <c r="H951" i="58"/>
  <c r="H952" i="58"/>
  <c r="H953" i="58"/>
  <c r="H954" i="58"/>
  <c r="H955" i="58"/>
  <c r="H956" i="58"/>
  <c r="H957" i="58"/>
  <c r="H958" i="58"/>
  <c r="H959" i="58"/>
  <c r="H960" i="58"/>
  <c r="H961" i="58"/>
  <c r="H1019" i="58"/>
  <c r="H294" i="58"/>
  <c r="H295" i="58"/>
  <c r="H296" i="58"/>
  <c r="H297" i="58"/>
  <c r="H298" i="58"/>
  <c r="H299" i="58"/>
  <c r="H300" i="58"/>
  <c r="H301" i="58"/>
  <c r="H302" i="58"/>
  <c r="H303" i="58"/>
  <c r="H304" i="58"/>
  <c r="H305" i="58"/>
  <c r="H306" i="58"/>
  <c r="H1014" i="58"/>
  <c r="H455" i="58"/>
  <c r="H456" i="58"/>
  <c r="H457" i="58"/>
  <c r="H458" i="58"/>
  <c r="H459" i="58"/>
  <c r="H460" i="58"/>
  <c r="H461" i="58"/>
  <c r="H462" i="58"/>
  <c r="H463" i="58"/>
  <c r="H464" i="58"/>
  <c r="H465" i="58"/>
  <c r="H466" i="58"/>
  <c r="H467" i="58"/>
  <c r="H1015" i="58"/>
  <c r="H616" i="58"/>
  <c r="H617" i="58"/>
  <c r="H618" i="58"/>
  <c r="H619" i="58"/>
  <c r="H620" i="58"/>
  <c r="H621" i="58"/>
  <c r="H622" i="58"/>
  <c r="H623" i="58"/>
  <c r="H624" i="58"/>
  <c r="H625" i="58"/>
  <c r="H626" i="58"/>
  <c r="H627" i="58"/>
  <c r="H628" i="58"/>
  <c r="H1016" i="58"/>
  <c r="H776" i="58"/>
  <c r="H777" i="58"/>
  <c r="H778" i="58"/>
  <c r="H779" i="58"/>
  <c r="H780" i="58"/>
  <c r="H781" i="58"/>
  <c r="H782" i="58"/>
  <c r="H783" i="58"/>
  <c r="H784" i="58"/>
  <c r="H785" i="58"/>
  <c r="H786" i="58"/>
  <c r="H787" i="58"/>
  <c r="H788" i="58"/>
  <c r="H1017" i="58"/>
  <c r="H1020" i="58"/>
  <c r="H29" i="71"/>
  <c r="H47" i="47"/>
  <c r="H49" i="47"/>
  <c r="H53" i="47"/>
  <c r="H73" i="47"/>
  <c r="H30" i="71"/>
  <c r="H103" i="20"/>
  <c r="H204" i="20"/>
  <c r="H261" i="20"/>
  <c r="H104" i="20"/>
  <c r="H205" i="20"/>
  <c r="H262" i="20"/>
  <c r="H105" i="20"/>
  <c r="H206" i="20"/>
  <c r="H263" i="20"/>
  <c r="H106" i="20"/>
  <c r="H207" i="20"/>
  <c r="H264" i="20"/>
  <c r="H107" i="20"/>
  <c r="H208" i="20"/>
  <c r="H265" i="20"/>
  <c r="H108" i="20"/>
  <c r="H209" i="20"/>
  <c r="H266" i="20"/>
  <c r="H109" i="20"/>
  <c r="H210" i="20"/>
  <c r="H267" i="20"/>
  <c r="H110" i="20"/>
  <c r="H211" i="20"/>
  <c r="H268" i="20"/>
  <c r="H111" i="20"/>
  <c r="H212" i="20"/>
  <c r="H269" i="20"/>
  <c r="H112" i="20"/>
  <c r="H213" i="20"/>
  <c r="H270" i="20"/>
  <c r="H113" i="20"/>
  <c r="H214" i="20"/>
  <c r="H271" i="20"/>
  <c r="H114" i="20"/>
  <c r="H215" i="20"/>
  <c r="H272" i="20"/>
  <c r="H273" i="20"/>
  <c r="H342" i="20"/>
  <c r="H28" i="71"/>
  <c r="H31" i="71"/>
  <c r="H245" i="66"/>
  <c r="H248" i="29"/>
  <c r="H252" i="29"/>
  <c r="H233" i="66"/>
  <c r="H259" i="29"/>
  <c r="H263" i="29"/>
  <c r="H257" i="66"/>
  <c r="H270" i="29"/>
  <c r="H274" i="29"/>
  <c r="H269" i="66"/>
  <c r="H281" i="29"/>
  <c r="H285" i="29"/>
  <c r="H281" i="66"/>
  <c r="H292" i="29"/>
  <c r="H296" i="29"/>
  <c r="H293" i="66"/>
  <c r="H303" i="29"/>
  <c r="H307" i="29"/>
  <c r="H305" i="66"/>
  <c r="H314" i="29"/>
  <c r="H318" i="29"/>
  <c r="H317" i="66"/>
  <c r="H325" i="29"/>
  <c r="H329" i="29"/>
  <c r="H329" i="66"/>
  <c r="H336" i="29"/>
  <c r="H340" i="29"/>
  <c r="H341" i="66"/>
  <c r="H347" i="29"/>
  <c r="H351" i="29"/>
  <c r="H353" i="66"/>
  <c r="H358" i="29"/>
  <c r="H362" i="29"/>
  <c r="H365" i="66"/>
  <c r="H369" i="29"/>
  <c r="H373" i="29"/>
  <c r="H393" i="29"/>
  <c r="H47" i="71"/>
  <c r="H169" i="60"/>
  <c r="H185" i="60"/>
  <c r="H193" i="60"/>
  <c r="H201" i="60"/>
  <c r="H209" i="60"/>
  <c r="H217" i="60"/>
  <c r="H177" i="60"/>
  <c r="H219" i="60"/>
  <c r="H259" i="60"/>
  <c r="H50" i="71"/>
  <c r="H32" i="54"/>
  <c r="H19" i="54"/>
  <c r="H36" i="54"/>
  <c r="H852" i="54"/>
  <c r="H49" i="54"/>
  <c r="H53" i="54"/>
  <c r="H853" i="54"/>
  <c r="H171" i="54"/>
  <c r="H172" i="54"/>
  <c r="H167" i="54"/>
  <c r="H168" i="54"/>
  <c r="H163" i="54"/>
  <c r="H164" i="54"/>
  <c r="H159" i="54"/>
  <c r="H160" i="54"/>
  <c r="H154" i="54"/>
  <c r="H155" i="54"/>
  <c r="H150" i="54"/>
  <c r="H151" i="54"/>
  <c r="H146" i="54"/>
  <c r="H147" i="54"/>
  <c r="H174" i="54"/>
  <c r="H854" i="54"/>
  <c r="H353" i="54"/>
  <c r="H327" i="54"/>
  <c r="H329" i="54"/>
  <c r="H312" i="54"/>
  <c r="H309" i="54"/>
  <c r="H306" i="54"/>
  <c r="H303" i="54"/>
  <c r="H300" i="54"/>
  <c r="H297" i="54"/>
  <c r="H294" i="54"/>
  <c r="H291" i="54"/>
  <c r="H288" i="54"/>
  <c r="H282" i="54"/>
  <c r="H279" i="54"/>
  <c r="H276" i="54"/>
  <c r="H314" i="54"/>
  <c r="H335" i="54"/>
  <c r="H367" i="54"/>
  <c r="H855" i="54"/>
  <c r="H814" i="54"/>
  <c r="H511" i="54"/>
  <c r="H508" i="54"/>
  <c r="H505" i="54"/>
  <c r="H502" i="54"/>
  <c r="H499" i="54"/>
  <c r="H496" i="54"/>
  <c r="H493" i="54"/>
  <c r="H490" i="54"/>
  <c r="H487" i="54"/>
  <c r="H481" i="54"/>
  <c r="H478" i="54"/>
  <c r="H475" i="54"/>
  <c r="H513" i="54"/>
  <c r="H650" i="54"/>
  <c r="H647" i="54"/>
  <c r="H644" i="54"/>
  <c r="H641" i="54"/>
  <c r="H638" i="54"/>
  <c r="H635" i="54"/>
  <c r="H632" i="54"/>
  <c r="H629" i="54"/>
  <c r="H626" i="54"/>
  <c r="H620" i="54"/>
  <c r="H652" i="54"/>
  <c r="H795" i="54"/>
  <c r="H792" i="54"/>
  <c r="H789" i="54"/>
  <c r="H786" i="54"/>
  <c r="H783" i="54"/>
  <c r="H780" i="54"/>
  <c r="H777" i="54"/>
  <c r="H774" i="54"/>
  <c r="H771" i="54"/>
  <c r="H765" i="54"/>
  <c r="H762" i="54"/>
  <c r="H759" i="54"/>
  <c r="H797" i="54"/>
  <c r="H810" i="54"/>
  <c r="H820" i="54"/>
  <c r="H856" i="54"/>
  <c r="H857" i="54"/>
  <c r="H39" i="71"/>
  <c r="H55" i="71"/>
  <c r="G28" i="23"/>
  <c r="G50" i="69"/>
  <c r="G51" i="69"/>
  <c r="G52" i="69"/>
  <c r="G58" i="69"/>
  <c r="G60" i="69"/>
  <c r="G64" i="69"/>
  <c r="G75" i="69"/>
  <c r="G83" i="69"/>
  <c r="G96" i="69"/>
  <c r="G118" i="69"/>
  <c r="G42" i="71"/>
  <c r="G133" i="58"/>
  <c r="G134" i="58"/>
  <c r="G135" i="58"/>
  <c r="G136" i="58"/>
  <c r="G137" i="58"/>
  <c r="G138" i="58"/>
  <c r="G139" i="58"/>
  <c r="G140" i="58"/>
  <c r="G141" i="58"/>
  <c r="G142" i="58"/>
  <c r="G143" i="58"/>
  <c r="G144" i="58"/>
  <c r="G145" i="58"/>
  <c r="G1013" i="58"/>
  <c r="G822" i="58"/>
  <c r="G833" i="58"/>
  <c r="G1018" i="58"/>
  <c r="G949" i="58"/>
  <c r="G950" i="58"/>
  <c r="G951" i="58"/>
  <c r="G952" i="58"/>
  <c r="G953" i="58"/>
  <c r="G954" i="58"/>
  <c r="G955" i="58"/>
  <c r="G956" i="58"/>
  <c r="G957" i="58"/>
  <c r="G958" i="58"/>
  <c r="G959" i="58"/>
  <c r="G960" i="58"/>
  <c r="G961" i="58"/>
  <c r="G1019" i="58"/>
  <c r="G294" i="58"/>
  <c r="G295" i="58"/>
  <c r="G296" i="58"/>
  <c r="G297" i="58"/>
  <c r="G298" i="58"/>
  <c r="G299" i="58"/>
  <c r="G300" i="58"/>
  <c r="G301" i="58"/>
  <c r="G302" i="58"/>
  <c r="G303" i="58"/>
  <c r="G304" i="58"/>
  <c r="G305" i="58"/>
  <c r="G306" i="58"/>
  <c r="G1014" i="58"/>
  <c r="G455" i="58"/>
  <c r="G456" i="58"/>
  <c r="G457" i="58"/>
  <c r="G458" i="58"/>
  <c r="G459" i="58"/>
  <c r="G460" i="58"/>
  <c r="G461" i="58"/>
  <c r="G462" i="58"/>
  <c r="G463" i="58"/>
  <c r="G464" i="58"/>
  <c r="G465" i="58"/>
  <c r="G466" i="58"/>
  <c r="G467" i="58"/>
  <c r="G1015" i="58"/>
  <c r="G616" i="58"/>
  <c r="G617" i="58"/>
  <c r="G618" i="58"/>
  <c r="G619" i="58"/>
  <c r="G620" i="58"/>
  <c r="G621" i="58"/>
  <c r="G622" i="58"/>
  <c r="G623" i="58"/>
  <c r="G624" i="58"/>
  <c r="G625" i="58"/>
  <c r="G626" i="58"/>
  <c r="G627" i="58"/>
  <c r="G628" i="58"/>
  <c r="G1016" i="58"/>
  <c r="G776" i="58"/>
  <c r="G777" i="58"/>
  <c r="G778" i="58"/>
  <c r="G779" i="58"/>
  <c r="G780" i="58"/>
  <c r="G781" i="58"/>
  <c r="G782" i="58"/>
  <c r="G783" i="58"/>
  <c r="G784" i="58"/>
  <c r="G785" i="58"/>
  <c r="G786" i="58"/>
  <c r="G787" i="58"/>
  <c r="G788" i="58"/>
  <c r="G1017" i="58"/>
  <c r="G1020" i="58"/>
  <c r="G29" i="71"/>
  <c r="G47" i="47"/>
  <c r="G49" i="47"/>
  <c r="G53" i="47"/>
  <c r="G73" i="47"/>
  <c r="G30" i="71"/>
  <c r="G103" i="20"/>
  <c r="G204" i="20"/>
  <c r="G261" i="20"/>
  <c r="G104" i="20"/>
  <c r="G205" i="20"/>
  <c r="G262" i="20"/>
  <c r="G105" i="20"/>
  <c r="G206" i="20"/>
  <c r="G263" i="20"/>
  <c r="G106" i="20"/>
  <c r="G207" i="20"/>
  <c r="G264" i="20"/>
  <c r="G107" i="20"/>
  <c r="G208" i="20"/>
  <c r="G265" i="20"/>
  <c r="G108" i="20"/>
  <c r="G209" i="20"/>
  <c r="G266" i="20"/>
  <c r="G109" i="20"/>
  <c r="G210" i="20"/>
  <c r="G267" i="20"/>
  <c r="G110" i="20"/>
  <c r="G211" i="20"/>
  <c r="G268" i="20"/>
  <c r="G111" i="20"/>
  <c r="G212" i="20"/>
  <c r="G269" i="20"/>
  <c r="G112" i="20"/>
  <c r="G213" i="20"/>
  <c r="G270" i="20"/>
  <c r="G113" i="20"/>
  <c r="G214" i="20"/>
  <c r="G271" i="20"/>
  <c r="G114" i="20"/>
  <c r="G215" i="20"/>
  <c r="G272" i="20"/>
  <c r="G273" i="20"/>
  <c r="G342" i="20"/>
  <c r="G28" i="71"/>
  <c r="G31" i="71"/>
  <c r="G245" i="66"/>
  <c r="G248" i="29"/>
  <c r="G252" i="29"/>
  <c r="G233" i="66"/>
  <c r="G259" i="29"/>
  <c r="G263" i="29"/>
  <c r="G257" i="66"/>
  <c r="G270" i="29"/>
  <c r="G274" i="29"/>
  <c r="G269" i="66"/>
  <c r="G281" i="29"/>
  <c r="G285" i="29"/>
  <c r="G281" i="66"/>
  <c r="G292" i="29"/>
  <c r="G296" i="29"/>
  <c r="G293" i="66"/>
  <c r="G303" i="29"/>
  <c r="G307" i="29"/>
  <c r="G305" i="66"/>
  <c r="G314" i="29"/>
  <c r="G318" i="29"/>
  <c r="G317" i="66"/>
  <c r="G325" i="29"/>
  <c r="G329" i="29"/>
  <c r="G329" i="66"/>
  <c r="G336" i="29"/>
  <c r="G340" i="29"/>
  <c r="G341" i="66"/>
  <c r="G347" i="29"/>
  <c r="G351" i="29"/>
  <c r="G353" i="66"/>
  <c r="G358" i="29"/>
  <c r="G362" i="29"/>
  <c r="G365" i="66"/>
  <c r="G369" i="29"/>
  <c r="G373" i="29"/>
  <c r="G393" i="29"/>
  <c r="G47" i="71"/>
  <c r="G169" i="60"/>
  <c r="G185" i="60"/>
  <c r="G193" i="60"/>
  <c r="G201" i="60"/>
  <c r="G209" i="60"/>
  <c r="G217" i="60"/>
  <c r="G177" i="60"/>
  <c r="G219" i="60"/>
  <c r="G259" i="60"/>
  <c r="G50" i="71"/>
  <c r="G32" i="54"/>
  <c r="G19" i="54"/>
  <c r="G36" i="54"/>
  <c r="G852" i="54"/>
  <c r="G49" i="54"/>
  <c r="G53" i="54"/>
  <c r="G853" i="54"/>
  <c r="G171" i="54"/>
  <c r="G172" i="54"/>
  <c r="G167" i="54"/>
  <c r="G168" i="54"/>
  <c r="G163" i="54"/>
  <c r="G164" i="54"/>
  <c r="G159" i="54"/>
  <c r="G160" i="54"/>
  <c r="G154" i="54"/>
  <c r="G155" i="54"/>
  <c r="G150" i="54"/>
  <c r="G151" i="54"/>
  <c r="G146" i="54"/>
  <c r="G147" i="54"/>
  <c r="G174" i="54"/>
  <c r="G854" i="54"/>
  <c r="G353" i="54"/>
  <c r="G327" i="54"/>
  <c r="G329" i="54"/>
  <c r="G312" i="54"/>
  <c r="G309" i="54"/>
  <c r="G306" i="54"/>
  <c r="G303" i="54"/>
  <c r="G300" i="54"/>
  <c r="G297" i="54"/>
  <c r="G294" i="54"/>
  <c r="G291" i="54"/>
  <c r="G288" i="54"/>
  <c r="G282" i="54"/>
  <c r="G279" i="54"/>
  <c r="G276" i="54"/>
  <c r="G314" i="54"/>
  <c r="G335" i="54"/>
  <c r="G367" i="54"/>
  <c r="G855" i="54"/>
  <c r="G814" i="54"/>
  <c r="G511" i="54"/>
  <c r="G508" i="54"/>
  <c r="G505" i="54"/>
  <c r="G502" i="54"/>
  <c r="G499" i="54"/>
  <c r="G496" i="54"/>
  <c r="G493" i="54"/>
  <c r="G490" i="54"/>
  <c r="G487" i="54"/>
  <c r="G481" i="54"/>
  <c r="G478" i="54"/>
  <c r="G475" i="54"/>
  <c r="G513" i="54"/>
  <c r="G650" i="54"/>
  <c r="G647" i="54"/>
  <c r="G644" i="54"/>
  <c r="G641" i="54"/>
  <c r="G638" i="54"/>
  <c r="G635" i="54"/>
  <c r="G632" i="54"/>
  <c r="G629" i="54"/>
  <c r="G626" i="54"/>
  <c r="G620" i="54"/>
  <c r="G652" i="54"/>
  <c r="G795" i="54"/>
  <c r="G792" i="54"/>
  <c r="G789" i="54"/>
  <c r="G786" i="54"/>
  <c r="G783" i="54"/>
  <c r="G780" i="54"/>
  <c r="G777" i="54"/>
  <c r="G774" i="54"/>
  <c r="G771" i="54"/>
  <c r="G765" i="54"/>
  <c r="G762" i="54"/>
  <c r="G759" i="54"/>
  <c r="G797" i="54"/>
  <c r="G810" i="54"/>
  <c r="G820" i="54"/>
  <c r="G856" i="54"/>
  <c r="G857" i="54"/>
  <c r="G39" i="71"/>
  <c r="G55" i="71"/>
  <c r="F28" i="23"/>
  <c r="F50" i="69"/>
  <c r="F51" i="69"/>
  <c r="F52" i="69"/>
  <c r="F58" i="69"/>
  <c r="F60" i="69"/>
  <c r="F64" i="69"/>
  <c r="F75" i="69"/>
  <c r="F83" i="69"/>
  <c r="F96" i="69"/>
  <c r="F118" i="69"/>
  <c r="F42" i="71"/>
  <c r="F133" i="58"/>
  <c r="F134" i="58"/>
  <c r="F135" i="58"/>
  <c r="F136" i="58"/>
  <c r="F137" i="58"/>
  <c r="F138" i="58"/>
  <c r="F139" i="58"/>
  <c r="F140" i="58"/>
  <c r="F141" i="58"/>
  <c r="F142" i="58"/>
  <c r="F143" i="58"/>
  <c r="F144" i="58"/>
  <c r="F145" i="58"/>
  <c r="F1013" i="58"/>
  <c r="F822" i="58"/>
  <c r="F833" i="58"/>
  <c r="F1018" i="58"/>
  <c r="F949" i="58"/>
  <c r="F950" i="58"/>
  <c r="F951" i="58"/>
  <c r="F952" i="58"/>
  <c r="F953" i="58"/>
  <c r="F954" i="58"/>
  <c r="F955" i="58"/>
  <c r="F956" i="58"/>
  <c r="F957" i="58"/>
  <c r="F958" i="58"/>
  <c r="F959" i="58"/>
  <c r="F960" i="58"/>
  <c r="F961" i="58"/>
  <c r="F1019" i="58"/>
  <c r="F294" i="58"/>
  <c r="F295" i="58"/>
  <c r="F296" i="58"/>
  <c r="F297" i="58"/>
  <c r="F298" i="58"/>
  <c r="F299" i="58"/>
  <c r="F300" i="58"/>
  <c r="F301" i="58"/>
  <c r="F302" i="58"/>
  <c r="F303" i="58"/>
  <c r="F304" i="58"/>
  <c r="F305" i="58"/>
  <c r="F306" i="58"/>
  <c r="F1014" i="58"/>
  <c r="F455" i="58"/>
  <c r="F456" i="58"/>
  <c r="F457" i="58"/>
  <c r="F458" i="58"/>
  <c r="F459" i="58"/>
  <c r="F460" i="58"/>
  <c r="F461" i="58"/>
  <c r="F462" i="58"/>
  <c r="F463" i="58"/>
  <c r="F464" i="58"/>
  <c r="F465" i="58"/>
  <c r="F466" i="58"/>
  <c r="F467" i="58"/>
  <c r="F1015" i="58"/>
  <c r="F616" i="58"/>
  <c r="F617" i="58"/>
  <c r="F618" i="58"/>
  <c r="F619" i="58"/>
  <c r="F620" i="58"/>
  <c r="F621" i="58"/>
  <c r="F622" i="58"/>
  <c r="F623" i="58"/>
  <c r="F624" i="58"/>
  <c r="F625" i="58"/>
  <c r="F626" i="58"/>
  <c r="F627" i="58"/>
  <c r="F628" i="58"/>
  <c r="F1016" i="58"/>
  <c r="F776" i="58"/>
  <c r="F777" i="58"/>
  <c r="F778" i="58"/>
  <c r="F779" i="58"/>
  <c r="F780" i="58"/>
  <c r="F781" i="58"/>
  <c r="F782" i="58"/>
  <c r="F783" i="58"/>
  <c r="F784" i="58"/>
  <c r="F785" i="58"/>
  <c r="F786" i="58"/>
  <c r="F787" i="58"/>
  <c r="F788" i="58"/>
  <c r="F1017" i="58"/>
  <c r="F1020" i="58"/>
  <c r="F29" i="71"/>
  <c r="F47" i="47"/>
  <c r="F49" i="47"/>
  <c r="F53" i="47"/>
  <c r="F73" i="47"/>
  <c r="F30" i="71"/>
  <c r="F103" i="20"/>
  <c r="F204" i="20"/>
  <c r="F261" i="20"/>
  <c r="F104" i="20"/>
  <c r="F205" i="20"/>
  <c r="F262" i="20"/>
  <c r="F105" i="20"/>
  <c r="F206" i="20"/>
  <c r="F263" i="20"/>
  <c r="F106" i="20"/>
  <c r="F207" i="20"/>
  <c r="F264" i="20"/>
  <c r="F107" i="20"/>
  <c r="F208" i="20"/>
  <c r="F265" i="20"/>
  <c r="F108" i="20"/>
  <c r="F209" i="20"/>
  <c r="F266" i="20"/>
  <c r="F109" i="20"/>
  <c r="F210" i="20"/>
  <c r="F267" i="20"/>
  <c r="F110" i="20"/>
  <c r="F211" i="20"/>
  <c r="F268" i="20"/>
  <c r="F111" i="20"/>
  <c r="F212" i="20"/>
  <c r="F269" i="20"/>
  <c r="F112" i="20"/>
  <c r="F213" i="20"/>
  <c r="F270" i="20"/>
  <c r="F113" i="20"/>
  <c r="F214" i="20"/>
  <c r="F271" i="20"/>
  <c r="F114" i="20"/>
  <c r="F215" i="20"/>
  <c r="F272" i="20"/>
  <c r="F273" i="20"/>
  <c r="F342" i="20"/>
  <c r="F28" i="71"/>
  <c r="F31" i="71"/>
  <c r="F245" i="66"/>
  <c r="F248" i="29"/>
  <c r="F252" i="29"/>
  <c r="F233" i="66"/>
  <c r="F259" i="29"/>
  <c r="F263" i="29"/>
  <c r="F257" i="66"/>
  <c r="F270" i="29"/>
  <c r="F274" i="29"/>
  <c r="F269" i="66"/>
  <c r="F281" i="29"/>
  <c r="F285" i="29"/>
  <c r="F281" i="66"/>
  <c r="F292" i="29"/>
  <c r="F296" i="29"/>
  <c r="F293" i="66"/>
  <c r="F303" i="29"/>
  <c r="F307" i="29"/>
  <c r="F305" i="66"/>
  <c r="F314" i="29"/>
  <c r="F318" i="29"/>
  <c r="F317" i="66"/>
  <c r="F325" i="29"/>
  <c r="F329" i="29"/>
  <c r="F329" i="66"/>
  <c r="F336" i="29"/>
  <c r="F340" i="29"/>
  <c r="F341" i="66"/>
  <c r="F347" i="29"/>
  <c r="F351" i="29"/>
  <c r="F353" i="66"/>
  <c r="F358" i="29"/>
  <c r="F362" i="29"/>
  <c r="F365" i="66"/>
  <c r="F369" i="29"/>
  <c r="F373" i="29"/>
  <c r="F393" i="29"/>
  <c r="F47" i="71"/>
  <c r="F169" i="60"/>
  <c r="F185" i="60"/>
  <c r="F193" i="60"/>
  <c r="F201" i="60"/>
  <c r="F209" i="60"/>
  <c r="F217" i="60"/>
  <c r="F177" i="60"/>
  <c r="F219" i="60"/>
  <c r="F259" i="60"/>
  <c r="F50" i="71"/>
  <c r="F32" i="54"/>
  <c r="F19" i="54"/>
  <c r="F36" i="54"/>
  <c r="F852" i="54"/>
  <c r="F49" i="54"/>
  <c r="F53" i="54"/>
  <c r="F853" i="54"/>
  <c r="F171" i="54"/>
  <c r="F172" i="54"/>
  <c r="F167" i="54"/>
  <c r="F168" i="54"/>
  <c r="F163" i="54"/>
  <c r="F164" i="54"/>
  <c r="F159" i="54"/>
  <c r="F160" i="54"/>
  <c r="F154" i="54"/>
  <c r="F155" i="54"/>
  <c r="F150" i="54"/>
  <c r="F151" i="54"/>
  <c r="F146" i="54"/>
  <c r="F147" i="54"/>
  <c r="F174" i="54"/>
  <c r="F854" i="54"/>
  <c r="F353" i="54"/>
  <c r="F327" i="54"/>
  <c r="F329" i="54"/>
  <c r="F312" i="54"/>
  <c r="F309" i="54"/>
  <c r="F306" i="54"/>
  <c r="F303" i="54"/>
  <c r="F300" i="54"/>
  <c r="F297" i="54"/>
  <c r="F294" i="54"/>
  <c r="F291" i="54"/>
  <c r="F288" i="54"/>
  <c r="F282" i="54"/>
  <c r="F279" i="54"/>
  <c r="F276" i="54"/>
  <c r="F314" i="54"/>
  <c r="F335" i="54"/>
  <c r="F367" i="54"/>
  <c r="F855" i="54"/>
  <c r="F814" i="54"/>
  <c r="F511" i="54"/>
  <c r="F508" i="54"/>
  <c r="F505" i="54"/>
  <c r="F502" i="54"/>
  <c r="F499" i="54"/>
  <c r="F496" i="54"/>
  <c r="F493" i="54"/>
  <c r="F490" i="54"/>
  <c r="F487" i="54"/>
  <c r="F481" i="54"/>
  <c r="F478" i="54"/>
  <c r="F475" i="54"/>
  <c r="F513" i="54"/>
  <c r="F650" i="54"/>
  <c r="F647" i="54"/>
  <c r="F644" i="54"/>
  <c r="F641" i="54"/>
  <c r="F638" i="54"/>
  <c r="F635" i="54"/>
  <c r="F632" i="54"/>
  <c r="F629" i="54"/>
  <c r="F626" i="54"/>
  <c r="F620" i="54"/>
  <c r="F652" i="54"/>
  <c r="F795" i="54"/>
  <c r="F792" i="54"/>
  <c r="F789" i="54"/>
  <c r="F786" i="54"/>
  <c r="F783" i="54"/>
  <c r="F780" i="54"/>
  <c r="F777" i="54"/>
  <c r="F774" i="54"/>
  <c r="F771" i="54"/>
  <c r="F765" i="54"/>
  <c r="F762" i="54"/>
  <c r="F759" i="54"/>
  <c r="F797" i="54"/>
  <c r="F810" i="54"/>
  <c r="F820" i="54"/>
  <c r="F856" i="54"/>
  <c r="F857" i="54"/>
  <c r="F39" i="71"/>
  <c r="F55" i="71"/>
  <c r="E28" i="23"/>
  <c r="E50" i="69"/>
  <c r="E52" i="69"/>
  <c r="E58" i="69"/>
  <c r="E60" i="69"/>
  <c r="E64" i="69"/>
  <c r="E75" i="69"/>
  <c r="E83" i="69"/>
  <c r="E96" i="69"/>
  <c r="E118" i="69"/>
  <c r="E42" i="71"/>
  <c r="E133" i="58"/>
  <c r="E134" i="58"/>
  <c r="E135" i="58"/>
  <c r="E136" i="58"/>
  <c r="E137" i="58"/>
  <c r="E138" i="58"/>
  <c r="E139" i="58"/>
  <c r="E140" i="58"/>
  <c r="E141" i="58"/>
  <c r="E142" i="58"/>
  <c r="E143" i="58"/>
  <c r="E144" i="58"/>
  <c r="E145" i="58"/>
  <c r="E1013" i="58"/>
  <c r="E822" i="58"/>
  <c r="E833" i="58"/>
  <c r="E1018" i="58"/>
  <c r="E949" i="58"/>
  <c r="E950" i="58"/>
  <c r="E951" i="58"/>
  <c r="E952" i="58"/>
  <c r="E953" i="58"/>
  <c r="E954" i="58"/>
  <c r="E955" i="58"/>
  <c r="E956" i="58"/>
  <c r="E957" i="58"/>
  <c r="E958" i="58"/>
  <c r="E959" i="58"/>
  <c r="E960" i="58"/>
  <c r="E961" i="58"/>
  <c r="E1019" i="58"/>
  <c r="E294" i="58"/>
  <c r="E295" i="58"/>
  <c r="E296" i="58"/>
  <c r="E297" i="58"/>
  <c r="E298" i="58"/>
  <c r="E299" i="58"/>
  <c r="E300" i="58"/>
  <c r="E301" i="58"/>
  <c r="E302" i="58"/>
  <c r="E303" i="58"/>
  <c r="E304" i="58"/>
  <c r="E305" i="58"/>
  <c r="E306" i="58"/>
  <c r="E1014" i="58"/>
  <c r="E455" i="58"/>
  <c r="E456" i="58"/>
  <c r="E457" i="58"/>
  <c r="E458" i="58"/>
  <c r="E459" i="58"/>
  <c r="E460" i="58"/>
  <c r="E461" i="58"/>
  <c r="E462" i="58"/>
  <c r="E463" i="58"/>
  <c r="E464" i="58"/>
  <c r="E465" i="58"/>
  <c r="E466" i="58"/>
  <c r="E467" i="58"/>
  <c r="E1015" i="58"/>
  <c r="E616" i="58"/>
  <c r="E617" i="58"/>
  <c r="E618" i="58"/>
  <c r="E619" i="58"/>
  <c r="E620" i="58"/>
  <c r="E621" i="58"/>
  <c r="E622" i="58"/>
  <c r="E623" i="58"/>
  <c r="E624" i="58"/>
  <c r="E625" i="58"/>
  <c r="E626" i="58"/>
  <c r="E627" i="58"/>
  <c r="E628" i="58"/>
  <c r="E1016" i="58"/>
  <c r="E776" i="58"/>
  <c r="E777" i="58"/>
  <c r="E778" i="58"/>
  <c r="E779" i="58"/>
  <c r="E780" i="58"/>
  <c r="E781" i="58"/>
  <c r="E782" i="58"/>
  <c r="E783" i="58"/>
  <c r="E784" i="58"/>
  <c r="E785" i="58"/>
  <c r="E786" i="58"/>
  <c r="E787" i="58"/>
  <c r="E788" i="58"/>
  <c r="E1017" i="58"/>
  <c r="E1020" i="58"/>
  <c r="E29" i="71"/>
  <c r="E47" i="47"/>
  <c r="E49" i="47"/>
  <c r="E53" i="47"/>
  <c r="E73" i="47"/>
  <c r="E30" i="71"/>
  <c r="E103" i="20"/>
  <c r="E204" i="20"/>
  <c r="E261" i="20"/>
  <c r="E104" i="20"/>
  <c r="E205" i="20"/>
  <c r="E262" i="20"/>
  <c r="E105" i="20"/>
  <c r="E206" i="20"/>
  <c r="E263" i="20"/>
  <c r="E106" i="20"/>
  <c r="E207" i="20"/>
  <c r="E264" i="20"/>
  <c r="E107" i="20"/>
  <c r="E208" i="20"/>
  <c r="E265" i="20"/>
  <c r="E108" i="20"/>
  <c r="E209" i="20"/>
  <c r="E266" i="20"/>
  <c r="E109" i="20"/>
  <c r="E210" i="20"/>
  <c r="E267" i="20"/>
  <c r="E110" i="20"/>
  <c r="E211" i="20"/>
  <c r="E268" i="20"/>
  <c r="E111" i="20"/>
  <c r="E212" i="20"/>
  <c r="E269" i="20"/>
  <c r="E112" i="20"/>
  <c r="E213" i="20"/>
  <c r="E270" i="20"/>
  <c r="E113" i="20"/>
  <c r="E214" i="20"/>
  <c r="E271" i="20"/>
  <c r="E114" i="20"/>
  <c r="E215" i="20"/>
  <c r="E272" i="20"/>
  <c r="E273" i="20"/>
  <c r="E342" i="20"/>
  <c r="E28" i="71"/>
  <c r="E31" i="71"/>
  <c r="E245" i="66"/>
  <c r="E248" i="29"/>
  <c r="E252" i="29"/>
  <c r="E233" i="66"/>
  <c r="E259" i="29"/>
  <c r="E263" i="29"/>
  <c r="E257" i="66"/>
  <c r="E270" i="29"/>
  <c r="E274" i="29"/>
  <c r="E269" i="66"/>
  <c r="E281" i="29"/>
  <c r="E285" i="29"/>
  <c r="E281" i="66"/>
  <c r="E292" i="29"/>
  <c r="E296" i="29"/>
  <c r="E293" i="66"/>
  <c r="E303" i="29"/>
  <c r="E307" i="29"/>
  <c r="E305" i="66"/>
  <c r="E314" i="29"/>
  <c r="E318" i="29"/>
  <c r="E317" i="66"/>
  <c r="E325" i="29"/>
  <c r="E329" i="29"/>
  <c r="E329" i="66"/>
  <c r="E336" i="29"/>
  <c r="E340" i="29"/>
  <c r="E341" i="66"/>
  <c r="E347" i="29"/>
  <c r="E351" i="29"/>
  <c r="E353" i="66"/>
  <c r="E358" i="29"/>
  <c r="E362" i="29"/>
  <c r="E365" i="66"/>
  <c r="E369" i="29"/>
  <c r="E373" i="29"/>
  <c r="E393" i="29"/>
  <c r="E47" i="71"/>
  <c r="E169" i="60"/>
  <c r="E177" i="60"/>
  <c r="E185" i="60"/>
  <c r="E193" i="60"/>
  <c r="E201" i="60"/>
  <c r="E209" i="60"/>
  <c r="E217" i="60"/>
  <c r="E219" i="60"/>
  <c r="E259" i="60"/>
  <c r="E50" i="71"/>
  <c r="E171" i="54"/>
  <c r="E172" i="54"/>
  <c r="E167" i="54"/>
  <c r="E168" i="54"/>
  <c r="E163" i="54"/>
  <c r="E164" i="54"/>
  <c r="E159" i="54"/>
  <c r="E160" i="54"/>
  <c r="E154" i="54"/>
  <c r="E155" i="54"/>
  <c r="E150" i="54"/>
  <c r="E151" i="54"/>
  <c r="E146" i="54"/>
  <c r="E147" i="54"/>
  <c r="E174" i="54"/>
  <c r="E854" i="54"/>
  <c r="E353" i="54"/>
  <c r="E327" i="54"/>
  <c r="E329" i="54"/>
  <c r="E312" i="54"/>
  <c r="E309" i="54"/>
  <c r="E306" i="54"/>
  <c r="E303" i="54"/>
  <c r="E300" i="54"/>
  <c r="E297" i="54"/>
  <c r="E294" i="54"/>
  <c r="E291" i="54"/>
  <c r="E288" i="54"/>
  <c r="E282" i="54"/>
  <c r="E279" i="54"/>
  <c r="E276" i="54"/>
  <c r="E314" i="54"/>
  <c r="E335" i="54"/>
  <c r="E367" i="54"/>
  <c r="E855" i="54"/>
  <c r="E814" i="54"/>
  <c r="E511" i="54"/>
  <c r="E508" i="54"/>
  <c r="E505" i="54"/>
  <c r="E502" i="54"/>
  <c r="E499" i="54"/>
  <c r="E496" i="54"/>
  <c r="E493" i="54"/>
  <c r="E490" i="54"/>
  <c r="E487" i="54"/>
  <c r="E481" i="54"/>
  <c r="E478" i="54"/>
  <c r="E475" i="54"/>
  <c r="E513" i="54"/>
  <c r="E650" i="54"/>
  <c r="E647" i="54"/>
  <c r="E644" i="54"/>
  <c r="E641" i="54"/>
  <c r="E638" i="54"/>
  <c r="E635" i="54"/>
  <c r="E632" i="54"/>
  <c r="E629" i="54"/>
  <c r="E626" i="54"/>
  <c r="E620" i="54"/>
  <c r="E652" i="54"/>
  <c r="E795" i="54"/>
  <c r="E792" i="54"/>
  <c r="E789" i="54"/>
  <c r="E786" i="54"/>
  <c r="E783" i="54"/>
  <c r="E780" i="54"/>
  <c r="E777" i="54"/>
  <c r="E774" i="54"/>
  <c r="E771" i="54"/>
  <c r="E765" i="54"/>
  <c r="E762" i="54"/>
  <c r="E759" i="54"/>
  <c r="E797" i="54"/>
  <c r="E810" i="54"/>
  <c r="E820" i="54"/>
  <c r="E856" i="54"/>
  <c r="E32" i="54"/>
  <c r="E19" i="54"/>
  <c r="E36" i="54"/>
  <c r="E852" i="54"/>
  <c r="E49" i="54"/>
  <c r="E53" i="54"/>
  <c r="E853" i="54"/>
  <c r="E857" i="54"/>
  <c r="E39" i="71"/>
  <c r="E55" i="71"/>
  <c r="E60" i="71"/>
  <c r="F60" i="71"/>
  <c r="G60" i="71"/>
  <c r="H60" i="71"/>
  <c r="I60" i="71"/>
  <c r="J60" i="71"/>
  <c r="K60" i="71"/>
  <c r="L60" i="71"/>
  <c r="M60" i="71"/>
  <c r="N60" i="71"/>
  <c r="N118" i="72"/>
  <c r="M118" i="72"/>
  <c r="L118" i="72"/>
  <c r="K118" i="72"/>
  <c r="J118" i="72"/>
  <c r="I118" i="72"/>
  <c r="H118" i="72"/>
  <c r="G118" i="72"/>
  <c r="F118" i="72"/>
  <c r="E118" i="72"/>
  <c r="D118" i="72"/>
  <c r="N244" i="66"/>
  <c r="N247" i="29"/>
  <c r="N251" i="29"/>
  <c r="N232" i="66"/>
  <c r="N258" i="29"/>
  <c r="N262" i="29"/>
  <c r="N256" i="66"/>
  <c r="N269" i="29"/>
  <c r="N273" i="29"/>
  <c r="N268" i="66"/>
  <c r="N280" i="29"/>
  <c r="N284" i="29"/>
  <c r="N280" i="66"/>
  <c r="N291" i="29"/>
  <c r="N295" i="29"/>
  <c r="N292" i="66"/>
  <c r="N302" i="29"/>
  <c r="N306" i="29"/>
  <c r="N304" i="66"/>
  <c r="N313" i="29"/>
  <c r="N317" i="29"/>
  <c r="N316" i="66"/>
  <c r="N324" i="29"/>
  <c r="N328" i="29"/>
  <c r="N328" i="66"/>
  <c r="N335" i="29"/>
  <c r="N339" i="29"/>
  <c r="N340" i="66"/>
  <c r="N346" i="29"/>
  <c r="N350" i="29"/>
  <c r="N352" i="66"/>
  <c r="N357" i="29"/>
  <c r="N361" i="29"/>
  <c r="N364" i="66"/>
  <c r="N368" i="29"/>
  <c r="N372" i="29"/>
  <c r="N392" i="29"/>
  <c r="N46" i="71"/>
  <c r="N54" i="71"/>
  <c r="M244" i="66"/>
  <c r="M247" i="29"/>
  <c r="M251" i="29"/>
  <c r="M232" i="66"/>
  <c r="M258" i="29"/>
  <c r="M262" i="29"/>
  <c r="M256" i="66"/>
  <c r="M269" i="29"/>
  <c r="M273" i="29"/>
  <c r="M268" i="66"/>
  <c r="M280" i="29"/>
  <c r="M284" i="29"/>
  <c r="M280" i="66"/>
  <c r="M291" i="29"/>
  <c r="M295" i="29"/>
  <c r="M292" i="66"/>
  <c r="M302" i="29"/>
  <c r="M306" i="29"/>
  <c r="M304" i="66"/>
  <c r="M313" i="29"/>
  <c r="M317" i="29"/>
  <c r="M316" i="66"/>
  <c r="M324" i="29"/>
  <c r="M328" i="29"/>
  <c r="M328" i="66"/>
  <c r="M335" i="29"/>
  <c r="M339" i="29"/>
  <c r="M340" i="66"/>
  <c r="M346" i="29"/>
  <c r="M350" i="29"/>
  <c r="M352" i="66"/>
  <c r="M357" i="29"/>
  <c r="M361" i="29"/>
  <c r="M364" i="66"/>
  <c r="M368" i="29"/>
  <c r="M372" i="29"/>
  <c r="M392" i="29"/>
  <c r="M46" i="71"/>
  <c r="M54" i="71"/>
  <c r="L244" i="66"/>
  <c r="L247" i="29"/>
  <c r="L251" i="29"/>
  <c r="L232" i="66"/>
  <c r="L258" i="29"/>
  <c r="L262" i="29"/>
  <c r="L256" i="66"/>
  <c r="L269" i="29"/>
  <c r="L273" i="29"/>
  <c r="L268" i="66"/>
  <c r="L280" i="29"/>
  <c r="L284" i="29"/>
  <c r="L280" i="66"/>
  <c r="L291" i="29"/>
  <c r="L295" i="29"/>
  <c r="L292" i="66"/>
  <c r="L302" i="29"/>
  <c r="L306" i="29"/>
  <c r="L304" i="66"/>
  <c r="L313" i="29"/>
  <c r="L317" i="29"/>
  <c r="L316" i="66"/>
  <c r="L324" i="29"/>
  <c r="L328" i="29"/>
  <c r="L328" i="66"/>
  <c r="L335" i="29"/>
  <c r="L339" i="29"/>
  <c r="L340" i="66"/>
  <c r="L346" i="29"/>
  <c r="L350" i="29"/>
  <c r="L352" i="66"/>
  <c r="L357" i="29"/>
  <c r="L361" i="29"/>
  <c r="L364" i="66"/>
  <c r="L368" i="29"/>
  <c r="L372" i="29"/>
  <c r="L392" i="29"/>
  <c r="L46" i="71"/>
  <c r="L54" i="71"/>
  <c r="K244" i="66"/>
  <c r="K247" i="29"/>
  <c r="K251" i="29"/>
  <c r="K232" i="66"/>
  <c r="K258" i="29"/>
  <c r="K262" i="29"/>
  <c r="K256" i="66"/>
  <c r="K269" i="29"/>
  <c r="K273" i="29"/>
  <c r="K268" i="66"/>
  <c r="K280" i="29"/>
  <c r="K284" i="29"/>
  <c r="K280" i="66"/>
  <c r="K291" i="29"/>
  <c r="K295" i="29"/>
  <c r="K292" i="66"/>
  <c r="K302" i="29"/>
  <c r="K306" i="29"/>
  <c r="K304" i="66"/>
  <c r="K313" i="29"/>
  <c r="K317" i="29"/>
  <c r="K316" i="66"/>
  <c r="K324" i="29"/>
  <c r="K328" i="29"/>
  <c r="K328" i="66"/>
  <c r="K335" i="29"/>
  <c r="K339" i="29"/>
  <c r="K340" i="66"/>
  <c r="K346" i="29"/>
  <c r="K350" i="29"/>
  <c r="K352" i="66"/>
  <c r="K357" i="29"/>
  <c r="K361" i="29"/>
  <c r="K364" i="66"/>
  <c r="K368" i="29"/>
  <c r="K372" i="29"/>
  <c r="K392" i="29"/>
  <c r="K46" i="71"/>
  <c r="K54" i="71"/>
  <c r="J244" i="66"/>
  <c r="J247" i="29"/>
  <c r="J251" i="29"/>
  <c r="J232" i="66"/>
  <c r="J258" i="29"/>
  <c r="J262" i="29"/>
  <c r="J256" i="66"/>
  <c r="J269" i="29"/>
  <c r="J273" i="29"/>
  <c r="J268" i="66"/>
  <c r="J280" i="29"/>
  <c r="J284" i="29"/>
  <c r="J280" i="66"/>
  <c r="J291" i="29"/>
  <c r="J295" i="29"/>
  <c r="J292" i="66"/>
  <c r="J302" i="29"/>
  <c r="J306" i="29"/>
  <c r="J304" i="66"/>
  <c r="J313" i="29"/>
  <c r="J317" i="29"/>
  <c r="J316" i="66"/>
  <c r="J324" i="29"/>
  <c r="J328" i="29"/>
  <c r="J328" i="66"/>
  <c r="J335" i="29"/>
  <c r="J339" i="29"/>
  <c r="J340" i="66"/>
  <c r="J346" i="29"/>
  <c r="J350" i="29"/>
  <c r="J352" i="66"/>
  <c r="J357" i="29"/>
  <c r="J361" i="29"/>
  <c r="J364" i="66"/>
  <c r="J368" i="29"/>
  <c r="J372" i="29"/>
  <c r="J392" i="29"/>
  <c r="J46" i="71"/>
  <c r="J54" i="71"/>
  <c r="I244" i="66"/>
  <c r="I247" i="29"/>
  <c r="I251" i="29"/>
  <c r="I232" i="66"/>
  <c r="I258" i="29"/>
  <c r="I262" i="29"/>
  <c r="I256" i="66"/>
  <c r="I269" i="29"/>
  <c r="I273" i="29"/>
  <c r="I268" i="66"/>
  <c r="I280" i="29"/>
  <c r="I284" i="29"/>
  <c r="I280" i="66"/>
  <c r="I291" i="29"/>
  <c r="I295" i="29"/>
  <c r="I292" i="66"/>
  <c r="I302" i="29"/>
  <c r="I306" i="29"/>
  <c r="I304" i="66"/>
  <c r="I313" i="29"/>
  <c r="I317" i="29"/>
  <c r="I316" i="66"/>
  <c r="I324" i="29"/>
  <c r="I328" i="29"/>
  <c r="I328" i="66"/>
  <c r="I335" i="29"/>
  <c r="I339" i="29"/>
  <c r="I340" i="66"/>
  <c r="I346" i="29"/>
  <c r="I350" i="29"/>
  <c r="I352" i="66"/>
  <c r="I357" i="29"/>
  <c r="I361" i="29"/>
  <c r="I364" i="66"/>
  <c r="I368" i="29"/>
  <c r="I372" i="29"/>
  <c r="I392" i="29"/>
  <c r="I46" i="71"/>
  <c r="I54" i="71"/>
  <c r="H244" i="66"/>
  <c r="H247" i="29"/>
  <c r="H251" i="29"/>
  <c r="H232" i="66"/>
  <c r="H258" i="29"/>
  <c r="H262" i="29"/>
  <c r="H256" i="66"/>
  <c r="H269" i="29"/>
  <c r="H273" i="29"/>
  <c r="H268" i="66"/>
  <c r="H280" i="29"/>
  <c r="H284" i="29"/>
  <c r="H280" i="66"/>
  <c r="H291" i="29"/>
  <c r="H295" i="29"/>
  <c r="H292" i="66"/>
  <c r="H302" i="29"/>
  <c r="H306" i="29"/>
  <c r="H304" i="66"/>
  <c r="H313" i="29"/>
  <c r="H317" i="29"/>
  <c r="H316" i="66"/>
  <c r="H324" i="29"/>
  <c r="H328" i="29"/>
  <c r="H328" i="66"/>
  <c r="H335" i="29"/>
  <c r="H339" i="29"/>
  <c r="H340" i="66"/>
  <c r="H346" i="29"/>
  <c r="H350" i="29"/>
  <c r="H352" i="66"/>
  <c r="H357" i="29"/>
  <c r="H361" i="29"/>
  <c r="H364" i="66"/>
  <c r="H368" i="29"/>
  <c r="H372" i="29"/>
  <c r="H392" i="29"/>
  <c r="H46" i="71"/>
  <c r="H54" i="71"/>
  <c r="G244" i="66"/>
  <c r="G247" i="29"/>
  <c r="G251" i="29"/>
  <c r="G232" i="66"/>
  <c r="G258" i="29"/>
  <c r="G262" i="29"/>
  <c r="G256" i="66"/>
  <c r="G269" i="29"/>
  <c r="G273" i="29"/>
  <c r="G268" i="66"/>
  <c r="G280" i="29"/>
  <c r="G284" i="29"/>
  <c r="G280" i="66"/>
  <c r="G291" i="29"/>
  <c r="G295" i="29"/>
  <c r="G292" i="66"/>
  <c r="G302" i="29"/>
  <c r="G306" i="29"/>
  <c r="G304" i="66"/>
  <c r="G313" i="29"/>
  <c r="G317" i="29"/>
  <c r="G316" i="66"/>
  <c r="G324" i="29"/>
  <c r="G328" i="29"/>
  <c r="G328" i="66"/>
  <c r="G335" i="29"/>
  <c r="G339" i="29"/>
  <c r="G340" i="66"/>
  <c r="G346" i="29"/>
  <c r="G350" i="29"/>
  <c r="G352" i="66"/>
  <c r="G357" i="29"/>
  <c r="G361" i="29"/>
  <c r="G364" i="66"/>
  <c r="G368" i="29"/>
  <c r="G372" i="29"/>
  <c r="G392" i="29"/>
  <c r="G46" i="71"/>
  <c r="G54" i="71"/>
  <c r="F244" i="66"/>
  <c r="F247" i="29"/>
  <c r="F251" i="29"/>
  <c r="F232" i="66"/>
  <c r="F258" i="29"/>
  <c r="F262" i="29"/>
  <c r="F256" i="66"/>
  <c r="F269" i="29"/>
  <c r="F273" i="29"/>
  <c r="F268" i="66"/>
  <c r="F280" i="29"/>
  <c r="F284" i="29"/>
  <c r="F280" i="66"/>
  <c r="F291" i="29"/>
  <c r="F295" i="29"/>
  <c r="F292" i="66"/>
  <c r="F302" i="29"/>
  <c r="F306" i="29"/>
  <c r="F304" i="66"/>
  <c r="F313" i="29"/>
  <c r="F317" i="29"/>
  <c r="F316" i="66"/>
  <c r="F324" i="29"/>
  <c r="F328" i="29"/>
  <c r="F328" i="66"/>
  <c r="F335" i="29"/>
  <c r="F339" i="29"/>
  <c r="F340" i="66"/>
  <c r="F346" i="29"/>
  <c r="F350" i="29"/>
  <c r="F352" i="66"/>
  <c r="F357" i="29"/>
  <c r="F361" i="29"/>
  <c r="F364" i="66"/>
  <c r="F368" i="29"/>
  <c r="F372" i="29"/>
  <c r="F392" i="29"/>
  <c r="F46" i="71"/>
  <c r="F54" i="71"/>
  <c r="E244" i="66"/>
  <c r="E247" i="29"/>
  <c r="E251" i="29"/>
  <c r="E232" i="66"/>
  <c r="E258" i="29"/>
  <c r="E262" i="29"/>
  <c r="E256" i="66"/>
  <c r="E269" i="29"/>
  <c r="E273" i="29"/>
  <c r="E268" i="66"/>
  <c r="E280" i="29"/>
  <c r="E284" i="29"/>
  <c r="E280" i="66"/>
  <c r="E291" i="29"/>
  <c r="E295" i="29"/>
  <c r="E292" i="66"/>
  <c r="E302" i="29"/>
  <c r="E306" i="29"/>
  <c r="E304" i="66"/>
  <c r="E313" i="29"/>
  <c r="E317" i="29"/>
  <c r="E316" i="66"/>
  <c r="E324" i="29"/>
  <c r="E328" i="29"/>
  <c r="E328" i="66"/>
  <c r="E335" i="29"/>
  <c r="E339" i="29"/>
  <c r="E340" i="66"/>
  <c r="E346" i="29"/>
  <c r="E350" i="29"/>
  <c r="E352" i="66"/>
  <c r="E357" i="29"/>
  <c r="E361" i="29"/>
  <c r="E364" i="66"/>
  <c r="E368" i="29"/>
  <c r="E372" i="29"/>
  <c r="E392" i="29"/>
  <c r="E46" i="71"/>
  <c r="E54" i="71"/>
  <c r="E59" i="71"/>
  <c r="F59" i="71"/>
  <c r="G59" i="71"/>
  <c r="H59" i="71"/>
  <c r="I59" i="71"/>
  <c r="J59" i="71"/>
  <c r="K59" i="71"/>
  <c r="L59" i="71"/>
  <c r="M59" i="71"/>
  <c r="N59" i="71"/>
  <c r="N117" i="72"/>
  <c r="M117" i="72"/>
  <c r="L117" i="72"/>
  <c r="K117" i="72"/>
  <c r="J117" i="72"/>
  <c r="I117" i="72"/>
  <c r="H117" i="72"/>
  <c r="G117" i="72"/>
  <c r="F117" i="72"/>
  <c r="E117" i="72"/>
  <c r="D117" i="72"/>
  <c r="N45" i="71"/>
  <c r="N53" i="71"/>
  <c r="M45" i="71"/>
  <c r="M53" i="71"/>
  <c r="L45" i="71"/>
  <c r="L53" i="71"/>
  <c r="K45" i="71"/>
  <c r="K53" i="71"/>
  <c r="J45" i="71"/>
  <c r="J53" i="71"/>
  <c r="I45" i="71"/>
  <c r="I53" i="71"/>
  <c r="H45" i="71"/>
  <c r="H53" i="71"/>
  <c r="G45" i="71"/>
  <c r="G53" i="71"/>
  <c r="F243" i="66"/>
  <c r="F246" i="29"/>
  <c r="F250" i="29"/>
  <c r="F231" i="66"/>
  <c r="F257" i="29"/>
  <c r="F261" i="29"/>
  <c r="F255" i="66"/>
  <c r="F268" i="29"/>
  <c r="F272" i="29"/>
  <c r="F267" i="66"/>
  <c r="F279" i="29"/>
  <c r="F283" i="29"/>
  <c r="F279" i="66"/>
  <c r="F290" i="29"/>
  <c r="F294" i="29"/>
  <c r="F291" i="66"/>
  <c r="F301" i="29"/>
  <c r="F305" i="29"/>
  <c r="F303" i="66"/>
  <c r="F312" i="29"/>
  <c r="F316" i="29"/>
  <c r="F315" i="66"/>
  <c r="F323" i="29"/>
  <c r="F327" i="29"/>
  <c r="F327" i="66"/>
  <c r="F334" i="29"/>
  <c r="F338" i="29"/>
  <c r="F339" i="66"/>
  <c r="F345" i="29"/>
  <c r="F349" i="29"/>
  <c r="F351" i="66"/>
  <c r="F356" i="29"/>
  <c r="F360" i="29"/>
  <c r="F363" i="66"/>
  <c r="F367" i="29"/>
  <c r="F371" i="29"/>
  <c r="F391" i="29"/>
  <c r="F45" i="71"/>
  <c r="F53" i="71"/>
  <c r="E243" i="66"/>
  <c r="E246" i="29"/>
  <c r="E250" i="29"/>
  <c r="E231" i="66"/>
  <c r="E257" i="29"/>
  <c r="E261" i="29"/>
  <c r="E255" i="66"/>
  <c r="E268" i="29"/>
  <c r="E272" i="29"/>
  <c r="E267" i="66"/>
  <c r="E279" i="29"/>
  <c r="E283" i="29"/>
  <c r="E279" i="66"/>
  <c r="E290" i="29"/>
  <c r="E294" i="29"/>
  <c r="E291" i="66"/>
  <c r="E301" i="29"/>
  <c r="E305" i="29"/>
  <c r="E303" i="66"/>
  <c r="E312" i="29"/>
  <c r="E316" i="29"/>
  <c r="E315" i="66"/>
  <c r="E323" i="29"/>
  <c r="E327" i="29"/>
  <c r="E327" i="66"/>
  <c r="E334" i="29"/>
  <c r="E338" i="29"/>
  <c r="E339" i="66"/>
  <c r="E345" i="29"/>
  <c r="E349" i="29"/>
  <c r="E351" i="66"/>
  <c r="E356" i="29"/>
  <c r="E360" i="29"/>
  <c r="E363" i="66"/>
  <c r="E367" i="29"/>
  <c r="E371" i="29"/>
  <c r="E391" i="29"/>
  <c r="E45" i="71"/>
  <c r="E53" i="71"/>
  <c r="E58" i="71"/>
  <c r="F58" i="71"/>
  <c r="G58" i="71"/>
  <c r="H58" i="71"/>
  <c r="I58" i="71"/>
  <c r="J58" i="71"/>
  <c r="K58" i="71"/>
  <c r="L58" i="71"/>
  <c r="M58" i="71"/>
  <c r="N58" i="71"/>
  <c r="N116" i="72"/>
  <c r="M116" i="72"/>
  <c r="L116" i="72"/>
  <c r="K116" i="72"/>
  <c r="J116" i="72"/>
  <c r="I116" i="72"/>
  <c r="H116" i="72"/>
  <c r="G116" i="72"/>
  <c r="F116" i="72"/>
  <c r="E116" i="72"/>
  <c r="D116" i="72"/>
  <c r="E49" i="60"/>
  <c r="E57" i="60"/>
  <c r="E65" i="60"/>
  <c r="E73" i="60"/>
  <c r="E81" i="60"/>
  <c r="E89" i="60"/>
  <c r="E97" i="60"/>
  <c r="E99" i="60"/>
  <c r="E238" i="60"/>
  <c r="E38" i="2"/>
  <c r="E1087" i="68"/>
  <c r="E1088" i="68"/>
  <c r="E1089" i="68"/>
  <c r="E1090" i="68"/>
  <c r="E1091" i="68"/>
  <c r="E1092" i="68"/>
  <c r="E1093" i="68"/>
  <c r="E1094" i="68"/>
  <c r="E1095" i="68"/>
  <c r="E1096" i="68"/>
  <c r="E1097" i="68"/>
  <c r="E1098" i="68"/>
  <c r="E1099" i="68"/>
  <c r="E36" i="69"/>
  <c r="E35" i="69"/>
  <c r="E38" i="69"/>
  <c r="E56" i="69"/>
  <c r="E62" i="69"/>
  <c r="E81" i="69"/>
  <c r="E94" i="69"/>
  <c r="E110" i="69"/>
  <c r="E34" i="2"/>
  <c r="E39" i="67"/>
  <c r="H59" i="67"/>
  <c r="E39" i="58"/>
  <c r="G59" i="67"/>
  <c r="E40" i="58"/>
  <c r="E59" i="67"/>
  <c r="E41" i="58"/>
  <c r="F59" i="67"/>
  <c r="E42" i="58"/>
  <c r="I59" i="67"/>
  <c r="E43" i="58"/>
  <c r="J59" i="67"/>
  <c r="E44" i="58"/>
  <c r="K59" i="67"/>
  <c r="E45" i="58"/>
  <c r="L59" i="67"/>
  <c r="E46" i="58"/>
  <c r="M59" i="67"/>
  <c r="E47" i="58"/>
  <c r="N59" i="67"/>
  <c r="E48" i="58"/>
  <c r="O59" i="67"/>
  <c r="E49" i="58"/>
  <c r="P59" i="67"/>
  <c r="E50" i="58"/>
  <c r="E51" i="58"/>
  <c r="E991" i="58"/>
  <c r="E816" i="58"/>
  <c r="E829" i="58"/>
  <c r="E996" i="58"/>
  <c r="E853" i="58"/>
  <c r="E854" i="58"/>
  <c r="E855" i="58"/>
  <c r="E856" i="58"/>
  <c r="E857" i="58"/>
  <c r="E858" i="58"/>
  <c r="E859" i="58"/>
  <c r="E860" i="58"/>
  <c r="E861" i="58"/>
  <c r="E862" i="58"/>
  <c r="E863" i="58"/>
  <c r="E864" i="58"/>
  <c r="E865" i="58"/>
  <c r="E997" i="58"/>
  <c r="E191" i="58"/>
  <c r="E192" i="58"/>
  <c r="E193" i="58"/>
  <c r="E194" i="58"/>
  <c r="E195" i="58"/>
  <c r="E196" i="58"/>
  <c r="E197" i="58"/>
  <c r="E198" i="58"/>
  <c r="E199" i="58"/>
  <c r="E200" i="58"/>
  <c r="E201" i="58"/>
  <c r="E202" i="58"/>
  <c r="E203" i="58"/>
  <c r="E992" i="58"/>
  <c r="E352" i="58"/>
  <c r="E353" i="58"/>
  <c r="E354" i="58"/>
  <c r="E355" i="58"/>
  <c r="E356" i="58"/>
  <c r="E357" i="58"/>
  <c r="E358" i="58"/>
  <c r="E359" i="58"/>
  <c r="E360" i="58"/>
  <c r="E361" i="58"/>
  <c r="E362" i="58"/>
  <c r="E363" i="58"/>
  <c r="E364" i="58"/>
  <c r="E993" i="58"/>
  <c r="E513" i="58"/>
  <c r="E514" i="58"/>
  <c r="E515" i="58"/>
  <c r="E516" i="58"/>
  <c r="E517" i="58"/>
  <c r="E518" i="58"/>
  <c r="E519" i="58"/>
  <c r="E520" i="58"/>
  <c r="E521" i="58"/>
  <c r="E522" i="58"/>
  <c r="E523" i="58"/>
  <c r="E524" i="58"/>
  <c r="E525" i="58"/>
  <c r="E994" i="58"/>
  <c r="E674" i="58"/>
  <c r="E675" i="58"/>
  <c r="E676" i="58"/>
  <c r="E677" i="58"/>
  <c r="E678" i="58"/>
  <c r="E679" i="58"/>
  <c r="E680" i="58"/>
  <c r="E681" i="58"/>
  <c r="E682" i="58"/>
  <c r="E683" i="58"/>
  <c r="E684" i="58"/>
  <c r="E685" i="58"/>
  <c r="E686" i="58"/>
  <c r="E995" i="58"/>
  <c r="E998" i="58"/>
  <c r="E23" i="2"/>
  <c r="E23" i="47"/>
  <c r="E25" i="47"/>
  <c r="E29" i="47"/>
  <c r="E65" i="47"/>
  <c r="E24" i="2"/>
  <c r="E41" i="20"/>
  <c r="E142" i="20"/>
  <c r="E227" i="20"/>
  <c r="E42" i="20"/>
  <c r="E143" i="20"/>
  <c r="E228" i="20"/>
  <c r="E43" i="20"/>
  <c r="E144" i="20"/>
  <c r="E229" i="20"/>
  <c r="E44" i="20"/>
  <c r="E145" i="20"/>
  <c r="E230" i="20"/>
  <c r="E45" i="20"/>
  <c r="E146" i="20"/>
  <c r="E231" i="20"/>
  <c r="E46" i="20"/>
  <c r="E147" i="20"/>
  <c r="E232" i="20"/>
  <c r="E47" i="20"/>
  <c r="E148" i="20"/>
  <c r="E233" i="20"/>
  <c r="E48" i="20"/>
  <c r="E149" i="20"/>
  <c r="E234" i="20"/>
  <c r="E49" i="20"/>
  <c r="E150" i="20"/>
  <c r="E235" i="20"/>
  <c r="E50" i="20"/>
  <c r="E151" i="20"/>
  <c r="E236" i="20"/>
  <c r="E51" i="20"/>
  <c r="E152" i="20"/>
  <c r="E237" i="20"/>
  <c r="E52" i="20"/>
  <c r="E153" i="20"/>
  <c r="E238" i="20"/>
  <c r="E239" i="20"/>
  <c r="E340" i="20"/>
  <c r="E22" i="2"/>
  <c r="E25" i="2"/>
  <c r="E31" i="29"/>
  <c r="E32" i="29"/>
  <c r="E37" i="29"/>
  <c r="E38" i="29"/>
  <c r="E43" i="29"/>
  <c r="E44" i="29"/>
  <c r="E49" i="29"/>
  <c r="E50" i="29"/>
  <c r="E55" i="29"/>
  <c r="E56" i="29"/>
  <c r="E61" i="29"/>
  <c r="E62" i="29"/>
  <c r="E67" i="29"/>
  <c r="E68" i="29"/>
  <c r="E73" i="29"/>
  <c r="E74" i="29"/>
  <c r="E79" i="29"/>
  <c r="E80" i="29"/>
  <c r="E85" i="29"/>
  <c r="E86" i="29"/>
  <c r="E91" i="29"/>
  <c r="E92" i="29"/>
  <c r="E97" i="29"/>
  <c r="E98" i="29"/>
  <c r="E385" i="29"/>
  <c r="E36" i="2"/>
  <c r="E103" i="54"/>
  <c r="E104" i="54"/>
  <c r="E99" i="54"/>
  <c r="E100" i="54"/>
  <c r="E95" i="54"/>
  <c r="E96" i="54"/>
  <c r="E91" i="54"/>
  <c r="E92" i="54"/>
  <c r="E86" i="54"/>
  <c r="E87" i="54"/>
  <c r="E82" i="54"/>
  <c r="E83" i="54"/>
  <c r="E78" i="54"/>
  <c r="E79" i="54"/>
  <c r="E106" i="54"/>
  <c r="E836" i="54"/>
  <c r="E349" i="54"/>
  <c r="E224" i="54"/>
  <c r="E221" i="54"/>
  <c r="E218" i="54"/>
  <c r="E215" i="54"/>
  <c r="E212" i="54"/>
  <c r="E209" i="54"/>
  <c r="E206" i="54"/>
  <c r="E203" i="54"/>
  <c r="E200" i="54"/>
  <c r="E194" i="54"/>
  <c r="E191" i="54"/>
  <c r="E188" i="54"/>
  <c r="E226" i="54"/>
  <c r="E331" i="54"/>
  <c r="E363" i="54"/>
  <c r="E837" i="54"/>
  <c r="E419" i="54"/>
  <c r="E416" i="54"/>
  <c r="E413" i="54"/>
  <c r="E410" i="54"/>
  <c r="E407" i="54"/>
  <c r="E404" i="54"/>
  <c r="E401" i="54"/>
  <c r="E398" i="54"/>
  <c r="E395" i="54"/>
  <c r="E389" i="54"/>
  <c r="E386" i="54"/>
  <c r="E383" i="54"/>
  <c r="E421" i="54"/>
  <c r="E564" i="54"/>
  <c r="E561" i="54"/>
  <c r="E558" i="54"/>
  <c r="E555" i="54"/>
  <c r="E552" i="54"/>
  <c r="E549" i="54"/>
  <c r="E546" i="54"/>
  <c r="E543" i="54"/>
  <c r="E540" i="54"/>
  <c r="E534" i="54"/>
  <c r="E531" i="54"/>
  <c r="E528" i="54"/>
  <c r="E566" i="54"/>
  <c r="E703" i="54"/>
  <c r="E700" i="54"/>
  <c r="E697" i="54"/>
  <c r="E694" i="54"/>
  <c r="E691" i="54"/>
  <c r="E688" i="54"/>
  <c r="E685" i="54"/>
  <c r="E682" i="54"/>
  <c r="E679" i="54"/>
  <c r="E673" i="54"/>
  <c r="E670" i="54"/>
  <c r="E667" i="54"/>
  <c r="E705" i="54"/>
  <c r="E808" i="54"/>
  <c r="E818" i="54"/>
  <c r="E838" i="54"/>
  <c r="E17" i="54"/>
  <c r="E34" i="54"/>
  <c r="E834" i="54"/>
  <c r="E51" i="54"/>
  <c r="E835" i="54"/>
  <c r="E839" i="54"/>
  <c r="E32" i="2"/>
  <c r="E40" i="2"/>
  <c r="E98" i="72"/>
  <c r="F49" i="60"/>
  <c r="F57" i="60"/>
  <c r="F65" i="60"/>
  <c r="F73" i="60"/>
  <c r="F81" i="60"/>
  <c r="F89" i="60"/>
  <c r="F97" i="60"/>
  <c r="F99" i="60"/>
  <c r="F238" i="60"/>
  <c r="F38" i="2"/>
  <c r="F1087" i="68"/>
  <c r="F1088" i="68"/>
  <c r="F1089" i="68"/>
  <c r="F1090" i="68"/>
  <c r="F1091" i="68"/>
  <c r="F1092" i="68"/>
  <c r="F1093" i="68"/>
  <c r="F1094" i="68"/>
  <c r="F1095" i="68"/>
  <c r="F1096" i="68"/>
  <c r="F1097" i="68"/>
  <c r="F1098" i="68"/>
  <c r="F1099" i="68"/>
  <c r="F36" i="69"/>
  <c r="F35" i="69"/>
  <c r="F37" i="69"/>
  <c r="F38" i="69"/>
  <c r="F56" i="69"/>
  <c r="F62" i="69"/>
  <c r="F81" i="69"/>
  <c r="F94" i="69"/>
  <c r="F110" i="69"/>
  <c r="F34" i="2"/>
  <c r="F39" i="58"/>
  <c r="F40" i="58"/>
  <c r="F41" i="58"/>
  <c r="F42" i="58"/>
  <c r="F43" i="58"/>
  <c r="F44" i="58"/>
  <c r="F45" i="58"/>
  <c r="F46" i="58"/>
  <c r="F47" i="58"/>
  <c r="F48" i="58"/>
  <c r="F49" i="58"/>
  <c r="F50" i="58"/>
  <c r="F51" i="58"/>
  <c r="F991" i="58"/>
  <c r="F816" i="58"/>
  <c r="F829" i="58"/>
  <c r="F996" i="58"/>
  <c r="F853" i="58"/>
  <c r="F854" i="58"/>
  <c r="F855" i="58"/>
  <c r="F856" i="58"/>
  <c r="F857" i="58"/>
  <c r="F858" i="58"/>
  <c r="F859" i="58"/>
  <c r="F860" i="58"/>
  <c r="F861" i="58"/>
  <c r="F862" i="58"/>
  <c r="F863" i="58"/>
  <c r="F864" i="58"/>
  <c r="F865" i="58"/>
  <c r="F997" i="58"/>
  <c r="F191" i="58"/>
  <c r="F192" i="58"/>
  <c r="F193" i="58"/>
  <c r="F194" i="58"/>
  <c r="F195" i="58"/>
  <c r="F196" i="58"/>
  <c r="F197" i="58"/>
  <c r="F198" i="58"/>
  <c r="F199" i="58"/>
  <c r="F200" i="58"/>
  <c r="F201" i="58"/>
  <c r="F202" i="58"/>
  <c r="F203" i="58"/>
  <c r="F992" i="58"/>
  <c r="F352" i="58"/>
  <c r="F353" i="58"/>
  <c r="F354" i="58"/>
  <c r="F355" i="58"/>
  <c r="F356" i="58"/>
  <c r="F357" i="58"/>
  <c r="F358" i="58"/>
  <c r="F359" i="58"/>
  <c r="F360" i="58"/>
  <c r="F361" i="58"/>
  <c r="F362" i="58"/>
  <c r="F363" i="58"/>
  <c r="F364" i="58"/>
  <c r="F993" i="58"/>
  <c r="F513" i="58"/>
  <c r="F514" i="58"/>
  <c r="F515" i="58"/>
  <c r="F516" i="58"/>
  <c r="F517" i="58"/>
  <c r="F518" i="58"/>
  <c r="F519" i="58"/>
  <c r="F520" i="58"/>
  <c r="F521" i="58"/>
  <c r="F522" i="58"/>
  <c r="F523" i="58"/>
  <c r="F524" i="58"/>
  <c r="F525" i="58"/>
  <c r="F994" i="58"/>
  <c r="F674" i="58"/>
  <c r="F675" i="58"/>
  <c r="F676" i="58"/>
  <c r="F677" i="58"/>
  <c r="F678" i="58"/>
  <c r="F679" i="58"/>
  <c r="F680" i="58"/>
  <c r="F681" i="58"/>
  <c r="F682" i="58"/>
  <c r="F683" i="58"/>
  <c r="F684" i="58"/>
  <c r="F685" i="58"/>
  <c r="F686" i="58"/>
  <c r="F995" i="58"/>
  <c r="F998" i="58"/>
  <c r="F23" i="2"/>
  <c r="F23" i="47"/>
  <c r="F25" i="47"/>
  <c r="F29" i="47"/>
  <c r="F65" i="47"/>
  <c r="F24" i="2"/>
  <c r="F41" i="20"/>
  <c r="F142" i="20"/>
  <c r="F227" i="20"/>
  <c r="F42" i="20"/>
  <c r="F143" i="20"/>
  <c r="F228" i="20"/>
  <c r="F43" i="20"/>
  <c r="F144" i="20"/>
  <c r="F229" i="20"/>
  <c r="F44" i="20"/>
  <c r="F145" i="20"/>
  <c r="F230" i="20"/>
  <c r="F45" i="20"/>
  <c r="F146" i="20"/>
  <c r="F231" i="20"/>
  <c r="F46" i="20"/>
  <c r="F147" i="20"/>
  <c r="F232" i="20"/>
  <c r="F47" i="20"/>
  <c r="F148" i="20"/>
  <c r="F233" i="20"/>
  <c r="F48" i="20"/>
  <c r="F149" i="20"/>
  <c r="F234" i="20"/>
  <c r="F49" i="20"/>
  <c r="F150" i="20"/>
  <c r="F235" i="20"/>
  <c r="F50" i="20"/>
  <c r="F151" i="20"/>
  <c r="F236" i="20"/>
  <c r="F51" i="20"/>
  <c r="F152" i="20"/>
  <c r="F237" i="20"/>
  <c r="F52" i="20"/>
  <c r="F153" i="20"/>
  <c r="F238" i="20"/>
  <c r="F239" i="20"/>
  <c r="F340" i="20"/>
  <c r="F22" i="2"/>
  <c r="F25" i="2"/>
  <c r="F31" i="29"/>
  <c r="F32" i="29"/>
  <c r="F37" i="29"/>
  <c r="F38" i="29"/>
  <c r="F43" i="29"/>
  <c r="F44" i="29"/>
  <c r="F49" i="29"/>
  <c r="F50" i="29"/>
  <c r="F55" i="29"/>
  <c r="F56" i="29"/>
  <c r="F61" i="29"/>
  <c r="F62" i="29"/>
  <c r="F67" i="29"/>
  <c r="F68" i="29"/>
  <c r="F73" i="29"/>
  <c r="F74" i="29"/>
  <c r="F79" i="29"/>
  <c r="F80" i="29"/>
  <c r="F85" i="29"/>
  <c r="F86" i="29"/>
  <c r="F91" i="29"/>
  <c r="F92" i="29"/>
  <c r="F97" i="29"/>
  <c r="F98" i="29"/>
  <c r="F385" i="29"/>
  <c r="F36" i="2"/>
  <c r="F17" i="54"/>
  <c r="F34" i="54"/>
  <c r="F834" i="54"/>
  <c r="F51" i="54"/>
  <c r="F835" i="54"/>
  <c r="F103" i="54"/>
  <c r="F104" i="54"/>
  <c r="F99" i="54"/>
  <c r="F100" i="54"/>
  <c r="F95" i="54"/>
  <c r="F96" i="54"/>
  <c r="F91" i="54"/>
  <c r="F92" i="54"/>
  <c r="F86" i="54"/>
  <c r="F87" i="54"/>
  <c r="F82" i="54"/>
  <c r="F83" i="54"/>
  <c r="F78" i="54"/>
  <c r="F79" i="54"/>
  <c r="F106" i="54"/>
  <c r="F836" i="54"/>
  <c r="F349" i="54"/>
  <c r="F224" i="54"/>
  <c r="F221" i="54"/>
  <c r="F218" i="54"/>
  <c r="F215" i="54"/>
  <c r="F212" i="54"/>
  <c r="F209" i="54"/>
  <c r="F206" i="54"/>
  <c r="F203" i="54"/>
  <c r="F200" i="54"/>
  <c r="F194" i="54"/>
  <c r="F191" i="54"/>
  <c r="F188" i="54"/>
  <c r="F226" i="54"/>
  <c r="F331" i="54"/>
  <c r="F363" i="54"/>
  <c r="F837" i="54"/>
  <c r="F419" i="54"/>
  <c r="F416" i="54"/>
  <c r="F413" i="54"/>
  <c r="F410" i="54"/>
  <c r="F407" i="54"/>
  <c r="F404" i="54"/>
  <c r="F401" i="54"/>
  <c r="F398" i="54"/>
  <c r="F395" i="54"/>
  <c r="F389" i="54"/>
  <c r="F386" i="54"/>
  <c r="F383" i="54"/>
  <c r="F421" i="54"/>
  <c r="F564" i="54"/>
  <c r="F561" i="54"/>
  <c r="F558" i="54"/>
  <c r="F555" i="54"/>
  <c r="F552" i="54"/>
  <c r="F549" i="54"/>
  <c r="F546" i="54"/>
  <c r="F543" i="54"/>
  <c r="F540" i="54"/>
  <c r="F534" i="54"/>
  <c r="F531" i="54"/>
  <c r="F528" i="54"/>
  <c r="F566" i="54"/>
  <c r="F703" i="54"/>
  <c r="F700" i="54"/>
  <c r="F697" i="54"/>
  <c r="F694" i="54"/>
  <c r="F691" i="54"/>
  <c r="F688" i="54"/>
  <c r="F685" i="54"/>
  <c r="F682" i="54"/>
  <c r="F679" i="54"/>
  <c r="F673" i="54"/>
  <c r="F670" i="54"/>
  <c r="F667" i="54"/>
  <c r="F705" i="54"/>
  <c r="F808" i="54"/>
  <c r="F818" i="54"/>
  <c r="F838" i="54"/>
  <c r="F839" i="54"/>
  <c r="F32" i="2"/>
  <c r="F40" i="2"/>
  <c r="F98" i="72"/>
  <c r="G49" i="60"/>
  <c r="G57" i="60"/>
  <c r="G65" i="60"/>
  <c r="G73" i="60"/>
  <c r="G81" i="60"/>
  <c r="G89" i="60"/>
  <c r="G97" i="60"/>
  <c r="G99" i="60"/>
  <c r="G238" i="60"/>
  <c r="G38" i="2"/>
  <c r="G1087" i="68"/>
  <c r="G1088" i="68"/>
  <c r="G1089" i="68"/>
  <c r="G1090" i="68"/>
  <c r="G1091" i="68"/>
  <c r="G1092" i="68"/>
  <c r="G1093" i="68"/>
  <c r="G1094" i="68"/>
  <c r="G1095" i="68"/>
  <c r="G1096" i="68"/>
  <c r="G1097" i="68"/>
  <c r="G1098" i="68"/>
  <c r="G1099" i="68"/>
  <c r="G36" i="69"/>
  <c r="G35" i="69"/>
  <c r="G37" i="69"/>
  <c r="G38" i="69"/>
  <c r="G56" i="69"/>
  <c r="G62" i="69"/>
  <c r="G81" i="69"/>
  <c r="G94" i="69"/>
  <c r="G110" i="69"/>
  <c r="G34" i="2"/>
  <c r="G39" i="58"/>
  <c r="G40" i="58"/>
  <c r="G41" i="58"/>
  <c r="G42" i="58"/>
  <c r="G43" i="58"/>
  <c r="G44" i="58"/>
  <c r="G45" i="58"/>
  <c r="G46" i="58"/>
  <c r="G47" i="58"/>
  <c r="G48" i="58"/>
  <c r="G49" i="58"/>
  <c r="G50" i="58"/>
  <c r="G51" i="58"/>
  <c r="G991" i="58"/>
  <c r="G816" i="58"/>
  <c r="G829" i="58"/>
  <c r="G996" i="58"/>
  <c r="G853" i="58"/>
  <c r="G854" i="58"/>
  <c r="G855" i="58"/>
  <c r="G856" i="58"/>
  <c r="G857" i="58"/>
  <c r="G858" i="58"/>
  <c r="G859" i="58"/>
  <c r="G860" i="58"/>
  <c r="G861" i="58"/>
  <c r="G862" i="58"/>
  <c r="G863" i="58"/>
  <c r="G864" i="58"/>
  <c r="G865" i="58"/>
  <c r="G997" i="58"/>
  <c r="G191" i="58"/>
  <c r="G192" i="58"/>
  <c r="G193" i="58"/>
  <c r="G194" i="58"/>
  <c r="G195" i="58"/>
  <c r="G196" i="58"/>
  <c r="G197" i="58"/>
  <c r="G198" i="58"/>
  <c r="G199" i="58"/>
  <c r="G200" i="58"/>
  <c r="G201" i="58"/>
  <c r="G202" i="58"/>
  <c r="G203" i="58"/>
  <c r="G992" i="58"/>
  <c r="G352" i="58"/>
  <c r="G353" i="58"/>
  <c r="G354" i="58"/>
  <c r="G355" i="58"/>
  <c r="G356" i="58"/>
  <c r="G357" i="58"/>
  <c r="G358" i="58"/>
  <c r="G359" i="58"/>
  <c r="G360" i="58"/>
  <c r="G361" i="58"/>
  <c r="G362" i="58"/>
  <c r="G363" i="58"/>
  <c r="G364" i="58"/>
  <c r="G993" i="58"/>
  <c r="G513" i="58"/>
  <c r="G514" i="58"/>
  <c r="G515" i="58"/>
  <c r="G516" i="58"/>
  <c r="G517" i="58"/>
  <c r="G518" i="58"/>
  <c r="G519" i="58"/>
  <c r="G520" i="58"/>
  <c r="G521" i="58"/>
  <c r="G522" i="58"/>
  <c r="G523" i="58"/>
  <c r="G524" i="58"/>
  <c r="G525" i="58"/>
  <c r="G994" i="58"/>
  <c r="G674" i="58"/>
  <c r="G675" i="58"/>
  <c r="G676" i="58"/>
  <c r="G677" i="58"/>
  <c r="G678" i="58"/>
  <c r="G679" i="58"/>
  <c r="G680" i="58"/>
  <c r="G681" i="58"/>
  <c r="G682" i="58"/>
  <c r="G683" i="58"/>
  <c r="G684" i="58"/>
  <c r="G685" i="58"/>
  <c r="G686" i="58"/>
  <c r="G995" i="58"/>
  <c r="G998" i="58"/>
  <c r="G23" i="2"/>
  <c r="G23" i="47"/>
  <c r="G25" i="47"/>
  <c r="G29" i="47"/>
  <c r="G65" i="47"/>
  <c r="G24" i="2"/>
  <c r="G41" i="20"/>
  <c r="G142" i="20"/>
  <c r="G227" i="20"/>
  <c r="G42" i="20"/>
  <c r="G143" i="20"/>
  <c r="G228" i="20"/>
  <c r="G43" i="20"/>
  <c r="G144" i="20"/>
  <c r="G229" i="20"/>
  <c r="G44" i="20"/>
  <c r="G145" i="20"/>
  <c r="G230" i="20"/>
  <c r="G45" i="20"/>
  <c r="G146" i="20"/>
  <c r="G231" i="20"/>
  <c r="G46" i="20"/>
  <c r="G147" i="20"/>
  <c r="G232" i="20"/>
  <c r="G47" i="20"/>
  <c r="G148" i="20"/>
  <c r="G233" i="20"/>
  <c r="G48" i="20"/>
  <c r="G149" i="20"/>
  <c r="G234" i="20"/>
  <c r="G49" i="20"/>
  <c r="G150" i="20"/>
  <c r="G235" i="20"/>
  <c r="G50" i="20"/>
  <c r="G151" i="20"/>
  <c r="G236" i="20"/>
  <c r="G51" i="20"/>
  <c r="G152" i="20"/>
  <c r="G237" i="20"/>
  <c r="G52" i="20"/>
  <c r="G153" i="20"/>
  <c r="G238" i="20"/>
  <c r="G239" i="20"/>
  <c r="G340" i="20"/>
  <c r="G22" i="2"/>
  <c r="G25" i="2"/>
  <c r="G31" i="29"/>
  <c r="G32" i="29"/>
  <c r="G37" i="29"/>
  <c r="G38" i="29"/>
  <c r="G43" i="29"/>
  <c r="G44" i="29"/>
  <c r="G49" i="29"/>
  <c r="G50" i="29"/>
  <c r="G55" i="29"/>
  <c r="G56" i="29"/>
  <c r="G61" i="29"/>
  <c r="G62" i="29"/>
  <c r="G67" i="29"/>
  <c r="G68" i="29"/>
  <c r="G73" i="29"/>
  <c r="G74" i="29"/>
  <c r="G79" i="29"/>
  <c r="G80" i="29"/>
  <c r="G85" i="29"/>
  <c r="G86" i="29"/>
  <c r="G91" i="29"/>
  <c r="G92" i="29"/>
  <c r="G97" i="29"/>
  <c r="G98" i="29"/>
  <c r="G385" i="29"/>
  <c r="G36" i="2"/>
  <c r="G17" i="54"/>
  <c r="G34" i="54"/>
  <c r="G834" i="54"/>
  <c r="G51" i="54"/>
  <c r="G835" i="54"/>
  <c r="G103" i="54"/>
  <c r="G104" i="54"/>
  <c r="G99" i="54"/>
  <c r="G100" i="54"/>
  <c r="G95" i="54"/>
  <c r="G96" i="54"/>
  <c r="G91" i="54"/>
  <c r="G92" i="54"/>
  <c r="G86" i="54"/>
  <c r="G87" i="54"/>
  <c r="G82" i="54"/>
  <c r="G83" i="54"/>
  <c r="G78" i="54"/>
  <c r="G79" i="54"/>
  <c r="G106" i="54"/>
  <c r="G836" i="54"/>
  <c r="G349" i="54"/>
  <c r="G224" i="54"/>
  <c r="G221" i="54"/>
  <c r="G218" i="54"/>
  <c r="G215" i="54"/>
  <c r="G212" i="54"/>
  <c r="G209" i="54"/>
  <c r="G206" i="54"/>
  <c r="G203" i="54"/>
  <c r="G200" i="54"/>
  <c r="G194" i="54"/>
  <c r="G191" i="54"/>
  <c r="G188" i="54"/>
  <c r="G226" i="54"/>
  <c r="G331" i="54"/>
  <c r="G363" i="54"/>
  <c r="G837" i="54"/>
  <c r="G419" i="54"/>
  <c r="G416" i="54"/>
  <c r="G413" i="54"/>
  <c r="G410" i="54"/>
  <c r="G407" i="54"/>
  <c r="G404" i="54"/>
  <c r="G401" i="54"/>
  <c r="G398" i="54"/>
  <c r="G395" i="54"/>
  <c r="G389" i="54"/>
  <c r="G386" i="54"/>
  <c r="G383" i="54"/>
  <c r="G421" i="54"/>
  <c r="G564" i="54"/>
  <c r="G561" i="54"/>
  <c r="G558" i="54"/>
  <c r="G555" i="54"/>
  <c r="G552" i="54"/>
  <c r="G549" i="54"/>
  <c r="G546" i="54"/>
  <c r="G543" i="54"/>
  <c r="G540" i="54"/>
  <c r="G534" i="54"/>
  <c r="G531" i="54"/>
  <c r="G528" i="54"/>
  <c r="G566" i="54"/>
  <c r="G703" i="54"/>
  <c r="G700" i="54"/>
  <c r="G697" i="54"/>
  <c r="G694" i="54"/>
  <c r="G691" i="54"/>
  <c r="G688" i="54"/>
  <c r="G685" i="54"/>
  <c r="G682" i="54"/>
  <c r="G679" i="54"/>
  <c r="G673" i="54"/>
  <c r="G670" i="54"/>
  <c r="G667" i="54"/>
  <c r="G705" i="54"/>
  <c r="G808" i="54"/>
  <c r="G818" i="54"/>
  <c r="G838" i="54"/>
  <c r="G839" i="54"/>
  <c r="G32" i="2"/>
  <c r="G40" i="2"/>
  <c r="G98" i="72"/>
  <c r="H49" i="60"/>
  <c r="H57" i="60"/>
  <c r="H65" i="60"/>
  <c r="H73" i="60"/>
  <c r="H81" i="60"/>
  <c r="H89" i="60"/>
  <c r="H97" i="60"/>
  <c r="H99" i="60"/>
  <c r="H238" i="60"/>
  <c r="H38" i="2"/>
  <c r="H1087" i="68"/>
  <c r="H1088" i="68"/>
  <c r="H1089" i="68"/>
  <c r="H1090" i="68"/>
  <c r="H1091" i="68"/>
  <c r="H1092" i="68"/>
  <c r="H1093" i="68"/>
  <c r="H1094" i="68"/>
  <c r="H1095" i="68"/>
  <c r="H1096" i="68"/>
  <c r="H1097" i="68"/>
  <c r="H1098" i="68"/>
  <c r="H1099" i="68"/>
  <c r="H36" i="69"/>
  <c r="H35" i="69"/>
  <c r="H37" i="69"/>
  <c r="H38" i="69"/>
  <c r="H56" i="69"/>
  <c r="H62" i="69"/>
  <c r="H81" i="69"/>
  <c r="H94" i="69"/>
  <c r="H110" i="69"/>
  <c r="H34" i="2"/>
  <c r="H39" i="58"/>
  <c r="H40" i="58"/>
  <c r="H41" i="58"/>
  <c r="H42" i="58"/>
  <c r="H43" i="58"/>
  <c r="H44" i="58"/>
  <c r="H45" i="58"/>
  <c r="H46" i="58"/>
  <c r="H47" i="58"/>
  <c r="H48" i="58"/>
  <c r="H49" i="58"/>
  <c r="H50" i="58"/>
  <c r="H51" i="58"/>
  <c r="H991" i="58"/>
  <c r="H816" i="58"/>
  <c r="H829" i="58"/>
  <c r="H996" i="58"/>
  <c r="H853" i="58"/>
  <c r="H854" i="58"/>
  <c r="H855" i="58"/>
  <c r="H856" i="58"/>
  <c r="H857" i="58"/>
  <c r="H858" i="58"/>
  <c r="H859" i="58"/>
  <c r="H860" i="58"/>
  <c r="H861" i="58"/>
  <c r="H862" i="58"/>
  <c r="H863" i="58"/>
  <c r="H864" i="58"/>
  <c r="H865" i="58"/>
  <c r="H997" i="58"/>
  <c r="H191" i="58"/>
  <c r="H192" i="58"/>
  <c r="H193" i="58"/>
  <c r="H194" i="58"/>
  <c r="H195" i="58"/>
  <c r="H196" i="58"/>
  <c r="H197" i="58"/>
  <c r="H198" i="58"/>
  <c r="H199" i="58"/>
  <c r="H200" i="58"/>
  <c r="H201" i="58"/>
  <c r="H202" i="58"/>
  <c r="H203" i="58"/>
  <c r="H992" i="58"/>
  <c r="H352" i="58"/>
  <c r="H353" i="58"/>
  <c r="H354" i="58"/>
  <c r="H355" i="58"/>
  <c r="H356" i="58"/>
  <c r="H357" i="58"/>
  <c r="H358" i="58"/>
  <c r="H359" i="58"/>
  <c r="H360" i="58"/>
  <c r="H361" i="58"/>
  <c r="H362" i="58"/>
  <c r="H363" i="58"/>
  <c r="H364" i="58"/>
  <c r="H993" i="58"/>
  <c r="H513" i="58"/>
  <c r="H514" i="58"/>
  <c r="H515" i="58"/>
  <c r="H516" i="58"/>
  <c r="H517" i="58"/>
  <c r="H518" i="58"/>
  <c r="H519" i="58"/>
  <c r="H520" i="58"/>
  <c r="H521" i="58"/>
  <c r="H522" i="58"/>
  <c r="H523" i="58"/>
  <c r="H524" i="58"/>
  <c r="H525" i="58"/>
  <c r="H994" i="58"/>
  <c r="H674" i="58"/>
  <c r="H675" i="58"/>
  <c r="H676" i="58"/>
  <c r="H677" i="58"/>
  <c r="H678" i="58"/>
  <c r="H679" i="58"/>
  <c r="H680" i="58"/>
  <c r="H681" i="58"/>
  <c r="H682" i="58"/>
  <c r="H683" i="58"/>
  <c r="H684" i="58"/>
  <c r="H685" i="58"/>
  <c r="H686" i="58"/>
  <c r="H995" i="58"/>
  <c r="H998" i="58"/>
  <c r="H23" i="2"/>
  <c r="H23" i="47"/>
  <c r="H25" i="47"/>
  <c r="H29" i="47"/>
  <c r="H65" i="47"/>
  <c r="H24" i="2"/>
  <c r="H41" i="20"/>
  <c r="H142" i="20"/>
  <c r="H227" i="20"/>
  <c r="H42" i="20"/>
  <c r="H143" i="20"/>
  <c r="H228" i="20"/>
  <c r="H43" i="20"/>
  <c r="H144" i="20"/>
  <c r="H229" i="20"/>
  <c r="H44" i="20"/>
  <c r="H145" i="20"/>
  <c r="H230" i="20"/>
  <c r="H45" i="20"/>
  <c r="H146" i="20"/>
  <c r="H231" i="20"/>
  <c r="H46" i="20"/>
  <c r="H147" i="20"/>
  <c r="H232" i="20"/>
  <c r="H47" i="20"/>
  <c r="H148" i="20"/>
  <c r="H233" i="20"/>
  <c r="H48" i="20"/>
  <c r="H149" i="20"/>
  <c r="H234" i="20"/>
  <c r="H49" i="20"/>
  <c r="H150" i="20"/>
  <c r="H235" i="20"/>
  <c r="H50" i="20"/>
  <c r="H151" i="20"/>
  <c r="H236" i="20"/>
  <c r="H51" i="20"/>
  <c r="H152" i="20"/>
  <c r="H237" i="20"/>
  <c r="H52" i="20"/>
  <c r="H153" i="20"/>
  <c r="H238" i="20"/>
  <c r="H239" i="20"/>
  <c r="H340" i="20"/>
  <c r="H22" i="2"/>
  <c r="H25" i="2"/>
  <c r="H31" i="29"/>
  <c r="H32" i="29"/>
  <c r="H37" i="29"/>
  <c r="H38" i="29"/>
  <c r="H43" i="29"/>
  <c r="H44" i="29"/>
  <c r="H49" i="29"/>
  <c r="H50" i="29"/>
  <c r="H55" i="29"/>
  <c r="H56" i="29"/>
  <c r="H61" i="29"/>
  <c r="H62" i="29"/>
  <c r="H67" i="29"/>
  <c r="H68" i="29"/>
  <c r="H73" i="29"/>
  <c r="H74" i="29"/>
  <c r="H79" i="29"/>
  <c r="H80" i="29"/>
  <c r="H85" i="29"/>
  <c r="H86" i="29"/>
  <c r="H91" i="29"/>
  <c r="H92" i="29"/>
  <c r="H97" i="29"/>
  <c r="H98" i="29"/>
  <c r="H385" i="29"/>
  <c r="H36" i="2"/>
  <c r="H17" i="54"/>
  <c r="H34" i="54"/>
  <c r="H834" i="54"/>
  <c r="H51" i="54"/>
  <c r="H835" i="54"/>
  <c r="H103" i="54"/>
  <c r="H104" i="54"/>
  <c r="H99" i="54"/>
  <c r="H100" i="54"/>
  <c r="H95" i="54"/>
  <c r="H96" i="54"/>
  <c r="H91" i="54"/>
  <c r="H92" i="54"/>
  <c r="H86" i="54"/>
  <c r="H87" i="54"/>
  <c r="H82" i="54"/>
  <c r="H83" i="54"/>
  <c r="H78" i="54"/>
  <c r="H79" i="54"/>
  <c r="H106" i="54"/>
  <c r="H836" i="54"/>
  <c r="H349" i="54"/>
  <c r="H224" i="54"/>
  <c r="H221" i="54"/>
  <c r="H218" i="54"/>
  <c r="H215" i="54"/>
  <c r="H212" i="54"/>
  <c r="H209" i="54"/>
  <c r="H206" i="54"/>
  <c r="H203" i="54"/>
  <c r="H200" i="54"/>
  <c r="H194" i="54"/>
  <c r="H191" i="54"/>
  <c r="H188" i="54"/>
  <c r="H226" i="54"/>
  <c r="H331" i="54"/>
  <c r="H363" i="54"/>
  <c r="H837" i="54"/>
  <c r="H419" i="54"/>
  <c r="H416" i="54"/>
  <c r="H413" i="54"/>
  <c r="H410" i="54"/>
  <c r="H407" i="54"/>
  <c r="H404" i="54"/>
  <c r="H401" i="54"/>
  <c r="H398" i="54"/>
  <c r="H395" i="54"/>
  <c r="H389" i="54"/>
  <c r="H386" i="54"/>
  <c r="H383" i="54"/>
  <c r="H421" i="54"/>
  <c r="H564" i="54"/>
  <c r="H561" i="54"/>
  <c r="H558" i="54"/>
  <c r="H555" i="54"/>
  <c r="H552" i="54"/>
  <c r="H549" i="54"/>
  <c r="H546" i="54"/>
  <c r="H543" i="54"/>
  <c r="H540" i="54"/>
  <c r="H534" i="54"/>
  <c r="H531" i="54"/>
  <c r="H528" i="54"/>
  <c r="H566" i="54"/>
  <c r="H703" i="54"/>
  <c r="H700" i="54"/>
  <c r="H697" i="54"/>
  <c r="H694" i="54"/>
  <c r="H691" i="54"/>
  <c r="H688" i="54"/>
  <c r="H685" i="54"/>
  <c r="H682" i="54"/>
  <c r="H679" i="54"/>
  <c r="H673" i="54"/>
  <c r="H670" i="54"/>
  <c r="H667" i="54"/>
  <c r="H705" i="54"/>
  <c r="H808" i="54"/>
  <c r="H818" i="54"/>
  <c r="H838" i="54"/>
  <c r="H839" i="54"/>
  <c r="H32" i="2"/>
  <c r="H40" i="2"/>
  <c r="H98" i="72"/>
  <c r="I49" i="60"/>
  <c r="I57" i="60"/>
  <c r="I65" i="60"/>
  <c r="I73" i="60"/>
  <c r="I81" i="60"/>
  <c r="I89" i="60"/>
  <c r="I97" i="60"/>
  <c r="I99" i="60"/>
  <c r="I238" i="60"/>
  <c r="I38" i="2"/>
  <c r="I1087" i="68"/>
  <c r="I1088" i="68"/>
  <c r="I1089" i="68"/>
  <c r="I1090" i="68"/>
  <c r="I1091" i="68"/>
  <c r="I1092" i="68"/>
  <c r="I1093" i="68"/>
  <c r="I1094" i="68"/>
  <c r="I1095" i="68"/>
  <c r="I1096" i="68"/>
  <c r="I1097" i="68"/>
  <c r="I1098" i="68"/>
  <c r="I1099" i="68"/>
  <c r="I36" i="69"/>
  <c r="I35" i="69"/>
  <c r="I37" i="69"/>
  <c r="I38" i="69"/>
  <c r="I56" i="69"/>
  <c r="I62" i="69"/>
  <c r="I81" i="69"/>
  <c r="I94" i="69"/>
  <c r="I110" i="69"/>
  <c r="I34" i="2"/>
  <c r="I39" i="58"/>
  <c r="I40" i="58"/>
  <c r="I41" i="58"/>
  <c r="I42" i="58"/>
  <c r="I43" i="58"/>
  <c r="I44" i="58"/>
  <c r="I45" i="58"/>
  <c r="I46" i="58"/>
  <c r="I47" i="58"/>
  <c r="I48" i="58"/>
  <c r="I49" i="58"/>
  <c r="I50" i="58"/>
  <c r="I51" i="58"/>
  <c r="I991" i="58"/>
  <c r="I816" i="58"/>
  <c r="I829" i="58"/>
  <c r="I996" i="58"/>
  <c r="I853" i="58"/>
  <c r="I854" i="58"/>
  <c r="I855" i="58"/>
  <c r="I856" i="58"/>
  <c r="I857" i="58"/>
  <c r="I858" i="58"/>
  <c r="I859" i="58"/>
  <c r="I860" i="58"/>
  <c r="I861" i="58"/>
  <c r="I862" i="58"/>
  <c r="I863" i="58"/>
  <c r="I864" i="58"/>
  <c r="I865" i="58"/>
  <c r="I997" i="58"/>
  <c r="I191" i="58"/>
  <c r="I192" i="58"/>
  <c r="I193" i="58"/>
  <c r="I194" i="58"/>
  <c r="I195" i="58"/>
  <c r="I196" i="58"/>
  <c r="I197" i="58"/>
  <c r="I198" i="58"/>
  <c r="I199" i="58"/>
  <c r="I200" i="58"/>
  <c r="I201" i="58"/>
  <c r="I202" i="58"/>
  <c r="I203" i="58"/>
  <c r="I992" i="58"/>
  <c r="I352" i="58"/>
  <c r="I353" i="58"/>
  <c r="I354" i="58"/>
  <c r="I355" i="58"/>
  <c r="I356" i="58"/>
  <c r="I357" i="58"/>
  <c r="I358" i="58"/>
  <c r="I359" i="58"/>
  <c r="I360" i="58"/>
  <c r="I361" i="58"/>
  <c r="I362" i="58"/>
  <c r="I363" i="58"/>
  <c r="I364" i="58"/>
  <c r="I993" i="58"/>
  <c r="I513" i="58"/>
  <c r="I514" i="58"/>
  <c r="I515" i="58"/>
  <c r="I516" i="58"/>
  <c r="I517" i="58"/>
  <c r="I518" i="58"/>
  <c r="I519" i="58"/>
  <c r="I520" i="58"/>
  <c r="I521" i="58"/>
  <c r="I522" i="58"/>
  <c r="I523" i="58"/>
  <c r="I524" i="58"/>
  <c r="I525" i="58"/>
  <c r="I994" i="58"/>
  <c r="I674" i="58"/>
  <c r="I675" i="58"/>
  <c r="I676" i="58"/>
  <c r="I677" i="58"/>
  <c r="I678" i="58"/>
  <c r="I679" i="58"/>
  <c r="I680" i="58"/>
  <c r="I681" i="58"/>
  <c r="I682" i="58"/>
  <c r="I683" i="58"/>
  <c r="I684" i="58"/>
  <c r="I685" i="58"/>
  <c r="I686" i="58"/>
  <c r="I995" i="58"/>
  <c r="I998" i="58"/>
  <c r="I23" i="2"/>
  <c r="I23" i="47"/>
  <c r="I25" i="47"/>
  <c r="I29" i="47"/>
  <c r="I65" i="47"/>
  <c r="I24" i="2"/>
  <c r="I41" i="20"/>
  <c r="I142" i="20"/>
  <c r="I227" i="20"/>
  <c r="I42" i="20"/>
  <c r="I143" i="20"/>
  <c r="I228" i="20"/>
  <c r="I43" i="20"/>
  <c r="I144" i="20"/>
  <c r="I229" i="20"/>
  <c r="I44" i="20"/>
  <c r="I145" i="20"/>
  <c r="I230" i="20"/>
  <c r="I45" i="20"/>
  <c r="I146" i="20"/>
  <c r="I231" i="20"/>
  <c r="I46" i="20"/>
  <c r="I147" i="20"/>
  <c r="I232" i="20"/>
  <c r="I47" i="20"/>
  <c r="I148" i="20"/>
  <c r="I233" i="20"/>
  <c r="I48" i="20"/>
  <c r="I149" i="20"/>
  <c r="I234" i="20"/>
  <c r="I49" i="20"/>
  <c r="I150" i="20"/>
  <c r="I235" i="20"/>
  <c r="I50" i="20"/>
  <c r="I151" i="20"/>
  <c r="I236" i="20"/>
  <c r="I51" i="20"/>
  <c r="I152" i="20"/>
  <c r="I237" i="20"/>
  <c r="I52" i="20"/>
  <c r="I153" i="20"/>
  <c r="I238" i="20"/>
  <c r="I239" i="20"/>
  <c r="I340" i="20"/>
  <c r="I22" i="2"/>
  <c r="I25" i="2"/>
  <c r="I31" i="29"/>
  <c r="I32" i="29"/>
  <c r="I37" i="29"/>
  <c r="I38" i="29"/>
  <c r="I43" i="29"/>
  <c r="I44" i="29"/>
  <c r="I49" i="29"/>
  <c r="I50" i="29"/>
  <c r="I55" i="29"/>
  <c r="I56" i="29"/>
  <c r="I61" i="29"/>
  <c r="I62" i="29"/>
  <c r="I67" i="29"/>
  <c r="I68" i="29"/>
  <c r="I73" i="29"/>
  <c r="I74" i="29"/>
  <c r="I79" i="29"/>
  <c r="I80" i="29"/>
  <c r="I85" i="29"/>
  <c r="I86" i="29"/>
  <c r="I91" i="29"/>
  <c r="I92" i="29"/>
  <c r="I97" i="29"/>
  <c r="I98" i="29"/>
  <c r="I385" i="29"/>
  <c r="I36" i="2"/>
  <c r="I17" i="54"/>
  <c r="I34" i="54"/>
  <c r="I834" i="54"/>
  <c r="I51" i="54"/>
  <c r="I835" i="54"/>
  <c r="I103" i="54"/>
  <c r="I104" i="54"/>
  <c r="I99" i="54"/>
  <c r="I100" i="54"/>
  <c r="I95" i="54"/>
  <c r="I96" i="54"/>
  <c r="I91" i="54"/>
  <c r="I92" i="54"/>
  <c r="I86" i="54"/>
  <c r="I87" i="54"/>
  <c r="I82" i="54"/>
  <c r="I83" i="54"/>
  <c r="I78" i="54"/>
  <c r="I79" i="54"/>
  <c r="I106" i="54"/>
  <c r="I836" i="54"/>
  <c r="I349" i="54"/>
  <c r="I224" i="54"/>
  <c r="I221" i="54"/>
  <c r="I218" i="54"/>
  <c r="I215" i="54"/>
  <c r="I212" i="54"/>
  <c r="I209" i="54"/>
  <c r="I206" i="54"/>
  <c r="I203" i="54"/>
  <c r="I200" i="54"/>
  <c r="I194" i="54"/>
  <c r="I191" i="54"/>
  <c r="I188" i="54"/>
  <c r="I226" i="54"/>
  <c r="I331" i="54"/>
  <c r="I363" i="54"/>
  <c r="I837" i="54"/>
  <c r="I419" i="54"/>
  <c r="I416" i="54"/>
  <c r="I413" i="54"/>
  <c r="I410" i="54"/>
  <c r="I407" i="54"/>
  <c r="I404" i="54"/>
  <c r="I401" i="54"/>
  <c r="I398" i="54"/>
  <c r="I395" i="54"/>
  <c r="I389" i="54"/>
  <c r="I386" i="54"/>
  <c r="I383" i="54"/>
  <c r="I421" i="54"/>
  <c r="I564" i="54"/>
  <c r="I561" i="54"/>
  <c r="I558" i="54"/>
  <c r="I555" i="54"/>
  <c r="I552" i="54"/>
  <c r="I549" i="54"/>
  <c r="I546" i="54"/>
  <c r="I543" i="54"/>
  <c r="I540" i="54"/>
  <c r="I534" i="54"/>
  <c r="I531" i="54"/>
  <c r="I528" i="54"/>
  <c r="I566" i="54"/>
  <c r="I703" i="54"/>
  <c r="I700" i="54"/>
  <c r="I697" i="54"/>
  <c r="I694" i="54"/>
  <c r="I691" i="54"/>
  <c r="I688" i="54"/>
  <c r="I685" i="54"/>
  <c r="I682" i="54"/>
  <c r="I679" i="54"/>
  <c r="I673" i="54"/>
  <c r="I670" i="54"/>
  <c r="I667" i="54"/>
  <c r="I705" i="54"/>
  <c r="I808" i="54"/>
  <c r="I818" i="54"/>
  <c r="I838" i="54"/>
  <c r="I839" i="54"/>
  <c r="I32" i="2"/>
  <c r="I40" i="2"/>
  <c r="I98" i="72"/>
  <c r="J49" i="60"/>
  <c r="J57" i="60"/>
  <c r="J65" i="60"/>
  <c r="J73" i="60"/>
  <c r="J81" i="60"/>
  <c r="J89" i="60"/>
  <c r="J97" i="60"/>
  <c r="J99" i="60"/>
  <c r="J238" i="60"/>
  <c r="J38" i="2"/>
  <c r="J1087" i="68"/>
  <c r="J1088" i="68"/>
  <c r="J1089" i="68"/>
  <c r="J1090" i="68"/>
  <c r="J1091" i="68"/>
  <c r="J1092" i="68"/>
  <c r="J1093" i="68"/>
  <c r="J1094" i="68"/>
  <c r="J1095" i="68"/>
  <c r="J1096" i="68"/>
  <c r="J1097" i="68"/>
  <c r="J1098" i="68"/>
  <c r="J1099" i="68"/>
  <c r="J36" i="69"/>
  <c r="J35" i="69"/>
  <c r="J37" i="69"/>
  <c r="J38" i="69"/>
  <c r="J56" i="69"/>
  <c r="J62" i="69"/>
  <c r="J81" i="69"/>
  <c r="J94" i="69"/>
  <c r="J110" i="69"/>
  <c r="J34" i="2"/>
  <c r="J39" i="58"/>
  <c r="J40" i="58"/>
  <c r="J41" i="58"/>
  <c r="J42" i="58"/>
  <c r="J43" i="58"/>
  <c r="J44" i="58"/>
  <c r="J45" i="58"/>
  <c r="J46" i="58"/>
  <c r="J47" i="58"/>
  <c r="J48" i="58"/>
  <c r="J49" i="58"/>
  <c r="J50" i="58"/>
  <c r="J51" i="58"/>
  <c r="J991" i="58"/>
  <c r="J816" i="58"/>
  <c r="J829" i="58"/>
  <c r="J996" i="58"/>
  <c r="J853" i="58"/>
  <c r="J854" i="58"/>
  <c r="J855" i="58"/>
  <c r="J856" i="58"/>
  <c r="J857" i="58"/>
  <c r="J858" i="58"/>
  <c r="J859" i="58"/>
  <c r="J860" i="58"/>
  <c r="J861" i="58"/>
  <c r="J862" i="58"/>
  <c r="J863" i="58"/>
  <c r="J864" i="58"/>
  <c r="J865" i="58"/>
  <c r="J997" i="58"/>
  <c r="J191" i="58"/>
  <c r="J192" i="58"/>
  <c r="J193" i="58"/>
  <c r="J194" i="58"/>
  <c r="J195" i="58"/>
  <c r="J196" i="58"/>
  <c r="J197" i="58"/>
  <c r="J198" i="58"/>
  <c r="J199" i="58"/>
  <c r="J200" i="58"/>
  <c r="J201" i="58"/>
  <c r="J202" i="58"/>
  <c r="J203" i="58"/>
  <c r="J992" i="58"/>
  <c r="J352" i="58"/>
  <c r="J353" i="58"/>
  <c r="J354" i="58"/>
  <c r="J355" i="58"/>
  <c r="J356" i="58"/>
  <c r="J357" i="58"/>
  <c r="J358" i="58"/>
  <c r="J359" i="58"/>
  <c r="J360" i="58"/>
  <c r="J361" i="58"/>
  <c r="J362" i="58"/>
  <c r="J363" i="58"/>
  <c r="J364" i="58"/>
  <c r="J993" i="58"/>
  <c r="J513" i="58"/>
  <c r="J514" i="58"/>
  <c r="J515" i="58"/>
  <c r="J516" i="58"/>
  <c r="J517" i="58"/>
  <c r="J518" i="58"/>
  <c r="J519" i="58"/>
  <c r="J520" i="58"/>
  <c r="J521" i="58"/>
  <c r="J522" i="58"/>
  <c r="J523" i="58"/>
  <c r="J524" i="58"/>
  <c r="J525" i="58"/>
  <c r="J994" i="58"/>
  <c r="J674" i="58"/>
  <c r="J675" i="58"/>
  <c r="J676" i="58"/>
  <c r="J677" i="58"/>
  <c r="J678" i="58"/>
  <c r="J679" i="58"/>
  <c r="J680" i="58"/>
  <c r="J681" i="58"/>
  <c r="J682" i="58"/>
  <c r="J683" i="58"/>
  <c r="J684" i="58"/>
  <c r="J685" i="58"/>
  <c r="J686" i="58"/>
  <c r="J995" i="58"/>
  <c r="J998" i="58"/>
  <c r="J23" i="2"/>
  <c r="J23" i="47"/>
  <c r="J25" i="47"/>
  <c r="J29" i="47"/>
  <c r="J65" i="47"/>
  <c r="J24" i="2"/>
  <c r="J41" i="20"/>
  <c r="J142" i="20"/>
  <c r="J227" i="20"/>
  <c r="J42" i="20"/>
  <c r="J143" i="20"/>
  <c r="J228" i="20"/>
  <c r="J43" i="20"/>
  <c r="J144" i="20"/>
  <c r="J229" i="20"/>
  <c r="J44" i="20"/>
  <c r="J145" i="20"/>
  <c r="J230" i="20"/>
  <c r="J45" i="20"/>
  <c r="J146" i="20"/>
  <c r="J231" i="20"/>
  <c r="J46" i="20"/>
  <c r="J147" i="20"/>
  <c r="J232" i="20"/>
  <c r="J47" i="20"/>
  <c r="J148" i="20"/>
  <c r="J233" i="20"/>
  <c r="J48" i="20"/>
  <c r="J149" i="20"/>
  <c r="J234" i="20"/>
  <c r="J49" i="20"/>
  <c r="J150" i="20"/>
  <c r="J235" i="20"/>
  <c r="J50" i="20"/>
  <c r="J151" i="20"/>
  <c r="J236" i="20"/>
  <c r="J51" i="20"/>
  <c r="J152" i="20"/>
  <c r="J237" i="20"/>
  <c r="J52" i="20"/>
  <c r="J153" i="20"/>
  <c r="J238" i="20"/>
  <c r="J239" i="20"/>
  <c r="J340" i="20"/>
  <c r="J22" i="2"/>
  <c r="J25" i="2"/>
  <c r="J31" i="29"/>
  <c r="J32" i="29"/>
  <c r="J37" i="29"/>
  <c r="J38" i="29"/>
  <c r="J43" i="29"/>
  <c r="J44" i="29"/>
  <c r="J49" i="29"/>
  <c r="J50" i="29"/>
  <c r="J55" i="29"/>
  <c r="J56" i="29"/>
  <c r="J61" i="29"/>
  <c r="J62" i="29"/>
  <c r="J67" i="29"/>
  <c r="J68" i="29"/>
  <c r="J73" i="29"/>
  <c r="J74" i="29"/>
  <c r="J79" i="29"/>
  <c r="J80" i="29"/>
  <c r="J85" i="29"/>
  <c r="J86" i="29"/>
  <c r="J91" i="29"/>
  <c r="J92" i="29"/>
  <c r="J97" i="29"/>
  <c r="J98" i="29"/>
  <c r="J385" i="29"/>
  <c r="J36" i="2"/>
  <c r="J17" i="54"/>
  <c r="J34" i="54"/>
  <c r="J834" i="54"/>
  <c r="J51" i="54"/>
  <c r="J835" i="54"/>
  <c r="J103" i="54"/>
  <c r="J104" i="54"/>
  <c r="J99" i="54"/>
  <c r="J100" i="54"/>
  <c r="J95" i="54"/>
  <c r="J96" i="54"/>
  <c r="J91" i="54"/>
  <c r="J92" i="54"/>
  <c r="J86" i="54"/>
  <c r="J87" i="54"/>
  <c r="J82" i="54"/>
  <c r="J83" i="54"/>
  <c r="J78" i="54"/>
  <c r="J79" i="54"/>
  <c r="J106" i="54"/>
  <c r="J836" i="54"/>
  <c r="J349" i="54"/>
  <c r="J224" i="54"/>
  <c r="J221" i="54"/>
  <c r="J218" i="54"/>
  <c r="J215" i="54"/>
  <c r="J212" i="54"/>
  <c r="J209" i="54"/>
  <c r="J206" i="54"/>
  <c r="J203" i="54"/>
  <c r="J200" i="54"/>
  <c r="J194" i="54"/>
  <c r="J191" i="54"/>
  <c r="J188" i="54"/>
  <c r="J226" i="54"/>
  <c r="J331" i="54"/>
  <c r="J363" i="54"/>
  <c r="J837" i="54"/>
  <c r="J419" i="54"/>
  <c r="J416" i="54"/>
  <c r="J413" i="54"/>
  <c r="J410" i="54"/>
  <c r="J407" i="54"/>
  <c r="J404" i="54"/>
  <c r="J401" i="54"/>
  <c r="J398" i="54"/>
  <c r="J395" i="54"/>
  <c r="J389" i="54"/>
  <c r="J386" i="54"/>
  <c r="J383" i="54"/>
  <c r="J421" i="54"/>
  <c r="J564" i="54"/>
  <c r="J561" i="54"/>
  <c r="J558" i="54"/>
  <c r="J555" i="54"/>
  <c r="J552" i="54"/>
  <c r="J549" i="54"/>
  <c r="J546" i="54"/>
  <c r="J543" i="54"/>
  <c r="J540" i="54"/>
  <c r="J534" i="54"/>
  <c r="J531" i="54"/>
  <c r="J528" i="54"/>
  <c r="J566" i="54"/>
  <c r="J703" i="54"/>
  <c r="J700" i="54"/>
  <c r="J697" i="54"/>
  <c r="J694" i="54"/>
  <c r="J691" i="54"/>
  <c r="J688" i="54"/>
  <c r="J685" i="54"/>
  <c r="J682" i="54"/>
  <c r="J679" i="54"/>
  <c r="J673" i="54"/>
  <c r="J670" i="54"/>
  <c r="J667" i="54"/>
  <c r="J705" i="54"/>
  <c r="J808" i="54"/>
  <c r="J818" i="54"/>
  <c r="J838" i="54"/>
  <c r="J839" i="54"/>
  <c r="J32" i="2"/>
  <c r="J40" i="2"/>
  <c r="J98" i="72"/>
  <c r="K49" i="60"/>
  <c r="K57" i="60"/>
  <c r="K65" i="60"/>
  <c r="K73" i="60"/>
  <c r="K81" i="60"/>
  <c r="K89" i="60"/>
  <c r="K97" i="60"/>
  <c r="K99" i="60"/>
  <c r="K238" i="60"/>
  <c r="K38" i="2"/>
  <c r="K1087" i="68"/>
  <c r="K1088" i="68"/>
  <c r="K1089" i="68"/>
  <c r="K1090" i="68"/>
  <c r="K1091" i="68"/>
  <c r="K1092" i="68"/>
  <c r="K1093" i="68"/>
  <c r="K1094" i="68"/>
  <c r="K1095" i="68"/>
  <c r="K1096" i="68"/>
  <c r="K1097" i="68"/>
  <c r="K1098" i="68"/>
  <c r="K1099" i="68"/>
  <c r="K36" i="69"/>
  <c r="K35" i="69"/>
  <c r="K37" i="69"/>
  <c r="K38" i="69"/>
  <c r="K56" i="69"/>
  <c r="K62" i="69"/>
  <c r="K81" i="69"/>
  <c r="K94" i="69"/>
  <c r="K110" i="69"/>
  <c r="K34" i="2"/>
  <c r="K39" i="58"/>
  <c r="K40" i="58"/>
  <c r="K41" i="58"/>
  <c r="K42" i="58"/>
  <c r="K43" i="58"/>
  <c r="K44" i="58"/>
  <c r="K45" i="58"/>
  <c r="K46" i="58"/>
  <c r="K47" i="58"/>
  <c r="K48" i="58"/>
  <c r="K49" i="58"/>
  <c r="K50" i="58"/>
  <c r="K51" i="58"/>
  <c r="K991" i="58"/>
  <c r="K816" i="58"/>
  <c r="K829" i="58"/>
  <c r="K996" i="58"/>
  <c r="K853" i="58"/>
  <c r="K854" i="58"/>
  <c r="K855" i="58"/>
  <c r="K856" i="58"/>
  <c r="K857" i="58"/>
  <c r="K858" i="58"/>
  <c r="K859" i="58"/>
  <c r="K860" i="58"/>
  <c r="K861" i="58"/>
  <c r="K862" i="58"/>
  <c r="K863" i="58"/>
  <c r="K864" i="58"/>
  <c r="K865" i="58"/>
  <c r="K997" i="58"/>
  <c r="K191" i="58"/>
  <c r="K192" i="58"/>
  <c r="K193" i="58"/>
  <c r="K194" i="58"/>
  <c r="K195" i="58"/>
  <c r="K196" i="58"/>
  <c r="K197" i="58"/>
  <c r="K198" i="58"/>
  <c r="K199" i="58"/>
  <c r="K200" i="58"/>
  <c r="K201" i="58"/>
  <c r="K202" i="58"/>
  <c r="K203" i="58"/>
  <c r="K992" i="58"/>
  <c r="K352" i="58"/>
  <c r="K353" i="58"/>
  <c r="K354" i="58"/>
  <c r="K355" i="58"/>
  <c r="K356" i="58"/>
  <c r="K357" i="58"/>
  <c r="K358" i="58"/>
  <c r="K359" i="58"/>
  <c r="K360" i="58"/>
  <c r="K361" i="58"/>
  <c r="K362" i="58"/>
  <c r="K363" i="58"/>
  <c r="K364" i="58"/>
  <c r="K993" i="58"/>
  <c r="K513" i="58"/>
  <c r="K514" i="58"/>
  <c r="K515" i="58"/>
  <c r="K516" i="58"/>
  <c r="K517" i="58"/>
  <c r="K518" i="58"/>
  <c r="K519" i="58"/>
  <c r="K520" i="58"/>
  <c r="K521" i="58"/>
  <c r="K522" i="58"/>
  <c r="K523" i="58"/>
  <c r="K524" i="58"/>
  <c r="K525" i="58"/>
  <c r="K994" i="58"/>
  <c r="K674" i="58"/>
  <c r="K675" i="58"/>
  <c r="K676" i="58"/>
  <c r="K677" i="58"/>
  <c r="K678" i="58"/>
  <c r="K679" i="58"/>
  <c r="K680" i="58"/>
  <c r="K681" i="58"/>
  <c r="K682" i="58"/>
  <c r="K683" i="58"/>
  <c r="K684" i="58"/>
  <c r="K685" i="58"/>
  <c r="K686" i="58"/>
  <c r="K995" i="58"/>
  <c r="K998" i="58"/>
  <c r="K23" i="2"/>
  <c r="K23" i="47"/>
  <c r="K25" i="47"/>
  <c r="K29" i="47"/>
  <c r="K65" i="47"/>
  <c r="K24" i="2"/>
  <c r="K41" i="20"/>
  <c r="K142" i="20"/>
  <c r="K227" i="20"/>
  <c r="K42" i="20"/>
  <c r="K143" i="20"/>
  <c r="K228" i="20"/>
  <c r="K43" i="20"/>
  <c r="K144" i="20"/>
  <c r="K229" i="20"/>
  <c r="K44" i="20"/>
  <c r="K145" i="20"/>
  <c r="K230" i="20"/>
  <c r="K45" i="20"/>
  <c r="K146" i="20"/>
  <c r="K231" i="20"/>
  <c r="K46" i="20"/>
  <c r="K147" i="20"/>
  <c r="K232" i="20"/>
  <c r="K47" i="20"/>
  <c r="K148" i="20"/>
  <c r="K233" i="20"/>
  <c r="K48" i="20"/>
  <c r="K149" i="20"/>
  <c r="K234" i="20"/>
  <c r="K49" i="20"/>
  <c r="K150" i="20"/>
  <c r="K235" i="20"/>
  <c r="K50" i="20"/>
  <c r="K151" i="20"/>
  <c r="K236" i="20"/>
  <c r="K51" i="20"/>
  <c r="K152" i="20"/>
  <c r="K237" i="20"/>
  <c r="K52" i="20"/>
  <c r="K153" i="20"/>
  <c r="K238" i="20"/>
  <c r="K239" i="20"/>
  <c r="K340" i="20"/>
  <c r="K22" i="2"/>
  <c r="K25" i="2"/>
  <c r="K31" i="29"/>
  <c r="K32" i="29"/>
  <c r="K37" i="29"/>
  <c r="K38" i="29"/>
  <c r="K43" i="29"/>
  <c r="K44" i="29"/>
  <c r="K49" i="29"/>
  <c r="K50" i="29"/>
  <c r="K55" i="29"/>
  <c r="K56" i="29"/>
  <c r="K61" i="29"/>
  <c r="K62" i="29"/>
  <c r="K67" i="29"/>
  <c r="K68" i="29"/>
  <c r="K73" i="29"/>
  <c r="K74" i="29"/>
  <c r="K79" i="29"/>
  <c r="K80" i="29"/>
  <c r="K85" i="29"/>
  <c r="K86" i="29"/>
  <c r="K91" i="29"/>
  <c r="K92" i="29"/>
  <c r="K97" i="29"/>
  <c r="K98" i="29"/>
  <c r="K385" i="29"/>
  <c r="K36" i="2"/>
  <c r="K17" i="54"/>
  <c r="K34" i="54"/>
  <c r="K834" i="54"/>
  <c r="K51" i="54"/>
  <c r="K835" i="54"/>
  <c r="K103" i="54"/>
  <c r="K104" i="54"/>
  <c r="K99" i="54"/>
  <c r="K100" i="54"/>
  <c r="K95" i="54"/>
  <c r="K96" i="54"/>
  <c r="K91" i="54"/>
  <c r="K92" i="54"/>
  <c r="K86" i="54"/>
  <c r="K87" i="54"/>
  <c r="K82" i="54"/>
  <c r="K83" i="54"/>
  <c r="K78" i="54"/>
  <c r="K79" i="54"/>
  <c r="K106" i="54"/>
  <c r="K836" i="54"/>
  <c r="K349" i="54"/>
  <c r="K224" i="54"/>
  <c r="K221" i="54"/>
  <c r="K218" i="54"/>
  <c r="K215" i="54"/>
  <c r="K212" i="54"/>
  <c r="K209" i="54"/>
  <c r="K206" i="54"/>
  <c r="K203" i="54"/>
  <c r="K200" i="54"/>
  <c r="K194" i="54"/>
  <c r="K191" i="54"/>
  <c r="K188" i="54"/>
  <c r="K226" i="54"/>
  <c r="K331" i="54"/>
  <c r="K363" i="54"/>
  <c r="K837" i="54"/>
  <c r="K419" i="54"/>
  <c r="K416" i="54"/>
  <c r="K413" i="54"/>
  <c r="K410" i="54"/>
  <c r="K407" i="54"/>
  <c r="K404" i="54"/>
  <c r="K401" i="54"/>
  <c r="K398" i="54"/>
  <c r="K395" i="54"/>
  <c r="K389" i="54"/>
  <c r="K386" i="54"/>
  <c r="K383" i="54"/>
  <c r="K421" i="54"/>
  <c r="K564" i="54"/>
  <c r="K561" i="54"/>
  <c r="K558" i="54"/>
  <c r="K555" i="54"/>
  <c r="K552" i="54"/>
  <c r="K549" i="54"/>
  <c r="K546" i="54"/>
  <c r="K543" i="54"/>
  <c r="K540" i="54"/>
  <c r="K534" i="54"/>
  <c r="K531" i="54"/>
  <c r="K528" i="54"/>
  <c r="K566" i="54"/>
  <c r="K703" i="54"/>
  <c r="K700" i="54"/>
  <c r="K697" i="54"/>
  <c r="K694" i="54"/>
  <c r="K691" i="54"/>
  <c r="K688" i="54"/>
  <c r="K685" i="54"/>
  <c r="K682" i="54"/>
  <c r="K679" i="54"/>
  <c r="K673" i="54"/>
  <c r="K670" i="54"/>
  <c r="K667" i="54"/>
  <c r="K705" i="54"/>
  <c r="K808" i="54"/>
  <c r="K818" i="54"/>
  <c r="K838" i="54"/>
  <c r="K839" i="54"/>
  <c r="K32" i="2"/>
  <c r="K40" i="2"/>
  <c r="K98" i="72"/>
  <c r="L49" i="60"/>
  <c r="L57" i="60"/>
  <c r="L65" i="60"/>
  <c r="L73" i="60"/>
  <c r="L81" i="60"/>
  <c r="L89" i="60"/>
  <c r="L97" i="60"/>
  <c r="L99" i="60"/>
  <c r="L238" i="60"/>
  <c r="L38" i="2"/>
  <c r="L1087" i="68"/>
  <c r="L1088" i="68"/>
  <c r="L1089" i="68"/>
  <c r="L1090" i="68"/>
  <c r="L1091" i="68"/>
  <c r="L1092" i="68"/>
  <c r="L1093" i="68"/>
  <c r="L1094" i="68"/>
  <c r="L1095" i="68"/>
  <c r="L1096" i="68"/>
  <c r="L1097" i="68"/>
  <c r="L1098" i="68"/>
  <c r="L1099" i="68"/>
  <c r="L36" i="69"/>
  <c r="L35" i="69"/>
  <c r="L37" i="69"/>
  <c r="L38" i="69"/>
  <c r="L56" i="69"/>
  <c r="L62" i="69"/>
  <c r="L81" i="69"/>
  <c r="L94" i="69"/>
  <c r="L110" i="69"/>
  <c r="L34" i="2"/>
  <c r="L39" i="58"/>
  <c r="L40" i="58"/>
  <c r="L41" i="58"/>
  <c r="L42" i="58"/>
  <c r="L43" i="58"/>
  <c r="L44" i="58"/>
  <c r="L45" i="58"/>
  <c r="L46" i="58"/>
  <c r="L47" i="58"/>
  <c r="L48" i="58"/>
  <c r="L49" i="58"/>
  <c r="L50" i="58"/>
  <c r="L51" i="58"/>
  <c r="L991" i="58"/>
  <c r="L816" i="58"/>
  <c r="L829" i="58"/>
  <c r="L996" i="58"/>
  <c r="L853" i="58"/>
  <c r="L854" i="58"/>
  <c r="L855" i="58"/>
  <c r="L856" i="58"/>
  <c r="L857" i="58"/>
  <c r="L858" i="58"/>
  <c r="L859" i="58"/>
  <c r="L860" i="58"/>
  <c r="L861" i="58"/>
  <c r="L862" i="58"/>
  <c r="L863" i="58"/>
  <c r="L864" i="58"/>
  <c r="L865" i="58"/>
  <c r="L997" i="58"/>
  <c r="L191" i="58"/>
  <c r="L192" i="58"/>
  <c r="L193" i="58"/>
  <c r="L194" i="58"/>
  <c r="L195" i="58"/>
  <c r="L196" i="58"/>
  <c r="L197" i="58"/>
  <c r="L198" i="58"/>
  <c r="L199" i="58"/>
  <c r="L200" i="58"/>
  <c r="L201" i="58"/>
  <c r="L202" i="58"/>
  <c r="L203" i="58"/>
  <c r="L992" i="58"/>
  <c r="L352" i="58"/>
  <c r="L353" i="58"/>
  <c r="L354" i="58"/>
  <c r="L355" i="58"/>
  <c r="L356" i="58"/>
  <c r="L357" i="58"/>
  <c r="L358" i="58"/>
  <c r="L359" i="58"/>
  <c r="L360" i="58"/>
  <c r="L361" i="58"/>
  <c r="L362" i="58"/>
  <c r="L363" i="58"/>
  <c r="L364" i="58"/>
  <c r="L993" i="58"/>
  <c r="L513" i="58"/>
  <c r="L514" i="58"/>
  <c r="L515" i="58"/>
  <c r="L516" i="58"/>
  <c r="L517" i="58"/>
  <c r="L518" i="58"/>
  <c r="L519" i="58"/>
  <c r="L520" i="58"/>
  <c r="L521" i="58"/>
  <c r="L522" i="58"/>
  <c r="L523" i="58"/>
  <c r="L524" i="58"/>
  <c r="L525" i="58"/>
  <c r="L994" i="58"/>
  <c r="L674" i="58"/>
  <c r="L675" i="58"/>
  <c r="L676" i="58"/>
  <c r="L677" i="58"/>
  <c r="L678" i="58"/>
  <c r="L679" i="58"/>
  <c r="L680" i="58"/>
  <c r="L681" i="58"/>
  <c r="L682" i="58"/>
  <c r="L683" i="58"/>
  <c r="L684" i="58"/>
  <c r="L685" i="58"/>
  <c r="L686" i="58"/>
  <c r="L995" i="58"/>
  <c r="L998" i="58"/>
  <c r="L23" i="2"/>
  <c r="L23" i="47"/>
  <c r="L25" i="47"/>
  <c r="L29" i="47"/>
  <c r="L65" i="47"/>
  <c r="L24" i="2"/>
  <c r="L41" i="20"/>
  <c r="L142" i="20"/>
  <c r="L227" i="20"/>
  <c r="L42" i="20"/>
  <c r="L143" i="20"/>
  <c r="L228" i="20"/>
  <c r="L43" i="20"/>
  <c r="L144" i="20"/>
  <c r="L229" i="20"/>
  <c r="L44" i="20"/>
  <c r="L145" i="20"/>
  <c r="L230" i="20"/>
  <c r="L45" i="20"/>
  <c r="L146" i="20"/>
  <c r="L231" i="20"/>
  <c r="L46" i="20"/>
  <c r="L147" i="20"/>
  <c r="L232" i="20"/>
  <c r="L47" i="20"/>
  <c r="L148" i="20"/>
  <c r="L233" i="20"/>
  <c r="L48" i="20"/>
  <c r="L149" i="20"/>
  <c r="L234" i="20"/>
  <c r="L49" i="20"/>
  <c r="L150" i="20"/>
  <c r="L235" i="20"/>
  <c r="L50" i="20"/>
  <c r="L151" i="20"/>
  <c r="L236" i="20"/>
  <c r="L51" i="20"/>
  <c r="L152" i="20"/>
  <c r="L237" i="20"/>
  <c r="L52" i="20"/>
  <c r="L153" i="20"/>
  <c r="L238" i="20"/>
  <c r="L239" i="20"/>
  <c r="L340" i="20"/>
  <c r="L22" i="2"/>
  <c r="L25" i="2"/>
  <c r="L31" i="29"/>
  <c r="L32" i="29"/>
  <c r="L37" i="29"/>
  <c r="L38" i="29"/>
  <c r="L43" i="29"/>
  <c r="L44" i="29"/>
  <c r="L49" i="29"/>
  <c r="L50" i="29"/>
  <c r="L55" i="29"/>
  <c r="L56" i="29"/>
  <c r="L61" i="29"/>
  <c r="L62" i="29"/>
  <c r="L67" i="29"/>
  <c r="L68" i="29"/>
  <c r="L73" i="29"/>
  <c r="L74" i="29"/>
  <c r="L79" i="29"/>
  <c r="L80" i="29"/>
  <c r="L85" i="29"/>
  <c r="L86" i="29"/>
  <c r="L91" i="29"/>
  <c r="L92" i="29"/>
  <c r="L97" i="29"/>
  <c r="L98" i="29"/>
  <c r="L385" i="29"/>
  <c r="L36" i="2"/>
  <c r="L17" i="54"/>
  <c r="L34" i="54"/>
  <c r="L834" i="54"/>
  <c r="L51" i="54"/>
  <c r="L835" i="54"/>
  <c r="L103" i="54"/>
  <c r="L104" i="54"/>
  <c r="L99" i="54"/>
  <c r="L100" i="54"/>
  <c r="L95" i="54"/>
  <c r="L96" i="54"/>
  <c r="L91" i="54"/>
  <c r="L92" i="54"/>
  <c r="L86" i="54"/>
  <c r="L87" i="54"/>
  <c r="L82" i="54"/>
  <c r="L83" i="54"/>
  <c r="L78" i="54"/>
  <c r="L79" i="54"/>
  <c r="L106" i="54"/>
  <c r="L836" i="54"/>
  <c r="L349" i="54"/>
  <c r="L224" i="54"/>
  <c r="L221" i="54"/>
  <c r="L218" i="54"/>
  <c r="L215" i="54"/>
  <c r="L212" i="54"/>
  <c r="L209" i="54"/>
  <c r="L206" i="54"/>
  <c r="L203" i="54"/>
  <c r="L200" i="54"/>
  <c r="L194" i="54"/>
  <c r="L191" i="54"/>
  <c r="L188" i="54"/>
  <c r="L226" i="54"/>
  <c r="L331" i="54"/>
  <c r="L363" i="54"/>
  <c r="L837" i="54"/>
  <c r="L419" i="54"/>
  <c r="L416" i="54"/>
  <c r="L413" i="54"/>
  <c r="L410" i="54"/>
  <c r="L407" i="54"/>
  <c r="L404" i="54"/>
  <c r="L401" i="54"/>
  <c r="L398" i="54"/>
  <c r="L395" i="54"/>
  <c r="L389" i="54"/>
  <c r="L386" i="54"/>
  <c r="L383" i="54"/>
  <c r="L421" i="54"/>
  <c r="L564" i="54"/>
  <c r="L561" i="54"/>
  <c r="L558" i="54"/>
  <c r="L555" i="54"/>
  <c r="L552" i="54"/>
  <c r="L549" i="54"/>
  <c r="L546" i="54"/>
  <c r="L543" i="54"/>
  <c r="L540" i="54"/>
  <c r="L534" i="54"/>
  <c r="L531" i="54"/>
  <c r="L528" i="54"/>
  <c r="L566" i="54"/>
  <c r="L703" i="54"/>
  <c r="L700" i="54"/>
  <c r="L697" i="54"/>
  <c r="L694" i="54"/>
  <c r="L691" i="54"/>
  <c r="L688" i="54"/>
  <c r="L685" i="54"/>
  <c r="L682" i="54"/>
  <c r="L679" i="54"/>
  <c r="L673" i="54"/>
  <c r="L670" i="54"/>
  <c r="L667" i="54"/>
  <c r="L705" i="54"/>
  <c r="L808" i="54"/>
  <c r="L818" i="54"/>
  <c r="L838" i="54"/>
  <c r="L839" i="54"/>
  <c r="L32" i="2"/>
  <c r="L40" i="2"/>
  <c r="L98" i="72"/>
  <c r="M49" i="60"/>
  <c r="M57" i="60"/>
  <c r="M65" i="60"/>
  <c r="M73" i="60"/>
  <c r="M81" i="60"/>
  <c r="M89" i="60"/>
  <c r="M97" i="60"/>
  <c r="M99" i="60"/>
  <c r="M238" i="60"/>
  <c r="M38" i="2"/>
  <c r="M1087" i="68"/>
  <c r="M1088" i="68"/>
  <c r="M1089" i="68"/>
  <c r="M1090" i="68"/>
  <c r="M1091" i="68"/>
  <c r="M1092" i="68"/>
  <c r="M1093" i="68"/>
  <c r="M1094" i="68"/>
  <c r="M1095" i="68"/>
  <c r="M1096" i="68"/>
  <c r="M1097" i="68"/>
  <c r="M1098" i="68"/>
  <c r="M1099" i="68"/>
  <c r="M36" i="69"/>
  <c r="M35" i="69"/>
  <c r="M37" i="69"/>
  <c r="M38" i="69"/>
  <c r="M56" i="69"/>
  <c r="M62" i="69"/>
  <c r="M81" i="69"/>
  <c r="M94" i="69"/>
  <c r="M110" i="69"/>
  <c r="M34" i="2"/>
  <c r="M39" i="58"/>
  <c r="M40" i="58"/>
  <c r="M41" i="58"/>
  <c r="M42" i="58"/>
  <c r="M43" i="58"/>
  <c r="M44" i="58"/>
  <c r="M45" i="58"/>
  <c r="M46" i="58"/>
  <c r="M47" i="58"/>
  <c r="M48" i="58"/>
  <c r="M49" i="58"/>
  <c r="M50" i="58"/>
  <c r="M51" i="58"/>
  <c r="M991" i="58"/>
  <c r="M816" i="58"/>
  <c r="M829" i="58"/>
  <c r="M996" i="58"/>
  <c r="M853" i="58"/>
  <c r="M854" i="58"/>
  <c r="M855" i="58"/>
  <c r="M856" i="58"/>
  <c r="M857" i="58"/>
  <c r="M858" i="58"/>
  <c r="M859" i="58"/>
  <c r="M860" i="58"/>
  <c r="M861" i="58"/>
  <c r="M862" i="58"/>
  <c r="M863" i="58"/>
  <c r="M864" i="58"/>
  <c r="M865" i="58"/>
  <c r="M997" i="58"/>
  <c r="M191" i="58"/>
  <c r="M192" i="58"/>
  <c r="M193" i="58"/>
  <c r="M194" i="58"/>
  <c r="M195" i="58"/>
  <c r="M196" i="58"/>
  <c r="M197" i="58"/>
  <c r="M198" i="58"/>
  <c r="M199" i="58"/>
  <c r="M200" i="58"/>
  <c r="M201" i="58"/>
  <c r="M202" i="58"/>
  <c r="M203" i="58"/>
  <c r="M992" i="58"/>
  <c r="M352" i="58"/>
  <c r="M353" i="58"/>
  <c r="M354" i="58"/>
  <c r="M355" i="58"/>
  <c r="M356" i="58"/>
  <c r="M357" i="58"/>
  <c r="M358" i="58"/>
  <c r="M359" i="58"/>
  <c r="M360" i="58"/>
  <c r="M361" i="58"/>
  <c r="M362" i="58"/>
  <c r="M363" i="58"/>
  <c r="M364" i="58"/>
  <c r="M993" i="58"/>
  <c r="M513" i="58"/>
  <c r="M514" i="58"/>
  <c r="M515" i="58"/>
  <c r="M516" i="58"/>
  <c r="M517" i="58"/>
  <c r="M518" i="58"/>
  <c r="M519" i="58"/>
  <c r="M520" i="58"/>
  <c r="M521" i="58"/>
  <c r="M522" i="58"/>
  <c r="M523" i="58"/>
  <c r="M524" i="58"/>
  <c r="M525" i="58"/>
  <c r="M994" i="58"/>
  <c r="M674" i="58"/>
  <c r="M675" i="58"/>
  <c r="M676" i="58"/>
  <c r="M677" i="58"/>
  <c r="M678" i="58"/>
  <c r="M679" i="58"/>
  <c r="M680" i="58"/>
  <c r="M681" i="58"/>
  <c r="M682" i="58"/>
  <c r="M683" i="58"/>
  <c r="M684" i="58"/>
  <c r="M685" i="58"/>
  <c r="M686" i="58"/>
  <c r="M995" i="58"/>
  <c r="M998" i="58"/>
  <c r="M23" i="2"/>
  <c r="M23" i="47"/>
  <c r="M25" i="47"/>
  <c r="M29" i="47"/>
  <c r="M65" i="47"/>
  <c r="M24" i="2"/>
  <c r="M41" i="20"/>
  <c r="M142" i="20"/>
  <c r="M227" i="20"/>
  <c r="M42" i="20"/>
  <c r="M143" i="20"/>
  <c r="M228" i="20"/>
  <c r="M43" i="20"/>
  <c r="M144" i="20"/>
  <c r="M229" i="20"/>
  <c r="M44" i="20"/>
  <c r="M145" i="20"/>
  <c r="M230" i="20"/>
  <c r="M45" i="20"/>
  <c r="M146" i="20"/>
  <c r="M231" i="20"/>
  <c r="M46" i="20"/>
  <c r="M147" i="20"/>
  <c r="M232" i="20"/>
  <c r="M47" i="20"/>
  <c r="M148" i="20"/>
  <c r="M233" i="20"/>
  <c r="M48" i="20"/>
  <c r="M149" i="20"/>
  <c r="M234" i="20"/>
  <c r="M49" i="20"/>
  <c r="M150" i="20"/>
  <c r="M235" i="20"/>
  <c r="M50" i="20"/>
  <c r="M151" i="20"/>
  <c r="M236" i="20"/>
  <c r="M51" i="20"/>
  <c r="M152" i="20"/>
  <c r="M237" i="20"/>
  <c r="M52" i="20"/>
  <c r="M153" i="20"/>
  <c r="M238" i="20"/>
  <c r="M239" i="20"/>
  <c r="M340" i="20"/>
  <c r="M22" i="2"/>
  <c r="M25" i="2"/>
  <c r="M31" i="29"/>
  <c r="M32" i="29"/>
  <c r="M37" i="29"/>
  <c r="M38" i="29"/>
  <c r="M43" i="29"/>
  <c r="M44" i="29"/>
  <c r="M49" i="29"/>
  <c r="M50" i="29"/>
  <c r="M55" i="29"/>
  <c r="M56" i="29"/>
  <c r="M61" i="29"/>
  <c r="M62" i="29"/>
  <c r="M67" i="29"/>
  <c r="M68" i="29"/>
  <c r="M73" i="29"/>
  <c r="M74" i="29"/>
  <c r="M79" i="29"/>
  <c r="M80" i="29"/>
  <c r="M85" i="29"/>
  <c r="M86" i="29"/>
  <c r="M91" i="29"/>
  <c r="M92" i="29"/>
  <c r="M97" i="29"/>
  <c r="M98" i="29"/>
  <c r="M385" i="29"/>
  <c r="M36" i="2"/>
  <c r="M17" i="54"/>
  <c r="M34" i="54"/>
  <c r="M834" i="54"/>
  <c r="M51" i="54"/>
  <c r="M835" i="54"/>
  <c r="M103" i="54"/>
  <c r="M104" i="54"/>
  <c r="M99" i="54"/>
  <c r="M100" i="54"/>
  <c r="M95" i="54"/>
  <c r="M96" i="54"/>
  <c r="M91" i="54"/>
  <c r="M92" i="54"/>
  <c r="M86" i="54"/>
  <c r="M87" i="54"/>
  <c r="M82" i="54"/>
  <c r="M83" i="54"/>
  <c r="M78" i="54"/>
  <c r="M79" i="54"/>
  <c r="M106" i="54"/>
  <c r="M836" i="54"/>
  <c r="M349" i="54"/>
  <c r="M224" i="54"/>
  <c r="M221" i="54"/>
  <c r="M218" i="54"/>
  <c r="M215" i="54"/>
  <c r="M212" i="54"/>
  <c r="M209" i="54"/>
  <c r="M206" i="54"/>
  <c r="M203" i="54"/>
  <c r="M200" i="54"/>
  <c r="M194" i="54"/>
  <c r="M191" i="54"/>
  <c r="M188" i="54"/>
  <c r="M226" i="54"/>
  <c r="M331" i="54"/>
  <c r="M363" i="54"/>
  <c r="M837" i="54"/>
  <c r="M419" i="54"/>
  <c r="M416" i="54"/>
  <c r="M413" i="54"/>
  <c r="M410" i="54"/>
  <c r="M407" i="54"/>
  <c r="M404" i="54"/>
  <c r="M401" i="54"/>
  <c r="M398" i="54"/>
  <c r="M395" i="54"/>
  <c r="M389" i="54"/>
  <c r="M386" i="54"/>
  <c r="M383" i="54"/>
  <c r="M421" i="54"/>
  <c r="M564" i="54"/>
  <c r="M561" i="54"/>
  <c r="M558" i="54"/>
  <c r="M555" i="54"/>
  <c r="M552" i="54"/>
  <c r="M549" i="54"/>
  <c r="M546" i="54"/>
  <c r="M543" i="54"/>
  <c r="M540" i="54"/>
  <c r="M534" i="54"/>
  <c r="M531" i="54"/>
  <c r="M528" i="54"/>
  <c r="M566" i="54"/>
  <c r="M703" i="54"/>
  <c r="M700" i="54"/>
  <c r="M697" i="54"/>
  <c r="M694" i="54"/>
  <c r="M691" i="54"/>
  <c r="M688" i="54"/>
  <c r="M685" i="54"/>
  <c r="M682" i="54"/>
  <c r="M679" i="54"/>
  <c r="M673" i="54"/>
  <c r="M670" i="54"/>
  <c r="M667" i="54"/>
  <c r="M705" i="54"/>
  <c r="M808" i="54"/>
  <c r="M818" i="54"/>
  <c r="M838" i="54"/>
  <c r="M839" i="54"/>
  <c r="M32" i="2"/>
  <c r="M40" i="2"/>
  <c r="M98" i="72"/>
  <c r="N49" i="60"/>
  <c r="N57" i="60"/>
  <c r="N65" i="60"/>
  <c r="N73" i="60"/>
  <c r="N81" i="60"/>
  <c r="N89" i="60"/>
  <c r="N97" i="60"/>
  <c r="N99" i="60"/>
  <c r="N238" i="60"/>
  <c r="N38" i="2"/>
  <c r="N1087" i="68"/>
  <c r="N1088" i="68"/>
  <c r="N1089" i="68"/>
  <c r="N1090" i="68"/>
  <c r="N1091" i="68"/>
  <c r="N1092" i="68"/>
  <c r="N1093" i="68"/>
  <c r="N1094" i="68"/>
  <c r="N1095" i="68"/>
  <c r="N1096" i="68"/>
  <c r="N1097" i="68"/>
  <c r="N1098" i="68"/>
  <c r="N1099" i="68"/>
  <c r="N36" i="69"/>
  <c r="N35" i="69"/>
  <c r="N37" i="69"/>
  <c r="N38" i="69"/>
  <c r="N56" i="69"/>
  <c r="N62" i="69"/>
  <c r="N81" i="69"/>
  <c r="N94" i="69"/>
  <c r="N110" i="69"/>
  <c r="N34" i="2"/>
  <c r="N39" i="58"/>
  <c r="N40" i="58"/>
  <c r="N41" i="58"/>
  <c r="N42" i="58"/>
  <c r="N43" i="58"/>
  <c r="N44" i="58"/>
  <c r="N45" i="58"/>
  <c r="N46" i="58"/>
  <c r="N47" i="58"/>
  <c r="N48" i="58"/>
  <c r="N49" i="58"/>
  <c r="N50" i="58"/>
  <c r="N51" i="58"/>
  <c r="N991" i="58"/>
  <c r="N816" i="58"/>
  <c r="N829" i="58"/>
  <c r="N996" i="58"/>
  <c r="N853" i="58"/>
  <c r="N854" i="58"/>
  <c r="N855" i="58"/>
  <c r="N856" i="58"/>
  <c r="N857" i="58"/>
  <c r="N858" i="58"/>
  <c r="N859" i="58"/>
  <c r="N860" i="58"/>
  <c r="N861" i="58"/>
  <c r="N862" i="58"/>
  <c r="N863" i="58"/>
  <c r="N864" i="58"/>
  <c r="N865" i="58"/>
  <c r="N997" i="58"/>
  <c r="N191" i="58"/>
  <c r="N192" i="58"/>
  <c r="N193" i="58"/>
  <c r="N194" i="58"/>
  <c r="N195" i="58"/>
  <c r="N196" i="58"/>
  <c r="N197" i="58"/>
  <c r="N198" i="58"/>
  <c r="N199" i="58"/>
  <c r="N200" i="58"/>
  <c r="N201" i="58"/>
  <c r="N202" i="58"/>
  <c r="N203" i="58"/>
  <c r="N992" i="58"/>
  <c r="N352" i="58"/>
  <c r="N353" i="58"/>
  <c r="N354" i="58"/>
  <c r="N355" i="58"/>
  <c r="N356" i="58"/>
  <c r="N357" i="58"/>
  <c r="N358" i="58"/>
  <c r="N359" i="58"/>
  <c r="N360" i="58"/>
  <c r="N361" i="58"/>
  <c r="N362" i="58"/>
  <c r="N363" i="58"/>
  <c r="N364" i="58"/>
  <c r="N993" i="58"/>
  <c r="N513" i="58"/>
  <c r="N514" i="58"/>
  <c r="N515" i="58"/>
  <c r="N516" i="58"/>
  <c r="N517" i="58"/>
  <c r="N518" i="58"/>
  <c r="N519" i="58"/>
  <c r="N520" i="58"/>
  <c r="N521" i="58"/>
  <c r="N522" i="58"/>
  <c r="N523" i="58"/>
  <c r="N524" i="58"/>
  <c r="N525" i="58"/>
  <c r="N994" i="58"/>
  <c r="N674" i="58"/>
  <c r="N675" i="58"/>
  <c r="N676" i="58"/>
  <c r="N677" i="58"/>
  <c r="N678" i="58"/>
  <c r="N679" i="58"/>
  <c r="N680" i="58"/>
  <c r="N681" i="58"/>
  <c r="N682" i="58"/>
  <c r="N683" i="58"/>
  <c r="N684" i="58"/>
  <c r="N685" i="58"/>
  <c r="N686" i="58"/>
  <c r="N995" i="58"/>
  <c r="N998" i="58"/>
  <c r="N23" i="2"/>
  <c r="N23" i="47"/>
  <c r="N25" i="47"/>
  <c r="N29" i="47"/>
  <c r="N65" i="47"/>
  <c r="N24" i="2"/>
  <c r="N41" i="20"/>
  <c r="N142" i="20"/>
  <c r="N227" i="20"/>
  <c r="N42" i="20"/>
  <c r="N143" i="20"/>
  <c r="N228" i="20"/>
  <c r="N43" i="20"/>
  <c r="N144" i="20"/>
  <c r="N229" i="20"/>
  <c r="N44" i="20"/>
  <c r="N145" i="20"/>
  <c r="N230" i="20"/>
  <c r="N45" i="20"/>
  <c r="N146" i="20"/>
  <c r="N231" i="20"/>
  <c r="N46" i="20"/>
  <c r="N147" i="20"/>
  <c r="N232" i="20"/>
  <c r="N47" i="20"/>
  <c r="N148" i="20"/>
  <c r="N233" i="20"/>
  <c r="N48" i="20"/>
  <c r="N149" i="20"/>
  <c r="N234" i="20"/>
  <c r="N49" i="20"/>
  <c r="N150" i="20"/>
  <c r="N235" i="20"/>
  <c r="N50" i="20"/>
  <c r="N151" i="20"/>
  <c r="N236" i="20"/>
  <c r="N51" i="20"/>
  <c r="N152" i="20"/>
  <c r="N237" i="20"/>
  <c r="N52" i="20"/>
  <c r="N153" i="20"/>
  <c r="N238" i="20"/>
  <c r="N239" i="20"/>
  <c r="N340" i="20"/>
  <c r="N22" i="2"/>
  <c r="N25" i="2"/>
  <c r="N31" i="29"/>
  <c r="N32" i="29"/>
  <c r="N37" i="29"/>
  <c r="N38" i="29"/>
  <c r="N43" i="29"/>
  <c r="N44" i="29"/>
  <c r="N49" i="29"/>
  <c r="N50" i="29"/>
  <c r="N55" i="29"/>
  <c r="N56" i="29"/>
  <c r="N61" i="29"/>
  <c r="N62" i="29"/>
  <c r="N67" i="29"/>
  <c r="N68" i="29"/>
  <c r="N73" i="29"/>
  <c r="N74" i="29"/>
  <c r="N79" i="29"/>
  <c r="N80" i="29"/>
  <c r="N85" i="29"/>
  <c r="N86" i="29"/>
  <c r="N91" i="29"/>
  <c r="N92" i="29"/>
  <c r="N97" i="29"/>
  <c r="N98" i="29"/>
  <c r="N385" i="29"/>
  <c r="N36" i="2"/>
  <c r="N17" i="54"/>
  <c r="N34" i="54"/>
  <c r="N834" i="54"/>
  <c r="N51" i="54"/>
  <c r="N835" i="54"/>
  <c r="N103" i="54"/>
  <c r="N104" i="54"/>
  <c r="N99" i="54"/>
  <c r="N100" i="54"/>
  <c r="N95" i="54"/>
  <c r="N96" i="54"/>
  <c r="N91" i="54"/>
  <c r="N92" i="54"/>
  <c r="N86" i="54"/>
  <c r="N87" i="54"/>
  <c r="N82" i="54"/>
  <c r="N83" i="54"/>
  <c r="N78" i="54"/>
  <c r="N79" i="54"/>
  <c r="N106" i="54"/>
  <c r="N836" i="54"/>
  <c r="N349" i="54"/>
  <c r="N224" i="54"/>
  <c r="N221" i="54"/>
  <c r="N218" i="54"/>
  <c r="N215" i="54"/>
  <c r="N212" i="54"/>
  <c r="N209" i="54"/>
  <c r="N206" i="54"/>
  <c r="N203" i="54"/>
  <c r="N200" i="54"/>
  <c r="N194" i="54"/>
  <c r="N191" i="54"/>
  <c r="N188" i="54"/>
  <c r="N226" i="54"/>
  <c r="N331" i="54"/>
  <c r="N363" i="54"/>
  <c r="N837" i="54"/>
  <c r="N419" i="54"/>
  <c r="N416" i="54"/>
  <c r="N413" i="54"/>
  <c r="N410" i="54"/>
  <c r="N407" i="54"/>
  <c r="N404" i="54"/>
  <c r="N401" i="54"/>
  <c r="N398" i="54"/>
  <c r="N395" i="54"/>
  <c r="N389" i="54"/>
  <c r="N386" i="54"/>
  <c r="N383" i="54"/>
  <c r="N421" i="54"/>
  <c r="N564" i="54"/>
  <c r="N561" i="54"/>
  <c r="N558" i="54"/>
  <c r="N555" i="54"/>
  <c r="N552" i="54"/>
  <c r="N549" i="54"/>
  <c r="N546" i="54"/>
  <c r="N543" i="54"/>
  <c r="N540" i="54"/>
  <c r="N534" i="54"/>
  <c r="N531" i="54"/>
  <c r="N528" i="54"/>
  <c r="N566" i="54"/>
  <c r="N703" i="54"/>
  <c r="N700" i="54"/>
  <c r="N697" i="54"/>
  <c r="N694" i="54"/>
  <c r="N691" i="54"/>
  <c r="N688" i="54"/>
  <c r="N685" i="54"/>
  <c r="N682" i="54"/>
  <c r="N679" i="54"/>
  <c r="N673" i="54"/>
  <c r="N670" i="54"/>
  <c r="N667" i="54"/>
  <c r="N705" i="54"/>
  <c r="N808" i="54"/>
  <c r="N818" i="54"/>
  <c r="N838" i="54"/>
  <c r="N839" i="54"/>
  <c r="N32" i="2"/>
  <c r="N40" i="2"/>
  <c r="N98" i="72"/>
  <c r="E109" i="60"/>
  <c r="E117" i="60"/>
  <c r="E125" i="60"/>
  <c r="E133" i="60"/>
  <c r="E141" i="60"/>
  <c r="E149" i="60"/>
  <c r="E157" i="60"/>
  <c r="E159" i="60"/>
  <c r="E249" i="60"/>
  <c r="E50" i="70"/>
  <c r="E1116" i="68"/>
  <c r="E1117" i="68"/>
  <c r="E1118" i="68"/>
  <c r="E1119" i="68"/>
  <c r="E1120" i="68"/>
  <c r="E1121" i="68"/>
  <c r="E1122" i="68"/>
  <c r="E1123" i="68"/>
  <c r="E1124" i="68"/>
  <c r="E1125" i="68"/>
  <c r="E1126" i="68"/>
  <c r="E1127" i="68"/>
  <c r="E1128" i="68"/>
  <c r="E43" i="69"/>
  <c r="E42" i="69"/>
  <c r="E45" i="69"/>
  <c r="E57" i="69"/>
  <c r="E63" i="69"/>
  <c r="E82" i="69"/>
  <c r="E95" i="69"/>
  <c r="E114" i="69"/>
  <c r="E42" i="70"/>
  <c r="E41" i="67"/>
  <c r="H61" i="67"/>
  <c r="E86" i="58"/>
  <c r="G61" i="67"/>
  <c r="E87" i="58"/>
  <c r="E61" i="67"/>
  <c r="E88" i="58"/>
  <c r="F61" i="67"/>
  <c r="E89" i="58"/>
  <c r="I61" i="67"/>
  <c r="E90" i="58"/>
  <c r="J61" i="67"/>
  <c r="E91" i="58"/>
  <c r="K61" i="67"/>
  <c r="E92" i="58"/>
  <c r="L61" i="67"/>
  <c r="E93" i="58"/>
  <c r="M61" i="67"/>
  <c r="E94" i="58"/>
  <c r="N61" i="67"/>
  <c r="E95" i="58"/>
  <c r="O61" i="67"/>
  <c r="E96" i="58"/>
  <c r="P61" i="67"/>
  <c r="E97" i="58"/>
  <c r="E98" i="58"/>
  <c r="E1002" i="58"/>
  <c r="E819" i="58"/>
  <c r="E831" i="58"/>
  <c r="E1007" i="58"/>
  <c r="E901" i="58"/>
  <c r="E902" i="58"/>
  <c r="E903" i="58"/>
  <c r="E904" i="58"/>
  <c r="E905" i="58"/>
  <c r="E906" i="58"/>
  <c r="E907" i="58"/>
  <c r="E908" i="58"/>
  <c r="E909" i="58"/>
  <c r="E910" i="58"/>
  <c r="E911" i="58"/>
  <c r="E912" i="58"/>
  <c r="E913" i="58"/>
  <c r="E1008" i="58"/>
  <c r="E242" i="58"/>
  <c r="E243" i="58"/>
  <c r="E244" i="58"/>
  <c r="E245" i="58"/>
  <c r="E246" i="58"/>
  <c r="E247" i="58"/>
  <c r="E248" i="58"/>
  <c r="E249" i="58"/>
  <c r="E250" i="58"/>
  <c r="E251" i="58"/>
  <c r="E252" i="58"/>
  <c r="E253" i="58"/>
  <c r="E254" i="58"/>
  <c r="E1003" i="58"/>
  <c r="E404" i="58"/>
  <c r="E405" i="58"/>
  <c r="E406" i="58"/>
  <c r="E407" i="58"/>
  <c r="E408" i="58"/>
  <c r="E409" i="58"/>
  <c r="E410" i="58"/>
  <c r="E411" i="58"/>
  <c r="E412" i="58"/>
  <c r="E413" i="58"/>
  <c r="E414" i="58"/>
  <c r="E415" i="58"/>
  <c r="E416" i="58"/>
  <c r="E1004" i="58"/>
  <c r="E564" i="58"/>
  <c r="E565" i="58"/>
  <c r="E566" i="58"/>
  <c r="E567" i="58"/>
  <c r="E568" i="58"/>
  <c r="E569" i="58"/>
  <c r="E570" i="58"/>
  <c r="E571" i="58"/>
  <c r="E572" i="58"/>
  <c r="E573" i="58"/>
  <c r="E574" i="58"/>
  <c r="E575" i="58"/>
  <c r="E576" i="58"/>
  <c r="E1005" i="58"/>
  <c r="E725" i="58"/>
  <c r="E726" i="58"/>
  <c r="E727" i="58"/>
  <c r="E728" i="58"/>
  <c r="E729" i="58"/>
  <c r="E730" i="58"/>
  <c r="E731" i="58"/>
  <c r="E732" i="58"/>
  <c r="E733" i="58"/>
  <c r="E734" i="58"/>
  <c r="E735" i="58"/>
  <c r="E736" i="58"/>
  <c r="E737" i="58"/>
  <c r="E1006" i="58"/>
  <c r="E1009" i="58"/>
  <c r="E29" i="70"/>
  <c r="E35" i="47"/>
  <c r="E37" i="47"/>
  <c r="E41" i="47"/>
  <c r="E69" i="47"/>
  <c r="E30" i="70"/>
  <c r="E73" i="20"/>
  <c r="E173" i="20"/>
  <c r="E244" i="20"/>
  <c r="E74" i="20"/>
  <c r="E174" i="20"/>
  <c r="E245" i="20"/>
  <c r="E75" i="20"/>
  <c r="E175" i="20"/>
  <c r="E246" i="20"/>
  <c r="E76" i="20"/>
  <c r="E176" i="20"/>
  <c r="E247" i="20"/>
  <c r="E77" i="20"/>
  <c r="E177" i="20"/>
  <c r="E248" i="20"/>
  <c r="E78" i="20"/>
  <c r="E178" i="20"/>
  <c r="E249" i="20"/>
  <c r="E79" i="20"/>
  <c r="E179" i="20"/>
  <c r="E250" i="20"/>
  <c r="E80" i="20"/>
  <c r="E180" i="20"/>
  <c r="E251" i="20"/>
  <c r="E81" i="20"/>
  <c r="E181" i="20"/>
  <c r="E252" i="20"/>
  <c r="E82" i="20"/>
  <c r="E182" i="20"/>
  <c r="E253" i="20"/>
  <c r="E83" i="20"/>
  <c r="E183" i="20"/>
  <c r="E254" i="20"/>
  <c r="E84" i="20"/>
  <c r="E184" i="20"/>
  <c r="E255" i="20"/>
  <c r="E256" i="20"/>
  <c r="E341" i="20"/>
  <c r="E28" i="70"/>
  <c r="E31" i="70"/>
  <c r="E82" i="66"/>
  <c r="E109" i="29"/>
  <c r="E113" i="29"/>
  <c r="E70" i="66"/>
  <c r="E120" i="29"/>
  <c r="E124" i="29"/>
  <c r="E94" i="66"/>
  <c r="E131" i="29"/>
  <c r="E135" i="29"/>
  <c r="E106" i="66"/>
  <c r="E142" i="29"/>
  <c r="E146" i="29"/>
  <c r="E118" i="66"/>
  <c r="E153" i="29"/>
  <c r="E157" i="29"/>
  <c r="E130" i="66"/>
  <c r="E164" i="29"/>
  <c r="E168" i="29"/>
  <c r="E142" i="66"/>
  <c r="E175" i="29"/>
  <c r="E179" i="29"/>
  <c r="E154" i="66"/>
  <c r="E186" i="29"/>
  <c r="E190" i="29"/>
  <c r="E166" i="66"/>
  <c r="E197" i="29"/>
  <c r="E201" i="29"/>
  <c r="E178" i="66"/>
  <c r="E208" i="29"/>
  <c r="E212" i="29"/>
  <c r="E190" i="66"/>
  <c r="E219" i="29"/>
  <c r="E223" i="29"/>
  <c r="E202" i="66"/>
  <c r="E230" i="29"/>
  <c r="E234" i="29"/>
  <c r="E387" i="29"/>
  <c r="E45" i="70"/>
  <c r="E137" i="54"/>
  <c r="E138" i="54"/>
  <c r="E133" i="54"/>
  <c r="E134" i="54"/>
  <c r="E129" i="54"/>
  <c r="E130" i="54"/>
  <c r="E125" i="54"/>
  <c r="E126" i="54"/>
  <c r="E120" i="54"/>
  <c r="E121" i="54"/>
  <c r="E116" i="54"/>
  <c r="E117" i="54"/>
  <c r="E112" i="54"/>
  <c r="E113" i="54"/>
  <c r="E140" i="54"/>
  <c r="E845" i="54"/>
  <c r="E351" i="54"/>
  <c r="E268" i="54"/>
  <c r="E265" i="54"/>
  <c r="E262" i="54"/>
  <c r="E259" i="54"/>
  <c r="E256" i="54"/>
  <c r="E253" i="54"/>
  <c r="E250" i="54"/>
  <c r="E247" i="54"/>
  <c r="E244" i="54"/>
  <c r="E238" i="54"/>
  <c r="E235" i="54"/>
  <c r="E232" i="54"/>
  <c r="E270" i="54"/>
  <c r="E333" i="54"/>
  <c r="E365" i="54"/>
  <c r="E846" i="54"/>
  <c r="E465" i="54"/>
  <c r="E462" i="54"/>
  <c r="E459" i="54"/>
  <c r="E456" i="54"/>
  <c r="E453" i="54"/>
  <c r="E450" i="54"/>
  <c r="E447" i="54"/>
  <c r="E444" i="54"/>
  <c r="E441" i="54"/>
  <c r="E435" i="54"/>
  <c r="E432" i="54"/>
  <c r="E429" i="54"/>
  <c r="E467" i="54"/>
  <c r="E610" i="54"/>
  <c r="E607" i="54"/>
  <c r="E604" i="54"/>
  <c r="E601" i="54"/>
  <c r="E598" i="54"/>
  <c r="E595" i="54"/>
  <c r="E592" i="54"/>
  <c r="E589" i="54"/>
  <c r="E586" i="54"/>
  <c r="E580" i="54"/>
  <c r="E577" i="54"/>
  <c r="E574" i="54"/>
  <c r="E612" i="54"/>
  <c r="E749" i="54"/>
  <c r="E746" i="54"/>
  <c r="E743" i="54"/>
  <c r="E740" i="54"/>
  <c r="E737" i="54"/>
  <c r="E734" i="54"/>
  <c r="E731" i="54"/>
  <c r="E728" i="54"/>
  <c r="E725" i="54"/>
  <c r="E719" i="54"/>
  <c r="E716" i="54"/>
  <c r="E713" i="54"/>
  <c r="E751" i="54"/>
  <c r="E809" i="54"/>
  <c r="E819" i="54"/>
  <c r="E847" i="54"/>
  <c r="E18" i="54"/>
  <c r="E35" i="54"/>
  <c r="E843" i="54"/>
  <c r="E52" i="54"/>
  <c r="E844" i="54"/>
  <c r="E848" i="54"/>
  <c r="E39" i="70"/>
  <c r="E53" i="70"/>
  <c r="E100" i="72"/>
  <c r="F109" i="60"/>
  <c r="F117" i="60"/>
  <c r="F125" i="60"/>
  <c r="F133" i="60"/>
  <c r="F141" i="60"/>
  <c r="F149" i="60"/>
  <c r="F157" i="60"/>
  <c r="F159" i="60"/>
  <c r="F249" i="60"/>
  <c r="F50" i="70"/>
  <c r="F1116" i="68"/>
  <c r="F1117" i="68"/>
  <c r="F1118" i="68"/>
  <c r="F1119" i="68"/>
  <c r="F1120" i="68"/>
  <c r="F1121" i="68"/>
  <c r="F1122" i="68"/>
  <c r="F1123" i="68"/>
  <c r="F1124" i="68"/>
  <c r="F1125" i="68"/>
  <c r="F1126" i="68"/>
  <c r="F1127" i="68"/>
  <c r="F1128" i="68"/>
  <c r="F43" i="69"/>
  <c r="F42" i="69"/>
  <c r="F44" i="69"/>
  <c r="F45" i="69"/>
  <c r="F57" i="69"/>
  <c r="F63" i="69"/>
  <c r="F82" i="69"/>
  <c r="F95" i="69"/>
  <c r="F114" i="69"/>
  <c r="F42" i="70"/>
  <c r="F86" i="58"/>
  <c r="F87" i="58"/>
  <c r="F88" i="58"/>
  <c r="F89" i="58"/>
  <c r="F90" i="58"/>
  <c r="F91" i="58"/>
  <c r="F92" i="58"/>
  <c r="F93" i="58"/>
  <c r="F94" i="58"/>
  <c r="F95" i="58"/>
  <c r="F96" i="58"/>
  <c r="F97" i="58"/>
  <c r="F98" i="58"/>
  <c r="F1002" i="58"/>
  <c r="F819" i="58"/>
  <c r="F831" i="58"/>
  <c r="F1007" i="58"/>
  <c r="F901" i="58"/>
  <c r="F902" i="58"/>
  <c r="F903" i="58"/>
  <c r="F904" i="58"/>
  <c r="F905" i="58"/>
  <c r="F906" i="58"/>
  <c r="F907" i="58"/>
  <c r="F908" i="58"/>
  <c r="F909" i="58"/>
  <c r="F910" i="58"/>
  <c r="F911" i="58"/>
  <c r="F912" i="58"/>
  <c r="F913" i="58"/>
  <c r="F1008" i="58"/>
  <c r="F242" i="58"/>
  <c r="F243" i="58"/>
  <c r="F244" i="58"/>
  <c r="F245" i="58"/>
  <c r="F246" i="58"/>
  <c r="F247" i="58"/>
  <c r="F248" i="58"/>
  <c r="F249" i="58"/>
  <c r="F250" i="58"/>
  <c r="F251" i="58"/>
  <c r="F252" i="58"/>
  <c r="F253" i="58"/>
  <c r="F254" i="58"/>
  <c r="F1003" i="58"/>
  <c r="F404" i="58"/>
  <c r="F405" i="58"/>
  <c r="F406" i="58"/>
  <c r="F407" i="58"/>
  <c r="F408" i="58"/>
  <c r="F409" i="58"/>
  <c r="F410" i="58"/>
  <c r="F411" i="58"/>
  <c r="F412" i="58"/>
  <c r="F413" i="58"/>
  <c r="F414" i="58"/>
  <c r="F415" i="58"/>
  <c r="F416" i="58"/>
  <c r="F1004" i="58"/>
  <c r="F564" i="58"/>
  <c r="F565" i="58"/>
  <c r="F566" i="58"/>
  <c r="F567" i="58"/>
  <c r="F568" i="58"/>
  <c r="F569" i="58"/>
  <c r="F570" i="58"/>
  <c r="F571" i="58"/>
  <c r="F572" i="58"/>
  <c r="F573" i="58"/>
  <c r="F574" i="58"/>
  <c r="F575" i="58"/>
  <c r="F576" i="58"/>
  <c r="F1005" i="58"/>
  <c r="F725" i="58"/>
  <c r="F726" i="58"/>
  <c r="F727" i="58"/>
  <c r="F728" i="58"/>
  <c r="F729" i="58"/>
  <c r="F730" i="58"/>
  <c r="F731" i="58"/>
  <c r="F732" i="58"/>
  <c r="F733" i="58"/>
  <c r="F734" i="58"/>
  <c r="F735" i="58"/>
  <c r="F736" i="58"/>
  <c r="F737" i="58"/>
  <c r="F1006" i="58"/>
  <c r="F1009" i="58"/>
  <c r="F29" i="70"/>
  <c r="F35" i="47"/>
  <c r="F37" i="47"/>
  <c r="F41" i="47"/>
  <c r="F69" i="47"/>
  <c r="F30" i="70"/>
  <c r="F73" i="20"/>
  <c r="F173" i="20"/>
  <c r="F244" i="20"/>
  <c r="F74" i="20"/>
  <c r="F174" i="20"/>
  <c r="F245" i="20"/>
  <c r="F75" i="20"/>
  <c r="F175" i="20"/>
  <c r="F246" i="20"/>
  <c r="F76" i="20"/>
  <c r="F176" i="20"/>
  <c r="F247" i="20"/>
  <c r="F77" i="20"/>
  <c r="F177" i="20"/>
  <c r="F248" i="20"/>
  <c r="F78" i="20"/>
  <c r="F178" i="20"/>
  <c r="F249" i="20"/>
  <c r="F79" i="20"/>
  <c r="F179" i="20"/>
  <c r="F250" i="20"/>
  <c r="F80" i="20"/>
  <c r="F180" i="20"/>
  <c r="F251" i="20"/>
  <c r="F81" i="20"/>
  <c r="F181" i="20"/>
  <c r="F252" i="20"/>
  <c r="F82" i="20"/>
  <c r="F182" i="20"/>
  <c r="F253" i="20"/>
  <c r="F83" i="20"/>
  <c r="F183" i="20"/>
  <c r="F254" i="20"/>
  <c r="F84" i="20"/>
  <c r="F184" i="20"/>
  <c r="F255" i="20"/>
  <c r="F256" i="20"/>
  <c r="F341" i="20"/>
  <c r="F28" i="70"/>
  <c r="F31" i="70"/>
  <c r="F82" i="66"/>
  <c r="F109" i="29"/>
  <c r="F113" i="29"/>
  <c r="F70" i="66"/>
  <c r="F120" i="29"/>
  <c r="F124" i="29"/>
  <c r="F94" i="66"/>
  <c r="F131" i="29"/>
  <c r="F135" i="29"/>
  <c r="F106" i="66"/>
  <c r="F142" i="29"/>
  <c r="F146" i="29"/>
  <c r="F118" i="66"/>
  <c r="F153" i="29"/>
  <c r="F157" i="29"/>
  <c r="F130" i="66"/>
  <c r="F164" i="29"/>
  <c r="F168" i="29"/>
  <c r="F142" i="66"/>
  <c r="F175" i="29"/>
  <c r="F179" i="29"/>
  <c r="F154" i="66"/>
  <c r="F186" i="29"/>
  <c r="F190" i="29"/>
  <c r="F166" i="66"/>
  <c r="F197" i="29"/>
  <c r="F201" i="29"/>
  <c r="F178" i="66"/>
  <c r="F208" i="29"/>
  <c r="F212" i="29"/>
  <c r="F190" i="66"/>
  <c r="F219" i="29"/>
  <c r="F223" i="29"/>
  <c r="F202" i="66"/>
  <c r="F230" i="29"/>
  <c r="F234" i="29"/>
  <c r="F387" i="29"/>
  <c r="F45" i="70"/>
  <c r="F18" i="54"/>
  <c r="F35" i="54"/>
  <c r="F843" i="54"/>
  <c r="F52" i="54"/>
  <c r="F844" i="54"/>
  <c r="F137" i="54"/>
  <c r="F138" i="54"/>
  <c r="F133" i="54"/>
  <c r="F134" i="54"/>
  <c r="F129" i="54"/>
  <c r="F130" i="54"/>
  <c r="F125" i="54"/>
  <c r="F126" i="54"/>
  <c r="F120" i="54"/>
  <c r="F121" i="54"/>
  <c r="F116" i="54"/>
  <c r="F117" i="54"/>
  <c r="F112" i="54"/>
  <c r="F113" i="54"/>
  <c r="F140" i="54"/>
  <c r="F845" i="54"/>
  <c r="F351" i="54"/>
  <c r="F268" i="54"/>
  <c r="F265" i="54"/>
  <c r="F262" i="54"/>
  <c r="F259" i="54"/>
  <c r="F256" i="54"/>
  <c r="F253" i="54"/>
  <c r="F250" i="54"/>
  <c r="F247" i="54"/>
  <c r="F244" i="54"/>
  <c r="F238" i="54"/>
  <c r="F235" i="54"/>
  <c r="F232" i="54"/>
  <c r="F270" i="54"/>
  <c r="F333" i="54"/>
  <c r="F365" i="54"/>
  <c r="F846" i="54"/>
  <c r="F465" i="54"/>
  <c r="F462" i="54"/>
  <c r="F459" i="54"/>
  <c r="F456" i="54"/>
  <c r="F453" i="54"/>
  <c r="F450" i="54"/>
  <c r="F447" i="54"/>
  <c r="F444" i="54"/>
  <c r="F441" i="54"/>
  <c r="F435" i="54"/>
  <c r="F432" i="54"/>
  <c r="F429" i="54"/>
  <c r="F467" i="54"/>
  <c r="F610" i="54"/>
  <c r="F607" i="54"/>
  <c r="F604" i="54"/>
  <c r="F601" i="54"/>
  <c r="F598" i="54"/>
  <c r="F595" i="54"/>
  <c r="F592" i="54"/>
  <c r="F589" i="54"/>
  <c r="F586" i="54"/>
  <c r="F580" i="54"/>
  <c r="F577" i="54"/>
  <c r="F574" i="54"/>
  <c r="F612" i="54"/>
  <c r="F749" i="54"/>
  <c r="F746" i="54"/>
  <c r="F743" i="54"/>
  <c r="F740" i="54"/>
  <c r="F737" i="54"/>
  <c r="F734" i="54"/>
  <c r="F731" i="54"/>
  <c r="F728" i="54"/>
  <c r="F725" i="54"/>
  <c r="F719" i="54"/>
  <c r="F716" i="54"/>
  <c r="F713" i="54"/>
  <c r="F751" i="54"/>
  <c r="F809" i="54"/>
  <c r="F819" i="54"/>
  <c r="F847" i="54"/>
  <c r="F848" i="54"/>
  <c r="F39" i="70"/>
  <c r="F53" i="70"/>
  <c r="F100" i="72"/>
  <c r="G109" i="60"/>
  <c r="G117" i="60"/>
  <c r="G125" i="60"/>
  <c r="G133" i="60"/>
  <c r="G141" i="60"/>
  <c r="G149" i="60"/>
  <c r="G157" i="60"/>
  <c r="G159" i="60"/>
  <c r="G249" i="60"/>
  <c r="G50" i="70"/>
  <c r="G1116" i="68"/>
  <c r="G1117" i="68"/>
  <c r="G1118" i="68"/>
  <c r="G1119" i="68"/>
  <c r="G1120" i="68"/>
  <c r="G1121" i="68"/>
  <c r="G1122" i="68"/>
  <c r="G1123" i="68"/>
  <c r="G1124" i="68"/>
  <c r="G1125" i="68"/>
  <c r="G1126" i="68"/>
  <c r="G1127" i="68"/>
  <c r="G1128" i="68"/>
  <c r="G43" i="69"/>
  <c r="G42" i="69"/>
  <c r="G44" i="69"/>
  <c r="G45" i="69"/>
  <c r="G57" i="69"/>
  <c r="G63" i="69"/>
  <c r="G82" i="69"/>
  <c r="G95" i="69"/>
  <c r="G114" i="69"/>
  <c r="G42" i="70"/>
  <c r="G86" i="58"/>
  <c r="G87" i="58"/>
  <c r="G88" i="58"/>
  <c r="G89" i="58"/>
  <c r="G90" i="58"/>
  <c r="G91" i="58"/>
  <c r="G92" i="58"/>
  <c r="G93" i="58"/>
  <c r="G94" i="58"/>
  <c r="G95" i="58"/>
  <c r="G96" i="58"/>
  <c r="G97" i="58"/>
  <c r="G98" i="58"/>
  <c r="G1002" i="58"/>
  <c r="G819" i="58"/>
  <c r="G831" i="58"/>
  <c r="G1007" i="58"/>
  <c r="G901" i="58"/>
  <c r="G902" i="58"/>
  <c r="G903" i="58"/>
  <c r="G904" i="58"/>
  <c r="G905" i="58"/>
  <c r="G906" i="58"/>
  <c r="G907" i="58"/>
  <c r="G908" i="58"/>
  <c r="G909" i="58"/>
  <c r="G910" i="58"/>
  <c r="G911" i="58"/>
  <c r="G912" i="58"/>
  <c r="G913" i="58"/>
  <c r="G1008" i="58"/>
  <c r="G242" i="58"/>
  <c r="G243" i="58"/>
  <c r="G244" i="58"/>
  <c r="G245" i="58"/>
  <c r="G246" i="58"/>
  <c r="G247" i="58"/>
  <c r="G248" i="58"/>
  <c r="G249" i="58"/>
  <c r="G250" i="58"/>
  <c r="G251" i="58"/>
  <c r="G252" i="58"/>
  <c r="G253" i="58"/>
  <c r="G254" i="58"/>
  <c r="G1003" i="58"/>
  <c r="G404" i="58"/>
  <c r="G405" i="58"/>
  <c r="G406" i="58"/>
  <c r="G407" i="58"/>
  <c r="G408" i="58"/>
  <c r="G409" i="58"/>
  <c r="G410" i="58"/>
  <c r="G411" i="58"/>
  <c r="G412" i="58"/>
  <c r="G413" i="58"/>
  <c r="G414" i="58"/>
  <c r="G415" i="58"/>
  <c r="G416" i="58"/>
  <c r="G1004" i="58"/>
  <c r="G564" i="58"/>
  <c r="G565" i="58"/>
  <c r="G566" i="58"/>
  <c r="G567" i="58"/>
  <c r="G568" i="58"/>
  <c r="G569" i="58"/>
  <c r="G570" i="58"/>
  <c r="G571" i="58"/>
  <c r="G572" i="58"/>
  <c r="G573" i="58"/>
  <c r="G574" i="58"/>
  <c r="G575" i="58"/>
  <c r="G576" i="58"/>
  <c r="G1005" i="58"/>
  <c r="G725" i="58"/>
  <c r="G726" i="58"/>
  <c r="G727" i="58"/>
  <c r="G728" i="58"/>
  <c r="G729" i="58"/>
  <c r="G730" i="58"/>
  <c r="G731" i="58"/>
  <c r="G732" i="58"/>
  <c r="G733" i="58"/>
  <c r="G734" i="58"/>
  <c r="G735" i="58"/>
  <c r="G736" i="58"/>
  <c r="G737" i="58"/>
  <c r="G1006" i="58"/>
  <c r="G1009" i="58"/>
  <c r="G29" i="70"/>
  <c r="G35" i="47"/>
  <c r="G37" i="47"/>
  <c r="G41" i="47"/>
  <c r="G69" i="47"/>
  <c r="G30" i="70"/>
  <c r="G73" i="20"/>
  <c r="G173" i="20"/>
  <c r="G244" i="20"/>
  <c r="G74" i="20"/>
  <c r="G174" i="20"/>
  <c r="G245" i="20"/>
  <c r="G75" i="20"/>
  <c r="G175" i="20"/>
  <c r="G246" i="20"/>
  <c r="G76" i="20"/>
  <c r="G176" i="20"/>
  <c r="G247" i="20"/>
  <c r="G77" i="20"/>
  <c r="G177" i="20"/>
  <c r="G248" i="20"/>
  <c r="G78" i="20"/>
  <c r="G178" i="20"/>
  <c r="G249" i="20"/>
  <c r="G79" i="20"/>
  <c r="G179" i="20"/>
  <c r="G250" i="20"/>
  <c r="G80" i="20"/>
  <c r="G180" i="20"/>
  <c r="G251" i="20"/>
  <c r="G81" i="20"/>
  <c r="G181" i="20"/>
  <c r="G252" i="20"/>
  <c r="G82" i="20"/>
  <c r="G182" i="20"/>
  <c r="G253" i="20"/>
  <c r="G83" i="20"/>
  <c r="G183" i="20"/>
  <c r="G254" i="20"/>
  <c r="G84" i="20"/>
  <c r="G184" i="20"/>
  <c r="G255" i="20"/>
  <c r="G256" i="20"/>
  <c r="G341" i="20"/>
  <c r="G28" i="70"/>
  <c r="G31" i="70"/>
  <c r="G82" i="66"/>
  <c r="G109" i="29"/>
  <c r="G113" i="29"/>
  <c r="G70" i="66"/>
  <c r="G120" i="29"/>
  <c r="G124" i="29"/>
  <c r="G94" i="66"/>
  <c r="G131" i="29"/>
  <c r="G135" i="29"/>
  <c r="G106" i="66"/>
  <c r="G142" i="29"/>
  <c r="G146" i="29"/>
  <c r="G118" i="66"/>
  <c r="G153" i="29"/>
  <c r="G157" i="29"/>
  <c r="G130" i="66"/>
  <c r="G164" i="29"/>
  <c r="G168" i="29"/>
  <c r="G142" i="66"/>
  <c r="G175" i="29"/>
  <c r="G179" i="29"/>
  <c r="G154" i="66"/>
  <c r="G186" i="29"/>
  <c r="G190" i="29"/>
  <c r="G166" i="66"/>
  <c r="G197" i="29"/>
  <c r="G201" i="29"/>
  <c r="G178" i="66"/>
  <c r="G208" i="29"/>
  <c r="G212" i="29"/>
  <c r="G190" i="66"/>
  <c r="G219" i="29"/>
  <c r="G223" i="29"/>
  <c r="G202" i="66"/>
  <c r="G230" i="29"/>
  <c r="G234" i="29"/>
  <c r="G387" i="29"/>
  <c r="G45" i="70"/>
  <c r="G18" i="54"/>
  <c r="G35" i="54"/>
  <c r="G843" i="54"/>
  <c r="G52" i="54"/>
  <c r="G844" i="54"/>
  <c r="G137" i="54"/>
  <c r="G138" i="54"/>
  <c r="G133" i="54"/>
  <c r="G134" i="54"/>
  <c r="G129" i="54"/>
  <c r="G130" i="54"/>
  <c r="G125" i="54"/>
  <c r="G126" i="54"/>
  <c r="G120" i="54"/>
  <c r="G121" i="54"/>
  <c r="G116" i="54"/>
  <c r="G117" i="54"/>
  <c r="G112" i="54"/>
  <c r="G113" i="54"/>
  <c r="G140" i="54"/>
  <c r="G845" i="54"/>
  <c r="G351" i="54"/>
  <c r="G268" i="54"/>
  <c r="G265" i="54"/>
  <c r="G262" i="54"/>
  <c r="G259" i="54"/>
  <c r="G256" i="54"/>
  <c r="G253" i="54"/>
  <c r="G250" i="54"/>
  <c r="G247" i="54"/>
  <c r="G244" i="54"/>
  <c r="G238" i="54"/>
  <c r="G235" i="54"/>
  <c r="G232" i="54"/>
  <c r="G270" i="54"/>
  <c r="G333" i="54"/>
  <c r="G365" i="54"/>
  <c r="G846" i="54"/>
  <c r="G465" i="54"/>
  <c r="G462" i="54"/>
  <c r="G459" i="54"/>
  <c r="G456" i="54"/>
  <c r="G453" i="54"/>
  <c r="G450" i="54"/>
  <c r="G447" i="54"/>
  <c r="G444" i="54"/>
  <c r="G441" i="54"/>
  <c r="G435" i="54"/>
  <c r="G432" i="54"/>
  <c r="G429" i="54"/>
  <c r="G467" i="54"/>
  <c r="G610" i="54"/>
  <c r="G607" i="54"/>
  <c r="G604" i="54"/>
  <c r="G601" i="54"/>
  <c r="G598" i="54"/>
  <c r="G595" i="54"/>
  <c r="G592" i="54"/>
  <c r="G589" i="54"/>
  <c r="G586" i="54"/>
  <c r="G580" i="54"/>
  <c r="G577" i="54"/>
  <c r="G574" i="54"/>
  <c r="G612" i="54"/>
  <c r="G749" i="54"/>
  <c r="G746" i="54"/>
  <c r="G743" i="54"/>
  <c r="G740" i="54"/>
  <c r="G737" i="54"/>
  <c r="G734" i="54"/>
  <c r="G731" i="54"/>
  <c r="G728" i="54"/>
  <c r="G725" i="54"/>
  <c r="G719" i="54"/>
  <c r="G716" i="54"/>
  <c r="G713" i="54"/>
  <c r="G751" i="54"/>
  <c r="G809" i="54"/>
  <c r="G819" i="54"/>
  <c r="G847" i="54"/>
  <c r="G848" i="54"/>
  <c r="G39" i="70"/>
  <c r="G53" i="70"/>
  <c r="G100" i="72"/>
  <c r="H109" i="60"/>
  <c r="H117" i="60"/>
  <c r="H125" i="60"/>
  <c r="H133" i="60"/>
  <c r="H141" i="60"/>
  <c r="H149" i="60"/>
  <c r="H157" i="60"/>
  <c r="H159" i="60"/>
  <c r="H249" i="60"/>
  <c r="H50" i="70"/>
  <c r="H1116" i="68"/>
  <c r="H1117" i="68"/>
  <c r="H1118" i="68"/>
  <c r="H1119" i="68"/>
  <c r="H1120" i="68"/>
  <c r="H1121" i="68"/>
  <c r="H1122" i="68"/>
  <c r="H1123" i="68"/>
  <c r="H1124" i="68"/>
  <c r="H1125" i="68"/>
  <c r="H1126" i="68"/>
  <c r="H1127" i="68"/>
  <c r="H1128" i="68"/>
  <c r="H43" i="69"/>
  <c r="H42" i="69"/>
  <c r="H44" i="69"/>
  <c r="H45" i="69"/>
  <c r="H57" i="69"/>
  <c r="H63" i="69"/>
  <c r="H82" i="69"/>
  <c r="H95" i="69"/>
  <c r="H114" i="69"/>
  <c r="H42" i="70"/>
  <c r="H86" i="58"/>
  <c r="H87" i="58"/>
  <c r="H88" i="58"/>
  <c r="H89" i="58"/>
  <c r="H90" i="58"/>
  <c r="H91" i="58"/>
  <c r="H92" i="58"/>
  <c r="H93" i="58"/>
  <c r="H94" i="58"/>
  <c r="H95" i="58"/>
  <c r="H96" i="58"/>
  <c r="H97" i="58"/>
  <c r="H98" i="58"/>
  <c r="H1002" i="58"/>
  <c r="H819" i="58"/>
  <c r="H831" i="58"/>
  <c r="H1007" i="58"/>
  <c r="H901" i="58"/>
  <c r="H902" i="58"/>
  <c r="H903" i="58"/>
  <c r="H904" i="58"/>
  <c r="H905" i="58"/>
  <c r="H906" i="58"/>
  <c r="H907" i="58"/>
  <c r="H908" i="58"/>
  <c r="H909" i="58"/>
  <c r="H910" i="58"/>
  <c r="H911" i="58"/>
  <c r="H912" i="58"/>
  <c r="H913" i="58"/>
  <c r="H1008" i="58"/>
  <c r="H242" i="58"/>
  <c r="H243" i="58"/>
  <c r="H244" i="58"/>
  <c r="H245" i="58"/>
  <c r="H246" i="58"/>
  <c r="H247" i="58"/>
  <c r="H248" i="58"/>
  <c r="H249" i="58"/>
  <c r="H250" i="58"/>
  <c r="H251" i="58"/>
  <c r="H252" i="58"/>
  <c r="H253" i="58"/>
  <c r="H254" i="58"/>
  <c r="H1003" i="58"/>
  <c r="H404" i="58"/>
  <c r="H405" i="58"/>
  <c r="H406" i="58"/>
  <c r="H407" i="58"/>
  <c r="H408" i="58"/>
  <c r="H409" i="58"/>
  <c r="H410" i="58"/>
  <c r="H411" i="58"/>
  <c r="H412" i="58"/>
  <c r="H413" i="58"/>
  <c r="H414" i="58"/>
  <c r="H415" i="58"/>
  <c r="H416" i="58"/>
  <c r="H1004" i="58"/>
  <c r="H564" i="58"/>
  <c r="H565" i="58"/>
  <c r="H566" i="58"/>
  <c r="H567" i="58"/>
  <c r="H568" i="58"/>
  <c r="H569" i="58"/>
  <c r="H570" i="58"/>
  <c r="H571" i="58"/>
  <c r="H572" i="58"/>
  <c r="H573" i="58"/>
  <c r="H574" i="58"/>
  <c r="H575" i="58"/>
  <c r="H576" i="58"/>
  <c r="H1005" i="58"/>
  <c r="H725" i="58"/>
  <c r="H726" i="58"/>
  <c r="H727" i="58"/>
  <c r="H728" i="58"/>
  <c r="H729" i="58"/>
  <c r="H730" i="58"/>
  <c r="H731" i="58"/>
  <c r="H732" i="58"/>
  <c r="H733" i="58"/>
  <c r="H734" i="58"/>
  <c r="H735" i="58"/>
  <c r="H736" i="58"/>
  <c r="H737" i="58"/>
  <c r="H1006" i="58"/>
  <c r="H1009" i="58"/>
  <c r="H29" i="70"/>
  <c r="H35" i="47"/>
  <c r="H37" i="47"/>
  <c r="H41" i="47"/>
  <c r="H69" i="47"/>
  <c r="H30" i="70"/>
  <c r="H73" i="20"/>
  <c r="H173" i="20"/>
  <c r="H244" i="20"/>
  <c r="H74" i="20"/>
  <c r="H174" i="20"/>
  <c r="H245" i="20"/>
  <c r="H75" i="20"/>
  <c r="H175" i="20"/>
  <c r="H246" i="20"/>
  <c r="H76" i="20"/>
  <c r="H176" i="20"/>
  <c r="H247" i="20"/>
  <c r="H77" i="20"/>
  <c r="H177" i="20"/>
  <c r="H248" i="20"/>
  <c r="H78" i="20"/>
  <c r="H178" i="20"/>
  <c r="H249" i="20"/>
  <c r="H79" i="20"/>
  <c r="H179" i="20"/>
  <c r="H250" i="20"/>
  <c r="H80" i="20"/>
  <c r="H180" i="20"/>
  <c r="H251" i="20"/>
  <c r="H81" i="20"/>
  <c r="H181" i="20"/>
  <c r="H252" i="20"/>
  <c r="H82" i="20"/>
  <c r="H182" i="20"/>
  <c r="H253" i="20"/>
  <c r="H83" i="20"/>
  <c r="H183" i="20"/>
  <c r="H254" i="20"/>
  <c r="H84" i="20"/>
  <c r="H184" i="20"/>
  <c r="H255" i="20"/>
  <c r="H256" i="20"/>
  <c r="H341" i="20"/>
  <c r="H28" i="70"/>
  <c r="H31" i="70"/>
  <c r="H82" i="66"/>
  <c r="H109" i="29"/>
  <c r="H113" i="29"/>
  <c r="H70" i="66"/>
  <c r="H120" i="29"/>
  <c r="H124" i="29"/>
  <c r="H94" i="66"/>
  <c r="H131" i="29"/>
  <c r="H135" i="29"/>
  <c r="H106" i="66"/>
  <c r="H142" i="29"/>
  <c r="H146" i="29"/>
  <c r="H118" i="66"/>
  <c r="H153" i="29"/>
  <c r="H157" i="29"/>
  <c r="H130" i="66"/>
  <c r="H164" i="29"/>
  <c r="H168" i="29"/>
  <c r="H142" i="66"/>
  <c r="H175" i="29"/>
  <c r="H179" i="29"/>
  <c r="H154" i="66"/>
  <c r="H186" i="29"/>
  <c r="H190" i="29"/>
  <c r="H166" i="66"/>
  <c r="H197" i="29"/>
  <c r="H201" i="29"/>
  <c r="H178" i="66"/>
  <c r="H208" i="29"/>
  <c r="H212" i="29"/>
  <c r="H190" i="66"/>
  <c r="H219" i="29"/>
  <c r="H223" i="29"/>
  <c r="H202" i="66"/>
  <c r="H230" i="29"/>
  <c r="H234" i="29"/>
  <c r="H387" i="29"/>
  <c r="H45" i="70"/>
  <c r="H18" i="54"/>
  <c r="H35" i="54"/>
  <c r="H843" i="54"/>
  <c r="H52" i="54"/>
  <c r="H844" i="54"/>
  <c r="H137" i="54"/>
  <c r="H138" i="54"/>
  <c r="H133" i="54"/>
  <c r="H134" i="54"/>
  <c r="H129" i="54"/>
  <c r="H130" i="54"/>
  <c r="H125" i="54"/>
  <c r="H126" i="54"/>
  <c r="H120" i="54"/>
  <c r="H121" i="54"/>
  <c r="H116" i="54"/>
  <c r="H117" i="54"/>
  <c r="H112" i="54"/>
  <c r="H113" i="54"/>
  <c r="H140" i="54"/>
  <c r="H845" i="54"/>
  <c r="H351" i="54"/>
  <c r="H268" i="54"/>
  <c r="H265" i="54"/>
  <c r="H262" i="54"/>
  <c r="H259" i="54"/>
  <c r="H256" i="54"/>
  <c r="H253" i="54"/>
  <c r="H250" i="54"/>
  <c r="H247" i="54"/>
  <c r="H244" i="54"/>
  <c r="H238" i="54"/>
  <c r="H235" i="54"/>
  <c r="H232" i="54"/>
  <c r="H270" i="54"/>
  <c r="H333" i="54"/>
  <c r="H365" i="54"/>
  <c r="H846" i="54"/>
  <c r="H465" i="54"/>
  <c r="H462" i="54"/>
  <c r="H459" i="54"/>
  <c r="H456" i="54"/>
  <c r="H453" i="54"/>
  <c r="H450" i="54"/>
  <c r="H447" i="54"/>
  <c r="H444" i="54"/>
  <c r="H441" i="54"/>
  <c r="H435" i="54"/>
  <c r="H432" i="54"/>
  <c r="H429" i="54"/>
  <c r="H467" i="54"/>
  <c r="H610" i="54"/>
  <c r="H607" i="54"/>
  <c r="H604" i="54"/>
  <c r="H601" i="54"/>
  <c r="H598" i="54"/>
  <c r="H595" i="54"/>
  <c r="H592" i="54"/>
  <c r="H589" i="54"/>
  <c r="H586" i="54"/>
  <c r="H580" i="54"/>
  <c r="H577" i="54"/>
  <c r="H574" i="54"/>
  <c r="H612" i="54"/>
  <c r="H749" i="54"/>
  <c r="H746" i="54"/>
  <c r="H743" i="54"/>
  <c r="H740" i="54"/>
  <c r="H737" i="54"/>
  <c r="H734" i="54"/>
  <c r="H731" i="54"/>
  <c r="H728" i="54"/>
  <c r="H725" i="54"/>
  <c r="H719" i="54"/>
  <c r="H716" i="54"/>
  <c r="H713" i="54"/>
  <c r="H751" i="54"/>
  <c r="H809" i="54"/>
  <c r="H819" i="54"/>
  <c r="H847" i="54"/>
  <c r="H848" i="54"/>
  <c r="H39" i="70"/>
  <c r="H53" i="70"/>
  <c r="H100" i="72"/>
  <c r="I109" i="60"/>
  <c r="I117" i="60"/>
  <c r="I125" i="60"/>
  <c r="I133" i="60"/>
  <c r="I141" i="60"/>
  <c r="I149" i="60"/>
  <c r="I157" i="60"/>
  <c r="I159" i="60"/>
  <c r="I249" i="60"/>
  <c r="I50" i="70"/>
  <c r="I1116" i="68"/>
  <c r="I1117" i="68"/>
  <c r="I1118" i="68"/>
  <c r="I1119" i="68"/>
  <c r="I1120" i="68"/>
  <c r="I1121" i="68"/>
  <c r="I1122" i="68"/>
  <c r="I1123" i="68"/>
  <c r="I1124" i="68"/>
  <c r="I1125" i="68"/>
  <c r="I1126" i="68"/>
  <c r="I1127" i="68"/>
  <c r="I1128" i="68"/>
  <c r="I43" i="69"/>
  <c r="I42" i="69"/>
  <c r="I44" i="69"/>
  <c r="I45" i="69"/>
  <c r="I57" i="69"/>
  <c r="I63" i="69"/>
  <c r="I82" i="69"/>
  <c r="I95" i="69"/>
  <c r="I114" i="69"/>
  <c r="I42" i="70"/>
  <c r="I86" i="58"/>
  <c r="I87" i="58"/>
  <c r="I88" i="58"/>
  <c r="I89" i="58"/>
  <c r="I90" i="58"/>
  <c r="I91" i="58"/>
  <c r="I92" i="58"/>
  <c r="I93" i="58"/>
  <c r="I94" i="58"/>
  <c r="I95" i="58"/>
  <c r="I96" i="58"/>
  <c r="I97" i="58"/>
  <c r="I98" i="58"/>
  <c r="I1002" i="58"/>
  <c r="I819" i="58"/>
  <c r="I831" i="58"/>
  <c r="I1007" i="58"/>
  <c r="I901" i="58"/>
  <c r="I902" i="58"/>
  <c r="I903" i="58"/>
  <c r="I904" i="58"/>
  <c r="I905" i="58"/>
  <c r="I906" i="58"/>
  <c r="I907" i="58"/>
  <c r="I908" i="58"/>
  <c r="I909" i="58"/>
  <c r="I910" i="58"/>
  <c r="I911" i="58"/>
  <c r="I912" i="58"/>
  <c r="I913" i="58"/>
  <c r="I1008" i="58"/>
  <c r="I242" i="58"/>
  <c r="I243" i="58"/>
  <c r="I244" i="58"/>
  <c r="I245" i="58"/>
  <c r="I246" i="58"/>
  <c r="I247" i="58"/>
  <c r="I248" i="58"/>
  <c r="I249" i="58"/>
  <c r="I250" i="58"/>
  <c r="I251" i="58"/>
  <c r="I252" i="58"/>
  <c r="I253" i="58"/>
  <c r="I254" i="58"/>
  <c r="I1003" i="58"/>
  <c r="I404" i="58"/>
  <c r="I405" i="58"/>
  <c r="I406" i="58"/>
  <c r="I407" i="58"/>
  <c r="I408" i="58"/>
  <c r="I409" i="58"/>
  <c r="I410" i="58"/>
  <c r="I411" i="58"/>
  <c r="I412" i="58"/>
  <c r="I413" i="58"/>
  <c r="I414" i="58"/>
  <c r="I415" i="58"/>
  <c r="I416" i="58"/>
  <c r="I1004" i="58"/>
  <c r="I564" i="58"/>
  <c r="I565" i="58"/>
  <c r="I566" i="58"/>
  <c r="I567" i="58"/>
  <c r="I568" i="58"/>
  <c r="I569" i="58"/>
  <c r="I570" i="58"/>
  <c r="I571" i="58"/>
  <c r="I572" i="58"/>
  <c r="I573" i="58"/>
  <c r="I574" i="58"/>
  <c r="I575" i="58"/>
  <c r="I576" i="58"/>
  <c r="I1005" i="58"/>
  <c r="I725" i="58"/>
  <c r="I726" i="58"/>
  <c r="I727" i="58"/>
  <c r="I728" i="58"/>
  <c r="I729" i="58"/>
  <c r="I730" i="58"/>
  <c r="I731" i="58"/>
  <c r="I732" i="58"/>
  <c r="I733" i="58"/>
  <c r="I734" i="58"/>
  <c r="I735" i="58"/>
  <c r="I736" i="58"/>
  <c r="I737" i="58"/>
  <c r="I1006" i="58"/>
  <c r="I1009" i="58"/>
  <c r="I29" i="70"/>
  <c r="I35" i="47"/>
  <c r="I37" i="47"/>
  <c r="I41" i="47"/>
  <c r="I69" i="47"/>
  <c r="I30" i="70"/>
  <c r="I73" i="20"/>
  <c r="I173" i="20"/>
  <c r="I244" i="20"/>
  <c r="I74" i="20"/>
  <c r="I174" i="20"/>
  <c r="I245" i="20"/>
  <c r="I75" i="20"/>
  <c r="I175" i="20"/>
  <c r="I246" i="20"/>
  <c r="I76" i="20"/>
  <c r="I176" i="20"/>
  <c r="I247" i="20"/>
  <c r="I77" i="20"/>
  <c r="I177" i="20"/>
  <c r="I248" i="20"/>
  <c r="I78" i="20"/>
  <c r="I178" i="20"/>
  <c r="I249" i="20"/>
  <c r="I79" i="20"/>
  <c r="I179" i="20"/>
  <c r="I250" i="20"/>
  <c r="I80" i="20"/>
  <c r="I180" i="20"/>
  <c r="I251" i="20"/>
  <c r="I81" i="20"/>
  <c r="I181" i="20"/>
  <c r="I252" i="20"/>
  <c r="I82" i="20"/>
  <c r="I182" i="20"/>
  <c r="I253" i="20"/>
  <c r="I83" i="20"/>
  <c r="I183" i="20"/>
  <c r="I254" i="20"/>
  <c r="I84" i="20"/>
  <c r="I184" i="20"/>
  <c r="I255" i="20"/>
  <c r="I256" i="20"/>
  <c r="I341" i="20"/>
  <c r="I28" i="70"/>
  <c r="I31" i="70"/>
  <c r="I82" i="66"/>
  <c r="I109" i="29"/>
  <c r="I113" i="29"/>
  <c r="I70" i="66"/>
  <c r="I120" i="29"/>
  <c r="I124" i="29"/>
  <c r="I94" i="66"/>
  <c r="I131" i="29"/>
  <c r="I135" i="29"/>
  <c r="I106" i="66"/>
  <c r="I142" i="29"/>
  <c r="I146" i="29"/>
  <c r="I118" i="66"/>
  <c r="I153" i="29"/>
  <c r="I157" i="29"/>
  <c r="I130" i="66"/>
  <c r="I164" i="29"/>
  <c r="I168" i="29"/>
  <c r="I142" i="66"/>
  <c r="I175" i="29"/>
  <c r="I179" i="29"/>
  <c r="I154" i="66"/>
  <c r="I186" i="29"/>
  <c r="I190" i="29"/>
  <c r="I166" i="66"/>
  <c r="I197" i="29"/>
  <c r="I201" i="29"/>
  <c r="I178" i="66"/>
  <c r="I208" i="29"/>
  <c r="I212" i="29"/>
  <c r="I190" i="66"/>
  <c r="I219" i="29"/>
  <c r="I223" i="29"/>
  <c r="I202" i="66"/>
  <c r="I230" i="29"/>
  <c r="I234" i="29"/>
  <c r="I387" i="29"/>
  <c r="I45" i="70"/>
  <c r="I18" i="54"/>
  <c r="I35" i="54"/>
  <c r="I843" i="54"/>
  <c r="I52" i="54"/>
  <c r="I844" i="54"/>
  <c r="I137" i="54"/>
  <c r="I138" i="54"/>
  <c r="I133" i="54"/>
  <c r="I134" i="54"/>
  <c r="I129" i="54"/>
  <c r="I130" i="54"/>
  <c r="I125" i="54"/>
  <c r="I126" i="54"/>
  <c r="I120" i="54"/>
  <c r="I121" i="54"/>
  <c r="I116" i="54"/>
  <c r="I117" i="54"/>
  <c r="I112" i="54"/>
  <c r="I113" i="54"/>
  <c r="I140" i="54"/>
  <c r="I845" i="54"/>
  <c r="I351" i="54"/>
  <c r="I268" i="54"/>
  <c r="I265" i="54"/>
  <c r="I262" i="54"/>
  <c r="I259" i="54"/>
  <c r="I256" i="54"/>
  <c r="I253" i="54"/>
  <c r="I250" i="54"/>
  <c r="I247" i="54"/>
  <c r="I244" i="54"/>
  <c r="I238" i="54"/>
  <c r="I235" i="54"/>
  <c r="I232" i="54"/>
  <c r="I270" i="54"/>
  <c r="I333" i="54"/>
  <c r="I365" i="54"/>
  <c r="I846" i="54"/>
  <c r="I465" i="54"/>
  <c r="I462" i="54"/>
  <c r="I459" i="54"/>
  <c r="I456" i="54"/>
  <c r="I453" i="54"/>
  <c r="I450" i="54"/>
  <c r="I447" i="54"/>
  <c r="I444" i="54"/>
  <c r="I441" i="54"/>
  <c r="I435" i="54"/>
  <c r="I432" i="54"/>
  <c r="I429" i="54"/>
  <c r="I467" i="54"/>
  <c r="I610" i="54"/>
  <c r="I607" i="54"/>
  <c r="I604" i="54"/>
  <c r="I601" i="54"/>
  <c r="I598" i="54"/>
  <c r="I595" i="54"/>
  <c r="I592" i="54"/>
  <c r="I589" i="54"/>
  <c r="I586" i="54"/>
  <c r="I580" i="54"/>
  <c r="I577" i="54"/>
  <c r="I574" i="54"/>
  <c r="I612" i="54"/>
  <c r="I749" i="54"/>
  <c r="I746" i="54"/>
  <c r="I743" i="54"/>
  <c r="I740" i="54"/>
  <c r="I737" i="54"/>
  <c r="I734" i="54"/>
  <c r="I731" i="54"/>
  <c r="I728" i="54"/>
  <c r="I725" i="54"/>
  <c r="I719" i="54"/>
  <c r="I716" i="54"/>
  <c r="I713" i="54"/>
  <c r="I751" i="54"/>
  <c r="I809" i="54"/>
  <c r="I819" i="54"/>
  <c r="I847" i="54"/>
  <c r="I848" i="54"/>
  <c r="I39" i="70"/>
  <c r="I53" i="70"/>
  <c r="I100" i="72"/>
  <c r="J109" i="60"/>
  <c r="J117" i="60"/>
  <c r="J125" i="60"/>
  <c r="J133" i="60"/>
  <c r="J141" i="60"/>
  <c r="J149" i="60"/>
  <c r="J157" i="60"/>
  <c r="J159" i="60"/>
  <c r="J249" i="60"/>
  <c r="J50" i="70"/>
  <c r="J1116" i="68"/>
  <c r="J1117" i="68"/>
  <c r="J1118" i="68"/>
  <c r="J1119" i="68"/>
  <c r="J1120" i="68"/>
  <c r="J1121" i="68"/>
  <c r="J1122" i="68"/>
  <c r="J1123" i="68"/>
  <c r="J1124" i="68"/>
  <c r="J1125" i="68"/>
  <c r="J1126" i="68"/>
  <c r="J1127" i="68"/>
  <c r="J1128" i="68"/>
  <c r="J43" i="69"/>
  <c r="J42" i="69"/>
  <c r="J44" i="69"/>
  <c r="J45" i="69"/>
  <c r="J57" i="69"/>
  <c r="J63" i="69"/>
  <c r="J82" i="69"/>
  <c r="J95" i="69"/>
  <c r="J114" i="69"/>
  <c r="J42" i="70"/>
  <c r="J86" i="58"/>
  <c r="J87" i="58"/>
  <c r="J88" i="58"/>
  <c r="J89" i="58"/>
  <c r="J90" i="58"/>
  <c r="J91" i="58"/>
  <c r="J92" i="58"/>
  <c r="J93" i="58"/>
  <c r="J94" i="58"/>
  <c r="J95" i="58"/>
  <c r="J96" i="58"/>
  <c r="J97" i="58"/>
  <c r="J98" i="58"/>
  <c r="J1002" i="58"/>
  <c r="J819" i="58"/>
  <c r="J831" i="58"/>
  <c r="J1007" i="58"/>
  <c r="J901" i="58"/>
  <c r="J902" i="58"/>
  <c r="J903" i="58"/>
  <c r="J904" i="58"/>
  <c r="J905" i="58"/>
  <c r="J906" i="58"/>
  <c r="J907" i="58"/>
  <c r="J908" i="58"/>
  <c r="J909" i="58"/>
  <c r="J910" i="58"/>
  <c r="J911" i="58"/>
  <c r="J912" i="58"/>
  <c r="J913" i="58"/>
  <c r="J1008" i="58"/>
  <c r="J242" i="58"/>
  <c r="J243" i="58"/>
  <c r="J244" i="58"/>
  <c r="J245" i="58"/>
  <c r="J246" i="58"/>
  <c r="J247" i="58"/>
  <c r="J248" i="58"/>
  <c r="J249" i="58"/>
  <c r="J250" i="58"/>
  <c r="J251" i="58"/>
  <c r="J252" i="58"/>
  <c r="J253" i="58"/>
  <c r="J254" i="58"/>
  <c r="J1003" i="58"/>
  <c r="J404" i="58"/>
  <c r="J405" i="58"/>
  <c r="J406" i="58"/>
  <c r="J407" i="58"/>
  <c r="J408" i="58"/>
  <c r="J409" i="58"/>
  <c r="J410" i="58"/>
  <c r="J411" i="58"/>
  <c r="J412" i="58"/>
  <c r="J413" i="58"/>
  <c r="J414" i="58"/>
  <c r="J415" i="58"/>
  <c r="J416" i="58"/>
  <c r="J1004" i="58"/>
  <c r="J564" i="58"/>
  <c r="J565" i="58"/>
  <c r="J566" i="58"/>
  <c r="J567" i="58"/>
  <c r="J568" i="58"/>
  <c r="J569" i="58"/>
  <c r="J570" i="58"/>
  <c r="J571" i="58"/>
  <c r="J572" i="58"/>
  <c r="J573" i="58"/>
  <c r="J574" i="58"/>
  <c r="J575" i="58"/>
  <c r="J576" i="58"/>
  <c r="J1005" i="58"/>
  <c r="J725" i="58"/>
  <c r="J726" i="58"/>
  <c r="J727" i="58"/>
  <c r="J728" i="58"/>
  <c r="J729" i="58"/>
  <c r="J730" i="58"/>
  <c r="J731" i="58"/>
  <c r="J732" i="58"/>
  <c r="J733" i="58"/>
  <c r="J734" i="58"/>
  <c r="J735" i="58"/>
  <c r="J736" i="58"/>
  <c r="J737" i="58"/>
  <c r="J1006" i="58"/>
  <c r="J1009" i="58"/>
  <c r="J29" i="70"/>
  <c r="J35" i="47"/>
  <c r="J37" i="47"/>
  <c r="J41" i="47"/>
  <c r="J69" i="47"/>
  <c r="J30" i="70"/>
  <c r="J73" i="20"/>
  <c r="J173" i="20"/>
  <c r="J244" i="20"/>
  <c r="J74" i="20"/>
  <c r="J174" i="20"/>
  <c r="J245" i="20"/>
  <c r="J75" i="20"/>
  <c r="J175" i="20"/>
  <c r="J246" i="20"/>
  <c r="J76" i="20"/>
  <c r="J176" i="20"/>
  <c r="J247" i="20"/>
  <c r="J77" i="20"/>
  <c r="J177" i="20"/>
  <c r="J248" i="20"/>
  <c r="J78" i="20"/>
  <c r="J178" i="20"/>
  <c r="J249" i="20"/>
  <c r="J79" i="20"/>
  <c r="J179" i="20"/>
  <c r="J250" i="20"/>
  <c r="J80" i="20"/>
  <c r="J180" i="20"/>
  <c r="J251" i="20"/>
  <c r="J81" i="20"/>
  <c r="J181" i="20"/>
  <c r="J252" i="20"/>
  <c r="J82" i="20"/>
  <c r="J182" i="20"/>
  <c r="J253" i="20"/>
  <c r="J83" i="20"/>
  <c r="J183" i="20"/>
  <c r="J254" i="20"/>
  <c r="J84" i="20"/>
  <c r="J184" i="20"/>
  <c r="J255" i="20"/>
  <c r="J256" i="20"/>
  <c r="J341" i="20"/>
  <c r="J28" i="70"/>
  <c r="J31" i="70"/>
  <c r="J82" i="66"/>
  <c r="J109" i="29"/>
  <c r="J113" i="29"/>
  <c r="J70" i="66"/>
  <c r="J120" i="29"/>
  <c r="J124" i="29"/>
  <c r="J94" i="66"/>
  <c r="J131" i="29"/>
  <c r="J135" i="29"/>
  <c r="J106" i="66"/>
  <c r="J142" i="29"/>
  <c r="J146" i="29"/>
  <c r="J118" i="66"/>
  <c r="J153" i="29"/>
  <c r="J157" i="29"/>
  <c r="J130" i="66"/>
  <c r="J164" i="29"/>
  <c r="J168" i="29"/>
  <c r="J142" i="66"/>
  <c r="J175" i="29"/>
  <c r="J179" i="29"/>
  <c r="J154" i="66"/>
  <c r="J186" i="29"/>
  <c r="J190" i="29"/>
  <c r="J166" i="66"/>
  <c r="J197" i="29"/>
  <c r="J201" i="29"/>
  <c r="J178" i="66"/>
  <c r="J208" i="29"/>
  <c r="J212" i="29"/>
  <c r="J190" i="66"/>
  <c r="J219" i="29"/>
  <c r="J223" i="29"/>
  <c r="J202" i="66"/>
  <c r="J230" i="29"/>
  <c r="J234" i="29"/>
  <c r="J387" i="29"/>
  <c r="J45" i="70"/>
  <c r="J18" i="54"/>
  <c r="J35" i="54"/>
  <c r="J843" i="54"/>
  <c r="J52" i="54"/>
  <c r="J844" i="54"/>
  <c r="J137" i="54"/>
  <c r="J138" i="54"/>
  <c r="J133" i="54"/>
  <c r="J134" i="54"/>
  <c r="J129" i="54"/>
  <c r="J130" i="54"/>
  <c r="J125" i="54"/>
  <c r="J126" i="54"/>
  <c r="J120" i="54"/>
  <c r="J121" i="54"/>
  <c r="J116" i="54"/>
  <c r="J117" i="54"/>
  <c r="J112" i="54"/>
  <c r="J113" i="54"/>
  <c r="J140" i="54"/>
  <c r="J845" i="54"/>
  <c r="J351" i="54"/>
  <c r="J268" i="54"/>
  <c r="J265" i="54"/>
  <c r="J262" i="54"/>
  <c r="J259" i="54"/>
  <c r="J256" i="54"/>
  <c r="J253" i="54"/>
  <c r="J250" i="54"/>
  <c r="J247" i="54"/>
  <c r="J244" i="54"/>
  <c r="J238" i="54"/>
  <c r="J235" i="54"/>
  <c r="J232" i="54"/>
  <c r="J270" i="54"/>
  <c r="J333" i="54"/>
  <c r="J365" i="54"/>
  <c r="J846" i="54"/>
  <c r="J465" i="54"/>
  <c r="J462" i="54"/>
  <c r="J459" i="54"/>
  <c r="J456" i="54"/>
  <c r="J453" i="54"/>
  <c r="J450" i="54"/>
  <c r="J447" i="54"/>
  <c r="J444" i="54"/>
  <c r="J441" i="54"/>
  <c r="J435" i="54"/>
  <c r="J432" i="54"/>
  <c r="J429" i="54"/>
  <c r="J467" i="54"/>
  <c r="J610" i="54"/>
  <c r="J607" i="54"/>
  <c r="J604" i="54"/>
  <c r="J601" i="54"/>
  <c r="J598" i="54"/>
  <c r="J595" i="54"/>
  <c r="J592" i="54"/>
  <c r="J589" i="54"/>
  <c r="J586" i="54"/>
  <c r="J580" i="54"/>
  <c r="J577" i="54"/>
  <c r="J574" i="54"/>
  <c r="J612" i="54"/>
  <c r="J749" i="54"/>
  <c r="J746" i="54"/>
  <c r="J743" i="54"/>
  <c r="J740" i="54"/>
  <c r="J737" i="54"/>
  <c r="J734" i="54"/>
  <c r="J731" i="54"/>
  <c r="J728" i="54"/>
  <c r="J725" i="54"/>
  <c r="J719" i="54"/>
  <c r="J716" i="54"/>
  <c r="J713" i="54"/>
  <c r="J751" i="54"/>
  <c r="J809" i="54"/>
  <c r="J819" i="54"/>
  <c r="J847" i="54"/>
  <c r="J848" i="54"/>
  <c r="J39" i="70"/>
  <c r="J53" i="70"/>
  <c r="J100" i="72"/>
  <c r="K109" i="60"/>
  <c r="K117" i="60"/>
  <c r="K125" i="60"/>
  <c r="K133" i="60"/>
  <c r="K141" i="60"/>
  <c r="K149" i="60"/>
  <c r="K157" i="60"/>
  <c r="K159" i="60"/>
  <c r="K249" i="60"/>
  <c r="K50" i="70"/>
  <c r="K1116" i="68"/>
  <c r="K1117" i="68"/>
  <c r="K1118" i="68"/>
  <c r="K1119" i="68"/>
  <c r="K1120" i="68"/>
  <c r="K1121" i="68"/>
  <c r="K1122" i="68"/>
  <c r="K1123" i="68"/>
  <c r="K1124" i="68"/>
  <c r="K1125" i="68"/>
  <c r="K1126" i="68"/>
  <c r="K1127" i="68"/>
  <c r="K1128" i="68"/>
  <c r="K43" i="69"/>
  <c r="K42" i="69"/>
  <c r="K44" i="69"/>
  <c r="K45" i="69"/>
  <c r="K57" i="69"/>
  <c r="K63" i="69"/>
  <c r="K82" i="69"/>
  <c r="K95" i="69"/>
  <c r="K114" i="69"/>
  <c r="K42" i="70"/>
  <c r="K86" i="58"/>
  <c r="K87" i="58"/>
  <c r="K88" i="58"/>
  <c r="K89" i="58"/>
  <c r="K90" i="58"/>
  <c r="K91" i="58"/>
  <c r="K92" i="58"/>
  <c r="K93" i="58"/>
  <c r="K94" i="58"/>
  <c r="K95" i="58"/>
  <c r="K96" i="58"/>
  <c r="K97" i="58"/>
  <c r="K98" i="58"/>
  <c r="K1002" i="58"/>
  <c r="K819" i="58"/>
  <c r="K831" i="58"/>
  <c r="K1007" i="58"/>
  <c r="K901" i="58"/>
  <c r="K902" i="58"/>
  <c r="K903" i="58"/>
  <c r="K904" i="58"/>
  <c r="K905" i="58"/>
  <c r="K906" i="58"/>
  <c r="K907" i="58"/>
  <c r="K908" i="58"/>
  <c r="K909" i="58"/>
  <c r="K910" i="58"/>
  <c r="K911" i="58"/>
  <c r="K912" i="58"/>
  <c r="K913" i="58"/>
  <c r="K1008" i="58"/>
  <c r="K242" i="58"/>
  <c r="K243" i="58"/>
  <c r="K244" i="58"/>
  <c r="K245" i="58"/>
  <c r="K246" i="58"/>
  <c r="K247" i="58"/>
  <c r="K248" i="58"/>
  <c r="K249" i="58"/>
  <c r="K250" i="58"/>
  <c r="K251" i="58"/>
  <c r="K252" i="58"/>
  <c r="K253" i="58"/>
  <c r="K254" i="58"/>
  <c r="K1003" i="58"/>
  <c r="K404" i="58"/>
  <c r="K405" i="58"/>
  <c r="K406" i="58"/>
  <c r="K407" i="58"/>
  <c r="K408" i="58"/>
  <c r="K409" i="58"/>
  <c r="K410" i="58"/>
  <c r="K411" i="58"/>
  <c r="K412" i="58"/>
  <c r="K413" i="58"/>
  <c r="K414" i="58"/>
  <c r="K415" i="58"/>
  <c r="K416" i="58"/>
  <c r="K1004" i="58"/>
  <c r="K564" i="58"/>
  <c r="K565" i="58"/>
  <c r="K566" i="58"/>
  <c r="K567" i="58"/>
  <c r="K568" i="58"/>
  <c r="K569" i="58"/>
  <c r="K570" i="58"/>
  <c r="K571" i="58"/>
  <c r="K572" i="58"/>
  <c r="K573" i="58"/>
  <c r="K574" i="58"/>
  <c r="K575" i="58"/>
  <c r="K576" i="58"/>
  <c r="K1005" i="58"/>
  <c r="K725" i="58"/>
  <c r="K726" i="58"/>
  <c r="K727" i="58"/>
  <c r="K728" i="58"/>
  <c r="K729" i="58"/>
  <c r="K730" i="58"/>
  <c r="K731" i="58"/>
  <c r="K732" i="58"/>
  <c r="K733" i="58"/>
  <c r="K734" i="58"/>
  <c r="K735" i="58"/>
  <c r="K736" i="58"/>
  <c r="K737" i="58"/>
  <c r="K1006" i="58"/>
  <c r="K1009" i="58"/>
  <c r="K29" i="70"/>
  <c r="K35" i="47"/>
  <c r="K37" i="47"/>
  <c r="K41" i="47"/>
  <c r="K69" i="47"/>
  <c r="K30" i="70"/>
  <c r="K73" i="20"/>
  <c r="K173" i="20"/>
  <c r="K244" i="20"/>
  <c r="K74" i="20"/>
  <c r="K174" i="20"/>
  <c r="K245" i="20"/>
  <c r="K75" i="20"/>
  <c r="K175" i="20"/>
  <c r="K246" i="20"/>
  <c r="K76" i="20"/>
  <c r="K176" i="20"/>
  <c r="K247" i="20"/>
  <c r="K77" i="20"/>
  <c r="K177" i="20"/>
  <c r="K248" i="20"/>
  <c r="K78" i="20"/>
  <c r="K178" i="20"/>
  <c r="K249" i="20"/>
  <c r="K79" i="20"/>
  <c r="K179" i="20"/>
  <c r="K250" i="20"/>
  <c r="K80" i="20"/>
  <c r="K180" i="20"/>
  <c r="K251" i="20"/>
  <c r="K81" i="20"/>
  <c r="K181" i="20"/>
  <c r="K252" i="20"/>
  <c r="K82" i="20"/>
  <c r="K182" i="20"/>
  <c r="K253" i="20"/>
  <c r="K83" i="20"/>
  <c r="K183" i="20"/>
  <c r="K254" i="20"/>
  <c r="K84" i="20"/>
  <c r="K184" i="20"/>
  <c r="K255" i="20"/>
  <c r="K256" i="20"/>
  <c r="K341" i="20"/>
  <c r="K28" i="70"/>
  <c r="K31" i="70"/>
  <c r="K82" i="66"/>
  <c r="K109" i="29"/>
  <c r="K113" i="29"/>
  <c r="K70" i="66"/>
  <c r="K120" i="29"/>
  <c r="K124" i="29"/>
  <c r="K94" i="66"/>
  <c r="K131" i="29"/>
  <c r="K135" i="29"/>
  <c r="K106" i="66"/>
  <c r="K142" i="29"/>
  <c r="K146" i="29"/>
  <c r="K118" i="66"/>
  <c r="K153" i="29"/>
  <c r="K157" i="29"/>
  <c r="K130" i="66"/>
  <c r="K164" i="29"/>
  <c r="K168" i="29"/>
  <c r="K142" i="66"/>
  <c r="K175" i="29"/>
  <c r="K179" i="29"/>
  <c r="K154" i="66"/>
  <c r="K186" i="29"/>
  <c r="K190" i="29"/>
  <c r="K166" i="66"/>
  <c r="K197" i="29"/>
  <c r="K201" i="29"/>
  <c r="K178" i="66"/>
  <c r="K208" i="29"/>
  <c r="K212" i="29"/>
  <c r="K190" i="66"/>
  <c r="K219" i="29"/>
  <c r="K223" i="29"/>
  <c r="K202" i="66"/>
  <c r="K230" i="29"/>
  <c r="K234" i="29"/>
  <c r="K387" i="29"/>
  <c r="K45" i="70"/>
  <c r="K18" i="54"/>
  <c r="K35" i="54"/>
  <c r="K843" i="54"/>
  <c r="K52" i="54"/>
  <c r="K844" i="54"/>
  <c r="K137" i="54"/>
  <c r="K138" i="54"/>
  <c r="K133" i="54"/>
  <c r="K134" i="54"/>
  <c r="K129" i="54"/>
  <c r="K130" i="54"/>
  <c r="K125" i="54"/>
  <c r="K126" i="54"/>
  <c r="K120" i="54"/>
  <c r="K121" i="54"/>
  <c r="K116" i="54"/>
  <c r="K117" i="54"/>
  <c r="K112" i="54"/>
  <c r="K113" i="54"/>
  <c r="K140" i="54"/>
  <c r="K845" i="54"/>
  <c r="K351" i="54"/>
  <c r="K268" i="54"/>
  <c r="K265" i="54"/>
  <c r="K262" i="54"/>
  <c r="K259" i="54"/>
  <c r="K256" i="54"/>
  <c r="K253" i="54"/>
  <c r="K250" i="54"/>
  <c r="K247" i="54"/>
  <c r="K244" i="54"/>
  <c r="K238" i="54"/>
  <c r="K235" i="54"/>
  <c r="K232" i="54"/>
  <c r="K270" i="54"/>
  <c r="K333" i="54"/>
  <c r="K365" i="54"/>
  <c r="K846" i="54"/>
  <c r="K465" i="54"/>
  <c r="K462" i="54"/>
  <c r="K459" i="54"/>
  <c r="K456" i="54"/>
  <c r="K453" i="54"/>
  <c r="K450" i="54"/>
  <c r="K447" i="54"/>
  <c r="K444" i="54"/>
  <c r="K441" i="54"/>
  <c r="K435" i="54"/>
  <c r="K432" i="54"/>
  <c r="K429" i="54"/>
  <c r="K467" i="54"/>
  <c r="K610" i="54"/>
  <c r="K607" i="54"/>
  <c r="K604" i="54"/>
  <c r="K601" i="54"/>
  <c r="K598" i="54"/>
  <c r="K595" i="54"/>
  <c r="K592" i="54"/>
  <c r="K589" i="54"/>
  <c r="K586" i="54"/>
  <c r="K580" i="54"/>
  <c r="K577" i="54"/>
  <c r="K574" i="54"/>
  <c r="K612" i="54"/>
  <c r="K749" i="54"/>
  <c r="K746" i="54"/>
  <c r="K743" i="54"/>
  <c r="K740" i="54"/>
  <c r="K737" i="54"/>
  <c r="K734" i="54"/>
  <c r="K731" i="54"/>
  <c r="K728" i="54"/>
  <c r="K725" i="54"/>
  <c r="K719" i="54"/>
  <c r="K716" i="54"/>
  <c r="K713" i="54"/>
  <c r="K751" i="54"/>
  <c r="K809" i="54"/>
  <c r="K819" i="54"/>
  <c r="K847" i="54"/>
  <c r="K848" i="54"/>
  <c r="K39" i="70"/>
  <c r="K53" i="70"/>
  <c r="K100" i="72"/>
  <c r="L109" i="60"/>
  <c r="L117" i="60"/>
  <c r="L125" i="60"/>
  <c r="L133" i="60"/>
  <c r="L141" i="60"/>
  <c r="L149" i="60"/>
  <c r="L157" i="60"/>
  <c r="L159" i="60"/>
  <c r="L249" i="60"/>
  <c r="L50" i="70"/>
  <c r="L1116" i="68"/>
  <c r="L1117" i="68"/>
  <c r="L1118" i="68"/>
  <c r="L1119" i="68"/>
  <c r="L1120" i="68"/>
  <c r="L1121" i="68"/>
  <c r="L1122" i="68"/>
  <c r="L1123" i="68"/>
  <c r="L1124" i="68"/>
  <c r="L1125" i="68"/>
  <c r="L1126" i="68"/>
  <c r="L1127" i="68"/>
  <c r="L1128" i="68"/>
  <c r="L43" i="69"/>
  <c r="L42" i="69"/>
  <c r="L44" i="69"/>
  <c r="L45" i="69"/>
  <c r="L57" i="69"/>
  <c r="L63" i="69"/>
  <c r="L82" i="69"/>
  <c r="L95" i="69"/>
  <c r="L114" i="69"/>
  <c r="L42" i="70"/>
  <c r="L86" i="58"/>
  <c r="L87" i="58"/>
  <c r="L88" i="58"/>
  <c r="L89" i="58"/>
  <c r="L90" i="58"/>
  <c r="L91" i="58"/>
  <c r="L92" i="58"/>
  <c r="L93" i="58"/>
  <c r="L94" i="58"/>
  <c r="L95" i="58"/>
  <c r="L96" i="58"/>
  <c r="L97" i="58"/>
  <c r="L98" i="58"/>
  <c r="L1002" i="58"/>
  <c r="L819" i="58"/>
  <c r="L831" i="58"/>
  <c r="L1007" i="58"/>
  <c r="L901" i="58"/>
  <c r="L902" i="58"/>
  <c r="L903" i="58"/>
  <c r="L904" i="58"/>
  <c r="L905" i="58"/>
  <c r="L906" i="58"/>
  <c r="L907" i="58"/>
  <c r="L908" i="58"/>
  <c r="L909" i="58"/>
  <c r="L910" i="58"/>
  <c r="L911" i="58"/>
  <c r="L912" i="58"/>
  <c r="L913" i="58"/>
  <c r="L1008" i="58"/>
  <c r="L242" i="58"/>
  <c r="L243" i="58"/>
  <c r="L244" i="58"/>
  <c r="L245" i="58"/>
  <c r="L246" i="58"/>
  <c r="L247" i="58"/>
  <c r="L248" i="58"/>
  <c r="L249" i="58"/>
  <c r="L250" i="58"/>
  <c r="L251" i="58"/>
  <c r="L252" i="58"/>
  <c r="L253" i="58"/>
  <c r="L254" i="58"/>
  <c r="L1003" i="58"/>
  <c r="L404" i="58"/>
  <c r="L405" i="58"/>
  <c r="L406" i="58"/>
  <c r="L407" i="58"/>
  <c r="L408" i="58"/>
  <c r="L409" i="58"/>
  <c r="L410" i="58"/>
  <c r="L411" i="58"/>
  <c r="L412" i="58"/>
  <c r="L413" i="58"/>
  <c r="L414" i="58"/>
  <c r="L415" i="58"/>
  <c r="L416" i="58"/>
  <c r="L1004" i="58"/>
  <c r="L564" i="58"/>
  <c r="L565" i="58"/>
  <c r="L566" i="58"/>
  <c r="L567" i="58"/>
  <c r="L568" i="58"/>
  <c r="L569" i="58"/>
  <c r="L570" i="58"/>
  <c r="L571" i="58"/>
  <c r="L572" i="58"/>
  <c r="L573" i="58"/>
  <c r="L574" i="58"/>
  <c r="L575" i="58"/>
  <c r="L576" i="58"/>
  <c r="L1005" i="58"/>
  <c r="L725" i="58"/>
  <c r="L726" i="58"/>
  <c r="L727" i="58"/>
  <c r="L728" i="58"/>
  <c r="L729" i="58"/>
  <c r="L730" i="58"/>
  <c r="L731" i="58"/>
  <c r="L732" i="58"/>
  <c r="L733" i="58"/>
  <c r="L734" i="58"/>
  <c r="L735" i="58"/>
  <c r="L736" i="58"/>
  <c r="L737" i="58"/>
  <c r="L1006" i="58"/>
  <c r="L1009" i="58"/>
  <c r="L29" i="70"/>
  <c r="L35" i="47"/>
  <c r="L37" i="47"/>
  <c r="L41" i="47"/>
  <c r="L69" i="47"/>
  <c r="L30" i="70"/>
  <c r="L73" i="20"/>
  <c r="L173" i="20"/>
  <c r="L244" i="20"/>
  <c r="L74" i="20"/>
  <c r="L174" i="20"/>
  <c r="L245" i="20"/>
  <c r="L75" i="20"/>
  <c r="L175" i="20"/>
  <c r="L246" i="20"/>
  <c r="L76" i="20"/>
  <c r="L176" i="20"/>
  <c r="L247" i="20"/>
  <c r="L77" i="20"/>
  <c r="L177" i="20"/>
  <c r="L248" i="20"/>
  <c r="L78" i="20"/>
  <c r="L178" i="20"/>
  <c r="L249" i="20"/>
  <c r="L79" i="20"/>
  <c r="L179" i="20"/>
  <c r="L250" i="20"/>
  <c r="L80" i="20"/>
  <c r="L180" i="20"/>
  <c r="L251" i="20"/>
  <c r="L81" i="20"/>
  <c r="L181" i="20"/>
  <c r="L252" i="20"/>
  <c r="L82" i="20"/>
  <c r="L182" i="20"/>
  <c r="L253" i="20"/>
  <c r="L83" i="20"/>
  <c r="L183" i="20"/>
  <c r="L254" i="20"/>
  <c r="L84" i="20"/>
  <c r="L184" i="20"/>
  <c r="L255" i="20"/>
  <c r="L256" i="20"/>
  <c r="L341" i="20"/>
  <c r="L28" i="70"/>
  <c r="L31" i="70"/>
  <c r="L82" i="66"/>
  <c r="L109" i="29"/>
  <c r="L113" i="29"/>
  <c r="L70" i="66"/>
  <c r="L120" i="29"/>
  <c r="L124" i="29"/>
  <c r="L94" i="66"/>
  <c r="L131" i="29"/>
  <c r="L135" i="29"/>
  <c r="L106" i="66"/>
  <c r="L142" i="29"/>
  <c r="L146" i="29"/>
  <c r="L118" i="66"/>
  <c r="L153" i="29"/>
  <c r="L157" i="29"/>
  <c r="L130" i="66"/>
  <c r="L164" i="29"/>
  <c r="L168" i="29"/>
  <c r="L142" i="66"/>
  <c r="L175" i="29"/>
  <c r="L179" i="29"/>
  <c r="L154" i="66"/>
  <c r="L186" i="29"/>
  <c r="L190" i="29"/>
  <c r="L166" i="66"/>
  <c r="L197" i="29"/>
  <c r="L201" i="29"/>
  <c r="L178" i="66"/>
  <c r="L208" i="29"/>
  <c r="L212" i="29"/>
  <c r="L190" i="66"/>
  <c r="L219" i="29"/>
  <c r="L223" i="29"/>
  <c r="L202" i="66"/>
  <c r="L230" i="29"/>
  <c r="L234" i="29"/>
  <c r="L387" i="29"/>
  <c r="L45" i="70"/>
  <c r="L18" i="54"/>
  <c r="L35" i="54"/>
  <c r="L843" i="54"/>
  <c r="L52" i="54"/>
  <c r="L844" i="54"/>
  <c r="L137" i="54"/>
  <c r="L138" i="54"/>
  <c r="L133" i="54"/>
  <c r="L134" i="54"/>
  <c r="L129" i="54"/>
  <c r="L130" i="54"/>
  <c r="L125" i="54"/>
  <c r="L126" i="54"/>
  <c r="L120" i="54"/>
  <c r="L121" i="54"/>
  <c r="L116" i="54"/>
  <c r="L117" i="54"/>
  <c r="L112" i="54"/>
  <c r="L113" i="54"/>
  <c r="L140" i="54"/>
  <c r="L845" i="54"/>
  <c r="L351" i="54"/>
  <c r="L268" i="54"/>
  <c r="L265" i="54"/>
  <c r="L262" i="54"/>
  <c r="L259" i="54"/>
  <c r="L256" i="54"/>
  <c r="L253" i="54"/>
  <c r="L250" i="54"/>
  <c r="L247" i="54"/>
  <c r="L244" i="54"/>
  <c r="L238" i="54"/>
  <c r="L235" i="54"/>
  <c r="L232" i="54"/>
  <c r="L270" i="54"/>
  <c r="L333" i="54"/>
  <c r="L365" i="54"/>
  <c r="L846" i="54"/>
  <c r="L465" i="54"/>
  <c r="L462" i="54"/>
  <c r="L459" i="54"/>
  <c r="L456" i="54"/>
  <c r="L453" i="54"/>
  <c r="L450" i="54"/>
  <c r="L447" i="54"/>
  <c r="L444" i="54"/>
  <c r="L441" i="54"/>
  <c r="L435" i="54"/>
  <c r="L432" i="54"/>
  <c r="L429" i="54"/>
  <c r="L467" i="54"/>
  <c r="L610" i="54"/>
  <c r="L607" i="54"/>
  <c r="L604" i="54"/>
  <c r="L601" i="54"/>
  <c r="L598" i="54"/>
  <c r="L595" i="54"/>
  <c r="L592" i="54"/>
  <c r="L589" i="54"/>
  <c r="L586" i="54"/>
  <c r="L580" i="54"/>
  <c r="L577" i="54"/>
  <c r="L574" i="54"/>
  <c r="L612" i="54"/>
  <c r="L749" i="54"/>
  <c r="L746" i="54"/>
  <c r="L743" i="54"/>
  <c r="L740" i="54"/>
  <c r="L737" i="54"/>
  <c r="L734" i="54"/>
  <c r="L731" i="54"/>
  <c r="L728" i="54"/>
  <c r="L725" i="54"/>
  <c r="L719" i="54"/>
  <c r="L716" i="54"/>
  <c r="L713" i="54"/>
  <c r="L751" i="54"/>
  <c r="L809" i="54"/>
  <c r="L819" i="54"/>
  <c r="L847" i="54"/>
  <c r="L848" i="54"/>
  <c r="L39" i="70"/>
  <c r="L53" i="70"/>
  <c r="L100" i="72"/>
  <c r="M109" i="60"/>
  <c r="M117" i="60"/>
  <c r="M125" i="60"/>
  <c r="M133" i="60"/>
  <c r="M141" i="60"/>
  <c r="M149" i="60"/>
  <c r="M157" i="60"/>
  <c r="M159" i="60"/>
  <c r="M249" i="60"/>
  <c r="M50" i="70"/>
  <c r="M1116" i="68"/>
  <c r="M1117" i="68"/>
  <c r="M1118" i="68"/>
  <c r="M1119" i="68"/>
  <c r="M1120" i="68"/>
  <c r="M1121" i="68"/>
  <c r="M1122" i="68"/>
  <c r="M1123" i="68"/>
  <c r="M1124" i="68"/>
  <c r="M1125" i="68"/>
  <c r="M1126" i="68"/>
  <c r="M1127" i="68"/>
  <c r="M1128" i="68"/>
  <c r="M43" i="69"/>
  <c r="M42" i="69"/>
  <c r="M44" i="69"/>
  <c r="M45" i="69"/>
  <c r="M57" i="69"/>
  <c r="M63" i="69"/>
  <c r="M82" i="69"/>
  <c r="M95" i="69"/>
  <c r="M114" i="69"/>
  <c r="M42" i="70"/>
  <c r="M86" i="58"/>
  <c r="M87" i="58"/>
  <c r="M88" i="58"/>
  <c r="M89" i="58"/>
  <c r="M90" i="58"/>
  <c r="M91" i="58"/>
  <c r="M92" i="58"/>
  <c r="M93" i="58"/>
  <c r="M94" i="58"/>
  <c r="M95" i="58"/>
  <c r="M96" i="58"/>
  <c r="M97" i="58"/>
  <c r="M98" i="58"/>
  <c r="M1002" i="58"/>
  <c r="M819" i="58"/>
  <c r="M831" i="58"/>
  <c r="M1007" i="58"/>
  <c r="M901" i="58"/>
  <c r="M902" i="58"/>
  <c r="M903" i="58"/>
  <c r="M904" i="58"/>
  <c r="M905" i="58"/>
  <c r="M906" i="58"/>
  <c r="M907" i="58"/>
  <c r="M908" i="58"/>
  <c r="M909" i="58"/>
  <c r="M910" i="58"/>
  <c r="M911" i="58"/>
  <c r="M912" i="58"/>
  <c r="M913" i="58"/>
  <c r="M1008" i="58"/>
  <c r="M242" i="58"/>
  <c r="M243" i="58"/>
  <c r="M244" i="58"/>
  <c r="M245" i="58"/>
  <c r="M246" i="58"/>
  <c r="M247" i="58"/>
  <c r="M248" i="58"/>
  <c r="M249" i="58"/>
  <c r="M250" i="58"/>
  <c r="M251" i="58"/>
  <c r="M252" i="58"/>
  <c r="M253" i="58"/>
  <c r="M254" i="58"/>
  <c r="M1003" i="58"/>
  <c r="M404" i="58"/>
  <c r="M405" i="58"/>
  <c r="M406" i="58"/>
  <c r="M407" i="58"/>
  <c r="M408" i="58"/>
  <c r="M409" i="58"/>
  <c r="M410" i="58"/>
  <c r="M411" i="58"/>
  <c r="M412" i="58"/>
  <c r="M413" i="58"/>
  <c r="M414" i="58"/>
  <c r="M415" i="58"/>
  <c r="M416" i="58"/>
  <c r="M1004" i="58"/>
  <c r="M564" i="58"/>
  <c r="M565" i="58"/>
  <c r="M566" i="58"/>
  <c r="M567" i="58"/>
  <c r="M568" i="58"/>
  <c r="M569" i="58"/>
  <c r="M570" i="58"/>
  <c r="M571" i="58"/>
  <c r="M572" i="58"/>
  <c r="M573" i="58"/>
  <c r="M574" i="58"/>
  <c r="M575" i="58"/>
  <c r="M576" i="58"/>
  <c r="M1005" i="58"/>
  <c r="M725" i="58"/>
  <c r="M726" i="58"/>
  <c r="M727" i="58"/>
  <c r="M728" i="58"/>
  <c r="M729" i="58"/>
  <c r="M730" i="58"/>
  <c r="M731" i="58"/>
  <c r="M732" i="58"/>
  <c r="M733" i="58"/>
  <c r="M734" i="58"/>
  <c r="M735" i="58"/>
  <c r="M736" i="58"/>
  <c r="M737" i="58"/>
  <c r="M1006" i="58"/>
  <c r="M1009" i="58"/>
  <c r="M29" i="70"/>
  <c r="M35" i="47"/>
  <c r="M37" i="47"/>
  <c r="M41" i="47"/>
  <c r="M69" i="47"/>
  <c r="M30" i="70"/>
  <c r="M73" i="20"/>
  <c r="M173" i="20"/>
  <c r="M244" i="20"/>
  <c r="M74" i="20"/>
  <c r="M174" i="20"/>
  <c r="M245" i="20"/>
  <c r="M75" i="20"/>
  <c r="M175" i="20"/>
  <c r="M246" i="20"/>
  <c r="M76" i="20"/>
  <c r="M176" i="20"/>
  <c r="M247" i="20"/>
  <c r="M77" i="20"/>
  <c r="M177" i="20"/>
  <c r="M248" i="20"/>
  <c r="M78" i="20"/>
  <c r="M178" i="20"/>
  <c r="M249" i="20"/>
  <c r="M79" i="20"/>
  <c r="M179" i="20"/>
  <c r="M250" i="20"/>
  <c r="M80" i="20"/>
  <c r="M180" i="20"/>
  <c r="M251" i="20"/>
  <c r="M81" i="20"/>
  <c r="M181" i="20"/>
  <c r="M252" i="20"/>
  <c r="M82" i="20"/>
  <c r="M182" i="20"/>
  <c r="M253" i="20"/>
  <c r="M83" i="20"/>
  <c r="M183" i="20"/>
  <c r="M254" i="20"/>
  <c r="M84" i="20"/>
  <c r="M184" i="20"/>
  <c r="M255" i="20"/>
  <c r="M256" i="20"/>
  <c r="M341" i="20"/>
  <c r="M28" i="70"/>
  <c r="M31" i="70"/>
  <c r="M82" i="66"/>
  <c r="M109" i="29"/>
  <c r="M113" i="29"/>
  <c r="M70" i="66"/>
  <c r="M120" i="29"/>
  <c r="M124" i="29"/>
  <c r="M94" i="66"/>
  <c r="M131" i="29"/>
  <c r="M135" i="29"/>
  <c r="M106" i="66"/>
  <c r="M142" i="29"/>
  <c r="M146" i="29"/>
  <c r="M118" i="66"/>
  <c r="M153" i="29"/>
  <c r="M157" i="29"/>
  <c r="M130" i="66"/>
  <c r="M164" i="29"/>
  <c r="M168" i="29"/>
  <c r="M142" i="66"/>
  <c r="M175" i="29"/>
  <c r="M179" i="29"/>
  <c r="M154" i="66"/>
  <c r="M186" i="29"/>
  <c r="M190" i="29"/>
  <c r="M166" i="66"/>
  <c r="M197" i="29"/>
  <c r="M201" i="29"/>
  <c r="M178" i="66"/>
  <c r="M208" i="29"/>
  <c r="M212" i="29"/>
  <c r="M190" i="66"/>
  <c r="M219" i="29"/>
  <c r="M223" i="29"/>
  <c r="M202" i="66"/>
  <c r="M230" i="29"/>
  <c r="M234" i="29"/>
  <c r="M387" i="29"/>
  <c r="M45" i="70"/>
  <c r="M18" i="54"/>
  <c r="M35" i="54"/>
  <c r="M843" i="54"/>
  <c r="M52" i="54"/>
  <c r="M844" i="54"/>
  <c r="M137" i="54"/>
  <c r="M138" i="54"/>
  <c r="M133" i="54"/>
  <c r="M134" i="54"/>
  <c r="M129" i="54"/>
  <c r="M130" i="54"/>
  <c r="M125" i="54"/>
  <c r="M126" i="54"/>
  <c r="M120" i="54"/>
  <c r="M121" i="54"/>
  <c r="M116" i="54"/>
  <c r="M117" i="54"/>
  <c r="M112" i="54"/>
  <c r="M113" i="54"/>
  <c r="M140" i="54"/>
  <c r="M845" i="54"/>
  <c r="M351" i="54"/>
  <c r="M268" i="54"/>
  <c r="M265" i="54"/>
  <c r="M262" i="54"/>
  <c r="M259" i="54"/>
  <c r="M256" i="54"/>
  <c r="M253" i="54"/>
  <c r="M250" i="54"/>
  <c r="M247" i="54"/>
  <c r="M244" i="54"/>
  <c r="M238" i="54"/>
  <c r="M235" i="54"/>
  <c r="M232" i="54"/>
  <c r="M270" i="54"/>
  <c r="M333" i="54"/>
  <c r="M365" i="54"/>
  <c r="M846" i="54"/>
  <c r="M465" i="54"/>
  <c r="M462" i="54"/>
  <c r="M459" i="54"/>
  <c r="M456" i="54"/>
  <c r="M453" i="54"/>
  <c r="M450" i="54"/>
  <c r="M447" i="54"/>
  <c r="M444" i="54"/>
  <c r="M441" i="54"/>
  <c r="M435" i="54"/>
  <c r="M432" i="54"/>
  <c r="M429" i="54"/>
  <c r="M467" i="54"/>
  <c r="M610" i="54"/>
  <c r="M607" i="54"/>
  <c r="M604" i="54"/>
  <c r="M601" i="54"/>
  <c r="M598" i="54"/>
  <c r="M595" i="54"/>
  <c r="M592" i="54"/>
  <c r="M589" i="54"/>
  <c r="M586" i="54"/>
  <c r="M580" i="54"/>
  <c r="M577" i="54"/>
  <c r="M574" i="54"/>
  <c r="M612" i="54"/>
  <c r="M749" i="54"/>
  <c r="M746" i="54"/>
  <c r="M743" i="54"/>
  <c r="M740" i="54"/>
  <c r="M737" i="54"/>
  <c r="M734" i="54"/>
  <c r="M731" i="54"/>
  <c r="M728" i="54"/>
  <c r="M725" i="54"/>
  <c r="M719" i="54"/>
  <c r="M716" i="54"/>
  <c r="M713" i="54"/>
  <c r="M751" i="54"/>
  <c r="M809" i="54"/>
  <c r="M819" i="54"/>
  <c r="M847" i="54"/>
  <c r="M848" i="54"/>
  <c r="M39" i="70"/>
  <c r="M53" i="70"/>
  <c r="M100" i="72"/>
  <c r="N109" i="60"/>
  <c r="N117" i="60"/>
  <c r="N125" i="60"/>
  <c r="N133" i="60"/>
  <c r="N141" i="60"/>
  <c r="N149" i="60"/>
  <c r="N157" i="60"/>
  <c r="N159" i="60"/>
  <c r="N249" i="60"/>
  <c r="N50" i="70"/>
  <c r="N1116" i="68"/>
  <c r="N1117" i="68"/>
  <c r="N1118" i="68"/>
  <c r="N1119" i="68"/>
  <c r="N1120" i="68"/>
  <c r="N1121" i="68"/>
  <c r="N1122" i="68"/>
  <c r="N1123" i="68"/>
  <c r="N1124" i="68"/>
  <c r="N1125" i="68"/>
  <c r="N1126" i="68"/>
  <c r="N1127" i="68"/>
  <c r="N1128" i="68"/>
  <c r="N43" i="69"/>
  <c r="N42" i="69"/>
  <c r="N44" i="69"/>
  <c r="N45" i="69"/>
  <c r="N57" i="69"/>
  <c r="N63" i="69"/>
  <c r="N82" i="69"/>
  <c r="N95" i="69"/>
  <c r="N114" i="69"/>
  <c r="N42" i="70"/>
  <c r="N86" i="58"/>
  <c r="N87" i="58"/>
  <c r="N88" i="58"/>
  <c r="N89" i="58"/>
  <c r="N90" i="58"/>
  <c r="N91" i="58"/>
  <c r="N92" i="58"/>
  <c r="N93" i="58"/>
  <c r="N94" i="58"/>
  <c r="N95" i="58"/>
  <c r="N96" i="58"/>
  <c r="N97" i="58"/>
  <c r="N98" i="58"/>
  <c r="N1002" i="58"/>
  <c r="N819" i="58"/>
  <c r="N831" i="58"/>
  <c r="N1007" i="58"/>
  <c r="N901" i="58"/>
  <c r="N902" i="58"/>
  <c r="N903" i="58"/>
  <c r="N904" i="58"/>
  <c r="N905" i="58"/>
  <c r="N906" i="58"/>
  <c r="N907" i="58"/>
  <c r="N908" i="58"/>
  <c r="N909" i="58"/>
  <c r="N910" i="58"/>
  <c r="N911" i="58"/>
  <c r="N912" i="58"/>
  <c r="N913" i="58"/>
  <c r="N1008" i="58"/>
  <c r="N242" i="58"/>
  <c r="N243" i="58"/>
  <c r="N244" i="58"/>
  <c r="N245" i="58"/>
  <c r="N246" i="58"/>
  <c r="N247" i="58"/>
  <c r="N248" i="58"/>
  <c r="N249" i="58"/>
  <c r="N250" i="58"/>
  <c r="N251" i="58"/>
  <c r="N252" i="58"/>
  <c r="N253" i="58"/>
  <c r="N254" i="58"/>
  <c r="N1003" i="58"/>
  <c r="N404" i="58"/>
  <c r="N405" i="58"/>
  <c r="N406" i="58"/>
  <c r="N407" i="58"/>
  <c r="N408" i="58"/>
  <c r="N409" i="58"/>
  <c r="N410" i="58"/>
  <c r="N411" i="58"/>
  <c r="N412" i="58"/>
  <c r="N413" i="58"/>
  <c r="N414" i="58"/>
  <c r="N415" i="58"/>
  <c r="N416" i="58"/>
  <c r="N1004" i="58"/>
  <c r="N564" i="58"/>
  <c r="N565" i="58"/>
  <c r="N566" i="58"/>
  <c r="N567" i="58"/>
  <c r="N568" i="58"/>
  <c r="N569" i="58"/>
  <c r="N570" i="58"/>
  <c r="N571" i="58"/>
  <c r="N572" i="58"/>
  <c r="N573" i="58"/>
  <c r="N574" i="58"/>
  <c r="N575" i="58"/>
  <c r="N576" i="58"/>
  <c r="N1005" i="58"/>
  <c r="N725" i="58"/>
  <c r="N726" i="58"/>
  <c r="N727" i="58"/>
  <c r="N728" i="58"/>
  <c r="N729" i="58"/>
  <c r="N730" i="58"/>
  <c r="N731" i="58"/>
  <c r="N732" i="58"/>
  <c r="N733" i="58"/>
  <c r="N734" i="58"/>
  <c r="N735" i="58"/>
  <c r="N736" i="58"/>
  <c r="N737" i="58"/>
  <c r="N1006" i="58"/>
  <c r="N1009" i="58"/>
  <c r="N29" i="70"/>
  <c r="N35" i="47"/>
  <c r="N37" i="47"/>
  <c r="N41" i="47"/>
  <c r="N69" i="47"/>
  <c r="N30" i="70"/>
  <c r="N73" i="20"/>
  <c r="N173" i="20"/>
  <c r="N244" i="20"/>
  <c r="N74" i="20"/>
  <c r="N174" i="20"/>
  <c r="N245" i="20"/>
  <c r="N75" i="20"/>
  <c r="N175" i="20"/>
  <c r="N246" i="20"/>
  <c r="N76" i="20"/>
  <c r="N176" i="20"/>
  <c r="N247" i="20"/>
  <c r="N77" i="20"/>
  <c r="N177" i="20"/>
  <c r="N248" i="20"/>
  <c r="N78" i="20"/>
  <c r="N178" i="20"/>
  <c r="N249" i="20"/>
  <c r="N79" i="20"/>
  <c r="N179" i="20"/>
  <c r="N250" i="20"/>
  <c r="N80" i="20"/>
  <c r="N180" i="20"/>
  <c r="N251" i="20"/>
  <c r="N81" i="20"/>
  <c r="N181" i="20"/>
  <c r="N252" i="20"/>
  <c r="N82" i="20"/>
  <c r="N182" i="20"/>
  <c r="N253" i="20"/>
  <c r="N83" i="20"/>
  <c r="N183" i="20"/>
  <c r="N254" i="20"/>
  <c r="N84" i="20"/>
  <c r="N184" i="20"/>
  <c r="N255" i="20"/>
  <c r="N256" i="20"/>
  <c r="N341" i="20"/>
  <c r="N28" i="70"/>
  <c r="N31" i="70"/>
  <c r="N82" i="66"/>
  <c r="N109" i="29"/>
  <c r="N113" i="29"/>
  <c r="N70" i="66"/>
  <c r="N120" i="29"/>
  <c r="N124" i="29"/>
  <c r="N94" i="66"/>
  <c r="N131" i="29"/>
  <c r="N135" i="29"/>
  <c r="N106" i="66"/>
  <c r="N142" i="29"/>
  <c r="N146" i="29"/>
  <c r="N118" i="66"/>
  <c r="N153" i="29"/>
  <c r="N157" i="29"/>
  <c r="N130" i="66"/>
  <c r="N164" i="29"/>
  <c r="N168" i="29"/>
  <c r="N142" i="66"/>
  <c r="N175" i="29"/>
  <c r="N179" i="29"/>
  <c r="N154" i="66"/>
  <c r="N186" i="29"/>
  <c r="N190" i="29"/>
  <c r="N166" i="66"/>
  <c r="N197" i="29"/>
  <c r="N201" i="29"/>
  <c r="N178" i="66"/>
  <c r="N208" i="29"/>
  <c r="N212" i="29"/>
  <c r="N190" i="66"/>
  <c r="N219" i="29"/>
  <c r="N223" i="29"/>
  <c r="N202" i="66"/>
  <c r="N230" i="29"/>
  <c r="N234" i="29"/>
  <c r="N387" i="29"/>
  <c r="N45" i="70"/>
  <c r="N18" i="54"/>
  <c r="N35" i="54"/>
  <c r="N843" i="54"/>
  <c r="N52" i="54"/>
  <c r="N844" i="54"/>
  <c r="N137" i="54"/>
  <c r="N138" i="54"/>
  <c r="N133" i="54"/>
  <c r="N134" i="54"/>
  <c r="N129" i="54"/>
  <c r="N130" i="54"/>
  <c r="N125" i="54"/>
  <c r="N126" i="54"/>
  <c r="N120" i="54"/>
  <c r="N121" i="54"/>
  <c r="N116" i="54"/>
  <c r="N117" i="54"/>
  <c r="N112" i="54"/>
  <c r="N113" i="54"/>
  <c r="N140" i="54"/>
  <c r="N845" i="54"/>
  <c r="N351" i="54"/>
  <c r="N268" i="54"/>
  <c r="N265" i="54"/>
  <c r="N262" i="54"/>
  <c r="N259" i="54"/>
  <c r="N256" i="54"/>
  <c r="N253" i="54"/>
  <c r="N250" i="54"/>
  <c r="N247" i="54"/>
  <c r="N244" i="54"/>
  <c r="N238" i="54"/>
  <c r="N235" i="54"/>
  <c r="N232" i="54"/>
  <c r="N270" i="54"/>
  <c r="N333" i="54"/>
  <c r="N365" i="54"/>
  <c r="N846" i="54"/>
  <c r="N465" i="54"/>
  <c r="N462" i="54"/>
  <c r="N459" i="54"/>
  <c r="N456" i="54"/>
  <c r="N453" i="54"/>
  <c r="N450" i="54"/>
  <c r="N447" i="54"/>
  <c r="N444" i="54"/>
  <c r="N441" i="54"/>
  <c r="N435" i="54"/>
  <c r="N432" i="54"/>
  <c r="N429" i="54"/>
  <c r="N467" i="54"/>
  <c r="N610" i="54"/>
  <c r="N607" i="54"/>
  <c r="N604" i="54"/>
  <c r="N601" i="54"/>
  <c r="N598" i="54"/>
  <c r="N595" i="54"/>
  <c r="N592" i="54"/>
  <c r="N589" i="54"/>
  <c r="N586" i="54"/>
  <c r="N580" i="54"/>
  <c r="N577" i="54"/>
  <c r="N574" i="54"/>
  <c r="N612" i="54"/>
  <c r="N749" i="54"/>
  <c r="N746" i="54"/>
  <c r="N743" i="54"/>
  <c r="N740" i="54"/>
  <c r="N737" i="54"/>
  <c r="N734" i="54"/>
  <c r="N731" i="54"/>
  <c r="N728" i="54"/>
  <c r="N725" i="54"/>
  <c r="N719" i="54"/>
  <c r="N716" i="54"/>
  <c r="N713" i="54"/>
  <c r="N751" i="54"/>
  <c r="N809" i="54"/>
  <c r="N819" i="54"/>
  <c r="N847" i="54"/>
  <c r="N848" i="54"/>
  <c r="N39" i="70"/>
  <c r="N53" i="70"/>
  <c r="N100" i="72"/>
  <c r="E83" i="66"/>
  <c r="E110" i="29"/>
  <c r="E114" i="29"/>
  <c r="E71" i="66"/>
  <c r="E121" i="29"/>
  <c r="E125" i="29"/>
  <c r="E95" i="66"/>
  <c r="E132" i="29"/>
  <c r="E136" i="29"/>
  <c r="E107" i="66"/>
  <c r="E143" i="29"/>
  <c r="E147" i="29"/>
  <c r="E119" i="66"/>
  <c r="E154" i="29"/>
  <c r="E158" i="29"/>
  <c r="E131" i="66"/>
  <c r="E165" i="29"/>
  <c r="E169" i="29"/>
  <c r="E143" i="66"/>
  <c r="E176" i="29"/>
  <c r="E180" i="29"/>
  <c r="E155" i="66"/>
  <c r="E187" i="29"/>
  <c r="E191" i="29"/>
  <c r="E167" i="66"/>
  <c r="E198" i="29"/>
  <c r="E202" i="29"/>
  <c r="E179" i="66"/>
  <c r="E209" i="29"/>
  <c r="E213" i="29"/>
  <c r="E191" i="66"/>
  <c r="E220" i="29"/>
  <c r="E224" i="29"/>
  <c r="E203" i="66"/>
  <c r="E231" i="29"/>
  <c r="E235" i="29"/>
  <c r="E388" i="29"/>
  <c r="E46" i="70"/>
  <c r="E54" i="70"/>
  <c r="E101" i="72"/>
  <c r="F83" i="66"/>
  <c r="F110" i="29"/>
  <c r="F114" i="29"/>
  <c r="F71" i="66"/>
  <c r="F121" i="29"/>
  <c r="F125" i="29"/>
  <c r="F95" i="66"/>
  <c r="F132" i="29"/>
  <c r="F136" i="29"/>
  <c r="F107" i="66"/>
  <c r="F143" i="29"/>
  <c r="F147" i="29"/>
  <c r="F119" i="66"/>
  <c r="F154" i="29"/>
  <c r="F158" i="29"/>
  <c r="F131" i="66"/>
  <c r="F165" i="29"/>
  <c r="F169" i="29"/>
  <c r="F143" i="66"/>
  <c r="F176" i="29"/>
  <c r="F180" i="29"/>
  <c r="F155" i="66"/>
  <c r="F187" i="29"/>
  <c r="F191" i="29"/>
  <c r="F167" i="66"/>
  <c r="F198" i="29"/>
  <c r="F202" i="29"/>
  <c r="F179" i="66"/>
  <c r="F209" i="29"/>
  <c r="F213" i="29"/>
  <c r="F191" i="66"/>
  <c r="F220" i="29"/>
  <c r="F224" i="29"/>
  <c r="F203" i="66"/>
  <c r="F231" i="29"/>
  <c r="F235" i="29"/>
  <c r="F388" i="29"/>
  <c r="F46" i="70"/>
  <c r="F54" i="70"/>
  <c r="F101" i="72"/>
  <c r="G83" i="66"/>
  <c r="G110" i="29"/>
  <c r="G114" i="29"/>
  <c r="G71" i="66"/>
  <c r="G121" i="29"/>
  <c r="G125" i="29"/>
  <c r="G95" i="66"/>
  <c r="G132" i="29"/>
  <c r="G136" i="29"/>
  <c r="G107" i="66"/>
  <c r="G143" i="29"/>
  <c r="G147" i="29"/>
  <c r="G119" i="66"/>
  <c r="G154" i="29"/>
  <c r="G158" i="29"/>
  <c r="G131" i="66"/>
  <c r="G165" i="29"/>
  <c r="G169" i="29"/>
  <c r="G143" i="66"/>
  <c r="G176" i="29"/>
  <c r="G180" i="29"/>
  <c r="G155" i="66"/>
  <c r="G187" i="29"/>
  <c r="G191" i="29"/>
  <c r="G167" i="66"/>
  <c r="G198" i="29"/>
  <c r="G202" i="29"/>
  <c r="G179" i="66"/>
  <c r="G209" i="29"/>
  <c r="G213" i="29"/>
  <c r="G191" i="66"/>
  <c r="G220" i="29"/>
  <c r="G224" i="29"/>
  <c r="G203" i="66"/>
  <c r="G231" i="29"/>
  <c r="G235" i="29"/>
  <c r="G388" i="29"/>
  <c r="G46" i="70"/>
  <c r="G54" i="70"/>
  <c r="G101" i="72"/>
  <c r="H83" i="66"/>
  <c r="H110" i="29"/>
  <c r="H114" i="29"/>
  <c r="H71" i="66"/>
  <c r="H121" i="29"/>
  <c r="H125" i="29"/>
  <c r="H95" i="66"/>
  <c r="H132" i="29"/>
  <c r="H136" i="29"/>
  <c r="H107" i="66"/>
  <c r="H143" i="29"/>
  <c r="H147" i="29"/>
  <c r="H119" i="66"/>
  <c r="H154" i="29"/>
  <c r="H158" i="29"/>
  <c r="H131" i="66"/>
  <c r="H165" i="29"/>
  <c r="H169" i="29"/>
  <c r="H143" i="66"/>
  <c r="H176" i="29"/>
  <c r="H180" i="29"/>
  <c r="H155" i="66"/>
  <c r="H187" i="29"/>
  <c r="H191" i="29"/>
  <c r="H167" i="66"/>
  <c r="H198" i="29"/>
  <c r="H202" i="29"/>
  <c r="H179" i="66"/>
  <c r="H209" i="29"/>
  <c r="H213" i="29"/>
  <c r="H191" i="66"/>
  <c r="H220" i="29"/>
  <c r="H224" i="29"/>
  <c r="H203" i="66"/>
  <c r="H231" i="29"/>
  <c r="H235" i="29"/>
  <c r="H388" i="29"/>
  <c r="H46" i="70"/>
  <c r="H54" i="70"/>
  <c r="H101" i="72"/>
  <c r="I83" i="66"/>
  <c r="I110" i="29"/>
  <c r="I114" i="29"/>
  <c r="I71" i="66"/>
  <c r="I121" i="29"/>
  <c r="I125" i="29"/>
  <c r="I95" i="66"/>
  <c r="I132" i="29"/>
  <c r="I136" i="29"/>
  <c r="I107" i="66"/>
  <c r="I143" i="29"/>
  <c r="I147" i="29"/>
  <c r="I119" i="66"/>
  <c r="I154" i="29"/>
  <c r="I158" i="29"/>
  <c r="I131" i="66"/>
  <c r="I165" i="29"/>
  <c r="I169" i="29"/>
  <c r="I143" i="66"/>
  <c r="I176" i="29"/>
  <c r="I180" i="29"/>
  <c r="I155" i="66"/>
  <c r="I187" i="29"/>
  <c r="I191" i="29"/>
  <c r="I167" i="66"/>
  <c r="I198" i="29"/>
  <c r="I202" i="29"/>
  <c r="I179" i="66"/>
  <c r="I209" i="29"/>
  <c r="I213" i="29"/>
  <c r="I191" i="66"/>
  <c r="I220" i="29"/>
  <c r="I224" i="29"/>
  <c r="I203" i="66"/>
  <c r="I231" i="29"/>
  <c r="I235" i="29"/>
  <c r="I388" i="29"/>
  <c r="I46" i="70"/>
  <c r="I54" i="70"/>
  <c r="I101" i="72"/>
  <c r="J83" i="66"/>
  <c r="J110" i="29"/>
  <c r="J114" i="29"/>
  <c r="J71" i="66"/>
  <c r="J121" i="29"/>
  <c r="J125" i="29"/>
  <c r="J95" i="66"/>
  <c r="J132" i="29"/>
  <c r="J136" i="29"/>
  <c r="J107" i="66"/>
  <c r="J143" i="29"/>
  <c r="J147" i="29"/>
  <c r="J119" i="66"/>
  <c r="J154" i="29"/>
  <c r="J158" i="29"/>
  <c r="J131" i="66"/>
  <c r="J165" i="29"/>
  <c r="J169" i="29"/>
  <c r="J143" i="66"/>
  <c r="J176" i="29"/>
  <c r="J180" i="29"/>
  <c r="J155" i="66"/>
  <c r="J187" i="29"/>
  <c r="J191" i="29"/>
  <c r="J167" i="66"/>
  <c r="J198" i="29"/>
  <c r="J202" i="29"/>
  <c r="J179" i="66"/>
  <c r="J209" i="29"/>
  <c r="J213" i="29"/>
  <c r="J191" i="66"/>
  <c r="J220" i="29"/>
  <c r="J224" i="29"/>
  <c r="J203" i="66"/>
  <c r="J231" i="29"/>
  <c r="J235" i="29"/>
  <c r="J388" i="29"/>
  <c r="J46" i="70"/>
  <c r="J54" i="70"/>
  <c r="J101" i="72"/>
  <c r="K83" i="66"/>
  <c r="K110" i="29"/>
  <c r="K114" i="29"/>
  <c r="K71" i="66"/>
  <c r="K121" i="29"/>
  <c r="K125" i="29"/>
  <c r="K95" i="66"/>
  <c r="K132" i="29"/>
  <c r="K136" i="29"/>
  <c r="K107" i="66"/>
  <c r="K143" i="29"/>
  <c r="K147" i="29"/>
  <c r="K119" i="66"/>
  <c r="K154" i="29"/>
  <c r="K158" i="29"/>
  <c r="K131" i="66"/>
  <c r="K165" i="29"/>
  <c r="K169" i="29"/>
  <c r="K143" i="66"/>
  <c r="K176" i="29"/>
  <c r="K180" i="29"/>
  <c r="K155" i="66"/>
  <c r="K187" i="29"/>
  <c r="K191" i="29"/>
  <c r="K167" i="66"/>
  <c r="K198" i="29"/>
  <c r="K202" i="29"/>
  <c r="K179" i="66"/>
  <c r="K209" i="29"/>
  <c r="K213" i="29"/>
  <c r="K191" i="66"/>
  <c r="K220" i="29"/>
  <c r="K224" i="29"/>
  <c r="K203" i="66"/>
  <c r="K231" i="29"/>
  <c r="K235" i="29"/>
  <c r="K388" i="29"/>
  <c r="K46" i="70"/>
  <c r="K54" i="70"/>
  <c r="K101" i="72"/>
  <c r="L83" i="66"/>
  <c r="L110" i="29"/>
  <c r="L114" i="29"/>
  <c r="L71" i="66"/>
  <c r="L121" i="29"/>
  <c r="L125" i="29"/>
  <c r="L95" i="66"/>
  <c r="L132" i="29"/>
  <c r="L136" i="29"/>
  <c r="L107" i="66"/>
  <c r="L143" i="29"/>
  <c r="L147" i="29"/>
  <c r="L119" i="66"/>
  <c r="L154" i="29"/>
  <c r="L158" i="29"/>
  <c r="L131" i="66"/>
  <c r="L165" i="29"/>
  <c r="L169" i="29"/>
  <c r="L143" i="66"/>
  <c r="L176" i="29"/>
  <c r="L180" i="29"/>
  <c r="L155" i="66"/>
  <c r="L187" i="29"/>
  <c r="L191" i="29"/>
  <c r="L167" i="66"/>
  <c r="L198" i="29"/>
  <c r="L202" i="29"/>
  <c r="L179" i="66"/>
  <c r="L209" i="29"/>
  <c r="L213" i="29"/>
  <c r="L191" i="66"/>
  <c r="L220" i="29"/>
  <c r="L224" i="29"/>
  <c r="L203" i="66"/>
  <c r="L231" i="29"/>
  <c r="L235" i="29"/>
  <c r="L388" i="29"/>
  <c r="L46" i="70"/>
  <c r="L54" i="70"/>
  <c r="L101" i="72"/>
  <c r="M83" i="66"/>
  <c r="M110" i="29"/>
  <c r="M114" i="29"/>
  <c r="M71" i="66"/>
  <c r="M121" i="29"/>
  <c r="M125" i="29"/>
  <c r="M95" i="66"/>
  <c r="M132" i="29"/>
  <c r="M136" i="29"/>
  <c r="M107" i="66"/>
  <c r="M143" i="29"/>
  <c r="M147" i="29"/>
  <c r="M119" i="66"/>
  <c r="M154" i="29"/>
  <c r="M158" i="29"/>
  <c r="M131" i="66"/>
  <c r="M165" i="29"/>
  <c r="M169" i="29"/>
  <c r="M143" i="66"/>
  <c r="M176" i="29"/>
  <c r="M180" i="29"/>
  <c r="M155" i="66"/>
  <c r="M187" i="29"/>
  <c r="M191" i="29"/>
  <c r="M167" i="66"/>
  <c r="M198" i="29"/>
  <c r="M202" i="29"/>
  <c r="M179" i="66"/>
  <c r="M209" i="29"/>
  <c r="M213" i="29"/>
  <c r="M191" i="66"/>
  <c r="M220" i="29"/>
  <c r="M224" i="29"/>
  <c r="M203" i="66"/>
  <c r="M231" i="29"/>
  <c r="M235" i="29"/>
  <c r="M388" i="29"/>
  <c r="M46" i="70"/>
  <c r="M54" i="70"/>
  <c r="M101" i="72"/>
  <c r="N83" i="66"/>
  <c r="N110" i="29"/>
  <c r="N114" i="29"/>
  <c r="N71" i="66"/>
  <c r="N121" i="29"/>
  <c r="N125" i="29"/>
  <c r="N95" i="66"/>
  <c r="N132" i="29"/>
  <c r="N136" i="29"/>
  <c r="N107" i="66"/>
  <c r="N143" i="29"/>
  <c r="N147" i="29"/>
  <c r="N119" i="66"/>
  <c r="N154" i="29"/>
  <c r="N158" i="29"/>
  <c r="N131" i="66"/>
  <c r="N165" i="29"/>
  <c r="N169" i="29"/>
  <c r="N143" i="66"/>
  <c r="N176" i="29"/>
  <c r="N180" i="29"/>
  <c r="N155" i="66"/>
  <c r="N187" i="29"/>
  <c r="N191" i="29"/>
  <c r="N167" i="66"/>
  <c r="N198" i="29"/>
  <c r="N202" i="29"/>
  <c r="N179" i="66"/>
  <c r="N209" i="29"/>
  <c r="N213" i="29"/>
  <c r="N191" i="66"/>
  <c r="N220" i="29"/>
  <c r="N224" i="29"/>
  <c r="N203" i="66"/>
  <c r="N231" i="29"/>
  <c r="N235" i="29"/>
  <c r="N388" i="29"/>
  <c r="N46" i="70"/>
  <c r="N54" i="70"/>
  <c r="N101" i="72"/>
  <c r="E84" i="66"/>
  <c r="E111" i="29"/>
  <c r="E115" i="29"/>
  <c r="E72" i="66"/>
  <c r="E122" i="29"/>
  <c r="E126" i="29"/>
  <c r="E96" i="66"/>
  <c r="E133" i="29"/>
  <c r="E137" i="29"/>
  <c r="E108" i="66"/>
  <c r="E144" i="29"/>
  <c r="E148" i="29"/>
  <c r="E120" i="66"/>
  <c r="E155" i="29"/>
  <c r="E159" i="29"/>
  <c r="E132" i="66"/>
  <c r="E166" i="29"/>
  <c r="E170" i="29"/>
  <c r="E144" i="66"/>
  <c r="E177" i="29"/>
  <c r="E181" i="29"/>
  <c r="E156" i="66"/>
  <c r="E188" i="29"/>
  <c r="E192" i="29"/>
  <c r="E168" i="66"/>
  <c r="E199" i="29"/>
  <c r="E203" i="29"/>
  <c r="E180" i="66"/>
  <c r="E210" i="29"/>
  <c r="E214" i="29"/>
  <c r="E192" i="66"/>
  <c r="E221" i="29"/>
  <c r="E225" i="29"/>
  <c r="E204" i="66"/>
  <c r="E232" i="29"/>
  <c r="E236" i="29"/>
  <c r="E389" i="29"/>
  <c r="E47" i="70"/>
  <c r="E55" i="70"/>
  <c r="E102" i="72"/>
  <c r="F84" i="66"/>
  <c r="F111" i="29"/>
  <c r="F115" i="29"/>
  <c r="F72" i="66"/>
  <c r="F122" i="29"/>
  <c r="F126" i="29"/>
  <c r="F96" i="66"/>
  <c r="F133" i="29"/>
  <c r="F137" i="29"/>
  <c r="F108" i="66"/>
  <c r="F144" i="29"/>
  <c r="F148" i="29"/>
  <c r="F120" i="66"/>
  <c r="F155" i="29"/>
  <c r="F159" i="29"/>
  <c r="F132" i="66"/>
  <c r="F166" i="29"/>
  <c r="F170" i="29"/>
  <c r="F144" i="66"/>
  <c r="F177" i="29"/>
  <c r="F181" i="29"/>
  <c r="F156" i="66"/>
  <c r="F188" i="29"/>
  <c r="F192" i="29"/>
  <c r="F168" i="66"/>
  <c r="F199" i="29"/>
  <c r="F203" i="29"/>
  <c r="F180" i="66"/>
  <c r="F210" i="29"/>
  <c r="F214" i="29"/>
  <c r="F192" i="66"/>
  <c r="F221" i="29"/>
  <c r="F225" i="29"/>
  <c r="F204" i="66"/>
  <c r="F232" i="29"/>
  <c r="F236" i="29"/>
  <c r="F389" i="29"/>
  <c r="F47" i="70"/>
  <c r="F55" i="70"/>
  <c r="F102" i="72"/>
  <c r="G84" i="66"/>
  <c r="G111" i="29"/>
  <c r="G115" i="29"/>
  <c r="G72" i="66"/>
  <c r="G122" i="29"/>
  <c r="G126" i="29"/>
  <c r="G96" i="66"/>
  <c r="G133" i="29"/>
  <c r="G137" i="29"/>
  <c r="G108" i="66"/>
  <c r="G144" i="29"/>
  <c r="G148" i="29"/>
  <c r="G120" i="66"/>
  <c r="G155" i="29"/>
  <c r="G159" i="29"/>
  <c r="G132" i="66"/>
  <c r="G166" i="29"/>
  <c r="G170" i="29"/>
  <c r="G144" i="66"/>
  <c r="G177" i="29"/>
  <c r="G181" i="29"/>
  <c r="G156" i="66"/>
  <c r="G188" i="29"/>
  <c r="G192" i="29"/>
  <c r="G168" i="66"/>
  <c r="G199" i="29"/>
  <c r="G203" i="29"/>
  <c r="G180" i="66"/>
  <c r="G210" i="29"/>
  <c r="G214" i="29"/>
  <c r="G192" i="66"/>
  <c r="G221" i="29"/>
  <c r="G225" i="29"/>
  <c r="G204" i="66"/>
  <c r="G232" i="29"/>
  <c r="G236" i="29"/>
  <c r="G389" i="29"/>
  <c r="G47" i="70"/>
  <c r="G55" i="70"/>
  <c r="G102" i="72"/>
  <c r="H84" i="66"/>
  <c r="H111" i="29"/>
  <c r="H115" i="29"/>
  <c r="H72" i="66"/>
  <c r="H122" i="29"/>
  <c r="H126" i="29"/>
  <c r="H96" i="66"/>
  <c r="H133" i="29"/>
  <c r="H137" i="29"/>
  <c r="H108" i="66"/>
  <c r="H144" i="29"/>
  <c r="H148" i="29"/>
  <c r="H120" i="66"/>
  <c r="H155" i="29"/>
  <c r="H159" i="29"/>
  <c r="H132" i="66"/>
  <c r="H166" i="29"/>
  <c r="H170" i="29"/>
  <c r="H144" i="66"/>
  <c r="H177" i="29"/>
  <c r="H181" i="29"/>
  <c r="H156" i="66"/>
  <c r="H188" i="29"/>
  <c r="H192" i="29"/>
  <c r="H168" i="66"/>
  <c r="H199" i="29"/>
  <c r="H203" i="29"/>
  <c r="H180" i="66"/>
  <c r="H210" i="29"/>
  <c r="H214" i="29"/>
  <c r="H192" i="66"/>
  <c r="H221" i="29"/>
  <c r="H225" i="29"/>
  <c r="H204" i="66"/>
  <c r="H232" i="29"/>
  <c r="H236" i="29"/>
  <c r="H389" i="29"/>
  <c r="H47" i="70"/>
  <c r="H55" i="70"/>
  <c r="H102" i="72"/>
  <c r="I84" i="66"/>
  <c r="I111" i="29"/>
  <c r="I115" i="29"/>
  <c r="I72" i="66"/>
  <c r="I122" i="29"/>
  <c r="I126" i="29"/>
  <c r="I96" i="66"/>
  <c r="I133" i="29"/>
  <c r="I137" i="29"/>
  <c r="I108" i="66"/>
  <c r="I144" i="29"/>
  <c r="I148" i="29"/>
  <c r="I120" i="66"/>
  <c r="I155" i="29"/>
  <c r="I159" i="29"/>
  <c r="I132" i="66"/>
  <c r="I166" i="29"/>
  <c r="I170" i="29"/>
  <c r="I144" i="66"/>
  <c r="I177" i="29"/>
  <c r="I181" i="29"/>
  <c r="I156" i="66"/>
  <c r="I188" i="29"/>
  <c r="I192" i="29"/>
  <c r="I168" i="66"/>
  <c r="I199" i="29"/>
  <c r="I203" i="29"/>
  <c r="I180" i="66"/>
  <c r="I210" i="29"/>
  <c r="I214" i="29"/>
  <c r="I192" i="66"/>
  <c r="I221" i="29"/>
  <c r="I225" i="29"/>
  <c r="I204" i="66"/>
  <c r="I232" i="29"/>
  <c r="I236" i="29"/>
  <c r="I389" i="29"/>
  <c r="I47" i="70"/>
  <c r="I55" i="70"/>
  <c r="I102" i="72"/>
  <c r="J84" i="66"/>
  <c r="J111" i="29"/>
  <c r="J115" i="29"/>
  <c r="J72" i="66"/>
  <c r="J122" i="29"/>
  <c r="J126" i="29"/>
  <c r="J96" i="66"/>
  <c r="J133" i="29"/>
  <c r="J137" i="29"/>
  <c r="J108" i="66"/>
  <c r="J144" i="29"/>
  <c r="J148" i="29"/>
  <c r="J120" i="66"/>
  <c r="J155" i="29"/>
  <c r="J159" i="29"/>
  <c r="J132" i="66"/>
  <c r="J166" i="29"/>
  <c r="J170" i="29"/>
  <c r="J144" i="66"/>
  <c r="J177" i="29"/>
  <c r="J181" i="29"/>
  <c r="J156" i="66"/>
  <c r="J188" i="29"/>
  <c r="J192" i="29"/>
  <c r="J168" i="66"/>
  <c r="J199" i="29"/>
  <c r="J203" i="29"/>
  <c r="J180" i="66"/>
  <c r="J210" i="29"/>
  <c r="J214" i="29"/>
  <c r="J192" i="66"/>
  <c r="J221" i="29"/>
  <c r="J225" i="29"/>
  <c r="J204" i="66"/>
  <c r="J232" i="29"/>
  <c r="J236" i="29"/>
  <c r="J389" i="29"/>
  <c r="J47" i="70"/>
  <c r="J55" i="70"/>
  <c r="J102" i="72"/>
  <c r="K84" i="66"/>
  <c r="K111" i="29"/>
  <c r="K115" i="29"/>
  <c r="K72" i="66"/>
  <c r="K122" i="29"/>
  <c r="K126" i="29"/>
  <c r="K96" i="66"/>
  <c r="K133" i="29"/>
  <c r="K137" i="29"/>
  <c r="K108" i="66"/>
  <c r="K144" i="29"/>
  <c r="K148" i="29"/>
  <c r="K120" i="66"/>
  <c r="K155" i="29"/>
  <c r="K159" i="29"/>
  <c r="K132" i="66"/>
  <c r="K166" i="29"/>
  <c r="K170" i="29"/>
  <c r="K144" i="66"/>
  <c r="K177" i="29"/>
  <c r="K181" i="29"/>
  <c r="K156" i="66"/>
  <c r="K188" i="29"/>
  <c r="K192" i="29"/>
  <c r="K168" i="66"/>
  <c r="K199" i="29"/>
  <c r="K203" i="29"/>
  <c r="K180" i="66"/>
  <c r="K210" i="29"/>
  <c r="K214" i="29"/>
  <c r="K192" i="66"/>
  <c r="K221" i="29"/>
  <c r="K225" i="29"/>
  <c r="K204" i="66"/>
  <c r="K232" i="29"/>
  <c r="K236" i="29"/>
  <c r="K389" i="29"/>
  <c r="K47" i="70"/>
  <c r="K55" i="70"/>
  <c r="K102" i="72"/>
  <c r="L84" i="66"/>
  <c r="L111" i="29"/>
  <c r="L115" i="29"/>
  <c r="L72" i="66"/>
  <c r="L122" i="29"/>
  <c r="L126" i="29"/>
  <c r="L96" i="66"/>
  <c r="L133" i="29"/>
  <c r="L137" i="29"/>
  <c r="L108" i="66"/>
  <c r="L144" i="29"/>
  <c r="L148" i="29"/>
  <c r="L120" i="66"/>
  <c r="L155" i="29"/>
  <c r="L159" i="29"/>
  <c r="L132" i="66"/>
  <c r="L166" i="29"/>
  <c r="L170" i="29"/>
  <c r="L144" i="66"/>
  <c r="L177" i="29"/>
  <c r="L181" i="29"/>
  <c r="L156" i="66"/>
  <c r="L188" i="29"/>
  <c r="L192" i="29"/>
  <c r="L168" i="66"/>
  <c r="L199" i="29"/>
  <c r="L203" i="29"/>
  <c r="L180" i="66"/>
  <c r="L210" i="29"/>
  <c r="L214" i="29"/>
  <c r="L192" i="66"/>
  <c r="L221" i="29"/>
  <c r="L225" i="29"/>
  <c r="L204" i="66"/>
  <c r="L232" i="29"/>
  <c r="L236" i="29"/>
  <c r="L389" i="29"/>
  <c r="L47" i="70"/>
  <c r="L55" i="70"/>
  <c r="L102" i="72"/>
  <c r="M84" i="66"/>
  <c r="M111" i="29"/>
  <c r="M115" i="29"/>
  <c r="M72" i="66"/>
  <c r="M122" i="29"/>
  <c r="M126" i="29"/>
  <c r="M96" i="66"/>
  <c r="M133" i="29"/>
  <c r="M137" i="29"/>
  <c r="M108" i="66"/>
  <c r="M144" i="29"/>
  <c r="M148" i="29"/>
  <c r="M120" i="66"/>
  <c r="M155" i="29"/>
  <c r="M159" i="29"/>
  <c r="M132" i="66"/>
  <c r="M166" i="29"/>
  <c r="M170" i="29"/>
  <c r="M144" i="66"/>
  <c r="M177" i="29"/>
  <c r="M181" i="29"/>
  <c r="M156" i="66"/>
  <c r="M188" i="29"/>
  <c r="M192" i="29"/>
  <c r="M168" i="66"/>
  <c r="M199" i="29"/>
  <c r="M203" i="29"/>
  <c r="M180" i="66"/>
  <c r="M210" i="29"/>
  <c r="M214" i="29"/>
  <c r="M192" i="66"/>
  <c r="M221" i="29"/>
  <c r="M225" i="29"/>
  <c r="M204" i="66"/>
  <c r="M232" i="29"/>
  <c r="M236" i="29"/>
  <c r="M389" i="29"/>
  <c r="M47" i="70"/>
  <c r="M55" i="70"/>
  <c r="M102" i="72"/>
  <c r="N84" i="66"/>
  <c r="N111" i="29"/>
  <c r="N115" i="29"/>
  <c r="N72" i="66"/>
  <c r="N122" i="29"/>
  <c r="N126" i="29"/>
  <c r="N96" i="66"/>
  <c r="N133" i="29"/>
  <c r="N137" i="29"/>
  <c r="N108" i="66"/>
  <c r="N144" i="29"/>
  <c r="N148" i="29"/>
  <c r="N120" i="66"/>
  <c r="N155" i="29"/>
  <c r="N159" i="29"/>
  <c r="N132" i="66"/>
  <c r="N166" i="29"/>
  <c r="N170" i="29"/>
  <c r="N144" i="66"/>
  <c r="N177" i="29"/>
  <c r="N181" i="29"/>
  <c r="N156" i="66"/>
  <c r="N188" i="29"/>
  <c r="N192" i="29"/>
  <c r="N168" i="66"/>
  <c r="N199" i="29"/>
  <c r="N203" i="29"/>
  <c r="N180" i="66"/>
  <c r="N210" i="29"/>
  <c r="N214" i="29"/>
  <c r="N192" i="66"/>
  <c r="N221" i="29"/>
  <c r="N225" i="29"/>
  <c r="N204" i="66"/>
  <c r="N232" i="29"/>
  <c r="N236" i="29"/>
  <c r="N389" i="29"/>
  <c r="N47" i="70"/>
  <c r="N55" i="70"/>
  <c r="N102" i="72"/>
  <c r="E104" i="72"/>
  <c r="F104" i="72"/>
  <c r="G104" i="72"/>
  <c r="H104" i="72"/>
  <c r="I104" i="72"/>
  <c r="J104" i="72"/>
  <c r="K104" i="72"/>
  <c r="L104" i="72"/>
  <c r="M104" i="72"/>
  <c r="N104" i="72"/>
  <c r="E105" i="72"/>
  <c r="F105" i="72"/>
  <c r="G105" i="72"/>
  <c r="H105" i="72"/>
  <c r="I105" i="72"/>
  <c r="J105" i="72"/>
  <c r="K105" i="72"/>
  <c r="L105" i="72"/>
  <c r="M105" i="72"/>
  <c r="N105" i="72"/>
  <c r="E106" i="72"/>
  <c r="F106" i="72"/>
  <c r="G106" i="72"/>
  <c r="H106" i="72"/>
  <c r="I106" i="72"/>
  <c r="J106" i="72"/>
  <c r="K106" i="72"/>
  <c r="L106" i="72"/>
  <c r="M106" i="72"/>
  <c r="N106" i="72"/>
  <c r="E42" i="2"/>
  <c r="E110" i="72"/>
  <c r="F42" i="2"/>
  <c r="F110" i="72"/>
  <c r="G42" i="2"/>
  <c r="G110" i="72"/>
  <c r="H42" i="2"/>
  <c r="H110" i="72"/>
  <c r="I42" i="2"/>
  <c r="I110" i="72"/>
  <c r="J42" i="2"/>
  <c r="J110" i="72"/>
  <c r="K42" i="2"/>
  <c r="K110" i="72"/>
  <c r="L42" i="2"/>
  <c r="L110" i="72"/>
  <c r="M42" i="2"/>
  <c r="M110" i="72"/>
  <c r="N42" i="2"/>
  <c r="N110" i="72"/>
  <c r="E58" i="70"/>
  <c r="E112" i="72"/>
  <c r="F58" i="70"/>
  <c r="F112" i="72"/>
  <c r="G58" i="70"/>
  <c r="G112" i="72"/>
  <c r="H58" i="70"/>
  <c r="H112" i="72"/>
  <c r="I58" i="70"/>
  <c r="I112" i="72"/>
  <c r="J58" i="70"/>
  <c r="J112" i="72"/>
  <c r="K58" i="70"/>
  <c r="K112" i="72"/>
  <c r="L58" i="70"/>
  <c r="L112" i="72"/>
  <c r="M58" i="70"/>
  <c r="M112" i="72"/>
  <c r="N58" i="70"/>
  <c r="N112" i="72"/>
  <c r="E59" i="70"/>
  <c r="E113" i="72"/>
  <c r="F59" i="70"/>
  <c r="F113" i="72"/>
  <c r="G59" i="70"/>
  <c r="G113" i="72"/>
  <c r="H59" i="70"/>
  <c r="H113" i="72"/>
  <c r="I59" i="70"/>
  <c r="I113" i="72"/>
  <c r="J59" i="70"/>
  <c r="J113" i="72"/>
  <c r="K59" i="70"/>
  <c r="K113" i="72"/>
  <c r="L59" i="70"/>
  <c r="L113" i="72"/>
  <c r="M59" i="70"/>
  <c r="M113" i="72"/>
  <c r="N59" i="70"/>
  <c r="N113" i="72"/>
  <c r="E60" i="70"/>
  <c r="E114" i="72"/>
  <c r="F60" i="70"/>
  <c r="F114" i="72"/>
  <c r="G60" i="70"/>
  <c r="G114" i="72"/>
  <c r="H60" i="70"/>
  <c r="H114" i="72"/>
  <c r="I60" i="70"/>
  <c r="I114" i="72"/>
  <c r="J60" i="70"/>
  <c r="J114" i="72"/>
  <c r="K60" i="70"/>
  <c r="K114" i="72"/>
  <c r="L60" i="70"/>
  <c r="L114" i="72"/>
  <c r="M60" i="70"/>
  <c r="M114" i="72"/>
  <c r="N60" i="70"/>
  <c r="N114" i="72"/>
  <c r="D106" i="72"/>
  <c r="D105" i="72"/>
  <c r="D104" i="72"/>
  <c r="D110" i="72"/>
  <c r="D114" i="72"/>
  <c r="D113" i="72"/>
  <c r="D112" i="72"/>
  <c r="D102" i="72"/>
  <c r="D101" i="72"/>
  <c r="D100" i="72"/>
  <c r="D98" i="72"/>
  <c r="E81" i="72"/>
  <c r="F81" i="72"/>
  <c r="G81" i="72"/>
  <c r="H81" i="72"/>
  <c r="I81" i="72"/>
  <c r="J81" i="72"/>
  <c r="K81" i="72"/>
  <c r="L81" i="72"/>
  <c r="M81" i="72"/>
  <c r="N81" i="72"/>
  <c r="E83" i="72"/>
  <c r="F83" i="72"/>
  <c r="G83" i="72"/>
  <c r="H83" i="72"/>
  <c r="I83" i="72"/>
  <c r="J83" i="72"/>
  <c r="K83" i="72"/>
  <c r="L83" i="72"/>
  <c r="M83" i="72"/>
  <c r="N83" i="72"/>
  <c r="E84" i="72"/>
  <c r="F84" i="72"/>
  <c r="G84" i="72"/>
  <c r="H84" i="72"/>
  <c r="I84" i="72"/>
  <c r="J84" i="72"/>
  <c r="K84" i="72"/>
  <c r="L84" i="72"/>
  <c r="M84" i="72"/>
  <c r="N84" i="72"/>
  <c r="E85" i="72"/>
  <c r="F85" i="72"/>
  <c r="G85" i="72"/>
  <c r="H85" i="72"/>
  <c r="I85" i="72"/>
  <c r="J85" i="72"/>
  <c r="K85" i="72"/>
  <c r="L85" i="72"/>
  <c r="M85" i="72"/>
  <c r="N85" i="72"/>
  <c r="E87" i="72"/>
  <c r="F87" i="72"/>
  <c r="G243" i="66"/>
  <c r="G246" i="29"/>
  <c r="G250" i="29"/>
  <c r="G231" i="66"/>
  <c r="G257" i="29"/>
  <c r="G261" i="29"/>
  <c r="G255" i="66"/>
  <c r="G268" i="29"/>
  <c r="G272" i="29"/>
  <c r="G267" i="66"/>
  <c r="G279" i="29"/>
  <c r="G283" i="29"/>
  <c r="G279" i="66"/>
  <c r="G290" i="29"/>
  <c r="G294" i="29"/>
  <c r="G291" i="66"/>
  <c r="G301" i="29"/>
  <c r="G305" i="29"/>
  <c r="G303" i="66"/>
  <c r="G312" i="29"/>
  <c r="G316" i="29"/>
  <c r="G315" i="66"/>
  <c r="G323" i="29"/>
  <c r="G327" i="29"/>
  <c r="G327" i="66"/>
  <c r="G334" i="29"/>
  <c r="G338" i="29"/>
  <c r="G339" i="66"/>
  <c r="G345" i="29"/>
  <c r="G349" i="29"/>
  <c r="G351" i="66"/>
  <c r="G356" i="29"/>
  <c r="G360" i="29"/>
  <c r="G363" i="66"/>
  <c r="G367" i="29"/>
  <c r="G371" i="29"/>
  <c r="G391" i="29"/>
  <c r="G87" i="72"/>
  <c r="H243" i="66"/>
  <c r="H246" i="29"/>
  <c r="H250" i="29"/>
  <c r="H231" i="66"/>
  <c r="H257" i="29"/>
  <c r="H261" i="29"/>
  <c r="H255" i="66"/>
  <c r="H268" i="29"/>
  <c r="H272" i="29"/>
  <c r="H267" i="66"/>
  <c r="H279" i="29"/>
  <c r="H283" i="29"/>
  <c r="H279" i="66"/>
  <c r="H290" i="29"/>
  <c r="H294" i="29"/>
  <c r="H291" i="66"/>
  <c r="H301" i="29"/>
  <c r="H305" i="29"/>
  <c r="H303" i="66"/>
  <c r="H312" i="29"/>
  <c r="H316" i="29"/>
  <c r="H315" i="66"/>
  <c r="H323" i="29"/>
  <c r="H327" i="29"/>
  <c r="H327" i="66"/>
  <c r="H334" i="29"/>
  <c r="H338" i="29"/>
  <c r="H339" i="66"/>
  <c r="H345" i="29"/>
  <c r="H349" i="29"/>
  <c r="H351" i="66"/>
  <c r="H356" i="29"/>
  <c r="H360" i="29"/>
  <c r="H363" i="66"/>
  <c r="H367" i="29"/>
  <c r="H371" i="29"/>
  <c r="H391" i="29"/>
  <c r="H87" i="72"/>
  <c r="I243" i="66"/>
  <c r="I246" i="29"/>
  <c r="I250" i="29"/>
  <c r="I231" i="66"/>
  <c r="I257" i="29"/>
  <c r="I261" i="29"/>
  <c r="I255" i="66"/>
  <c r="I268" i="29"/>
  <c r="I272" i="29"/>
  <c r="I267" i="66"/>
  <c r="I279" i="29"/>
  <c r="I283" i="29"/>
  <c r="I279" i="66"/>
  <c r="I290" i="29"/>
  <c r="I294" i="29"/>
  <c r="I291" i="66"/>
  <c r="I301" i="29"/>
  <c r="I305" i="29"/>
  <c r="I303" i="66"/>
  <c r="I312" i="29"/>
  <c r="I316" i="29"/>
  <c r="I315" i="66"/>
  <c r="I323" i="29"/>
  <c r="I327" i="29"/>
  <c r="I327" i="66"/>
  <c r="I334" i="29"/>
  <c r="I338" i="29"/>
  <c r="I339" i="66"/>
  <c r="I345" i="29"/>
  <c r="I349" i="29"/>
  <c r="I351" i="66"/>
  <c r="I356" i="29"/>
  <c r="I360" i="29"/>
  <c r="I363" i="66"/>
  <c r="I367" i="29"/>
  <c r="I371" i="29"/>
  <c r="I391" i="29"/>
  <c r="I87" i="72"/>
  <c r="J243" i="66"/>
  <c r="J246" i="29"/>
  <c r="J250" i="29"/>
  <c r="J231" i="66"/>
  <c r="J257" i="29"/>
  <c r="J261" i="29"/>
  <c r="J255" i="66"/>
  <c r="J268" i="29"/>
  <c r="J272" i="29"/>
  <c r="J267" i="66"/>
  <c r="J279" i="29"/>
  <c r="J283" i="29"/>
  <c r="J279" i="66"/>
  <c r="J290" i="29"/>
  <c r="J294" i="29"/>
  <c r="J291" i="66"/>
  <c r="J301" i="29"/>
  <c r="J305" i="29"/>
  <c r="J303" i="66"/>
  <c r="J312" i="29"/>
  <c r="J316" i="29"/>
  <c r="J315" i="66"/>
  <c r="J323" i="29"/>
  <c r="J327" i="29"/>
  <c r="J327" i="66"/>
  <c r="J334" i="29"/>
  <c r="J338" i="29"/>
  <c r="J339" i="66"/>
  <c r="J345" i="29"/>
  <c r="J349" i="29"/>
  <c r="J351" i="66"/>
  <c r="J356" i="29"/>
  <c r="J360" i="29"/>
  <c r="J363" i="66"/>
  <c r="J367" i="29"/>
  <c r="J371" i="29"/>
  <c r="J391" i="29"/>
  <c r="J87" i="72"/>
  <c r="K243" i="66"/>
  <c r="K246" i="29"/>
  <c r="K250" i="29"/>
  <c r="K231" i="66"/>
  <c r="K257" i="29"/>
  <c r="K261" i="29"/>
  <c r="K255" i="66"/>
  <c r="K268" i="29"/>
  <c r="K272" i="29"/>
  <c r="K267" i="66"/>
  <c r="K279" i="29"/>
  <c r="K283" i="29"/>
  <c r="K279" i="66"/>
  <c r="K290" i="29"/>
  <c r="K294" i="29"/>
  <c r="K291" i="66"/>
  <c r="K301" i="29"/>
  <c r="K305" i="29"/>
  <c r="K303" i="66"/>
  <c r="K312" i="29"/>
  <c r="K316" i="29"/>
  <c r="K315" i="66"/>
  <c r="K323" i="29"/>
  <c r="K327" i="29"/>
  <c r="K327" i="66"/>
  <c r="K334" i="29"/>
  <c r="K338" i="29"/>
  <c r="K339" i="66"/>
  <c r="K345" i="29"/>
  <c r="K349" i="29"/>
  <c r="K351" i="66"/>
  <c r="K356" i="29"/>
  <c r="K360" i="29"/>
  <c r="K363" i="66"/>
  <c r="K367" i="29"/>
  <c r="K371" i="29"/>
  <c r="K391" i="29"/>
  <c r="K87" i="72"/>
  <c r="L243" i="66"/>
  <c r="L246" i="29"/>
  <c r="L250" i="29"/>
  <c r="L231" i="66"/>
  <c r="L257" i="29"/>
  <c r="L261" i="29"/>
  <c r="L255" i="66"/>
  <c r="L268" i="29"/>
  <c r="L272" i="29"/>
  <c r="L267" i="66"/>
  <c r="L279" i="29"/>
  <c r="L283" i="29"/>
  <c r="L279" i="66"/>
  <c r="L290" i="29"/>
  <c r="L294" i="29"/>
  <c r="L291" i="66"/>
  <c r="L301" i="29"/>
  <c r="L305" i="29"/>
  <c r="L303" i="66"/>
  <c r="L312" i="29"/>
  <c r="L316" i="29"/>
  <c r="L315" i="66"/>
  <c r="L323" i="29"/>
  <c r="L327" i="29"/>
  <c r="L327" i="66"/>
  <c r="L334" i="29"/>
  <c r="L338" i="29"/>
  <c r="L339" i="66"/>
  <c r="L345" i="29"/>
  <c r="L349" i="29"/>
  <c r="L351" i="66"/>
  <c r="L356" i="29"/>
  <c r="L360" i="29"/>
  <c r="L363" i="66"/>
  <c r="L367" i="29"/>
  <c r="L371" i="29"/>
  <c r="L391" i="29"/>
  <c r="L87" i="72"/>
  <c r="M243" i="66"/>
  <c r="M246" i="29"/>
  <c r="M250" i="29"/>
  <c r="M231" i="66"/>
  <c r="M257" i="29"/>
  <c r="M261" i="29"/>
  <c r="M255" i="66"/>
  <c r="M268" i="29"/>
  <c r="M272" i="29"/>
  <c r="M267" i="66"/>
  <c r="M279" i="29"/>
  <c r="M283" i="29"/>
  <c r="M279" i="66"/>
  <c r="M290" i="29"/>
  <c r="M294" i="29"/>
  <c r="M291" i="66"/>
  <c r="M301" i="29"/>
  <c r="M305" i="29"/>
  <c r="M303" i="66"/>
  <c r="M312" i="29"/>
  <c r="M316" i="29"/>
  <c r="M315" i="66"/>
  <c r="M323" i="29"/>
  <c r="M327" i="29"/>
  <c r="M327" i="66"/>
  <c r="M334" i="29"/>
  <c r="M338" i="29"/>
  <c r="M339" i="66"/>
  <c r="M345" i="29"/>
  <c r="M349" i="29"/>
  <c r="M351" i="66"/>
  <c r="M356" i="29"/>
  <c r="M360" i="29"/>
  <c r="M363" i="66"/>
  <c r="M367" i="29"/>
  <c r="M371" i="29"/>
  <c r="M391" i="29"/>
  <c r="M87" i="72"/>
  <c r="N243" i="66"/>
  <c r="N246" i="29"/>
  <c r="N250" i="29"/>
  <c r="N231" i="66"/>
  <c r="N257" i="29"/>
  <c r="N261" i="29"/>
  <c r="N255" i="66"/>
  <c r="N268" i="29"/>
  <c r="N272" i="29"/>
  <c r="N267" i="66"/>
  <c r="N279" i="29"/>
  <c r="N283" i="29"/>
  <c r="N279" i="66"/>
  <c r="N290" i="29"/>
  <c r="N294" i="29"/>
  <c r="N291" i="66"/>
  <c r="N301" i="29"/>
  <c r="N305" i="29"/>
  <c r="N303" i="66"/>
  <c r="N312" i="29"/>
  <c r="N316" i="29"/>
  <c r="N315" i="66"/>
  <c r="N323" i="29"/>
  <c r="N327" i="29"/>
  <c r="N327" i="66"/>
  <c r="N334" i="29"/>
  <c r="N338" i="29"/>
  <c r="N339" i="66"/>
  <c r="N345" i="29"/>
  <c r="N349" i="29"/>
  <c r="N351" i="66"/>
  <c r="N356" i="29"/>
  <c r="N360" i="29"/>
  <c r="N363" i="66"/>
  <c r="N367" i="29"/>
  <c r="N371" i="29"/>
  <c r="N391" i="29"/>
  <c r="N87" i="72"/>
  <c r="E88" i="72"/>
  <c r="F88" i="72"/>
  <c r="G88" i="72"/>
  <c r="H88" i="72"/>
  <c r="I88" i="72"/>
  <c r="J88" i="72"/>
  <c r="K88" i="72"/>
  <c r="L88" i="72"/>
  <c r="M88" i="72"/>
  <c r="N88" i="72"/>
  <c r="E89" i="72"/>
  <c r="F89" i="72"/>
  <c r="G89" i="72"/>
  <c r="H89" i="72"/>
  <c r="I89" i="72"/>
  <c r="J89" i="72"/>
  <c r="K89" i="72"/>
  <c r="L89" i="72"/>
  <c r="M89" i="72"/>
  <c r="N89" i="72"/>
  <c r="D89" i="72"/>
  <c r="D88" i="72"/>
  <c r="D87" i="72"/>
  <c r="D85" i="72"/>
  <c r="D84" i="72"/>
  <c r="D83" i="72"/>
  <c r="D81" i="72"/>
  <c r="E92" i="72"/>
  <c r="F92" i="72"/>
  <c r="G92" i="72"/>
  <c r="H92" i="72"/>
  <c r="I92" i="72"/>
  <c r="J92" i="72"/>
  <c r="K92" i="72"/>
  <c r="L92" i="72"/>
  <c r="M92" i="72"/>
  <c r="N92" i="72"/>
  <c r="E93" i="72"/>
  <c r="F93" i="72"/>
  <c r="G93" i="72"/>
  <c r="H93" i="72"/>
  <c r="I93" i="72"/>
  <c r="J93" i="72"/>
  <c r="K93" i="72"/>
  <c r="L93" i="72"/>
  <c r="M93" i="72"/>
  <c r="N93" i="72"/>
  <c r="E94" i="72"/>
  <c r="F94" i="72"/>
  <c r="G94" i="72"/>
  <c r="H94" i="72"/>
  <c r="I94" i="72"/>
  <c r="J94" i="72"/>
  <c r="K94" i="72"/>
  <c r="L94" i="72"/>
  <c r="M94" i="72"/>
  <c r="N94" i="72"/>
  <c r="D94" i="72"/>
  <c r="D93" i="72"/>
  <c r="D92" i="72"/>
  <c r="E76" i="72"/>
  <c r="F76" i="72"/>
  <c r="G76" i="72"/>
  <c r="H76" i="72"/>
  <c r="I76" i="72"/>
  <c r="J76" i="72"/>
  <c r="K76" i="72"/>
  <c r="L76" i="72"/>
  <c r="M76" i="72"/>
  <c r="N76" i="72"/>
  <c r="E77" i="72"/>
  <c r="F77" i="72"/>
  <c r="G77" i="72"/>
  <c r="H77" i="72"/>
  <c r="I77" i="72"/>
  <c r="J77" i="72"/>
  <c r="K77" i="72"/>
  <c r="L77" i="72"/>
  <c r="M77" i="72"/>
  <c r="N77" i="72"/>
  <c r="E78" i="72"/>
  <c r="F78" i="72"/>
  <c r="G78" i="72"/>
  <c r="H78" i="72"/>
  <c r="I78" i="72"/>
  <c r="J78" i="72"/>
  <c r="K78" i="72"/>
  <c r="L78" i="72"/>
  <c r="M78" i="72"/>
  <c r="N78" i="72"/>
  <c r="D78" i="72"/>
  <c r="D77" i="72"/>
  <c r="D76" i="72"/>
  <c r="E72" i="72"/>
  <c r="F72" i="72"/>
  <c r="G72" i="72"/>
  <c r="H72" i="72"/>
  <c r="I72" i="72"/>
  <c r="J72" i="72"/>
  <c r="K72" i="72"/>
  <c r="L72" i="72"/>
  <c r="M72" i="72"/>
  <c r="N72" i="72"/>
  <c r="E73" i="72"/>
  <c r="F73" i="72"/>
  <c r="G73" i="72"/>
  <c r="H73" i="72"/>
  <c r="I73" i="72"/>
  <c r="J73" i="72"/>
  <c r="K73" i="72"/>
  <c r="L73" i="72"/>
  <c r="M73" i="72"/>
  <c r="N73" i="72"/>
  <c r="D73" i="72"/>
  <c r="D72" i="72"/>
  <c r="E71" i="72"/>
  <c r="F71" i="72"/>
  <c r="G71" i="72"/>
  <c r="H71" i="72"/>
  <c r="I71" i="72"/>
  <c r="J71" i="72"/>
  <c r="K71" i="72"/>
  <c r="L71" i="72"/>
  <c r="M71" i="72"/>
  <c r="N71" i="72"/>
  <c r="D71" i="72"/>
  <c r="D32" i="2"/>
  <c r="E68" i="72"/>
  <c r="F68" i="72"/>
  <c r="G68" i="72"/>
  <c r="H68" i="72"/>
  <c r="I68" i="72"/>
  <c r="J68" i="72"/>
  <c r="K68" i="72"/>
  <c r="L68" i="72"/>
  <c r="M68" i="72"/>
  <c r="N68" i="72"/>
  <c r="D68" i="72"/>
  <c r="F67" i="72"/>
  <c r="G67" i="72"/>
  <c r="H67" i="72"/>
  <c r="I67" i="72"/>
  <c r="J67" i="72"/>
  <c r="K67" i="72"/>
  <c r="L67" i="72"/>
  <c r="M67" i="72"/>
  <c r="N67" i="72"/>
  <c r="E67" i="72"/>
  <c r="D67" i="72"/>
  <c r="F66" i="72"/>
  <c r="G66" i="72"/>
  <c r="H66" i="72"/>
  <c r="I66" i="72"/>
  <c r="J66" i="72"/>
  <c r="K66" i="72"/>
  <c r="L66" i="72"/>
  <c r="M66" i="72"/>
  <c r="N66" i="72"/>
  <c r="E66" i="72"/>
  <c r="D66" i="72"/>
  <c r="A979" i="68"/>
  <c r="A911" i="68"/>
  <c r="A843" i="68"/>
  <c r="A775" i="68"/>
  <c r="A707" i="68"/>
  <c r="A639" i="68"/>
  <c r="A571" i="68"/>
  <c r="A504" i="68"/>
  <c r="A436" i="68"/>
  <c r="A368" i="68"/>
  <c r="A299" i="68"/>
  <c r="A231" i="68"/>
  <c r="A163" i="68"/>
  <c r="A88" i="68"/>
  <c r="A21" i="68"/>
  <c r="C979" i="68"/>
  <c r="C911" i="68"/>
  <c r="C843" i="68"/>
  <c r="C775" i="68"/>
  <c r="C707" i="68"/>
  <c r="C639" i="68"/>
  <c r="C571" i="68"/>
  <c r="C504" i="68"/>
  <c r="C436" i="68"/>
  <c r="C368" i="68"/>
  <c r="C299" i="68"/>
  <c r="C231" i="68"/>
  <c r="C163" i="68"/>
  <c r="C88" i="68"/>
  <c r="D25" i="68"/>
  <c r="N10" i="68"/>
  <c r="M10" i="68"/>
  <c r="L10" i="68"/>
  <c r="K10" i="68"/>
  <c r="J10" i="68"/>
  <c r="I10" i="68"/>
  <c r="H10" i="68"/>
  <c r="G10" i="68"/>
  <c r="F10" i="68"/>
  <c r="E10" i="68"/>
  <c r="N9" i="68"/>
  <c r="M9" i="68"/>
  <c r="L9" i="68"/>
  <c r="K9" i="68"/>
  <c r="J9" i="68"/>
  <c r="I9" i="68"/>
  <c r="H9" i="68"/>
  <c r="G9" i="68"/>
  <c r="F9" i="68"/>
  <c r="E9" i="68"/>
  <c r="N10" i="54"/>
  <c r="M10" i="54"/>
  <c r="L10" i="54"/>
  <c r="K10" i="54"/>
  <c r="J10" i="54"/>
  <c r="I10" i="54"/>
  <c r="H10" i="54"/>
  <c r="G10" i="54"/>
  <c r="F10" i="54"/>
  <c r="E10" i="54"/>
  <c r="N9" i="54"/>
  <c r="M9" i="54"/>
  <c r="L9" i="54"/>
  <c r="K9" i="54"/>
  <c r="J9" i="54"/>
  <c r="I9" i="54"/>
  <c r="H9" i="54"/>
  <c r="G9" i="54"/>
  <c r="F9" i="54"/>
  <c r="E9" i="54"/>
  <c r="N10" i="69"/>
  <c r="M10" i="69"/>
  <c r="L10" i="69"/>
  <c r="K10" i="69"/>
  <c r="J10" i="69"/>
  <c r="I10" i="69"/>
  <c r="H10" i="69"/>
  <c r="G10" i="69"/>
  <c r="F10" i="69"/>
  <c r="E10" i="69"/>
  <c r="N9" i="69"/>
  <c r="M9" i="69"/>
  <c r="L9" i="69"/>
  <c r="K9" i="69"/>
  <c r="J9" i="69"/>
  <c r="I9" i="69"/>
  <c r="H9" i="69"/>
  <c r="G9" i="69"/>
  <c r="F9" i="69"/>
  <c r="E9" i="69"/>
  <c r="C221" i="66"/>
  <c r="C38" i="58"/>
  <c r="E235" i="66"/>
  <c r="E247" i="66"/>
  <c r="E259" i="66"/>
  <c r="E271" i="66"/>
  <c r="E283" i="66"/>
  <c r="E295" i="66"/>
  <c r="E307" i="66"/>
  <c r="E319" i="66"/>
  <c r="E331" i="66"/>
  <c r="E343" i="66"/>
  <c r="E355" i="66"/>
  <c r="E367" i="66"/>
  <c r="E375" i="66"/>
  <c r="E396" i="66"/>
  <c r="E27" i="72"/>
  <c r="F235" i="66"/>
  <c r="F247" i="66"/>
  <c r="F259" i="66"/>
  <c r="F271" i="66"/>
  <c r="F283" i="66"/>
  <c r="F295" i="66"/>
  <c r="F307" i="66"/>
  <c r="F319" i="66"/>
  <c r="F331" i="66"/>
  <c r="F343" i="66"/>
  <c r="F355" i="66"/>
  <c r="F367" i="66"/>
  <c r="F375" i="66"/>
  <c r="F396" i="66"/>
  <c r="F27" i="72"/>
  <c r="G235" i="66"/>
  <c r="G247" i="66"/>
  <c r="G259" i="66"/>
  <c r="G271" i="66"/>
  <c r="G283" i="66"/>
  <c r="G295" i="66"/>
  <c r="G307" i="66"/>
  <c r="G319" i="66"/>
  <c r="G331" i="66"/>
  <c r="G343" i="66"/>
  <c r="G355" i="66"/>
  <c r="G367" i="66"/>
  <c r="G375" i="66"/>
  <c r="G396" i="66"/>
  <c r="G27" i="72"/>
  <c r="H235" i="66"/>
  <c r="H247" i="66"/>
  <c r="H259" i="66"/>
  <c r="H271" i="66"/>
  <c r="H283" i="66"/>
  <c r="H295" i="66"/>
  <c r="H307" i="66"/>
  <c r="H319" i="66"/>
  <c r="H331" i="66"/>
  <c r="H343" i="66"/>
  <c r="H355" i="66"/>
  <c r="H367" i="66"/>
  <c r="H375" i="66"/>
  <c r="H396" i="66"/>
  <c r="H27" i="72"/>
  <c r="I235" i="66"/>
  <c r="I247" i="66"/>
  <c r="I259" i="66"/>
  <c r="I271" i="66"/>
  <c r="I283" i="66"/>
  <c r="I295" i="66"/>
  <c r="I307" i="66"/>
  <c r="I319" i="66"/>
  <c r="I331" i="66"/>
  <c r="I343" i="66"/>
  <c r="I355" i="66"/>
  <c r="I367" i="66"/>
  <c r="I375" i="66"/>
  <c r="I396" i="66"/>
  <c r="I27" i="72"/>
  <c r="J235" i="66"/>
  <c r="J247" i="66"/>
  <c r="J259" i="66"/>
  <c r="J271" i="66"/>
  <c r="J283" i="66"/>
  <c r="J295" i="66"/>
  <c r="J307" i="66"/>
  <c r="J319" i="66"/>
  <c r="J331" i="66"/>
  <c r="J343" i="66"/>
  <c r="J355" i="66"/>
  <c r="J367" i="66"/>
  <c r="J375" i="66"/>
  <c r="J396" i="66"/>
  <c r="J27" i="72"/>
  <c r="K235" i="66"/>
  <c r="K247" i="66"/>
  <c r="K259" i="66"/>
  <c r="K271" i="66"/>
  <c r="K283" i="66"/>
  <c r="K295" i="66"/>
  <c r="K307" i="66"/>
  <c r="K319" i="66"/>
  <c r="K331" i="66"/>
  <c r="K343" i="66"/>
  <c r="K355" i="66"/>
  <c r="K367" i="66"/>
  <c r="K375" i="66"/>
  <c r="K396" i="66"/>
  <c r="K27" i="72"/>
  <c r="L235" i="66"/>
  <c r="L247" i="66"/>
  <c r="L259" i="66"/>
  <c r="L271" i="66"/>
  <c r="L283" i="66"/>
  <c r="L295" i="66"/>
  <c r="L307" i="66"/>
  <c r="L319" i="66"/>
  <c r="L331" i="66"/>
  <c r="L343" i="66"/>
  <c r="L355" i="66"/>
  <c r="L367" i="66"/>
  <c r="L375" i="66"/>
  <c r="L396" i="66"/>
  <c r="L27" i="72"/>
  <c r="M235" i="66"/>
  <c r="M247" i="66"/>
  <c r="M259" i="66"/>
  <c r="M271" i="66"/>
  <c r="M283" i="66"/>
  <c r="M295" i="66"/>
  <c r="M307" i="66"/>
  <c r="M319" i="66"/>
  <c r="M331" i="66"/>
  <c r="M343" i="66"/>
  <c r="M355" i="66"/>
  <c r="M367" i="66"/>
  <c r="M375" i="66"/>
  <c r="M396" i="66"/>
  <c r="M27" i="72"/>
  <c r="N235" i="66"/>
  <c r="N247" i="66"/>
  <c r="N259" i="66"/>
  <c r="N271" i="66"/>
  <c r="N283" i="66"/>
  <c r="N295" i="66"/>
  <c r="N307" i="66"/>
  <c r="N319" i="66"/>
  <c r="N331" i="66"/>
  <c r="N343" i="66"/>
  <c r="N355" i="66"/>
  <c r="N367" i="66"/>
  <c r="N375" i="66"/>
  <c r="N396" i="66"/>
  <c r="N27" i="72"/>
  <c r="E236" i="66"/>
  <c r="E248" i="66"/>
  <c r="E260" i="66"/>
  <c r="E272" i="66"/>
  <c r="E284" i="66"/>
  <c r="E296" i="66"/>
  <c r="E308" i="66"/>
  <c r="E320" i="66"/>
  <c r="E332" i="66"/>
  <c r="E344" i="66"/>
  <c r="E356" i="66"/>
  <c r="E368" i="66"/>
  <c r="E376" i="66"/>
  <c r="E397" i="66"/>
  <c r="E28" i="72"/>
  <c r="F236" i="66"/>
  <c r="F248" i="66"/>
  <c r="F260" i="66"/>
  <c r="F272" i="66"/>
  <c r="F284" i="66"/>
  <c r="F296" i="66"/>
  <c r="F308" i="66"/>
  <c r="F320" i="66"/>
  <c r="F332" i="66"/>
  <c r="F344" i="66"/>
  <c r="F356" i="66"/>
  <c r="F368" i="66"/>
  <c r="F376" i="66"/>
  <c r="F397" i="66"/>
  <c r="F28" i="72"/>
  <c r="G236" i="66"/>
  <c r="G248" i="66"/>
  <c r="G260" i="66"/>
  <c r="G272" i="66"/>
  <c r="G284" i="66"/>
  <c r="G296" i="66"/>
  <c r="G308" i="66"/>
  <c r="G320" i="66"/>
  <c r="G332" i="66"/>
  <c r="G344" i="66"/>
  <c r="G356" i="66"/>
  <c r="G368" i="66"/>
  <c r="G376" i="66"/>
  <c r="G397" i="66"/>
  <c r="G28" i="72"/>
  <c r="H236" i="66"/>
  <c r="H248" i="66"/>
  <c r="H260" i="66"/>
  <c r="H272" i="66"/>
  <c r="H284" i="66"/>
  <c r="H296" i="66"/>
  <c r="H308" i="66"/>
  <c r="H320" i="66"/>
  <c r="H332" i="66"/>
  <c r="H344" i="66"/>
  <c r="H356" i="66"/>
  <c r="H368" i="66"/>
  <c r="H376" i="66"/>
  <c r="H397" i="66"/>
  <c r="H28" i="72"/>
  <c r="I236" i="66"/>
  <c r="I248" i="66"/>
  <c r="I260" i="66"/>
  <c r="I272" i="66"/>
  <c r="I284" i="66"/>
  <c r="I296" i="66"/>
  <c r="I308" i="66"/>
  <c r="I320" i="66"/>
  <c r="I332" i="66"/>
  <c r="I344" i="66"/>
  <c r="I356" i="66"/>
  <c r="I368" i="66"/>
  <c r="I376" i="66"/>
  <c r="I397" i="66"/>
  <c r="I28" i="72"/>
  <c r="J236" i="66"/>
  <c r="J248" i="66"/>
  <c r="J260" i="66"/>
  <c r="J272" i="66"/>
  <c r="J284" i="66"/>
  <c r="J296" i="66"/>
  <c r="J308" i="66"/>
  <c r="J320" i="66"/>
  <c r="J332" i="66"/>
  <c r="J344" i="66"/>
  <c r="J356" i="66"/>
  <c r="J368" i="66"/>
  <c r="J376" i="66"/>
  <c r="J397" i="66"/>
  <c r="J28" i="72"/>
  <c r="K236" i="66"/>
  <c r="K248" i="66"/>
  <c r="K260" i="66"/>
  <c r="K272" i="66"/>
  <c r="K284" i="66"/>
  <c r="K296" i="66"/>
  <c r="K308" i="66"/>
  <c r="K320" i="66"/>
  <c r="K332" i="66"/>
  <c r="K344" i="66"/>
  <c r="K356" i="66"/>
  <c r="K368" i="66"/>
  <c r="K376" i="66"/>
  <c r="K397" i="66"/>
  <c r="K28" i="72"/>
  <c r="L236" i="66"/>
  <c r="L248" i="66"/>
  <c r="L260" i="66"/>
  <c r="L272" i="66"/>
  <c r="L284" i="66"/>
  <c r="L296" i="66"/>
  <c r="L308" i="66"/>
  <c r="L320" i="66"/>
  <c r="L332" i="66"/>
  <c r="L344" i="66"/>
  <c r="L356" i="66"/>
  <c r="L368" i="66"/>
  <c r="L376" i="66"/>
  <c r="L397" i="66"/>
  <c r="L28" i="72"/>
  <c r="M236" i="66"/>
  <c r="M248" i="66"/>
  <c r="M260" i="66"/>
  <c r="M272" i="66"/>
  <c r="M284" i="66"/>
  <c r="M296" i="66"/>
  <c r="M308" i="66"/>
  <c r="M320" i="66"/>
  <c r="M332" i="66"/>
  <c r="M344" i="66"/>
  <c r="M356" i="66"/>
  <c r="M368" i="66"/>
  <c r="M376" i="66"/>
  <c r="M397" i="66"/>
  <c r="M28" i="72"/>
  <c r="N236" i="66"/>
  <c r="N248" i="66"/>
  <c r="N260" i="66"/>
  <c r="N272" i="66"/>
  <c r="N284" i="66"/>
  <c r="N296" i="66"/>
  <c r="N308" i="66"/>
  <c r="N320" i="66"/>
  <c r="N332" i="66"/>
  <c r="N344" i="66"/>
  <c r="N356" i="66"/>
  <c r="N368" i="66"/>
  <c r="N376" i="66"/>
  <c r="N397" i="66"/>
  <c r="N28" i="72"/>
  <c r="E237" i="66"/>
  <c r="E249" i="66"/>
  <c r="E261" i="66"/>
  <c r="E273" i="66"/>
  <c r="E285" i="66"/>
  <c r="E297" i="66"/>
  <c r="E309" i="66"/>
  <c r="E321" i="66"/>
  <c r="E333" i="66"/>
  <c r="E345" i="66"/>
  <c r="E357" i="66"/>
  <c r="E369" i="66"/>
  <c r="E377" i="66"/>
  <c r="E398" i="66"/>
  <c r="E29" i="72"/>
  <c r="F237" i="66"/>
  <c r="F249" i="66"/>
  <c r="F261" i="66"/>
  <c r="F273" i="66"/>
  <c r="F285" i="66"/>
  <c r="F297" i="66"/>
  <c r="F309" i="66"/>
  <c r="F321" i="66"/>
  <c r="F333" i="66"/>
  <c r="F345" i="66"/>
  <c r="F357" i="66"/>
  <c r="F369" i="66"/>
  <c r="F377" i="66"/>
  <c r="F398" i="66"/>
  <c r="F29" i="72"/>
  <c r="G237" i="66"/>
  <c r="G249" i="66"/>
  <c r="G261" i="66"/>
  <c r="G273" i="66"/>
  <c r="G285" i="66"/>
  <c r="G297" i="66"/>
  <c r="G309" i="66"/>
  <c r="G321" i="66"/>
  <c r="G333" i="66"/>
  <c r="G345" i="66"/>
  <c r="G357" i="66"/>
  <c r="G369" i="66"/>
  <c r="G377" i="66"/>
  <c r="G398" i="66"/>
  <c r="G29" i="72"/>
  <c r="H237" i="66"/>
  <c r="H249" i="66"/>
  <c r="H261" i="66"/>
  <c r="H273" i="66"/>
  <c r="H285" i="66"/>
  <c r="H297" i="66"/>
  <c r="H309" i="66"/>
  <c r="H321" i="66"/>
  <c r="H333" i="66"/>
  <c r="H345" i="66"/>
  <c r="H357" i="66"/>
  <c r="H369" i="66"/>
  <c r="H377" i="66"/>
  <c r="H398" i="66"/>
  <c r="H29" i="72"/>
  <c r="I237" i="66"/>
  <c r="I249" i="66"/>
  <c r="I261" i="66"/>
  <c r="I273" i="66"/>
  <c r="I285" i="66"/>
  <c r="I297" i="66"/>
  <c r="I309" i="66"/>
  <c r="I321" i="66"/>
  <c r="I333" i="66"/>
  <c r="I345" i="66"/>
  <c r="I357" i="66"/>
  <c r="I369" i="66"/>
  <c r="I377" i="66"/>
  <c r="I398" i="66"/>
  <c r="I29" i="72"/>
  <c r="J237" i="66"/>
  <c r="J249" i="66"/>
  <c r="J261" i="66"/>
  <c r="J273" i="66"/>
  <c r="J285" i="66"/>
  <c r="J297" i="66"/>
  <c r="J309" i="66"/>
  <c r="J321" i="66"/>
  <c r="J333" i="66"/>
  <c r="J345" i="66"/>
  <c r="J357" i="66"/>
  <c r="J369" i="66"/>
  <c r="J377" i="66"/>
  <c r="J398" i="66"/>
  <c r="J29" i="72"/>
  <c r="K237" i="66"/>
  <c r="K249" i="66"/>
  <c r="K261" i="66"/>
  <c r="K273" i="66"/>
  <c r="K285" i="66"/>
  <c r="K297" i="66"/>
  <c r="K309" i="66"/>
  <c r="K321" i="66"/>
  <c r="K333" i="66"/>
  <c r="K345" i="66"/>
  <c r="K357" i="66"/>
  <c r="K369" i="66"/>
  <c r="K377" i="66"/>
  <c r="K398" i="66"/>
  <c r="K29" i="72"/>
  <c r="L237" i="66"/>
  <c r="L249" i="66"/>
  <c r="L261" i="66"/>
  <c r="L273" i="66"/>
  <c r="L285" i="66"/>
  <c r="L297" i="66"/>
  <c r="L309" i="66"/>
  <c r="L321" i="66"/>
  <c r="L333" i="66"/>
  <c r="L345" i="66"/>
  <c r="L357" i="66"/>
  <c r="L369" i="66"/>
  <c r="L377" i="66"/>
  <c r="L398" i="66"/>
  <c r="L29" i="72"/>
  <c r="M237" i="66"/>
  <c r="M249" i="66"/>
  <c r="M261" i="66"/>
  <c r="M273" i="66"/>
  <c r="M285" i="66"/>
  <c r="M297" i="66"/>
  <c r="M309" i="66"/>
  <c r="M321" i="66"/>
  <c r="M333" i="66"/>
  <c r="M345" i="66"/>
  <c r="M357" i="66"/>
  <c r="M369" i="66"/>
  <c r="M377" i="66"/>
  <c r="M398" i="66"/>
  <c r="M29" i="72"/>
  <c r="N237" i="66"/>
  <c r="N249" i="66"/>
  <c r="N261" i="66"/>
  <c r="N273" i="66"/>
  <c r="N285" i="66"/>
  <c r="N297" i="66"/>
  <c r="N309" i="66"/>
  <c r="N321" i="66"/>
  <c r="N333" i="66"/>
  <c r="N345" i="66"/>
  <c r="N357" i="66"/>
  <c r="N369" i="66"/>
  <c r="N377" i="66"/>
  <c r="N398" i="66"/>
  <c r="N29" i="72"/>
  <c r="D29" i="72"/>
  <c r="D28" i="72"/>
  <c r="D27" i="72"/>
  <c r="F74" i="66"/>
  <c r="F86" i="66"/>
  <c r="F98" i="66"/>
  <c r="F110" i="66"/>
  <c r="F122" i="66"/>
  <c r="F134" i="66"/>
  <c r="F146" i="66"/>
  <c r="F158" i="66"/>
  <c r="F170" i="66"/>
  <c r="F182" i="66"/>
  <c r="F194" i="66"/>
  <c r="F206" i="66"/>
  <c r="F214" i="66"/>
  <c r="F392" i="66"/>
  <c r="F23" i="72"/>
  <c r="G74" i="66"/>
  <c r="G86" i="66"/>
  <c r="G98" i="66"/>
  <c r="G110" i="66"/>
  <c r="G122" i="66"/>
  <c r="G134" i="66"/>
  <c r="G146" i="66"/>
  <c r="G158" i="66"/>
  <c r="G170" i="66"/>
  <c r="G182" i="66"/>
  <c r="G194" i="66"/>
  <c r="G206" i="66"/>
  <c r="G214" i="66"/>
  <c r="G392" i="66"/>
  <c r="G23" i="72"/>
  <c r="H74" i="66"/>
  <c r="H86" i="66"/>
  <c r="H98" i="66"/>
  <c r="H110" i="66"/>
  <c r="H122" i="66"/>
  <c r="H134" i="66"/>
  <c r="H146" i="66"/>
  <c r="H158" i="66"/>
  <c r="H170" i="66"/>
  <c r="H182" i="66"/>
  <c r="H194" i="66"/>
  <c r="H206" i="66"/>
  <c r="H214" i="66"/>
  <c r="H392" i="66"/>
  <c r="H23" i="72"/>
  <c r="I74" i="66"/>
  <c r="I86" i="66"/>
  <c r="I98" i="66"/>
  <c r="I110" i="66"/>
  <c r="I122" i="66"/>
  <c r="I134" i="66"/>
  <c r="I146" i="66"/>
  <c r="I158" i="66"/>
  <c r="I170" i="66"/>
  <c r="I182" i="66"/>
  <c r="I194" i="66"/>
  <c r="I206" i="66"/>
  <c r="I214" i="66"/>
  <c r="I392" i="66"/>
  <c r="I23" i="72"/>
  <c r="J74" i="66"/>
  <c r="J86" i="66"/>
  <c r="J98" i="66"/>
  <c r="J110" i="66"/>
  <c r="J122" i="66"/>
  <c r="J134" i="66"/>
  <c r="J146" i="66"/>
  <c r="J158" i="66"/>
  <c r="J170" i="66"/>
  <c r="J182" i="66"/>
  <c r="J194" i="66"/>
  <c r="J206" i="66"/>
  <c r="J214" i="66"/>
  <c r="J392" i="66"/>
  <c r="J23" i="72"/>
  <c r="K74" i="66"/>
  <c r="K86" i="66"/>
  <c r="K98" i="66"/>
  <c r="K110" i="66"/>
  <c r="K122" i="66"/>
  <c r="K134" i="66"/>
  <c r="K146" i="66"/>
  <c r="K158" i="66"/>
  <c r="K170" i="66"/>
  <c r="K182" i="66"/>
  <c r="K194" i="66"/>
  <c r="K206" i="66"/>
  <c r="K214" i="66"/>
  <c r="K392" i="66"/>
  <c r="K23" i="72"/>
  <c r="L74" i="66"/>
  <c r="L86" i="66"/>
  <c r="L98" i="66"/>
  <c r="L110" i="66"/>
  <c r="L122" i="66"/>
  <c r="L134" i="66"/>
  <c r="L146" i="66"/>
  <c r="L158" i="66"/>
  <c r="L170" i="66"/>
  <c r="L182" i="66"/>
  <c r="L194" i="66"/>
  <c r="L206" i="66"/>
  <c r="L214" i="66"/>
  <c r="L392" i="66"/>
  <c r="L23" i="72"/>
  <c r="M74" i="66"/>
  <c r="M86" i="66"/>
  <c r="M98" i="66"/>
  <c r="M110" i="66"/>
  <c r="M122" i="66"/>
  <c r="M134" i="66"/>
  <c r="M146" i="66"/>
  <c r="M158" i="66"/>
  <c r="M170" i="66"/>
  <c r="M182" i="66"/>
  <c r="M194" i="66"/>
  <c r="M206" i="66"/>
  <c r="M214" i="66"/>
  <c r="M392" i="66"/>
  <c r="M23" i="72"/>
  <c r="N74" i="66"/>
  <c r="N86" i="66"/>
  <c r="N98" i="66"/>
  <c r="N110" i="66"/>
  <c r="N122" i="66"/>
  <c r="N134" i="66"/>
  <c r="N146" i="66"/>
  <c r="N158" i="66"/>
  <c r="N170" i="66"/>
  <c r="N182" i="66"/>
  <c r="N194" i="66"/>
  <c r="N206" i="66"/>
  <c r="N214" i="66"/>
  <c r="N392" i="66"/>
  <c r="N23" i="72"/>
  <c r="F75" i="66"/>
  <c r="F87" i="66"/>
  <c r="F99" i="66"/>
  <c r="F111" i="66"/>
  <c r="F123" i="66"/>
  <c r="F135" i="66"/>
  <c r="F147" i="66"/>
  <c r="F159" i="66"/>
  <c r="F171" i="66"/>
  <c r="F183" i="66"/>
  <c r="F195" i="66"/>
  <c r="F207" i="66"/>
  <c r="F215" i="66"/>
  <c r="F393" i="66"/>
  <c r="F24" i="72"/>
  <c r="G75" i="66"/>
  <c r="G87" i="66"/>
  <c r="G99" i="66"/>
  <c r="G111" i="66"/>
  <c r="G123" i="66"/>
  <c r="G135" i="66"/>
  <c r="G147" i="66"/>
  <c r="G159" i="66"/>
  <c r="G171" i="66"/>
  <c r="G183" i="66"/>
  <c r="G195" i="66"/>
  <c r="G207" i="66"/>
  <c r="G215" i="66"/>
  <c r="G393" i="66"/>
  <c r="G24" i="72"/>
  <c r="H75" i="66"/>
  <c r="H87" i="66"/>
  <c r="H99" i="66"/>
  <c r="H111" i="66"/>
  <c r="H123" i="66"/>
  <c r="H135" i="66"/>
  <c r="H147" i="66"/>
  <c r="H159" i="66"/>
  <c r="H171" i="66"/>
  <c r="H183" i="66"/>
  <c r="H195" i="66"/>
  <c r="H207" i="66"/>
  <c r="H215" i="66"/>
  <c r="H393" i="66"/>
  <c r="H24" i="72"/>
  <c r="I75" i="66"/>
  <c r="I87" i="66"/>
  <c r="I99" i="66"/>
  <c r="I111" i="66"/>
  <c r="I123" i="66"/>
  <c r="I135" i="66"/>
  <c r="I147" i="66"/>
  <c r="I159" i="66"/>
  <c r="I171" i="66"/>
  <c r="I183" i="66"/>
  <c r="I195" i="66"/>
  <c r="I207" i="66"/>
  <c r="I215" i="66"/>
  <c r="I393" i="66"/>
  <c r="I24" i="72"/>
  <c r="J75" i="66"/>
  <c r="J87" i="66"/>
  <c r="J99" i="66"/>
  <c r="J111" i="66"/>
  <c r="J123" i="66"/>
  <c r="J135" i="66"/>
  <c r="J147" i="66"/>
  <c r="J159" i="66"/>
  <c r="J171" i="66"/>
  <c r="J183" i="66"/>
  <c r="J195" i="66"/>
  <c r="J207" i="66"/>
  <c r="J215" i="66"/>
  <c r="J393" i="66"/>
  <c r="J24" i="72"/>
  <c r="K75" i="66"/>
  <c r="K87" i="66"/>
  <c r="K99" i="66"/>
  <c r="K111" i="66"/>
  <c r="K123" i="66"/>
  <c r="K135" i="66"/>
  <c r="K147" i="66"/>
  <c r="K159" i="66"/>
  <c r="K171" i="66"/>
  <c r="K183" i="66"/>
  <c r="K195" i="66"/>
  <c r="K207" i="66"/>
  <c r="K215" i="66"/>
  <c r="K393" i="66"/>
  <c r="K24" i="72"/>
  <c r="L75" i="66"/>
  <c r="L87" i="66"/>
  <c r="L99" i="66"/>
  <c r="L111" i="66"/>
  <c r="L123" i="66"/>
  <c r="L135" i="66"/>
  <c r="L147" i="66"/>
  <c r="L159" i="66"/>
  <c r="L171" i="66"/>
  <c r="L183" i="66"/>
  <c r="L195" i="66"/>
  <c r="L207" i="66"/>
  <c r="L215" i="66"/>
  <c r="L393" i="66"/>
  <c r="L24" i="72"/>
  <c r="M75" i="66"/>
  <c r="M87" i="66"/>
  <c r="M99" i="66"/>
  <c r="M111" i="66"/>
  <c r="M123" i="66"/>
  <c r="M135" i="66"/>
  <c r="M147" i="66"/>
  <c r="M159" i="66"/>
  <c r="M171" i="66"/>
  <c r="M183" i="66"/>
  <c r="M195" i="66"/>
  <c r="M207" i="66"/>
  <c r="M215" i="66"/>
  <c r="M393" i="66"/>
  <c r="M24" i="72"/>
  <c r="N75" i="66"/>
  <c r="N87" i="66"/>
  <c r="N99" i="66"/>
  <c r="N111" i="66"/>
  <c r="N123" i="66"/>
  <c r="N135" i="66"/>
  <c r="N147" i="66"/>
  <c r="N159" i="66"/>
  <c r="N171" i="66"/>
  <c r="N183" i="66"/>
  <c r="N195" i="66"/>
  <c r="N207" i="66"/>
  <c r="N215" i="66"/>
  <c r="N393" i="66"/>
  <c r="N24" i="72"/>
  <c r="F76" i="66"/>
  <c r="F88" i="66"/>
  <c r="F100" i="66"/>
  <c r="F112" i="66"/>
  <c r="F124" i="66"/>
  <c r="F136" i="66"/>
  <c r="F148" i="66"/>
  <c r="F160" i="66"/>
  <c r="F172" i="66"/>
  <c r="F184" i="66"/>
  <c r="F196" i="66"/>
  <c r="F208" i="66"/>
  <c r="F216" i="66"/>
  <c r="F394" i="66"/>
  <c r="F25" i="72"/>
  <c r="G76" i="66"/>
  <c r="G88" i="66"/>
  <c r="G100" i="66"/>
  <c r="G112" i="66"/>
  <c r="G124" i="66"/>
  <c r="G136" i="66"/>
  <c r="G148" i="66"/>
  <c r="G160" i="66"/>
  <c r="G172" i="66"/>
  <c r="G184" i="66"/>
  <c r="G196" i="66"/>
  <c r="G208" i="66"/>
  <c r="G216" i="66"/>
  <c r="G394" i="66"/>
  <c r="G25" i="72"/>
  <c r="H76" i="66"/>
  <c r="H88" i="66"/>
  <c r="H100" i="66"/>
  <c r="H112" i="66"/>
  <c r="H124" i="66"/>
  <c r="H136" i="66"/>
  <c r="H148" i="66"/>
  <c r="H160" i="66"/>
  <c r="H172" i="66"/>
  <c r="H184" i="66"/>
  <c r="H196" i="66"/>
  <c r="H208" i="66"/>
  <c r="H216" i="66"/>
  <c r="H394" i="66"/>
  <c r="H25" i="72"/>
  <c r="I76" i="66"/>
  <c r="I88" i="66"/>
  <c r="I100" i="66"/>
  <c r="I112" i="66"/>
  <c r="I124" i="66"/>
  <c r="I136" i="66"/>
  <c r="I148" i="66"/>
  <c r="I160" i="66"/>
  <c r="I172" i="66"/>
  <c r="I184" i="66"/>
  <c r="I196" i="66"/>
  <c r="I208" i="66"/>
  <c r="I216" i="66"/>
  <c r="I394" i="66"/>
  <c r="I25" i="72"/>
  <c r="J76" i="66"/>
  <c r="J88" i="66"/>
  <c r="J100" i="66"/>
  <c r="J112" i="66"/>
  <c r="J124" i="66"/>
  <c r="J136" i="66"/>
  <c r="J148" i="66"/>
  <c r="J160" i="66"/>
  <c r="J172" i="66"/>
  <c r="J184" i="66"/>
  <c r="J196" i="66"/>
  <c r="J208" i="66"/>
  <c r="J216" i="66"/>
  <c r="J394" i="66"/>
  <c r="J25" i="72"/>
  <c r="K76" i="66"/>
  <c r="K88" i="66"/>
  <c r="K100" i="66"/>
  <c r="K112" i="66"/>
  <c r="K124" i="66"/>
  <c r="K136" i="66"/>
  <c r="K148" i="66"/>
  <c r="K160" i="66"/>
  <c r="K172" i="66"/>
  <c r="K184" i="66"/>
  <c r="K196" i="66"/>
  <c r="K208" i="66"/>
  <c r="K216" i="66"/>
  <c r="K394" i="66"/>
  <c r="K25" i="72"/>
  <c r="L76" i="66"/>
  <c r="L88" i="66"/>
  <c r="L100" i="66"/>
  <c r="L112" i="66"/>
  <c r="L124" i="66"/>
  <c r="L136" i="66"/>
  <c r="L148" i="66"/>
  <c r="L160" i="66"/>
  <c r="L172" i="66"/>
  <c r="L184" i="66"/>
  <c r="L196" i="66"/>
  <c r="L208" i="66"/>
  <c r="L216" i="66"/>
  <c r="L394" i="66"/>
  <c r="L25" i="72"/>
  <c r="M76" i="66"/>
  <c r="M88" i="66"/>
  <c r="M100" i="66"/>
  <c r="M112" i="66"/>
  <c r="M124" i="66"/>
  <c r="M136" i="66"/>
  <c r="M148" i="66"/>
  <c r="M160" i="66"/>
  <c r="M172" i="66"/>
  <c r="M184" i="66"/>
  <c r="M196" i="66"/>
  <c r="M208" i="66"/>
  <c r="M216" i="66"/>
  <c r="M394" i="66"/>
  <c r="M25" i="72"/>
  <c r="N76" i="66"/>
  <c r="N88" i="66"/>
  <c r="N100" i="66"/>
  <c r="N112" i="66"/>
  <c r="N124" i="66"/>
  <c r="N136" i="66"/>
  <c r="N148" i="66"/>
  <c r="N160" i="66"/>
  <c r="N172" i="66"/>
  <c r="N184" i="66"/>
  <c r="N196" i="66"/>
  <c r="N208" i="66"/>
  <c r="N216" i="66"/>
  <c r="N394" i="66"/>
  <c r="N25" i="72"/>
  <c r="E74" i="66"/>
  <c r="E86" i="66"/>
  <c r="E98" i="66"/>
  <c r="E110" i="66"/>
  <c r="E122" i="66"/>
  <c r="E134" i="66"/>
  <c r="E146" i="66"/>
  <c r="E158" i="66"/>
  <c r="E170" i="66"/>
  <c r="E182" i="66"/>
  <c r="E194" i="66"/>
  <c r="E206" i="66"/>
  <c r="E214" i="66"/>
  <c r="E392" i="66"/>
  <c r="E23" i="72"/>
  <c r="E75" i="66"/>
  <c r="E87" i="66"/>
  <c r="E99" i="66"/>
  <c r="E111" i="66"/>
  <c r="E123" i="66"/>
  <c r="E135" i="66"/>
  <c r="E147" i="66"/>
  <c r="E159" i="66"/>
  <c r="E171" i="66"/>
  <c r="E183" i="66"/>
  <c r="E195" i="66"/>
  <c r="E207" i="66"/>
  <c r="E215" i="66"/>
  <c r="E393" i="66"/>
  <c r="E24" i="72"/>
  <c r="E76" i="66"/>
  <c r="E88" i="66"/>
  <c r="E100" i="66"/>
  <c r="E112" i="66"/>
  <c r="E124" i="66"/>
  <c r="E136" i="66"/>
  <c r="E148" i="66"/>
  <c r="E160" i="66"/>
  <c r="E172" i="66"/>
  <c r="E184" i="66"/>
  <c r="E196" i="66"/>
  <c r="E208" i="66"/>
  <c r="E216" i="66"/>
  <c r="E394" i="66"/>
  <c r="E25" i="72"/>
  <c r="D25" i="72"/>
  <c r="D24" i="72"/>
  <c r="D23" i="72"/>
  <c r="E42" i="66"/>
  <c r="E43" i="66"/>
  <c r="E44" i="66"/>
  <c r="E45" i="66"/>
  <c r="E46" i="66"/>
  <c r="E47" i="66"/>
  <c r="E48" i="66"/>
  <c r="E49" i="66"/>
  <c r="E50" i="66"/>
  <c r="E51" i="66"/>
  <c r="E52" i="66"/>
  <c r="E53" i="66"/>
  <c r="E54" i="66"/>
  <c r="E390" i="66"/>
  <c r="E21" i="72"/>
  <c r="F42" i="66"/>
  <c r="F43" i="66"/>
  <c r="F44" i="66"/>
  <c r="F45" i="66"/>
  <c r="F46" i="66"/>
  <c r="F47" i="66"/>
  <c r="F48" i="66"/>
  <c r="F49" i="66"/>
  <c r="F50" i="66"/>
  <c r="F51" i="66"/>
  <c r="F52" i="66"/>
  <c r="F53" i="66"/>
  <c r="F54" i="66"/>
  <c r="F390" i="66"/>
  <c r="F21" i="72"/>
  <c r="G42" i="66"/>
  <c r="G43" i="66"/>
  <c r="G44" i="66"/>
  <c r="G45" i="66"/>
  <c r="G46" i="66"/>
  <c r="G47" i="66"/>
  <c r="G48" i="66"/>
  <c r="G49" i="66"/>
  <c r="G50" i="66"/>
  <c r="G51" i="66"/>
  <c r="G52" i="66"/>
  <c r="G53" i="66"/>
  <c r="G54" i="66"/>
  <c r="G390" i="66"/>
  <c r="G21" i="72"/>
  <c r="H42" i="66"/>
  <c r="H43" i="66"/>
  <c r="H44" i="66"/>
  <c r="H45" i="66"/>
  <c r="H46" i="66"/>
  <c r="H47" i="66"/>
  <c r="H48" i="66"/>
  <c r="H49" i="66"/>
  <c r="H50" i="66"/>
  <c r="H51" i="66"/>
  <c r="H52" i="66"/>
  <c r="H53" i="66"/>
  <c r="H54" i="66"/>
  <c r="H390" i="66"/>
  <c r="H21" i="72"/>
  <c r="I42" i="66"/>
  <c r="I43" i="66"/>
  <c r="I44" i="66"/>
  <c r="I45" i="66"/>
  <c r="I46" i="66"/>
  <c r="I47" i="66"/>
  <c r="I48" i="66"/>
  <c r="I49" i="66"/>
  <c r="I50" i="66"/>
  <c r="I51" i="66"/>
  <c r="I52" i="66"/>
  <c r="I53" i="66"/>
  <c r="I54" i="66"/>
  <c r="I390" i="66"/>
  <c r="I21" i="72"/>
  <c r="J42" i="66"/>
  <c r="J43" i="66"/>
  <c r="J44" i="66"/>
  <c r="J45" i="66"/>
  <c r="J46" i="66"/>
  <c r="J47" i="66"/>
  <c r="J48" i="66"/>
  <c r="J49" i="66"/>
  <c r="J50" i="66"/>
  <c r="J51" i="66"/>
  <c r="J52" i="66"/>
  <c r="J53" i="66"/>
  <c r="J54" i="66"/>
  <c r="J390" i="66"/>
  <c r="J21" i="72"/>
  <c r="K42" i="66"/>
  <c r="K43" i="66"/>
  <c r="K44" i="66"/>
  <c r="K45" i="66"/>
  <c r="K46" i="66"/>
  <c r="K47" i="66"/>
  <c r="K48" i="66"/>
  <c r="K49" i="66"/>
  <c r="K50" i="66"/>
  <c r="K51" i="66"/>
  <c r="K52" i="66"/>
  <c r="K53" i="66"/>
  <c r="K54" i="66"/>
  <c r="K390" i="66"/>
  <c r="K21" i="72"/>
  <c r="L42" i="66"/>
  <c r="L43" i="66"/>
  <c r="L44" i="66"/>
  <c r="L45" i="66"/>
  <c r="L46" i="66"/>
  <c r="L47" i="66"/>
  <c r="L48" i="66"/>
  <c r="L49" i="66"/>
  <c r="L50" i="66"/>
  <c r="L51" i="66"/>
  <c r="L52" i="66"/>
  <c r="L53" i="66"/>
  <c r="L54" i="66"/>
  <c r="L390" i="66"/>
  <c r="L21" i="72"/>
  <c r="M42" i="66"/>
  <c r="M43" i="66"/>
  <c r="M44" i="66"/>
  <c r="M45" i="66"/>
  <c r="M46" i="66"/>
  <c r="M47" i="66"/>
  <c r="M48" i="66"/>
  <c r="M49" i="66"/>
  <c r="M50" i="66"/>
  <c r="M51" i="66"/>
  <c r="M52" i="66"/>
  <c r="M53" i="66"/>
  <c r="M54" i="66"/>
  <c r="M390" i="66"/>
  <c r="M21" i="72"/>
  <c r="N42" i="66"/>
  <c r="N43" i="66"/>
  <c r="N44" i="66"/>
  <c r="N45" i="66"/>
  <c r="N46" i="66"/>
  <c r="N47" i="66"/>
  <c r="N48" i="66"/>
  <c r="N49" i="66"/>
  <c r="N50" i="66"/>
  <c r="N51" i="66"/>
  <c r="N52" i="66"/>
  <c r="N53" i="66"/>
  <c r="N54" i="66"/>
  <c r="N390" i="66"/>
  <c r="N21" i="72"/>
  <c r="D21" i="72"/>
  <c r="H13" i="67"/>
  <c r="H26" i="67"/>
  <c r="H28" i="67"/>
  <c r="H43" i="67"/>
  <c r="N315" i="20"/>
  <c r="G13" i="67"/>
  <c r="G26" i="67"/>
  <c r="G28" i="67"/>
  <c r="G43" i="67"/>
  <c r="N316" i="20"/>
  <c r="N317" i="20"/>
  <c r="F13" i="67"/>
  <c r="F26" i="67"/>
  <c r="F28" i="67"/>
  <c r="F43" i="67"/>
  <c r="N318" i="20"/>
  <c r="I13" i="67"/>
  <c r="I26" i="67"/>
  <c r="I28" i="67"/>
  <c r="I43" i="67"/>
  <c r="N319" i="20"/>
  <c r="J13" i="67"/>
  <c r="J26" i="67"/>
  <c r="J28" i="67"/>
  <c r="J43" i="67"/>
  <c r="N320" i="20"/>
  <c r="K13" i="67"/>
  <c r="K26" i="67"/>
  <c r="K28" i="67"/>
  <c r="K43" i="67"/>
  <c r="N321" i="20"/>
  <c r="L13" i="67"/>
  <c r="L26" i="67"/>
  <c r="L28" i="67"/>
  <c r="L43" i="67"/>
  <c r="N322" i="20"/>
  <c r="M13" i="67"/>
  <c r="M26" i="67"/>
  <c r="M28" i="67"/>
  <c r="M43" i="67"/>
  <c r="N323" i="20"/>
  <c r="N13" i="67"/>
  <c r="N26" i="67"/>
  <c r="N28" i="67"/>
  <c r="N43" i="67"/>
  <c r="N324" i="20"/>
  <c r="O13" i="67"/>
  <c r="O26" i="67"/>
  <c r="O28" i="67"/>
  <c r="O43" i="67"/>
  <c r="N325" i="20"/>
  <c r="P13" i="67"/>
  <c r="P26" i="67"/>
  <c r="P28" i="67"/>
  <c r="P43" i="67"/>
  <c r="N326" i="20"/>
  <c r="N327" i="20"/>
  <c r="N356" i="20"/>
  <c r="N149" i="58"/>
  <c r="N150" i="58"/>
  <c r="N151" i="58"/>
  <c r="N152" i="58"/>
  <c r="N153" i="58"/>
  <c r="N154" i="58"/>
  <c r="N155" i="58"/>
  <c r="N156" i="58"/>
  <c r="N157" i="58"/>
  <c r="N158" i="58"/>
  <c r="N159" i="58"/>
  <c r="N160" i="58"/>
  <c r="N161" i="58"/>
  <c r="N1051" i="58"/>
  <c r="N310" i="58"/>
  <c r="N311" i="58"/>
  <c r="N312" i="58"/>
  <c r="N313" i="58"/>
  <c r="N314" i="58"/>
  <c r="N315" i="58"/>
  <c r="N316" i="58"/>
  <c r="N317" i="58"/>
  <c r="N318" i="58"/>
  <c r="N319" i="58"/>
  <c r="N320" i="58"/>
  <c r="N321" i="58"/>
  <c r="N322" i="58"/>
  <c r="N1052" i="58"/>
  <c r="N471" i="58"/>
  <c r="N472" i="58"/>
  <c r="N473" i="58"/>
  <c r="N474" i="58"/>
  <c r="N475" i="58"/>
  <c r="N476" i="58"/>
  <c r="N477" i="58"/>
  <c r="N478" i="58"/>
  <c r="N479" i="58"/>
  <c r="N480" i="58"/>
  <c r="N481" i="58"/>
  <c r="N482" i="58"/>
  <c r="N483" i="58"/>
  <c r="N1053" i="58"/>
  <c r="N632" i="58"/>
  <c r="N633" i="58"/>
  <c r="N634" i="58"/>
  <c r="N635" i="58"/>
  <c r="N636" i="58"/>
  <c r="N637" i="58"/>
  <c r="N638" i="58"/>
  <c r="N639" i="58"/>
  <c r="N640" i="58"/>
  <c r="N641" i="58"/>
  <c r="N642" i="58"/>
  <c r="N643" i="58"/>
  <c r="N644" i="58"/>
  <c r="N1054" i="58"/>
  <c r="N792" i="58"/>
  <c r="N793" i="58"/>
  <c r="N794" i="58"/>
  <c r="N795" i="58"/>
  <c r="N796" i="58"/>
  <c r="N797" i="58"/>
  <c r="N798" i="58"/>
  <c r="N799" i="58"/>
  <c r="N800" i="58"/>
  <c r="N801" i="58"/>
  <c r="N802" i="58"/>
  <c r="N803" i="58"/>
  <c r="N804" i="58"/>
  <c r="N1055" i="58"/>
  <c r="N965" i="58"/>
  <c r="N966" i="58"/>
  <c r="N967" i="58"/>
  <c r="N968" i="58"/>
  <c r="N969" i="58"/>
  <c r="N970" i="58"/>
  <c r="N971" i="58"/>
  <c r="N972" i="58"/>
  <c r="N973" i="58"/>
  <c r="N974" i="58"/>
  <c r="N975" i="58"/>
  <c r="N976" i="58"/>
  <c r="N977" i="58"/>
  <c r="N1056" i="58"/>
  <c r="N1057" i="58"/>
  <c r="N51" i="47"/>
  <c r="N87" i="47"/>
  <c r="M315" i="20"/>
  <c r="M316" i="20"/>
  <c r="M317" i="20"/>
  <c r="M318" i="20"/>
  <c r="M319" i="20"/>
  <c r="M320" i="20"/>
  <c r="M321" i="20"/>
  <c r="M322" i="20"/>
  <c r="M323" i="20"/>
  <c r="M324" i="20"/>
  <c r="M325" i="20"/>
  <c r="M326" i="20"/>
  <c r="M327" i="20"/>
  <c r="M356" i="20"/>
  <c r="M149" i="58"/>
  <c r="M150" i="58"/>
  <c r="M151" i="58"/>
  <c r="M152" i="58"/>
  <c r="M153" i="58"/>
  <c r="M154" i="58"/>
  <c r="M155" i="58"/>
  <c r="M156" i="58"/>
  <c r="M157" i="58"/>
  <c r="M158" i="58"/>
  <c r="M159" i="58"/>
  <c r="M160" i="58"/>
  <c r="M161" i="58"/>
  <c r="M1051" i="58"/>
  <c r="M310" i="58"/>
  <c r="M311" i="58"/>
  <c r="M312" i="58"/>
  <c r="M313" i="58"/>
  <c r="M314" i="58"/>
  <c r="M315" i="58"/>
  <c r="M316" i="58"/>
  <c r="M317" i="58"/>
  <c r="M318" i="58"/>
  <c r="M319" i="58"/>
  <c r="M320" i="58"/>
  <c r="M321" i="58"/>
  <c r="M322" i="58"/>
  <c r="M1052" i="58"/>
  <c r="M471" i="58"/>
  <c r="M472" i="58"/>
  <c r="M473" i="58"/>
  <c r="M474" i="58"/>
  <c r="M475" i="58"/>
  <c r="M476" i="58"/>
  <c r="M477" i="58"/>
  <c r="M478" i="58"/>
  <c r="M479" i="58"/>
  <c r="M480" i="58"/>
  <c r="M481" i="58"/>
  <c r="M482" i="58"/>
  <c r="M483" i="58"/>
  <c r="M1053" i="58"/>
  <c r="M632" i="58"/>
  <c r="M633" i="58"/>
  <c r="M634" i="58"/>
  <c r="M635" i="58"/>
  <c r="M636" i="58"/>
  <c r="M637" i="58"/>
  <c r="M638" i="58"/>
  <c r="M639" i="58"/>
  <c r="M640" i="58"/>
  <c r="M641" i="58"/>
  <c r="M642" i="58"/>
  <c r="M643" i="58"/>
  <c r="M644" i="58"/>
  <c r="M1054" i="58"/>
  <c r="M792" i="58"/>
  <c r="M793" i="58"/>
  <c r="M794" i="58"/>
  <c r="M795" i="58"/>
  <c r="M796" i="58"/>
  <c r="M797" i="58"/>
  <c r="M798" i="58"/>
  <c r="M799" i="58"/>
  <c r="M800" i="58"/>
  <c r="M801" i="58"/>
  <c r="M802" i="58"/>
  <c r="M803" i="58"/>
  <c r="M804" i="58"/>
  <c r="M1055" i="58"/>
  <c r="M965" i="58"/>
  <c r="M966" i="58"/>
  <c r="M967" i="58"/>
  <c r="M968" i="58"/>
  <c r="M969" i="58"/>
  <c r="M970" i="58"/>
  <c r="M971" i="58"/>
  <c r="M972" i="58"/>
  <c r="M973" i="58"/>
  <c r="M974" i="58"/>
  <c r="M975" i="58"/>
  <c r="M976" i="58"/>
  <c r="M977" i="58"/>
  <c r="M1056" i="58"/>
  <c r="M1057" i="58"/>
  <c r="M51" i="47"/>
  <c r="M87" i="47"/>
  <c r="L315" i="20"/>
  <c r="L316" i="20"/>
  <c r="L317" i="20"/>
  <c r="L318" i="20"/>
  <c r="L319" i="20"/>
  <c r="L320" i="20"/>
  <c r="L321" i="20"/>
  <c r="L322" i="20"/>
  <c r="L323" i="20"/>
  <c r="L324" i="20"/>
  <c r="L325" i="20"/>
  <c r="L326" i="20"/>
  <c r="L327" i="20"/>
  <c r="L356" i="20"/>
  <c r="L149" i="58"/>
  <c r="L150" i="58"/>
  <c r="L151" i="58"/>
  <c r="L152" i="58"/>
  <c r="L153" i="58"/>
  <c r="L154" i="58"/>
  <c r="L155" i="58"/>
  <c r="L156" i="58"/>
  <c r="L157" i="58"/>
  <c r="L158" i="58"/>
  <c r="L159" i="58"/>
  <c r="L160" i="58"/>
  <c r="L161" i="58"/>
  <c r="L1051" i="58"/>
  <c r="L310" i="58"/>
  <c r="L311" i="58"/>
  <c r="L312" i="58"/>
  <c r="L313" i="58"/>
  <c r="L314" i="58"/>
  <c r="L315" i="58"/>
  <c r="L316" i="58"/>
  <c r="L317" i="58"/>
  <c r="L318" i="58"/>
  <c r="L319" i="58"/>
  <c r="L320" i="58"/>
  <c r="L321" i="58"/>
  <c r="L322" i="58"/>
  <c r="L1052" i="58"/>
  <c r="L471" i="58"/>
  <c r="L472" i="58"/>
  <c r="L473" i="58"/>
  <c r="L474" i="58"/>
  <c r="L475" i="58"/>
  <c r="L476" i="58"/>
  <c r="L477" i="58"/>
  <c r="L478" i="58"/>
  <c r="L479" i="58"/>
  <c r="L480" i="58"/>
  <c r="L481" i="58"/>
  <c r="L482" i="58"/>
  <c r="L483" i="58"/>
  <c r="L1053" i="58"/>
  <c r="L632" i="58"/>
  <c r="L633" i="58"/>
  <c r="L634" i="58"/>
  <c r="L635" i="58"/>
  <c r="L636" i="58"/>
  <c r="L637" i="58"/>
  <c r="L638" i="58"/>
  <c r="L639" i="58"/>
  <c r="L640" i="58"/>
  <c r="L641" i="58"/>
  <c r="L642" i="58"/>
  <c r="L643" i="58"/>
  <c r="L644" i="58"/>
  <c r="L1054" i="58"/>
  <c r="L792" i="58"/>
  <c r="L793" i="58"/>
  <c r="L794" i="58"/>
  <c r="L795" i="58"/>
  <c r="L796" i="58"/>
  <c r="L797" i="58"/>
  <c r="L798" i="58"/>
  <c r="L799" i="58"/>
  <c r="L800" i="58"/>
  <c r="L801" i="58"/>
  <c r="L802" i="58"/>
  <c r="L803" i="58"/>
  <c r="L804" i="58"/>
  <c r="L1055" i="58"/>
  <c r="L965" i="58"/>
  <c r="L966" i="58"/>
  <c r="L967" i="58"/>
  <c r="L968" i="58"/>
  <c r="L969" i="58"/>
  <c r="L970" i="58"/>
  <c r="L971" i="58"/>
  <c r="L972" i="58"/>
  <c r="L973" i="58"/>
  <c r="L974" i="58"/>
  <c r="L975" i="58"/>
  <c r="L976" i="58"/>
  <c r="L977" i="58"/>
  <c r="L1056" i="58"/>
  <c r="L1057" i="58"/>
  <c r="L51" i="47"/>
  <c r="L87" i="47"/>
  <c r="K315" i="20"/>
  <c r="K316" i="20"/>
  <c r="K317" i="20"/>
  <c r="K318" i="20"/>
  <c r="K319" i="20"/>
  <c r="K320" i="20"/>
  <c r="K321" i="20"/>
  <c r="K322" i="20"/>
  <c r="K323" i="20"/>
  <c r="K324" i="20"/>
  <c r="K325" i="20"/>
  <c r="K326" i="20"/>
  <c r="K327" i="20"/>
  <c r="K356" i="20"/>
  <c r="K149" i="58"/>
  <c r="K150" i="58"/>
  <c r="K151" i="58"/>
  <c r="K152" i="58"/>
  <c r="K153" i="58"/>
  <c r="K154" i="58"/>
  <c r="K155" i="58"/>
  <c r="K156" i="58"/>
  <c r="K157" i="58"/>
  <c r="K158" i="58"/>
  <c r="K159" i="58"/>
  <c r="K160" i="58"/>
  <c r="K161" i="58"/>
  <c r="K1051" i="58"/>
  <c r="K310" i="58"/>
  <c r="K311" i="58"/>
  <c r="K312" i="58"/>
  <c r="K313" i="58"/>
  <c r="K314" i="58"/>
  <c r="K315" i="58"/>
  <c r="K316" i="58"/>
  <c r="K317" i="58"/>
  <c r="K318" i="58"/>
  <c r="K319" i="58"/>
  <c r="K320" i="58"/>
  <c r="K321" i="58"/>
  <c r="K322" i="58"/>
  <c r="K1052" i="58"/>
  <c r="K471" i="58"/>
  <c r="K472" i="58"/>
  <c r="K473" i="58"/>
  <c r="K474" i="58"/>
  <c r="K475" i="58"/>
  <c r="K476" i="58"/>
  <c r="K477" i="58"/>
  <c r="K478" i="58"/>
  <c r="K479" i="58"/>
  <c r="K480" i="58"/>
  <c r="K481" i="58"/>
  <c r="K482" i="58"/>
  <c r="K483" i="58"/>
  <c r="K1053" i="58"/>
  <c r="K632" i="58"/>
  <c r="K633" i="58"/>
  <c r="K634" i="58"/>
  <c r="K635" i="58"/>
  <c r="K636" i="58"/>
  <c r="K637" i="58"/>
  <c r="K638" i="58"/>
  <c r="K639" i="58"/>
  <c r="K640" i="58"/>
  <c r="K641" i="58"/>
  <c r="K642" i="58"/>
  <c r="K643" i="58"/>
  <c r="K644" i="58"/>
  <c r="K1054" i="58"/>
  <c r="K792" i="58"/>
  <c r="K793" i="58"/>
  <c r="K794" i="58"/>
  <c r="K795" i="58"/>
  <c r="K796" i="58"/>
  <c r="K797" i="58"/>
  <c r="K798" i="58"/>
  <c r="K799" i="58"/>
  <c r="K800" i="58"/>
  <c r="K801" i="58"/>
  <c r="K802" i="58"/>
  <c r="K803" i="58"/>
  <c r="K804" i="58"/>
  <c r="K1055" i="58"/>
  <c r="K965" i="58"/>
  <c r="K966" i="58"/>
  <c r="K967" i="58"/>
  <c r="K968" i="58"/>
  <c r="K969" i="58"/>
  <c r="K970" i="58"/>
  <c r="K971" i="58"/>
  <c r="K972" i="58"/>
  <c r="K973" i="58"/>
  <c r="K974" i="58"/>
  <c r="K975" i="58"/>
  <c r="K976" i="58"/>
  <c r="K977" i="58"/>
  <c r="K1056" i="58"/>
  <c r="K1057" i="58"/>
  <c r="K51" i="47"/>
  <c r="K87" i="47"/>
  <c r="J315" i="20"/>
  <c r="J316" i="20"/>
  <c r="J317" i="20"/>
  <c r="J318" i="20"/>
  <c r="J319" i="20"/>
  <c r="J320" i="20"/>
  <c r="J321" i="20"/>
  <c r="J322" i="20"/>
  <c r="J323" i="20"/>
  <c r="J324" i="20"/>
  <c r="J325" i="20"/>
  <c r="J326" i="20"/>
  <c r="J327" i="20"/>
  <c r="J356" i="20"/>
  <c r="J149" i="58"/>
  <c r="J150" i="58"/>
  <c r="J151" i="58"/>
  <c r="J152" i="58"/>
  <c r="J153" i="58"/>
  <c r="J154" i="58"/>
  <c r="J155" i="58"/>
  <c r="J156" i="58"/>
  <c r="J157" i="58"/>
  <c r="J158" i="58"/>
  <c r="J159" i="58"/>
  <c r="J160" i="58"/>
  <c r="J161" i="58"/>
  <c r="J1051" i="58"/>
  <c r="J310" i="58"/>
  <c r="J311" i="58"/>
  <c r="J312" i="58"/>
  <c r="J313" i="58"/>
  <c r="J314" i="58"/>
  <c r="J315" i="58"/>
  <c r="J316" i="58"/>
  <c r="J317" i="58"/>
  <c r="J318" i="58"/>
  <c r="J319" i="58"/>
  <c r="J320" i="58"/>
  <c r="J321" i="58"/>
  <c r="J322" i="58"/>
  <c r="J1052" i="58"/>
  <c r="J471" i="58"/>
  <c r="J472" i="58"/>
  <c r="J473" i="58"/>
  <c r="J474" i="58"/>
  <c r="J475" i="58"/>
  <c r="J476" i="58"/>
  <c r="J477" i="58"/>
  <c r="J478" i="58"/>
  <c r="J479" i="58"/>
  <c r="J480" i="58"/>
  <c r="J481" i="58"/>
  <c r="J482" i="58"/>
  <c r="J483" i="58"/>
  <c r="J1053" i="58"/>
  <c r="J632" i="58"/>
  <c r="J633" i="58"/>
  <c r="J634" i="58"/>
  <c r="J635" i="58"/>
  <c r="J636" i="58"/>
  <c r="J637" i="58"/>
  <c r="J638" i="58"/>
  <c r="J639" i="58"/>
  <c r="J640" i="58"/>
  <c r="J641" i="58"/>
  <c r="J642" i="58"/>
  <c r="J643" i="58"/>
  <c r="J644" i="58"/>
  <c r="J1054" i="58"/>
  <c r="J792" i="58"/>
  <c r="J793" i="58"/>
  <c r="J794" i="58"/>
  <c r="J795" i="58"/>
  <c r="J796" i="58"/>
  <c r="J797" i="58"/>
  <c r="J798" i="58"/>
  <c r="J799" i="58"/>
  <c r="J800" i="58"/>
  <c r="J801" i="58"/>
  <c r="J802" i="58"/>
  <c r="J803" i="58"/>
  <c r="J804" i="58"/>
  <c r="J1055" i="58"/>
  <c r="J965" i="58"/>
  <c r="J966" i="58"/>
  <c r="J967" i="58"/>
  <c r="J968" i="58"/>
  <c r="J969" i="58"/>
  <c r="J970" i="58"/>
  <c r="J971" i="58"/>
  <c r="J972" i="58"/>
  <c r="J973" i="58"/>
  <c r="J974" i="58"/>
  <c r="J975" i="58"/>
  <c r="J976" i="58"/>
  <c r="J977" i="58"/>
  <c r="J1056" i="58"/>
  <c r="J1057" i="58"/>
  <c r="J51" i="47"/>
  <c r="J87" i="47"/>
  <c r="I315" i="20"/>
  <c r="I316" i="20"/>
  <c r="I317" i="20"/>
  <c r="I318" i="20"/>
  <c r="I319" i="20"/>
  <c r="I320" i="20"/>
  <c r="I321" i="20"/>
  <c r="I322" i="20"/>
  <c r="I323" i="20"/>
  <c r="I324" i="20"/>
  <c r="I325" i="20"/>
  <c r="I326" i="20"/>
  <c r="I327" i="20"/>
  <c r="I356" i="20"/>
  <c r="I149" i="58"/>
  <c r="I150" i="58"/>
  <c r="I151" i="58"/>
  <c r="I152" i="58"/>
  <c r="I153" i="58"/>
  <c r="I154" i="58"/>
  <c r="I155" i="58"/>
  <c r="I156" i="58"/>
  <c r="I157" i="58"/>
  <c r="I158" i="58"/>
  <c r="I159" i="58"/>
  <c r="I160" i="58"/>
  <c r="I161" i="58"/>
  <c r="I1051" i="58"/>
  <c r="I310" i="58"/>
  <c r="I311" i="58"/>
  <c r="I312" i="58"/>
  <c r="I313" i="58"/>
  <c r="I314" i="58"/>
  <c r="I315" i="58"/>
  <c r="I316" i="58"/>
  <c r="I317" i="58"/>
  <c r="I318" i="58"/>
  <c r="I319" i="58"/>
  <c r="I320" i="58"/>
  <c r="I321" i="58"/>
  <c r="I322" i="58"/>
  <c r="I1052" i="58"/>
  <c r="I471" i="58"/>
  <c r="I472" i="58"/>
  <c r="I473" i="58"/>
  <c r="I474" i="58"/>
  <c r="I475" i="58"/>
  <c r="I476" i="58"/>
  <c r="I477" i="58"/>
  <c r="I478" i="58"/>
  <c r="I479" i="58"/>
  <c r="I480" i="58"/>
  <c r="I481" i="58"/>
  <c r="I482" i="58"/>
  <c r="I483" i="58"/>
  <c r="I1053" i="58"/>
  <c r="I632" i="58"/>
  <c r="I633" i="58"/>
  <c r="I634" i="58"/>
  <c r="I635" i="58"/>
  <c r="I636" i="58"/>
  <c r="I637" i="58"/>
  <c r="I638" i="58"/>
  <c r="I639" i="58"/>
  <c r="I640" i="58"/>
  <c r="I641" i="58"/>
  <c r="I642" i="58"/>
  <c r="I643" i="58"/>
  <c r="I644" i="58"/>
  <c r="I1054" i="58"/>
  <c r="I792" i="58"/>
  <c r="I793" i="58"/>
  <c r="I794" i="58"/>
  <c r="I795" i="58"/>
  <c r="I796" i="58"/>
  <c r="I797" i="58"/>
  <c r="I798" i="58"/>
  <c r="I799" i="58"/>
  <c r="I800" i="58"/>
  <c r="I801" i="58"/>
  <c r="I802" i="58"/>
  <c r="I803" i="58"/>
  <c r="I804" i="58"/>
  <c r="I1055" i="58"/>
  <c r="I965" i="58"/>
  <c r="I966" i="58"/>
  <c r="I967" i="58"/>
  <c r="I968" i="58"/>
  <c r="I969" i="58"/>
  <c r="I970" i="58"/>
  <c r="I971" i="58"/>
  <c r="I972" i="58"/>
  <c r="I973" i="58"/>
  <c r="I974" i="58"/>
  <c r="I975" i="58"/>
  <c r="I976" i="58"/>
  <c r="I977" i="58"/>
  <c r="I1056" i="58"/>
  <c r="I1057" i="58"/>
  <c r="I51" i="47"/>
  <c r="I87" i="47"/>
  <c r="H315" i="20"/>
  <c r="H316" i="20"/>
  <c r="H317" i="20"/>
  <c r="H318" i="20"/>
  <c r="H319" i="20"/>
  <c r="H320" i="20"/>
  <c r="H321" i="20"/>
  <c r="H322" i="20"/>
  <c r="H323" i="20"/>
  <c r="H324" i="20"/>
  <c r="H325" i="20"/>
  <c r="H326" i="20"/>
  <c r="H327" i="20"/>
  <c r="H356" i="20"/>
  <c r="H149" i="58"/>
  <c r="H150" i="58"/>
  <c r="H151" i="58"/>
  <c r="H152" i="58"/>
  <c r="H153" i="58"/>
  <c r="H154" i="58"/>
  <c r="H155" i="58"/>
  <c r="H156" i="58"/>
  <c r="H157" i="58"/>
  <c r="H158" i="58"/>
  <c r="H159" i="58"/>
  <c r="H160" i="58"/>
  <c r="H161" i="58"/>
  <c r="H1051" i="58"/>
  <c r="H310" i="58"/>
  <c r="H311" i="58"/>
  <c r="H312" i="58"/>
  <c r="H313" i="58"/>
  <c r="H314" i="58"/>
  <c r="H315" i="58"/>
  <c r="H316" i="58"/>
  <c r="H317" i="58"/>
  <c r="H318" i="58"/>
  <c r="H319" i="58"/>
  <c r="H320" i="58"/>
  <c r="H321" i="58"/>
  <c r="H322" i="58"/>
  <c r="H1052" i="58"/>
  <c r="H471" i="58"/>
  <c r="H472" i="58"/>
  <c r="H473" i="58"/>
  <c r="H474" i="58"/>
  <c r="H475" i="58"/>
  <c r="H476" i="58"/>
  <c r="H477" i="58"/>
  <c r="H478" i="58"/>
  <c r="H479" i="58"/>
  <c r="H480" i="58"/>
  <c r="H481" i="58"/>
  <c r="H482" i="58"/>
  <c r="H483" i="58"/>
  <c r="H1053" i="58"/>
  <c r="H632" i="58"/>
  <c r="H633" i="58"/>
  <c r="H634" i="58"/>
  <c r="H635" i="58"/>
  <c r="H636" i="58"/>
  <c r="H637" i="58"/>
  <c r="H638" i="58"/>
  <c r="H639" i="58"/>
  <c r="H640" i="58"/>
  <c r="H641" i="58"/>
  <c r="H642" i="58"/>
  <c r="H643" i="58"/>
  <c r="H644" i="58"/>
  <c r="H1054" i="58"/>
  <c r="H792" i="58"/>
  <c r="H793" i="58"/>
  <c r="H794" i="58"/>
  <c r="H795" i="58"/>
  <c r="H796" i="58"/>
  <c r="H797" i="58"/>
  <c r="H798" i="58"/>
  <c r="H799" i="58"/>
  <c r="H800" i="58"/>
  <c r="H801" i="58"/>
  <c r="H802" i="58"/>
  <c r="H803" i="58"/>
  <c r="H804" i="58"/>
  <c r="H1055" i="58"/>
  <c r="H965" i="58"/>
  <c r="H966" i="58"/>
  <c r="H967" i="58"/>
  <c r="H968" i="58"/>
  <c r="H969" i="58"/>
  <c r="H970" i="58"/>
  <c r="H971" i="58"/>
  <c r="H972" i="58"/>
  <c r="H973" i="58"/>
  <c r="H974" i="58"/>
  <c r="H975" i="58"/>
  <c r="H976" i="58"/>
  <c r="H977" i="58"/>
  <c r="H1056" i="58"/>
  <c r="H1057" i="58"/>
  <c r="H51" i="47"/>
  <c r="H87" i="47"/>
  <c r="G315" i="20"/>
  <c r="G316" i="20"/>
  <c r="G317" i="20"/>
  <c r="G318" i="20"/>
  <c r="G319" i="20"/>
  <c r="G320" i="20"/>
  <c r="G321" i="20"/>
  <c r="G322" i="20"/>
  <c r="G323" i="20"/>
  <c r="G324" i="20"/>
  <c r="G325" i="20"/>
  <c r="G326" i="20"/>
  <c r="G327" i="20"/>
  <c r="G356" i="20"/>
  <c r="G149" i="58"/>
  <c r="G150" i="58"/>
  <c r="G151" i="58"/>
  <c r="G152" i="58"/>
  <c r="G153" i="58"/>
  <c r="G154" i="58"/>
  <c r="G155" i="58"/>
  <c r="G156" i="58"/>
  <c r="G157" i="58"/>
  <c r="G158" i="58"/>
  <c r="G159" i="58"/>
  <c r="G160" i="58"/>
  <c r="G161" i="58"/>
  <c r="G1051" i="58"/>
  <c r="G310" i="58"/>
  <c r="G311" i="58"/>
  <c r="G312" i="58"/>
  <c r="G313" i="58"/>
  <c r="G314" i="58"/>
  <c r="G315" i="58"/>
  <c r="G316" i="58"/>
  <c r="G317" i="58"/>
  <c r="G318" i="58"/>
  <c r="G319" i="58"/>
  <c r="G320" i="58"/>
  <c r="G321" i="58"/>
  <c r="G322" i="58"/>
  <c r="G1052" i="58"/>
  <c r="G471" i="58"/>
  <c r="G472" i="58"/>
  <c r="G473" i="58"/>
  <c r="G474" i="58"/>
  <c r="G475" i="58"/>
  <c r="G476" i="58"/>
  <c r="G477" i="58"/>
  <c r="G478" i="58"/>
  <c r="G479" i="58"/>
  <c r="G480" i="58"/>
  <c r="G481" i="58"/>
  <c r="G482" i="58"/>
  <c r="G483" i="58"/>
  <c r="G1053" i="58"/>
  <c r="G632" i="58"/>
  <c r="G633" i="58"/>
  <c r="G634" i="58"/>
  <c r="G635" i="58"/>
  <c r="G636" i="58"/>
  <c r="G637" i="58"/>
  <c r="G638" i="58"/>
  <c r="G639" i="58"/>
  <c r="G640" i="58"/>
  <c r="G641" i="58"/>
  <c r="G642" i="58"/>
  <c r="G643" i="58"/>
  <c r="G644" i="58"/>
  <c r="G1054" i="58"/>
  <c r="G792" i="58"/>
  <c r="G793" i="58"/>
  <c r="G794" i="58"/>
  <c r="G795" i="58"/>
  <c r="G796" i="58"/>
  <c r="G797" i="58"/>
  <c r="G798" i="58"/>
  <c r="G799" i="58"/>
  <c r="G800" i="58"/>
  <c r="G801" i="58"/>
  <c r="G802" i="58"/>
  <c r="G803" i="58"/>
  <c r="G804" i="58"/>
  <c r="G1055" i="58"/>
  <c r="G965" i="58"/>
  <c r="G966" i="58"/>
  <c r="G967" i="58"/>
  <c r="G968" i="58"/>
  <c r="G969" i="58"/>
  <c r="G970" i="58"/>
  <c r="G971" i="58"/>
  <c r="G972" i="58"/>
  <c r="G973" i="58"/>
  <c r="G974" i="58"/>
  <c r="G975" i="58"/>
  <c r="G976" i="58"/>
  <c r="G977" i="58"/>
  <c r="G1056" i="58"/>
  <c r="G1057" i="58"/>
  <c r="G51" i="47"/>
  <c r="G87" i="47"/>
  <c r="F315" i="20"/>
  <c r="F316" i="20"/>
  <c r="F317" i="20"/>
  <c r="F318" i="20"/>
  <c r="F319" i="20"/>
  <c r="F320" i="20"/>
  <c r="F321" i="20"/>
  <c r="F322" i="20"/>
  <c r="F323" i="20"/>
  <c r="F324" i="20"/>
  <c r="F325" i="20"/>
  <c r="F326" i="20"/>
  <c r="F327" i="20"/>
  <c r="F356" i="20"/>
  <c r="F149" i="58"/>
  <c r="F150" i="58"/>
  <c r="F151" i="58"/>
  <c r="F152" i="58"/>
  <c r="F153" i="58"/>
  <c r="F154" i="58"/>
  <c r="F155" i="58"/>
  <c r="F156" i="58"/>
  <c r="F157" i="58"/>
  <c r="F158" i="58"/>
  <c r="F159" i="58"/>
  <c r="F160" i="58"/>
  <c r="F161" i="58"/>
  <c r="F1051" i="58"/>
  <c r="F310" i="58"/>
  <c r="F311" i="58"/>
  <c r="F312" i="58"/>
  <c r="F313" i="58"/>
  <c r="F314" i="58"/>
  <c r="F315" i="58"/>
  <c r="F316" i="58"/>
  <c r="F317" i="58"/>
  <c r="F318" i="58"/>
  <c r="F319" i="58"/>
  <c r="F320" i="58"/>
  <c r="F321" i="58"/>
  <c r="F322" i="58"/>
  <c r="F1052" i="58"/>
  <c r="F471" i="58"/>
  <c r="F472" i="58"/>
  <c r="F473" i="58"/>
  <c r="F474" i="58"/>
  <c r="F475" i="58"/>
  <c r="F476" i="58"/>
  <c r="F477" i="58"/>
  <c r="F478" i="58"/>
  <c r="F479" i="58"/>
  <c r="F480" i="58"/>
  <c r="F481" i="58"/>
  <c r="F482" i="58"/>
  <c r="F483" i="58"/>
  <c r="F1053" i="58"/>
  <c r="F632" i="58"/>
  <c r="F633" i="58"/>
  <c r="F634" i="58"/>
  <c r="F635" i="58"/>
  <c r="F636" i="58"/>
  <c r="F637" i="58"/>
  <c r="F638" i="58"/>
  <c r="F639" i="58"/>
  <c r="F640" i="58"/>
  <c r="F641" i="58"/>
  <c r="F642" i="58"/>
  <c r="F643" i="58"/>
  <c r="F644" i="58"/>
  <c r="F1054" i="58"/>
  <c r="F792" i="58"/>
  <c r="F793" i="58"/>
  <c r="F794" i="58"/>
  <c r="F795" i="58"/>
  <c r="F796" i="58"/>
  <c r="F797" i="58"/>
  <c r="F798" i="58"/>
  <c r="F799" i="58"/>
  <c r="F800" i="58"/>
  <c r="F801" i="58"/>
  <c r="F802" i="58"/>
  <c r="F803" i="58"/>
  <c r="F804" i="58"/>
  <c r="F1055" i="58"/>
  <c r="F965" i="58"/>
  <c r="F966" i="58"/>
  <c r="F967" i="58"/>
  <c r="F968" i="58"/>
  <c r="F969" i="58"/>
  <c r="F970" i="58"/>
  <c r="F971" i="58"/>
  <c r="F972" i="58"/>
  <c r="F973" i="58"/>
  <c r="F974" i="58"/>
  <c r="F975" i="58"/>
  <c r="F976" i="58"/>
  <c r="F977" i="58"/>
  <c r="F1056" i="58"/>
  <c r="F1057" i="58"/>
  <c r="F51" i="47"/>
  <c r="F87" i="47"/>
  <c r="E315" i="20"/>
  <c r="E316" i="20"/>
  <c r="E317" i="20"/>
  <c r="E318" i="20"/>
  <c r="E319" i="20"/>
  <c r="E320" i="20"/>
  <c r="E321" i="20"/>
  <c r="E322" i="20"/>
  <c r="E323" i="20"/>
  <c r="E324" i="20"/>
  <c r="E325" i="20"/>
  <c r="E326" i="20"/>
  <c r="E327" i="20"/>
  <c r="E356" i="20"/>
  <c r="E149" i="58"/>
  <c r="E150" i="58"/>
  <c r="E151" i="58"/>
  <c r="E152" i="58"/>
  <c r="E153" i="58"/>
  <c r="E154" i="58"/>
  <c r="E155" i="58"/>
  <c r="E156" i="58"/>
  <c r="E157" i="58"/>
  <c r="E158" i="58"/>
  <c r="E159" i="58"/>
  <c r="E160" i="58"/>
  <c r="E161" i="58"/>
  <c r="E1051" i="58"/>
  <c r="E310" i="58"/>
  <c r="E311" i="58"/>
  <c r="E312" i="58"/>
  <c r="E313" i="58"/>
  <c r="E314" i="58"/>
  <c r="E315" i="58"/>
  <c r="E316" i="58"/>
  <c r="E317" i="58"/>
  <c r="E318" i="58"/>
  <c r="E319" i="58"/>
  <c r="E320" i="58"/>
  <c r="E321" i="58"/>
  <c r="E322" i="58"/>
  <c r="E1052" i="58"/>
  <c r="E471" i="58"/>
  <c r="E472" i="58"/>
  <c r="E473" i="58"/>
  <c r="E474" i="58"/>
  <c r="E475" i="58"/>
  <c r="E476" i="58"/>
  <c r="E477" i="58"/>
  <c r="E478" i="58"/>
  <c r="E479" i="58"/>
  <c r="E480" i="58"/>
  <c r="E481" i="58"/>
  <c r="E482" i="58"/>
  <c r="E483" i="58"/>
  <c r="E1053" i="58"/>
  <c r="E632" i="58"/>
  <c r="E633" i="58"/>
  <c r="E634" i="58"/>
  <c r="E635" i="58"/>
  <c r="E636" i="58"/>
  <c r="E637" i="58"/>
  <c r="E638" i="58"/>
  <c r="E639" i="58"/>
  <c r="E640" i="58"/>
  <c r="E641" i="58"/>
  <c r="E642" i="58"/>
  <c r="E643" i="58"/>
  <c r="E644" i="58"/>
  <c r="E1054" i="58"/>
  <c r="E792" i="58"/>
  <c r="E793" i="58"/>
  <c r="E794" i="58"/>
  <c r="E795" i="58"/>
  <c r="E796" i="58"/>
  <c r="E797" i="58"/>
  <c r="E798" i="58"/>
  <c r="E799" i="58"/>
  <c r="E800" i="58"/>
  <c r="E801" i="58"/>
  <c r="E802" i="58"/>
  <c r="E803" i="58"/>
  <c r="E804" i="58"/>
  <c r="E1055" i="58"/>
  <c r="E965" i="58"/>
  <c r="E966" i="58"/>
  <c r="E967" i="58"/>
  <c r="E968" i="58"/>
  <c r="E969" i="58"/>
  <c r="E970" i="58"/>
  <c r="E971" i="58"/>
  <c r="E972" i="58"/>
  <c r="E973" i="58"/>
  <c r="E974" i="58"/>
  <c r="E975" i="58"/>
  <c r="E976" i="58"/>
  <c r="E977" i="58"/>
  <c r="E1056" i="58"/>
  <c r="E1057" i="58"/>
  <c r="E51" i="47"/>
  <c r="E87" i="47"/>
  <c r="D87" i="47"/>
  <c r="D356" i="20"/>
  <c r="H41" i="67"/>
  <c r="N300" i="20"/>
  <c r="G41" i="67"/>
  <c r="N301" i="20"/>
  <c r="N302" i="20"/>
  <c r="F41" i="67"/>
  <c r="N303" i="20"/>
  <c r="I41" i="67"/>
  <c r="N304" i="20"/>
  <c r="J41" i="67"/>
  <c r="N305" i="20"/>
  <c r="K41" i="67"/>
  <c r="N306" i="20"/>
  <c r="L41" i="67"/>
  <c r="N307" i="20"/>
  <c r="M41" i="67"/>
  <c r="N308" i="20"/>
  <c r="N41" i="67"/>
  <c r="N309" i="20"/>
  <c r="O41" i="67"/>
  <c r="N310" i="20"/>
  <c r="P41" i="67"/>
  <c r="N311" i="20"/>
  <c r="N312" i="20"/>
  <c r="N355" i="20"/>
  <c r="N102" i="58"/>
  <c r="N103" i="58"/>
  <c r="N104" i="58"/>
  <c r="N105" i="58"/>
  <c r="N106" i="58"/>
  <c r="N107" i="58"/>
  <c r="N108" i="58"/>
  <c r="N109" i="58"/>
  <c r="N110" i="58"/>
  <c r="N111" i="58"/>
  <c r="N112" i="58"/>
  <c r="N113" i="58"/>
  <c r="N114" i="58"/>
  <c r="N1041" i="58"/>
  <c r="N258" i="58"/>
  <c r="N259" i="58"/>
  <c r="N260" i="58"/>
  <c r="N261" i="58"/>
  <c r="N262" i="58"/>
  <c r="N263" i="58"/>
  <c r="N264" i="58"/>
  <c r="N265" i="58"/>
  <c r="N266" i="58"/>
  <c r="N267" i="58"/>
  <c r="N268" i="58"/>
  <c r="N269" i="58"/>
  <c r="N270" i="58"/>
  <c r="N1042" i="58"/>
  <c r="N420" i="58"/>
  <c r="N421" i="58"/>
  <c r="N422" i="58"/>
  <c r="N423" i="58"/>
  <c r="N424" i="58"/>
  <c r="N425" i="58"/>
  <c r="N426" i="58"/>
  <c r="N427" i="58"/>
  <c r="N428" i="58"/>
  <c r="N429" i="58"/>
  <c r="N430" i="58"/>
  <c r="N431" i="58"/>
  <c r="N432" i="58"/>
  <c r="N1043" i="58"/>
  <c r="N580" i="58"/>
  <c r="N581" i="58"/>
  <c r="N582" i="58"/>
  <c r="N583" i="58"/>
  <c r="N584" i="58"/>
  <c r="N585" i="58"/>
  <c r="N586" i="58"/>
  <c r="N587" i="58"/>
  <c r="N588" i="58"/>
  <c r="N589" i="58"/>
  <c r="N590" i="58"/>
  <c r="N591" i="58"/>
  <c r="N592" i="58"/>
  <c r="N1044" i="58"/>
  <c r="N741" i="58"/>
  <c r="N742" i="58"/>
  <c r="N743" i="58"/>
  <c r="N744" i="58"/>
  <c r="N745" i="58"/>
  <c r="N746" i="58"/>
  <c r="N747" i="58"/>
  <c r="N748" i="58"/>
  <c r="N749" i="58"/>
  <c r="N750" i="58"/>
  <c r="N751" i="58"/>
  <c r="N752" i="58"/>
  <c r="N753" i="58"/>
  <c r="N1045" i="58"/>
  <c r="N917" i="58"/>
  <c r="N918" i="58"/>
  <c r="N919" i="58"/>
  <c r="N920" i="58"/>
  <c r="N921" i="58"/>
  <c r="N922" i="58"/>
  <c r="N923" i="58"/>
  <c r="N924" i="58"/>
  <c r="N925" i="58"/>
  <c r="N926" i="58"/>
  <c r="N927" i="58"/>
  <c r="N928" i="58"/>
  <c r="N929" i="58"/>
  <c r="N1046" i="58"/>
  <c r="N1047" i="58"/>
  <c r="N39" i="47"/>
  <c r="N86" i="47"/>
  <c r="M300" i="20"/>
  <c r="M301" i="20"/>
  <c r="M302" i="20"/>
  <c r="M303" i="20"/>
  <c r="M304" i="20"/>
  <c r="M305" i="20"/>
  <c r="M306" i="20"/>
  <c r="M307" i="20"/>
  <c r="M308" i="20"/>
  <c r="M309" i="20"/>
  <c r="M310" i="20"/>
  <c r="M311" i="20"/>
  <c r="M312" i="20"/>
  <c r="M355" i="20"/>
  <c r="M102" i="58"/>
  <c r="M103" i="58"/>
  <c r="M104" i="58"/>
  <c r="M105" i="58"/>
  <c r="M106" i="58"/>
  <c r="M107" i="58"/>
  <c r="M108" i="58"/>
  <c r="M109" i="58"/>
  <c r="M110" i="58"/>
  <c r="M111" i="58"/>
  <c r="M112" i="58"/>
  <c r="M113" i="58"/>
  <c r="M114" i="58"/>
  <c r="M1041" i="58"/>
  <c r="M258" i="58"/>
  <c r="M259" i="58"/>
  <c r="M260" i="58"/>
  <c r="M261" i="58"/>
  <c r="M262" i="58"/>
  <c r="M263" i="58"/>
  <c r="M264" i="58"/>
  <c r="M265" i="58"/>
  <c r="M266" i="58"/>
  <c r="M267" i="58"/>
  <c r="M268" i="58"/>
  <c r="M269" i="58"/>
  <c r="M270" i="58"/>
  <c r="M1042" i="58"/>
  <c r="M420" i="58"/>
  <c r="M421" i="58"/>
  <c r="M422" i="58"/>
  <c r="M423" i="58"/>
  <c r="M424" i="58"/>
  <c r="M425" i="58"/>
  <c r="M426" i="58"/>
  <c r="M427" i="58"/>
  <c r="M428" i="58"/>
  <c r="M429" i="58"/>
  <c r="M430" i="58"/>
  <c r="M431" i="58"/>
  <c r="M432" i="58"/>
  <c r="M1043" i="58"/>
  <c r="M580" i="58"/>
  <c r="M581" i="58"/>
  <c r="M582" i="58"/>
  <c r="M583" i="58"/>
  <c r="M584" i="58"/>
  <c r="M585" i="58"/>
  <c r="M586" i="58"/>
  <c r="M587" i="58"/>
  <c r="M588" i="58"/>
  <c r="M589" i="58"/>
  <c r="M590" i="58"/>
  <c r="M591" i="58"/>
  <c r="M592" i="58"/>
  <c r="M1044" i="58"/>
  <c r="M741" i="58"/>
  <c r="M742" i="58"/>
  <c r="M743" i="58"/>
  <c r="M744" i="58"/>
  <c r="M745" i="58"/>
  <c r="M746" i="58"/>
  <c r="M747" i="58"/>
  <c r="M748" i="58"/>
  <c r="M749" i="58"/>
  <c r="M750" i="58"/>
  <c r="M751" i="58"/>
  <c r="M752" i="58"/>
  <c r="M753" i="58"/>
  <c r="M1045" i="58"/>
  <c r="M917" i="58"/>
  <c r="M918" i="58"/>
  <c r="M919" i="58"/>
  <c r="M920" i="58"/>
  <c r="M921" i="58"/>
  <c r="M922" i="58"/>
  <c r="M923" i="58"/>
  <c r="M924" i="58"/>
  <c r="M925" i="58"/>
  <c r="M926" i="58"/>
  <c r="M927" i="58"/>
  <c r="M928" i="58"/>
  <c r="M929" i="58"/>
  <c r="M1046" i="58"/>
  <c r="M1047" i="58"/>
  <c r="M39" i="47"/>
  <c r="M86" i="47"/>
  <c r="L300" i="20"/>
  <c r="L301" i="20"/>
  <c r="L302" i="20"/>
  <c r="L303" i="20"/>
  <c r="L304" i="20"/>
  <c r="L305" i="20"/>
  <c r="L306" i="20"/>
  <c r="L307" i="20"/>
  <c r="L308" i="20"/>
  <c r="L309" i="20"/>
  <c r="L310" i="20"/>
  <c r="L311" i="20"/>
  <c r="L312" i="20"/>
  <c r="L355" i="20"/>
  <c r="L102" i="58"/>
  <c r="L103" i="58"/>
  <c r="L104" i="58"/>
  <c r="L105" i="58"/>
  <c r="L106" i="58"/>
  <c r="L107" i="58"/>
  <c r="L108" i="58"/>
  <c r="L109" i="58"/>
  <c r="L110" i="58"/>
  <c r="L111" i="58"/>
  <c r="L112" i="58"/>
  <c r="L113" i="58"/>
  <c r="L114" i="58"/>
  <c r="L1041" i="58"/>
  <c r="L258" i="58"/>
  <c r="L259" i="58"/>
  <c r="L260" i="58"/>
  <c r="L261" i="58"/>
  <c r="L262" i="58"/>
  <c r="L263" i="58"/>
  <c r="L264" i="58"/>
  <c r="L265" i="58"/>
  <c r="L266" i="58"/>
  <c r="L267" i="58"/>
  <c r="L268" i="58"/>
  <c r="L269" i="58"/>
  <c r="L270" i="58"/>
  <c r="L1042" i="58"/>
  <c r="L420" i="58"/>
  <c r="L421" i="58"/>
  <c r="L422" i="58"/>
  <c r="L423" i="58"/>
  <c r="L424" i="58"/>
  <c r="L425" i="58"/>
  <c r="L426" i="58"/>
  <c r="L427" i="58"/>
  <c r="L428" i="58"/>
  <c r="L429" i="58"/>
  <c r="L430" i="58"/>
  <c r="L431" i="58"/>
  <c r="L432" i="58"/>
  <c r="L1043" i="58"/>
  <c r="L580" i="58"/>
  <c r="L581" i="58"/>
  <c r="L582" i="58"/>
  <c r="L583" i="58"/>
  <c r="L584" i="58"/>
  <c r="L585" i="58"/>
  <c r="L586" i="58"/>
  <c r="L587" i="58"/>
  <c r="L588" i="58"/>
  <c r="L589" i="58"/>
  <c r="L590" i="58"/>
  <c r="L591" i="58"/>
  <c r="L592" i="58"/>
  <c r="L1044" i="58"/>
  <c r="L741" i="58"/>
  <c r="L742" i="58"/>
  <c r="L743" i="58"/>
  <c r="L744" i="58"/>
  <c r="L745" i="58"/>
  <c r="L746" i="58"/>
  <c r="L747" i="58"/>
  <c r="L748" i="58"/>
  <c r="L749" i="58"/>
  <c r="L750" i="58"/>
  <c r="L751" i="58"/>
  <c r="L752" i="58"/>
  <c r="L753" i="58"/>
  <c r="L1045" i="58"/>
  <c r="L917" i="58"/>
  <c r="L918" i="58"/>
  <c r="L919" i="58"/>
  <c r="L920" i="58"/>
  <c r="L921" i="58"/>
  <c r="L922" i="58"/>
  <c r="L923" i="58"/>
  <c r="L924" i="58"/>
  <c r="L925" i="58"/>
  <c r="L926" i="58"/>
  <c r="L927" i="58"/>
  <c r="L928" i="58"/>
  <c r="L929" i="58"/>
  <c r="L1046" i="58"/>
  <c r="L1047" i="58"/>
  <c r="L39" i="47"/>
  <c r="L86" i="47"/>
  <c r="K300" i="20"/>
  <c r="K301" i="20"/>
  <c r="K302" i="20"/>
  <c r="K303" i="20"/>
  <c r="K304" i="20"/>
  <c r="K305" i="20"/>
  <c r="K306" i="20"/>
  <c r="K307" i="20"/>
  <c r="K308" i="20"/>
  <c r="K309" i="20"/>
  <c r="K310" i="20"/>
  <c r="K311" i="20"/>
  <c r="K312" i="20"/>
  <c r="K355" i="20"/>
  <c r="K102" i="58"/>
  <c r="K103" i="58"/>
  <c r="K104" i="58"/>
  <c r="K105" i="58"/>
  <c r="K106" i="58"/>
  <c r="K107" i="58"/>
  <c r="K108" i="58"/>
  <c r="K109" i="58"/>
  <c r="K110" i="58"/>
  <c r="K111" i="58"/>
  <c r="K112" i="58"/>
  <c r="K113" i="58"/>
  <c r="K114" i="58"/>
  <c r="K1041" i="58"/>
  <c r="K258" i="58"/>
  <c r="K259" i="58"/>
  <c r="K260" i="58"/>
  <c r="K261" i="58"/>
  <c r="K262" i="58"/>
  <c r="K263" i="58"/>
  <c r="K264" i="58"/>
  <c r="K265" i="58"/>
  <c r="K266" i="58"/>
  <c r="K267" i="58"/>
  <c r="K268" i="58"/>
  <c r="K269" i="58"/>
  <c r="K270" i="58"/>
  <c r="K1042" i="58"/>
  <c r="K420" i="58"/>
  <c r="K421" i="58"/>
  <c r="K422" i="58"/>
  <c r="K423" i="58"/>
  <c r="K424" i="58"/>
  <c r="K425" i="58"/>
  <c r="K426" i="58"/>
  <c r="K427" i="58"/>
  <c r="K428" i="58"/>
  <c r="K429" i="58"/>
  <c r="K430" i="58"/>
  <c r="K431" i="58"/>
  <c r="K432" i="58"/>
  <c r="K1043" i="58"/>
  <c r="K580" i="58"/>
  <c r="K581" i="58"/>
  <c r="K582" i="58"/>
  <c r="K583" i="58"/>
  <c r="K584" i="58"/>
  <c r="K585" i="58"/>
  <c r="K586" i="58"/>
  <c r="K587" i="58"/>
  <c r="K588" i="58"/>
  <c r="K589" i="58"/>
  <c r="K590" i="58"/>
  <c r="K591" i="58"/>
  <c r="K592" i="58"/>
  <c r="K1044" i="58"/>
  <c r="K741" i="58"/>
  <c r="K742" i="58"/>
  <c r="K743" i="58"/>
  <c r="K744" i="58"/>
  <c r="K745" i="58"/>
  <c r="K746" i="58"/>
  <c r="K747" i="58"/>
  <c r="K748" i="58"/>
  <c r="K749" i="58"/>
  <c r="K750" i="58"/>
  <c r="K751" i="58"/>
  <c r="K752" i="58"/>
  <c r="K753" i="58"/>
  <c r="K1045" i="58"/>
  <c r="K917" i="58"/>
  <c r="K918" i="58"/>
  <c r="K919" i="58"/>
  <c r="K920" i="58"/>
  <c r="K921" i="58"/>
  <c r="K922" i="58"/>
  <c r="K923" i="58"/>
  <c r="K924" i="58"/>
  <c r="K925" i="58"/>
  <c r="K926" i="58"/>
  <c r="K927" i="58"/>
  <c r="K928" i="58"/>
  <c r="K929" i="58"/>
  <c r="K1046" i="58"/>
  <c r="K1047" i="58"/>
  <c r="K39" i="47"/>
  <c r="K86" i="47"/>
  <c r="J300" i="20"/>
  <c r="J301" i="20"/>
  <c r="J302" i="20"/>
  <c r="J303" i="20"/>
  <c r="J304" i="20"/>
  <c r="J305" i="20"/>
  <c r="J306" i="20"/>
  <c r="J307" i="20"/>
  <c r="J308" i="20"/>
  <c r="J309" i="20"/>
  <c r="J310" i="20"/>
  <c r="J311" i="20"/>
  <c r="J312" i="20"/>
  <c r="J355" i="20"/>
  <c r="J102" i="58"/>
  <c r="J103" i="58"/>
  <c r="J104" i="58"/>
  <c r="J105" i="58"/>
  <c r="J106" i="58"/>
  <c r="J107" i="58"/>
  <c r="J108" i="58"/>
  <c r="J109" i="58"/>
  <c r="J110" i="58"/>
  <c r="J111" i="58"/>
  <c r="J112" i="58"/>
  <c r="J113" i="58"/>
  <c r="J114" i="58"/>
  <c r="J1041" i="58"/>
  <c r="J258" i="58"/>
  <c r="J259" i="58"/>
  <c r="J260" i="58"/>
  <c r="J261" i="58"/>
  <c r="J262" i="58"/>
  <c r="J263" i="58"/>
  <c r="J264" i="58"/>
  <c r="J265" i="58"/>
  <c r="J266" i="58"/>
  <c r="J267" i="58"/>
  <c r="J268" i="58"/>
  <c r="J269" i="58"/>
  <c r="J270" i="58"/>
  <c r="J1042" i="58"/>
  <c r="J420" i="58"/>
  <c r="J421" i="58"/>
  <c r="J422" i="58"/>
  <c r="J423" i="58"/>
  <c r="J424" i="58"/>
  <c r="J425" i="58"/>
  <c r="J426" i="58"/>
  <c r="J427" i="58"/>
  <c r="J428" i="58"/>
  <c r="J429" i="58"/>
  <c r="J430" i="58"/>
  <c r="J431" i="58"/>
  <c r="J432" i="58"/>
  <c r="J1043" i="58"/>
  <c r="J580" i="58"/>
  <c r="J581" i="58"/>
  <c r="J582" i="58"/>
  <c r="J583" i="58"/>
  <c r="J584" i="58"/>
  <c r="J585" i="58"/>
  <c r="J586" i="58"/>
  <c r="J587" i="58"/>
  <c r="J588" i="58"/>
  <c r="J589" i="58"/>
  <c r="J590" i="58"/>
  <c r="J591" i="58"/>
  <c r="J592" i="58"/>
  <c r="J1044" i="58"/>
  <c r="J741" i="58"/>
  <c r="J742" i="58"/>
  <c r="J743" i="58"/>
  <c r="J744" i="58"/>
  <c r="J745" i="58"/>
  <c r="J746" i="58"/>
  <c r="J747" i="58"/>
  <c r="J748" i="58"/>
  <c r="J749" i="58"/>
  <c r="J750" i="58"/>
  <c r="J751" i="58"/>
  <c r="J752" i="58"/>
  <c r="J753" i="58"/>
  <c r="J1045" i="58"/>
  <c r="J917" i="58"/>
  <c r="J918" i="58"/>
  <c r="J919" i="58"/>
  <c r="J920" i="58"/>
  <c r="J921" i="58"/>
  <c r="J922" i="58"/>
  <c r="J923" i="58"/>
  <c r="J924" i="58"/>
  <c r="J925" i="58"/>
  <c r="J926" i="58"/>
  <c r="J927" i="58"/>
  <c r="J928" i="58"/>
  <c r="J929" i="58"/>
  <c r="J1046" i="58"/>
  <c r="J1047" i="58"/>
  <c r="J39" i="47"/>
  <c r="J86" i="47"/>
  <c r="I300" i="20"/>
  <c r="I301" i="20"/>
  <c r="I302" i="20"/>
  <c r="I303" i="20"/>
  <c r="I304" i="20"/>
  <c r="I305" i="20"/>
  <c r="I306" i="20"/>
  <c r="I307" i="20"/>
  <c r="I308" i="20"/>
  <c r="I309" i="20"/>
  <c r="I310" i="20"/>
  <c r="I311" i="20"/>
  <c r="I312" i="20"/>
  <c r="I355" i="20"/>
  <c r="I102" i="58"/>
  <c r="I103" i="58"/>
  <c r="I104" i="58"/>
  <c r="I105" i="58"/>
  <c r="I106" i="58"/>
  <c r="I107" i="58"/>
  <c r="I108" i="58"/>
  <c r="I109" i="58"/>
  <c r="I110" i="58"/>
  <c r="I111" i="58"/>
  <c r="I112" i="58"/>
  <c r="I113" i="58"/>
  <c r="I114" i="58"/>
  <c r="I1041" i="58"/>
  <c r="I258" i="58"/>
  <c r="I259" i="58"/>
  <c r="I260" i="58"/>
  <c r="I261" i="58"/>
  <c r="I262" i="58"/>
  <c r="I263" i="58"/>
  <c r="I264" i="58"/>
  <c r="I265" i="58"/>
  <c r="I266" i="58"/>
  <c r="I267" i="58"/>
  <c r="I268" i="58"/>
  <c r="I269" i="58"/>
  <c r="I270" i="58"/>
  <c r="I1042" i="58"/>
  <c r="I420" i="58"/>
  <c r="I421" i="58"/>
  <c r="I422" i="58"/>
  <c r="I423" i="58"/>
  <c r="I424" i="58"/>
  <c r="I425" i="58"/>
  <c r="I426" i="58"/>
  <c r="I427" i="58"/>
  <c r="I428" i="58"/>
  <c r="I429" i="58"/>
  <c r="I430" i="58"/>
  <c r="I431" i="58"/>
  <c r="I432" i="58"/>
  <c r="I1043" i="58"/>
  <c r="I580" i="58"/>
  <c r="I581" i="58"/>
  <c r="I582" i="58"/>
  <c r="I583" i="58"/>
  <c r="I584" i="58"/>
  <c r="I585" i="58"/>
  <c r="I586" i="58"/>
  <c r="I587" i="58"/>
  <c r="I588" i="58"/>
  <c r="I589" i="58"/>
  <c r="I590" i="58"/>
  <c r="I591" i="58"/>
  <c r="I592" i="58"/>
  <c r="I1044" i="58"/>
  <c r="I741" i="58"/>
  <c r="I742" i="58"/>
  <c r="I743" i="58"/>
  <c r="I744" i="58"/>
  <c r="I745" i="58"/>
  <c r="I746" i="58"/>
  <c r="I747" i="58"/>
  <c r="I748" i="58"/>
  <c r="I749" i="58"/>
  <c r="I750" i="58"/>
  <c r="I751" i="58"/>
  <c r="I752" i="58"/>
  <c r="I753" i="58"/>
  <c r="I1045" i="58"/>
  <c r="I917" i="58"/>
  <c r="I918" i="58"/>
  <c r="I919" i="58"/>
  <c r="I920" i="58"/>
  <c r="I921" i="58"/>
  <c r="I922" i="58"/>
  <c r="I923" i="58"/>
  <c r="I924" i="58"/>
  <c r="I925" i="58"/>
  <c r="I926" i="58"/>
  <c r="I927" i="58"/>
  <c r="I928" i="58"/>
  <c r="I929" i="58"/>
  <c r="I1046" i="58"/>
  <c r="I1047" i="58"/>
  <c r="I39" i="47"/>
  <c r="I86" i="47"/>
  <c r="H300" i="20"/>
  <c r="H301" i="20"/>
  <c r="H302" i="20"/>
  <c r="H303" i="20"/>
  <c r="H304" i="20"/>
  <c r="H305" i="20"/>
  <c r="H306" i="20"/>
  <c r="H307" i="20"/>
  <c r="H308" i="20"/>
  <c r="H309" i="20"/>
  <c r="H310" i="20"/>
  <c r="H311" i="20"/>
  <c r="H312" i="20"/>
  <c r="H355" i="20"/>
  <c r="H102" i="58"/>
  <c r="H103" i="58"/>
  <c r="H104" i="58"/>
  <c r="H105" i="58"/>
  <c r="H106" i="58"/>
  <c r="H107" i="58"/>
  <c r="H108" i="58"/>
  <c r="H109" i="58"/>
  <c r="H110" i="58"/>
  <c r="H111" i="58"/>
  <c r="H112" i="58"/>
  <c r="H113" i="58"/>
  <c r="H114" i="58"/>
  <c r="H1041" i="58"/>
  <c r="H258" i="58"/>
  <c r="H259" i="58"/>
  <c r="H260" i="58"/>
  <c r="H261" i="58"/>
  <c r="H262" i="58"/>
  <c r="H263" i="58"/>
  <c r="H264" i="58"/>
  <c r="H265" i="58"/>
  <c r="H266" i="58"/>
  <c r="H267" i="58"/>
  <c r="H268" i="58"/>
  <c r="H269" i="58"/>
  <c r="H270" i="58"/>
  <c r="H1042" i="58"/>
  <c r="H420" i="58"/>
  <c r="H421" i="58"/>
  <c r="H422" i="58"/>
  <c r="H423" i="58"/>
  <c r="H424" i="58"/>
  <c r="H425" i="58"/>
  <c r="H426" i="58"/>
  <c r="H427" i="58"/>
  <c r="H428" i="58"/>
  <c r="H429" i="58"/>
  <c r="H430" i="58"/>
  <c r="H431" i="58"/>
  <c r="H432" i="58"/>
  <c r="H1043" i="58"/>
  <c r="H580" i="58"/>
  <c r="H581" i="58"/>
  <c r="H582" i="58"/>
  <c r="H583" i="58"/>
  <c r="H584" i="58"/>
  <c r="H585" i="58"/>
  <c r="H586" i="58"/>
  <c r="H587" i="58"/>
  <c r="H588" i="58"/>
  <c r="H589" i="58"/>
  <c r="H590" i="58"/>
  <c r="H591" i="58"/>
  <c r="H592" i="58"/>
  <c r="H1044" i="58"/>
  <c r="H741" i="58"/>
  <c r="H742" i="58"/>
  <c r="H743" i="58"/>
  <c r="H744" i="58"/>
  <c r="H745" i="58"/>
  <c r="H746" i="58"/>
  <c r="H747" i="58"/>
  <c r="H748" i="58"/>
  <c r="H749" i="58"/>
  <c r="H750" i="58"/>
  <c r="H751" i="58"/>
  <c r="H752" i="58"/>
  <c r="H753" i="58"/>
  <c r="H1045" i="58"/>
  <c r="H917" i="58"/>
  <c r="H918" i="58"/>
  <c r="H919" i="58"/>
  <c r="H920" i="58"/>
  <c r="H921" i="58"/>
  <c r="H922" i="58"/>
  <c r="H923" i="58"/>
  <c r="H924" i="58"/>
  <c r="H925" i="58"/>
  <c r="H926" i="58"/>
  <c r="H927" i="58"/>
  <c r="H928" i="58"/>
  <c r="H929" i="58"/>
  <c r="H1046" i="58"/>
  <c r="H1047" i="58"/>
  <c r="H39" i="47"/>
  <c r="H86" i="47"/>
  <c r="G300" i="20"/>
  <c r="G301" i="20"/>
  <c r="G302" i="20"/>
  <c r="G303" i="20"/>
  <c r="G304" i="20"/>
  <c r="G305" i="20"/>
  <c r="G306" i="20"/>
  <c r="G307" i="20"/>
  <c r="G308" i="20"/>
  <c r="G309" i="20"/>
  <c r="G310" i="20"/>
  <c r="G311" i="20"/>
  <c r="G312" i="20"/>
  <c r="G355" i="20"/>
  <c r="G102" i="58"/>
  <c r="G103" i="58"/>
  <c r="G104" i="58"/>
  <c r="G105" i="58"/>
  <c r="G106" i="58"/>
  <c r="G107" i="58"/>
  <c r="G108" i="58"/>
  <c r="G109" i="58"/>
  <c r="G110" i="58"/>
  <c r="G111" i="58"/>
  <c r="G112" i="58"/>
  <c r="G113" i="58"/>
  <c r="G114" i="58"/>
  <c r="G1041" i="58"/>
  <c r="G258" i="58"/>
  <c r="G259" i="58"/>
  <c r="G260" i="58"/>
  <c r="G261" i="58"/>
  <c r="G262" i="58"/>
  <c r="G263" i="58"/>
  <c r="G264" i="58"/>
  <c r="G265" i="58"/>
  <c r="G266" i="58"/>
  <c r="G267" i="58"/>
  <c r="G268" i="58"/>
  <c r="G269" i="58"/>
  <c r="G270" i="58"/>
  <c r="G1042" i="58"/>
  <c r="G420" i="58"/>
  <c r="G421" i="58"/>
  <c r="G422" i="58"/>
  <c r="G423" i="58"/>
  <c r="G424" i="58"/>
  <c r="G425" i="58"/>
  <c r="G426" i="58"/>
  <c r="G427" i="58"/>
  <c r="G428" i="58"/>
  <c r="G429" i="58"/>
  <c r="G430" i="58"/>
  <c r="G431" i="58"/>
  <c r="G432" i="58"/>
  <c r="G1043" i="58"/>
  <c r="G580" i="58"/>
  <c r="G581" i="58"/>
  <c r="G582" i="58"/>
  <c r="G583" i="58"/>
  <c r="G584" i="58"/>
  <c r="G585" i="58"/>
  <c r="G586" i="58"/>
  <c r="G587" i="58"/>
  <c r="G588" i="58"/>
  <c r="G589" i="58"/>
  <c r="G590" i="58"/>
  <c r="G591" i="58"/>
  <c r="G592" i="58"/>
  <c r="G1044" i="58"/>
  <c r="G741" i="58"/>
  <c r="G742" i="58"/>
  <c r="G743" i="58"/>
  <c r="G744" i="58"/>
  <c r="G745" i="58"/>
  <c r="G746" i="58"/>
  <c r="G747" i="58"/>
  <c r="G748" i="58"/>
  <c r="G749" i="58"/>
  <c r="G750" i="58"/>
  <c r="G751" i="58"/>
  <c r="G752" i="58"/>
  <c r="G753" i="58"/>
  <c r="G1045" i="58"/>
  <c r="G917" i="58"/>
  <c r="G918" i="58"/>
  <c r="G919" i="58"/>
  <c r="G920" i="58"/>
  <c r="G921" i="58"/>
  <c r="G922" i="58"/>
  <c r="G923" i="58"/>
  <c r="G924" i="58"/>
  <c r="G925" i="58"/>
  <c r="G926" i="58"/>
  <c r="G927" i="58"/>
  <c r="G928" i="58"/>
  <c r="G929" i="58"/>
  <c r="G1046" i="58"/>
  <c r="G1047" i="58"/>
  <c r="G39" i="47"/>
  <c r="G86" i="47"/>
  <c r="F300" i="20"/>
  <c r="F301" i="20"/>
  <c r="F302" i="20"/>
  <c r="F303" i="20"/>
  <c r="F304" i="20"/>
  <c r="F305" i="20"/>
  <c r="F306" i="20"/>
  <c r="F307" i="20"/>
  <c r="F308" i="20"/>
  <c r="F309" i="20"/>
  <c r="F310" i="20"/>
  <c r="F311" i="20"/>
  <c r="F312" i="20"/>
  <c r="F355" i="20"/>
  <c r="F102" i="58"/>
  <c r="F103" i="58"/>
  <c r="F104" i="58"/>
  <c r="F105" i="58"/>
  <c r="F106" i="58"/>
  <c r="F107" i="58"/>
  <c r="F108" i="58"/>
  <c r="F109" i="58"/>
  <c r="F110" i="58"/>
  <c r="F111" i="58"/>
  <c r="F112" i="58"/>
  <c r="F113" i="58"/>
  <c r="F114" i="58"/>
  <c r="F1041" i="58"/>
  <c r="F258" i="58"/>
  <c r="F259" i="58"/>
  <c r="F260" i="58"/>
  <c r="F261" i="58"/>
  <c r="F262" i="58"/>
  <c r="F263" i="58"/>
  <c r="F264" i="58"/>
  <c r="F265" i="58"/>
  <c r="F266" i="58"/>
  <c r="F267" i="58"/>
  <c r="F268" i="58"/>
  <c r="F269" i="58"/>
  <c r="F270" i="58"/>
  <c r="F1042" i="58"/>
  <c r="F420" i="58"/>
  <c r="F421" i="58"/>
  <c r="F422" i="58"/>
  <c r="F423" i="58"/>
  <c r="F424" i="58"/>
  <c r="F425" i="58"/>
  <c r="F426" i="58"/>
  <c r="F427" i="58"/>
  <c r="F428" i="58"/>
  <c r="F429" i="58"/>
  <c r="F430" i="58"/>
  <c r="F431" i="58"/>
  <c r="F432" i="58"/>
  <c r="F1043" i="58"/>
  <c r="F580" i="58"/>
  <c r="F581" i="58"/>
  <c r="F582" i="58"/>
  <c r="F583" i="58"/>
  <c r="F584" i="58"/>
  <c r="F585" i="58"/>
  <c r="F586" i="58"/>
  <c r="F587" i="58"/>
  <c r="F588" i="58"/>
  <c r="F589" i="58"/>
  <c r="F590" i="58"/>
  <c r="F591" i="58"/>
  <c r="F592" i="58"/>
  <c r="F1044" i="58"/>
  <c r="F741" i="58"/>
  <c r="F742" i="58"/>
  <c r="F743" i="58"/>
  <c r="F744" i="58"/>
  <c r="F745" i="58"/>
  <c r="F746" i="58"/>
  <c r="F747" i="58"/>
  <c r="F748" i="58"/>
  <c r="F749" i="58"/>
  <c r="F750" i="58"/>
  <c r="F751" i="58"/>
  <c r="F752" i="58"/>
  <c r="F753" i="58"/>
  <c r="F1045" i="58"/>
  <c r="F917" i="58"/>
  <c r="F918" i="58"/>
  <c r="F919" i="58"/>
  <c r="F920" i="58"/>
  <c r="F921" i="58"/>
  <c r="F922" i="58"/>
  <c r="F923" i="58"/>
  <c r="F924" i="58"/>
  <c r="F925" i="58"/>
  <c r="F926" i="58"/>
  <c r="F927" i="58"/>
  <c r="F928" i="58"/>
  <c r="F929" i="58"/>
  <c r="F1046" i="58"/>
  <c r="F1047" i="58"/>
  <c r="F39" i="47"/>
  <c r="F86" i="47"/>
  <c r="E300" i="20"/>
  <c r="E301" i="20"/>
  <c r="E302" i="20"/>
  <c r="E303" i="20"/>
  <c r="E304" i="20"/>
  <c r="E305" i="20"/>
  <c r="E306" i="20"/>
  <c r="E307" i="20"/>
  <c r="E308" i="20"/>
  <c r="E309" i="20"/>
  <c r="E310" i="20"/>
  <c r="E311" i="20"/>
  <c r="E312" i="20"/>
  <c r="E355" i="20"/>
  <c r="E102" i="58"/>
  <c r="E103" i="58"/>
  <c r="E104" i="58"/>
  <c r="E105" i="58"/>
  <c r="E106" i="58"/>
  <c r="E107" i="58"/>
  <c r="E108" i="58"/>
  <c r="E109" i="58"/>
  <c r="E110" i="58"/>
  <c r="E111" i="58"/>
  <c r="E112" i="58"/>
  <c r="E113" i="58"/>
  <c r="E114" i="58"/>
  <c r="E1041" i="58"/>
  <c r="E258" i="58"/>
  <c r="E259" i="58"/>
  <c r="E260" i="58"/>
  <c r="E261" i="58"/>
  <c r="E262" i="58"/>
  <c r="E263" i="58"/>
  <c r="E264" i="58"/>
  <c r="E265" i="58"/>
  <c r="E266" i="58"/>
  <c r="E267" i="58"/>
  <c r="E268" i="58"/>
  <c r="E269" i="58"/>
  <c r="E270" i="58"/>
  <c r="E1042" i="58"/>
  <c r="E420" i="58"/>
  <c r="E421" i="58"/>
  <c r="E422" i="58"/>
  <c r="E423" i="58"/>
  <c r="E424" i="58"/>
  <c r="E425" i="58"/>
  <c r="E426" i="58"/>
  <c r="E427" i="58"/>
  <c r="E428" i="58"/>
  <c r="E429" i="58"/>
  <c r="E430" i="58"/>
  <c r="E431" i="58"/>
  <c r="E432" i="58"/>
  <c r="E1043" i="58"/>
  <c r="E580" i="58"/>
  <c r="E581" i="58"/>
  <c r="E582" i="58"/>
  <c r="E583" i="58"/>
  <c r="E584" i="58"/>
  <c r="E585" i="58"/>
  <c r="E586" i="58"/>
  <c r="E587" i="58"/>
  <c r="E588" i="58"/>
  <c r="E589" i="58"/>
  <c r="E590" i="58"/>
  <c r="E591" i="58"/>
  <c r="E592" i="58"/>
  <c r="E1044" i="58"/>
  <c r="E741" i="58"/>
  <c r="E742" i="58"/>
  <c r="E743" i="58"/>
  <c r="E744" i="58"/>
  <c r="E745" i="58"/>
  <c r="E746" i="58"/>
  <c r="E747" i="58"/>
  <c r="E748" i="58"/>
  <c r="E749" i="58"/>
  <c r="E750" i="58"/>
  <c r="E751" i="58"/>
  <c r="E752" i="58"/>
  <c r="E753" i="58"/>
  <c r="E1045" i="58"/>
  <c r="E917" i="58"/>
  <c r="E918" i="58"/>
  <c r="E919" i="58"/>
  <c r="E920" i="58"/>
  <c r="E921" i="58"/>
  <c r="E922" i="58"/>
  <c r="E923" i="58"/>
  <c r="E924" i="58"/>
  <c r="E925" i="58"/>
  <c r="E926" i="58"/>
  <c r="E927" i="58"/>
  <c r="E928" i="58"/>
  <c r="E929" i="58"/>
  <c r="E1046" i="58"/>
  <c r="E1047" i="58"/>
  <c r="E39" i="47"/>
  <c r="E86" i="47"/>
  <c r="D86" i="47"/>
  <c r="D355" i="20"/>
  <c r="H39" i="67"/>
  <c r="N285" i="20"/>
  <c r="G39" i="67"/>
  <c r="N286" i="20"/>
  <c r="N287" i="20"/>
  <c r="F39" i="67"/>
  <c r="N288" i="20"/>
  <c r="I39" i="67"/>
  <c r="N289" i="20"/>
  <c r="J39" i="67"/>
  <c r="N290" i="20"/>
  <c r="K39" i="67"/>
  <c r="N291" i="20"/>
  <c r="L39" i="67"/>
  <c r="N292" i="20"/>
  <c r="M39" i="67"/>
  <c r="N293" i="20"/>
  <c r="N39" i="67"/>
  <c r="N294" i="20"/>
  <c r="O39" i="67"/>
  <c r="N295" i="20"/>
  <c r="P39" i="67"/>
  <c r="N296" i="20"/>
  <c r="N297" i="20"/>
  <c r="N354" i="20"/>
  <c r="N55" i="58"/>
  <c r="N56" i="58"/>
  <c r="N57" i="58"/>
  <c r="N58" i="58"/>
  <c r="N59" i="58"/>
  <c r="N60" i="58"/>
  <c r="N61" i="58"/>
  <c r="N62" i="58"/>
  <c r="N63" i="58"/>
  <c r="N64" i="58"/>
  <c r="N65" i="58"/>
  <c r="N66" i="58"/>
  <c r="N67" i="58"/>
  <c r="N1031" i="58"/>
  <c r="N207" i="58"/>
  <c r="N208" i="58"/>
  <c r="N209" i="58"/>
  <c r="N210" i="58"/>
  <c r="N211" i="58"/>
  <c r="N212" i="58"/>
  <c r="N213" i="58"/>
  <c r="N214" i="58"/>
  <c r="N215" i="58"/>
  <c r="N216" i="58"/>
  <c r="N217" i="58"/>
  <c r="N218" i="58"/>
  <c r="N219" i="58"/>
  <c r="N1032" i="58"/>
  <c r="N368" i="58"/>
  <c r="N369" i="58"/>
  <c r="N370" i="58"/>
  <c r="N371" i="58"/>
  <c r="N372" i="58"/>
  <c r="N373" i="58"/>
  <c r="N374" i="58"/>
  <c r="N375" i="58"/>
  <c r="N376" i="58"/>
  <c r="N377" i="58"/>
  <c r="N378" i="58"/>
  <c r="N379" i="58"/>
  <c r="N380" i="58"/>
  <c r="N1033" i="58"/>
  <c r="N529" i="58"/>
  <c r="N530" i="58"/>
  <c r="N531" i="58"/>
  <c r="N532" i="58"/>
  <c r="N533" i="58"/>
  <c r="N534" i="58"/>
  <c r="N535" i="58"/>
  <c r="N536" i="58"/>
  <c r="N537" i="58"/>
  <c r="N538" i="58"/>
  <c r="N539" i="58"/>
  <c r="N540" i="58"/>
  <c r="N541" i="58"/>
  <c r="N1034" i="58"/>
  <c r="N690" i="58"/>
  <c r="N691" i="58"/>
  <c r="N692" i="58"/>
  <c r="N693" i="58"/>
  <c r="N694" i="58"/>
  <c r="N695" i="58"/>
  <c r="N696" i="58"/>
  <c r="N697" i="58"/>
  <c r="N698" i="58"/>
  <c r="N699" i="58"/>
  <c r="N700" i="58"/>
  <c r="N701" i="58"/>
  <c r="N702" i="58"/>
  <c r="N1035" i="58"/>
  <c r="N869" i="58"/>
  <c r="N870" i="58"/>
  <c r="N871" i="58"/>
  <c r="N872" i="58"/>
  <c r="N873" i="58"/>
  <c r="N874" i="58"/>
  <c r="N875" i="58"/>
  <c r="N876" i="58"/>
  <c r="N877" i="58"/>
  <c r="N878" i="58"/>
  <c r="N879" i="58"/>
  <c r="N880" i="58"/>
  <c r="N881" i="58"/>
  <c r="N1036" i="58"/>
  <c r="N1037" i="58"/>
  <c r="N27" i="47"/>
  <c r="N85" i="47"/>
  <c r="M285" i="20"/>
  <c r="M286" i="20"/>
  <c r="M287" i="20"/>
  <c r="M288" i="20"/>
  <c r="M289" i="20"/>
  <c r="M290" i="20"/>
  <c r="M291" i="20"/>
  <c r="M292" i="20"/>
  <c r="M293" i="20"/>
  <c r="M294" i="20"/>
  <c r="M295" i="20"/>
  <c r="M296" i="20"/>
  <c r="M297" i="20"/>
  <c r="M354" i="20"/>
  <c r="M55" i="58"/>
  <c r="M56" i="58"/>
  <c r="M57" i="58"/>
  <c r="M58" i="58"/>
  <c r="M59" i="58"/>
  <c r="M60" i="58"/>
  <c r="M61" i="58"/>
  <c r="M62" i="58"/>
  <c r="M63" i="58"/>
  <c r="M64" i="58"/>
  <c r="M65" i="58"/>
  <c r="M66" i="58"/>
  <c r="M67" i="58"/>
  <c r="M1031" i="58"/>
  <c r="M207" i="58"/>
  <c r="M208" i="58"/>
  <c r="M209" i="58"/>
  <c r="M210" i="58"/>
  <c r="M211" i="58"/>
  <c r="M212" i="58"/>
  <c r="M213" i="58"/>
  <c r="M214" i="58"/>
  <c r="M215" i="58"/>
  <c r="M216" i="58"/>
  <c r="M217" i="58"/>
  <c r="M218" i="58"/>
  <c r="M219" i="58"/>
  <c r="M1032" i="58"/>
  <c r="M368" i="58"/>
  <c r="M369" i="58"/>
  <c r="M370" i="58"/>
  <c r="M371" i="58"/>
  <c r="M372" i="58"/>
  <c r="M373" i="58"/>
  <c r="M374" i="58"/>
  <c r="M375" i="58"/>
  <c r="M376" i="58"/>
  <c r="M377" i="58"/>
  <c r="M378" i="58"/>
  <c r="M379" i="58"/>
  <c r="M380" i="58"/>
  <c r="M1033" i="58"/>
  <c r="M529" i="58"/>
  <c r="M530" i="58"/>
  <c r="M531" i="58"/>
  <c r="M532" i="58"/>
  <c r="M533" i="58"/>
  <c r="M534" i="58"/>
  <c r="M535" i="58"/>
  <c r="M536" i="58"/>
  <c r="M537" i="58"/>
  <c r="M538" i="58"/>
  <c r="M539" i="58"/>
  <c r="M540" i="58"/>
  <c r="M541" i="58"/>
  <c r="M1034" i="58"/>
  <c r="M690" i="58"/>
  <c r="M691" i="58"/>
  <c r="M692" i="58"/>
  <c r="M693" i="58"/>
  <c r="M694" i="58"/>
  <c r="M695" i="58"/>
  <c r="M696" i="58"/>
  <c r="M697" i="58"/>
  <c r="M698" i="58"/>
  <c r="M699" i="58"/>
  <c r="M700" i="58"/>
  <c r="M701" i="58"/>
  <c r="M702" i="58"/>
  <c r="M1035" i="58"/>
  <c r="M869" i="58"/>
  <c r="M870" i="58"/>
  <c r="M871" i="58"/>
  <c r="M872" i="58"/>
  <c r="M873" i="58"/>
  <c r="M874" i="58"/>
  <c r="M875" i="58"/>
  <c r="M876" i="58"/>
  <c r="M877" i="58"/>
  <c r="M878" i="58"/>
  <c r="M879" i="58"/>
  <c r="M880" i="58"/>
  <c r="M881" i="58"/>
  <c r="M1036" i="58"/>
  <c r="M1037" i="58"/>
  <c r="M27" i="47"/>
  <c r="M85" i="47"/>
  <c r="L285" i="20"/>
  <c r="L286" i="20"/>
  <c r="L287" i="20"/>
  <c r="L288" i="20"/>
  <c r="L289" i="20"/>
  <c r="L290" i="20"/>
  <c r="L291" i="20"/>
  <c r="L292" i="20"/>
  <c r="L293" i="20"/>
  <c r="L294" i="20"/>
  <c r="L295" i="20"/>
  <c r="L296" i="20"/>
  <c r="L297" i="20"/>
  <c r="L354" i="20"/>
  <c r="L55" i="58"/>
  <c r="L56" i="58"/>
  <c r="L57" i="58"/>
  <c r="L58" i="58"/>
  <c r="L59" i="58"/>
  <c r="L60" i="58"/>
  <c r="L61" i="58"/>
  <c r="L62" i="58"/>
  <c r="L63" i="58"/>
  <c r="L64" i="58"/>
  <c r="L65" i="58"/>
  <c r="L66" i="58"/>
  <c r="L67" i="58"/>
  <c r="L1031" i="58"/>
  <c r="L207" i="58"/>
  <c r="L208" i="58"/>
  <c r="L209" i="58"/>
  <c r="L210" i="58"/>
  <c r="L211" i="58"/>
  <c r="L212" i="58"/>
  <c r="L213" i="58"/>
  <c r="L214" i="58"/>
  <c r="L215" i="58"/>
  <c r="L216" i="58"/>
  <c r="L217" i="58"/>
  <c r="L218" i="58"/>
  <c r="L219" i="58"/>
  <c r="L1032" i="58"/>
  <c r="L368" i="58"/>
  <c r="L369" i="58"/>
  <c r="L370" i="58"/>
  <c r="L371" i="58"/>
  <c r="L372" i="58"/>
  <c r="L373" i="58"/>
  <c r="L374" i="58"/>
  <c r="L375" i="58"/>
  <c r="L376" i="58"/>
  <c r="L377" i="58"/>
  <c r="L378" i="58"/>
  <c r="L379" i="58"/>
  <c r="L380" i="58"/>
  <c r="L1033" i="58"/>
  <c r="L529" i="58"/>
  <c r="L530" i="58"/>
  <c r="L531" i="58"/>
  <c r="L532" i="58"/>
  <c r="L533" i="58"/>
  <c r="L534" i="58"/>
  <c r="L535" i="58"/>
  <c r="L536" i="58"/>
  <c r="L537" i="58"/>
  <c r="L538" i="58"/>
  <c r="L539" i="58"/>
  <c r="L540" i="58"/>
  <c r="L541" i="58"/>
  <c r="L1034" i="58"/>
  <c r="L690" i="58"/>
  <c r="L691" i="58"/>
  <c r="L692" i="58"/>
  <c r="L693" i="58"/>
  <c r="L694" i="58"/>
  <c r="L695" i="58"/>
  <c r="L696" i="58"/>
  <c r="L697" i="58"/>
  <c r="L698" i="58"/>
  <c r="L699" i="58"/>
  <c r="L700" i="58"/>
  <c r="L701" i="58"/>
  <c r="L702" i="58"/>
  <c r="L1035" i="58"/>
  <c r="L869" i="58"/>
  <c r="L870" i="58"/>
  <c r="L871" i="58"/>
  <c r="L872" i="58"/>
  <c r="L873" i="58"/>
  <c r="L874" i="58"/>
  <c r="L875" i="58"/>
  <c r="L876" i="58"/>
  <c r="L877" i="58"/>
  <c r="L878" i="58"/>
  <c r="L879" i="58"/>
  <c r="L880" i="58"/>
  <c r="L881" i="58"/>
  <c r="L1036" i="58"/>
  <c r="L1037" i="58"/>
  <c r="L27" i="47"/>
  <c r="L85" i="47"/>
  <c r="K285" i="20"/>
  <c r="K286" i="20"/>
  <c r="K287" i="20"/>
  <c r="K288" i="20"/>
  <c r="K289" i="20"/>
  <c r="K290" i="20"/>
  <c r="K291" i="20"/>
  <c r="K292" i="20"/>
  <c r="K293" i="20"/>
  <c r="K294" i="20"/>
  <c r="K295" i="20"/>
  <c r="K296" i="20"/>
  <c r="K297" i="20"/>
  <c r="K354" i="20"/>
  <c r="K55" i="58"/>
  <c r="K56" i="58"/>
  <c r="K57" i="58"/>
  <c r="K58" i="58"/>
  <c r="K59" i="58"/>
  <c r="K60" i="58"/>
  <c r="K61" i="58"/>
  <c r="K62" i="58"/>
  <c r="K63" i="58"/>
  <c r="K64" i="58"/>
  <c r="K65" i="58"/>
  <c r="K66" i="58"/>
  <c r="K67" i="58"/>
  <c r="K1031" i="58"/>
  <c r="K207" i="58"/>
  <c r="K208" i="58"/>
  <c r="K209" i="58"/>
  <c r="K210" i="58"/>
  <c r="K211" i="58"/>
  <c r="K212" i="58"/>
  <c r="K213" i="58"/>
  <c r="K214" i="58"/>
  <c r="K215" i="58"/>
  <c r="K216" i="58"/>
  <c r="K217" i="58"/>
  <c r="K218" i="58"/>
  <c r="K219" i="58"/>
  <c r="K1032" i="58"/>
  <c r="K368" i="58"/>
  <c r="K369" i="58"/>
  <c r="K370" i="58"/>
  <c r="K371" i="58"/>
  <c r="K372" i="58"/>
  <c r="K373" i="58"/>
  <c r="K374" i="58"/>
  <c r="K375" i="58"/>
  <c r="K376" i="58"/>
  <c r="K377" i="58"/>
  <c r="K378" i="58"/>
  <c r="K379" i="58"/>
  <c r="K380" i="58"/>
  <c r="K1033" i="58"/>
  <c r="K529" i="58"/>
  <c r="K530" i="58"/>
  <c r="K531" i="58"/>
  <c r="K532" i="58"/>
  <c r="K533" i="58"/>
  <c r="K534" i="58"/>
  <c r="K535" i="58"/>
  <c r="K536" i="58"/>
  <c r="K537" i="58"/>
  <c r="K538" i="58"/>
  <c r="K539" i="58"/>
  <c r="K540" i="58"/>
  <c r="K541" i="58"/>
  <c r="K1034" i="58"/>
  <c r="K690" i="58"/>
  <c r="K691" i="58"/>
  <c r="K692" i="58"/>
  <c r="K693" i="58"/>
  <c r="K694" i="58"/>
  <c r="K695" i="58"/>
  <c r="K696" i="58"/>
  <c r="K697" i="58"/>
  <c r="K698" i="58"/>
  <c r="K699" i="58"/>
  <c r="K700" i="58"/>
  <c r="K701" i="58"/>
  <c r="K702" i="58"/>
  <c r="K1035" i="58"/>
  <c r="K869" i="58"/>
  <c r="K870" i="58"/>
  <c r="K871" i="58"/>
  <c r="K872" i="58"/>
  <c r="K873" i="58"/>
  <c r="K874" i="58"/>
  <c r="K875" i="58"/>
  <c r="K876" i="58"/>
  <c r="K877" i="58"/>
  <c r="K878" i="58"/>
  <c r="K879" i="58"/>
  <c r="K880" i="58"/>
  <c r="K881" i="58"/>
  <c r="K1036" i="58"/>
  <c r="K1037" i="58"/>
  <c r="K27" i="47"/>
  <c r="K85" i="47"/>
  <c r="J285" i="20"/>
  <c r="J286" i="20"/>
  <c r="J287" i="20"/>
  <c r="J288" i="20"/>
  <c r="J289" i="20"/>
  <c r="J290" i="20"/>
  <c r="J291" i="20"/>
  <c r="J292" i="20"/>
  <c r="J293" i="20"/>
  <c r="J294" i="20"/>
  <c r="J295" i="20"/>
  <c r="J296" i="20"/>
  <c r="J297" i="20"/>
  <c r="J354" i="20"/>
  <c r="J55" i="58"/>
  <c r="J56" i="58"/>
  <c r="J57" i="58"/>
  <c r="J58" i="58"/>
  <c r="J59" i="58"/>
  <c r="J60" i="58"/>
  <c r="J61" i="58"/>
  <c r="J62" i="58"/>
  <c r="J63" i="58"/>
  <c r="J64" i="58"/>
  <c r="J65" i="58"/>
  <c r="J66" i="58"/>
  <c r="J67" i="58"/>
  <c r="J1031" i="58"/>
  <c r="J207" i="58"/>
  <c r="J208" i="58"/>
  <c r="J209" i="58"/>
  <c r="J210" i="58"/>
  <c r="J211" i="58"/>
  <c r="J212" i="58"/>
  <c r="J213" i="58"/>
  <c r="J214" i="58"/>
  <c r="J215" i="58"/>
  <c r="J216" i="58"/>
  <c r="J217" i="58"/>
  <c r="J218" i="58"/>
  <c r="J219" i="58"/>
  <c r="J1032" i="58"/>
  <c r="J368" i="58"/>
  <c r="J369" i="58"/>
  <c r="J370" i="58"/>
  <c r="J371" i="58"/>
  <c r="J372" i="58"/>
  <c r="J373" i="58"/>
  <c r="J374" i="58"/>
  <c r="J375" i="58"/>
  <c r="J376" i="58"/>
  <c r="J377" i="58"/>
  <c r="J378" i="58"/>
  <c r="J379" i="58"/>
  <c r="J380" i="58"/>
  <c r="J1033" i="58"/>
  <c r="J529" i="58"/>
  <c r="J530" i="58"/>
  <c r="J531" i="58"/>
  <c r="J532" i="58"/>
  <c r="J533" i="58"/>
  <c r="J534" i="58"/>
  <c r="J535" i="58"/>
  <c r="J536" i="58"/>
  <c r="J537" i="58"/>
  <c r="J538" i="58"/>
  <c r="J539" i="58"/>
  <c r="J540" i="58"/>
  <c r="J541" i="58"/>
  <c r="J1034" i="58"/>
  <c r="J690" i="58"/>
  <c r="J691" i="58"/>
  <c r="J692" i="58"/>
  <c r="J693" i="58"/>
  <c r="J694" i="58"/>
  <c r="J695" i="58"/>
  <c r="J696" i="58"/>
  <c r="J697" i="58"/>
  <c r="J698" i="58"/>
  <c r="J699" i="58"/>
  <c r="J700" i="58"/>
  <c r="J701" i="58"/>
  <c r="J702" i="58"/>
  <c r="J1035" i="58"/>
  <c r="J869" i="58"/>
  <c r="J870" i="58"/>
  <c r="J871" i="58"/>
  <c r="J872" i="58"/>
  <c r="J873" i="58"/>
  <c r="J874" i="58"/>
  <c r="J875" i="58"/>
  <c r="J876" i="58"/>
  <c r="J877" i="58"/>
  <c r="J878" i="58"/>
  <c r="J879" i="58"/>
  <c r="J880" i="58"/>
  <c r="J881" i="58"/>
  <c r="J1036" i="58"/>
  <c r="J1037" i="58"/>
  <c r="J27" i="47"/>
  <c r="J85" i="47"/>
  <c r="I285" i="20"/>
  <c r="I286" i="20"/>
  <c r="I287" i="20"/>
  <c r="I288" i="20"/>
  <c r="I289" i="20"/>
  <c r="I290" i="20"/>
  <c r="I291" i="20"/>
  <c r="I292" i="20"/>
  <c r="I293" i="20"/>
  <c r="I294" i="20"/>
  <c r="I295" i="20"/>
  <c r="I296" i="20"/>
  <c r="I297" i="20"/>
  <c r="I354" i="20"/>
  <c r="I55" i="58"/>
  <c r="I56" i="58"/>
  <c r="I57" i="58"/>
  <c r="I58" i="58"/>
  <c r="I59" i="58"/>
  <c r="I60" i="58"/>
  <c r="I61" i="58"/>
  <c r="I62" i="58"/>
  <c r="I63" i="58"/>
  <c r="I64" i="58"/>
  <c r="I65" i="58"/>
  <c r="I66" i="58"/>
  <c r="I67" i="58"/>
  <c r="I1031" i="58"/>
  <c r="I207" i="58"/>
  <c r="I208" i="58"/>
  <c r="I209" i="58"/>
  <c r="I210" i="58"/>
  <c r="I211" i="58"/>
  <c r="I212" i="58"/>
  <c r="I213" i="58"/>
  <c r="I214" i="58"/>
  <c r="I215" i="58"/>
  <c r="I216" i="58"/>
  <c r="I217" i="58"/>
  <c r="I218" i="58"/>
  <c r="I219" i="58"/>
  <c r="I1032" i="58"/>
  <c r="I368" i="58"/>
  <c r="I369" i="58"/>
  <c r="I370" i="58"/>
  <c r="I371" i="58"/>
  <c r="I372" i="58"/>
  <c r="I373" i="58"/>
  <c r="I374" i="58"/>
  <c r="I375" i="58"/>
  <c r="I376" i="58"/>
  <c r="I377" i="58"/>
  <c r="I378" i="58"/>
  <c r="I379" i="58"/>
  <c r="I380" i="58"/>
  <c r="I1033" i="58"/>
  <c r="I529" i="58"/>
  <c r="I530" i="58"/>
  <c r="I531" i="58"/>
  <c r="I532" i="58"/>
  <c r="I533" i="58"/>
  <c r="I534" i="58"/>
  <c r="I535" i="58"/>
  <c r="I536" i="58"/>
  <c r="I537" i="58"/>
  <c r="I538" i="58"/>
  <c r="I539" i="58"/>
  <c r="I540" i="58"/>
  <c r="I541" i="58"/>
  <c r="I1034" i="58"/>
  <c r="I690" i="58"/>
  <c r="I691" i="58"/>
  <c r="I692" i="58"/>
  <c r="I693" i="58"/>
  <c r="I694" i="58"/>
  <c r="I695" i="58"/>
  <c r="I696" i="58"/>
  <c r="I697" i="58"/>
  <c r="I698" i="58"/>
  <c r="I699" i="58"/>
  <c r="I700" i="58"/>
  <c r="I701" i="58"/>
  <c r="I702" i="58"/>
  <c r="I1035" i="58"/>
  <c r="I869" i="58"/>
  <c r="I870" i="58"/>
  <c r="I871" i="58"/>
  <c r="I872" i="58"/>
  <c r="I873" i="58"/>
  <c r="I874" i="58"/>
  <c r="I875" i="58"/>
  <c r="I876" i="58"/>
  <c r="I877" i="58"/>
  <c r="I878" i="58"/>
  <c r="I879" i="58"/>
  <c r="I880" i="58"/>
  <c r="I881" i="58"/>
  <c r="I1036" i="58"/>
  <c r="I1037" i="58"/>
  <c r="I27" i="47"/>
  <c r="I85" i="47"/>
  <c r="H285" i="20"/>
  <c r="H286" i="20"/>
  <c r="H287" i="20"/>
  <c r="H288" i="20"/>
  <c r="H289" i="20"/>
  <c r="H290" i="20"/>
  <c r="H291" i="20"/>
  <c r="H292" i="20"/>
  <c r="H293" i="20"/>
  <c r="H294" i="20"/>
  <c r="H295" i="20"/>
  <c r="H296" i="20"/>
  <c r="H297" i="20"/>
  <c r="H354" i="20"/>
  <c r="H55" i="58"/>
  <c r="H56" i="58"/>
  <c r="H57" i="58"/>
  <c r="H58" i="58"/>
  <c r="H59" i="58"/>
  <c r="H60" i="58"/>
  <c r="H61" i="58"/>
  <c r="H62" i="58"/>
  <c r="H63" i="58"/>
  <c r="H64" i="58"/>
  <c r="H65" i="58"/>
  <c r="H66" i="58"/>
  <c r="H67" i="58"/>
  <c r="H1031" i="58"/>
  <c r="H207" i="58"/>
  <c r="H208" i="58"/>
  <c r="H209" i="58"/>
  <c r="H210" i="58"/>
  <c r="H211" i="58"/>
  <c r="H212" i="58"/>
  <c r="H213" i="58"/>
  <c r="H214" i="58"/>
  <c r="H215" i="58"/>
  <c r="H216" i="58"/>
  <c r="H217" i="58"/>
  <c r="H218" i="58"/>
  <c r="H219" i="58"/>
  <c r="H1032" i="58"/>
  <c r="H368" i="58"/>
  <c r="H369" i="58"/>
  <c r="H370" i="58"/>
  <c r="H371" i="58"/>
  <c r="H372" i="58"/>
  <c r="H373" i="58"/>
  <c r="H374" i="58"/>
  <c r="H375" i="58"/>
  <c r="H376" i="58"/>
  <c r="H377" i="58"/>
  <c r="H378" i="58"/>
  <c r="H379" i="58"/>
  <c r="H380" i="58"/>
  <c r="H1033" i="58"/>
  <c r="H529" i="58"/>
  <c r="H530" i="58"/>
  <c r="H531" i="58"/>
  <c r="H532" i="58"/>
  <c r="H533" i="58"/>
  <c r="H534" i="58"/>
  <c r="H535" i="58"/>
  <c r="H536" i="58"/>
  <c r="H537" i="58"/>
  <c r="H538" i="58"/>
  <c r="H539" i="58"/>
  <c r="H540" i="58"/>
  <c r="H541" i="58"/>
  <c r="H1034" i="58"/>
  <c r="H690" i="58"/>
  <c r="H691" i="58"/>
  <c r="H692" i="58"/>
  <c r="H693" i="58"/>
  <c r="H694" i="58"/>
  <c r="H695" i="58"/>
  <c r="H696" i="58"/>
  <c r="H697" i="58"/>
  <c r="H698" i="58"/>
  <c r="H699" i="58"/>
  <c r="H700" i="58"/>
  <c r="H701" i="58"/>
  <c r="H702" i="58"/>
  <c r="H1035" i="58"/>
  <c r="H869" i="58"/>
  <c r="H870" i="58"/>
  <c r="H871" i="58"/>
  <c r="H872" i="58"/>
  <c r="H873" i="58"/>
  <c r="H874" i="58"/>
  <c r="H875" i="58"/>
  <c r="H876" i="58"/>
  <c r="H877" i="58"/>
  <c r="H878" i="58"/>
  <c r="H879" i="58"/>
  <c r="H880" i="58"/>
  <c r="H881" i="58"/>
  <c r="H1036" i="58"/>
  <c r="H1037" i="58"/>
  <c r="H27" i="47"/>
  <c r="H85" i="47"/>
  <c r="G285" i="20"/>
  <c r="G286" i="20"/>
  <c r="G287" i="20"/>
  <c r="G288" i="20"/>
  <c r="G289" i="20"/>
  <c r="G290" i="20"/>
  <c r="G291" i="20"/>
  <c r="G292" i="20"/>
  <c r="G293" i="20"/>
  <c r="G294" i="20"/>
  <c r="G295" i="20"/>
  <c r="G296" i="20"/>
  <c r="G297" i="20"/>
  <c r="G354" i="20"/>
  <c r="G55" i="58"/>
  <c r="G56" i="58"/>
  <c r="G57" i="58"/>
  <c r="G58" i="58"/>
  <c r="G59" i="58"/>
  <c r="G60" i="58"/>
  <c r="G61" i="58"/>
  <c r="G62" i="58"/>
  <c r="G63" i="58"/>
  <c r="G64" i="58"/>
  <c r="G65" i="58"/>
  <c r="G66" i="58"/>
  <c r="G67" i="58"/>
  <c r="G1031" i="58"/>
  <c r="G207" i="58"/>
  <c r="G208" i="58"/>
  <c r="G209" i="58"/>
  <c r="G210" i="58"/>
  <c r="G211" i="58"/>
  <c r="G212" i="58"/>
  <c r="G213" i="58"/>
  <c r="G214" i="58"/>
  <c r="G215" i="58"/>
  <c r="G216" i="58"/>
  <c r="G217" i="58"/>
  <c r="G218" i="58"/>
  <c r="G219" i="58"/>
  <c r="G1032" i="58"/>
  <c r="G368" i="58"/>
  <c r="G369" i="58"/>
  <c r="G370" i="58"/>
  <c r="G371" i="58"/>
  <c r="G372" i="58"/>
  <c r="G373" i="58"/>
  <c r="G374" i="58"/>
  <c r="G375" i="58"/>
  <c r="G376" i="58"/>
  <c r="G377" i="58"/>
  <c r="G378" i="58"/>
  <c r="G379" i="58"/>
  <c r="G380" i="58"/>
  <c r="G1033" i="58"/>
  <c r="G529" i="58"/>
  <c r="G530" i="58"/>
  <c r="G531" i="58"/>
  <c r="G532" i="58"/>
  <c r="G533" i="58"/>
  <c r="G534" i="58"/>
  <c r="G535" i="58"/>
  <c r="G536" i="58"/>
  <c r="G537" i="58"/>
  <c r="G538" i="58"/>
  <c r="G539" i="58"/>
  <c r="G540" i="58"/>
  <c r="G541" i="58"/>
  <c r="G1034" i="58"/>
  <c r="G690" i="58"/>
  <c r="G691" i="58"/>
  <c r="G692" i="58"/>
  <c r="G693" i="58"/>
  <c r="G694" i="58"/>
  <c r="G695" i="58"/>
  <c r="G696" i="58"/>
  <c r="G697" i="58"/>
  <c r="G698" i="58"/>
  <c r="G699" i="58"/>
  <c r="G700" i="58"/>
  <c r="G701" i="58"/>
  <c r="G702" i="58"/>
  <c r="G1035" i="58"/>
  <c r="G869" i="58"/>
  <c r="G870" i="58"/>
  <c r="G871" i="58"/>
  <c r="G872" i="58"/>
  <c r="G873" i="58"/>
  <c r="G874" i="58"/>
  <c r="G875" i="58"/>
  <c r="G876" i="58"/>
  <c r="G877" i="58"/>
  <c r="G878" i="58"/>
  <c r="G879" i="58"/>
  <c r="G880" i="58"/>
  <c r="G881" i="58"/>
  <c r="G1036" i="58"/>
  <c r="G1037" i="58"/>
  <c r="G27" i="47"/>
  <c r="G85" i="47"/>
  <c r="F285" i="20"/>
  <c r="F286" i="20"/>
  <c r="F287" i="20"/>
  <c r="F288" i="20"/>
  <c r="F289" i="20"/>
  <c r="F290" i="20"/>
  <c r="F291" i="20"/>
  <c r="F292" i="20"/>
  <c r="F293" i="20"/>
  <c r="F294" i="20"/>
  <c r="F295" i="20"/>
  <c r="F296" i="20"/>
  <c r="F297" i="20"/>
  <c r="F354" i="20"/>
  <c r="F55" i="58"/>
  <c r="F56" i="58"/>
  <c r="F57" i="58"/>
  <c r="F58" i="58"/>
  <c r="F59" i="58"/>
  <c r="F60" i="58"/>
  <c r="F61" i="58"/>
  <c r="F62" i="58"/>
  <c r="F63" i="58"/>
  <c r="F64" i="58"/>
  <c r="F65" i="58"/>
  <c r="F66" i="58"/>
  <c r="F67" i="58"/>
  <c r="F1031" i="58"/>
  <c r="F207" i="58"/>
  <c r="F208" i="58"/>
  <c r="F209" i="58"/>
  <c r="F210" i="58"/>
  <c r="F211" i="58"/>
  <c r="F212" i="58"/>
  <c r="F213" i="58"/>
  <c r="F214" i="58"/>
  <c r="F215" i="58"/>
  <c r="F216" i="58"/>
  <c r="F217" i="58"/>
  <c r="F218" i="58"/>
  <c r="F219" i="58"/>
  <c r="F1032" i="58"/>
  <c r="F368" i="58"/>
  <c r="F369" i="58"/>
  <c r="F370" i="58"/>
  <c r="F371" i="58"/>
  <c r="F372" i="58"/>
  <c r="F373" i="58"/>
  <c r="F374" i="58"/>
  <c r="F375" i="58"/>
  <c r="F376" i="58"/>
  <c r="F377" i="58"/>
  <c r="F378" i="58"/>
  <c r="F379" i="58"/>
  <c r="F380" i="58"/>
  <c r="F1033" i="58"/>
  <c r="F529" i="58"/>
  <c r="F530" i="58"/>
  <c r="F531" i="58"/>
  <c r="F532" i="58"/>
  <c r="F533" i="58"/>
  <c r="F534" i="58"/>
  <c r="F535" i="58"/>
  <c r="F536" i="58"/>
  <c r="F537" i="58"/>
  <c r="F538" i="58"/>
  <c r="F539" i="58"/>
  <c r="F540" i="58"/>
  <c r="F541" i="58"/>
  <c r="F1034" i="58"/>
  <c r="F690" i="58"/>
  <c r="F691" i="58"/>
  <c r="F692" i="58"/>
  <c r="F693" i="58"/>
  <c r="F694" i="58"/>
  <c r="F695" i="58"/>
  <c r="F696" i="58"/>
  <c r="F697" i="58"/>
  <c r="F698" i="58"/>
  <c r="F699" i="58"/>
  <c r="F700" i="58"/>
  <c r="F701" i="58"/>
  <c r="F702" i="58"/>
  <c r="F1035" i="58"/>
  <c r="F869" i="58"/>
  <c r="F870" i="58"/>
  <c r="F871" i="58"/>
  <c r="F872" i="58"/>
  <c r="F873" i="58"/>
  <c r="F874" i="58"/>
  <c r="F875" i="58"/>
  <c r="F876" i="58"/>
  <c r="F877" i="58"/>
  <c r="F878" i="58"/>
  <c r="F879" i="58"/>
  <c r="F880" i="58"/>
  <c r="F881" i="58"/>
  <c r="F1036" i="58"/>
  <c r="F1037" i="58"/>
  <c r="F27" i="47"/>
  <c r="F85" i="47"/>
  <c r="E285" i="20"/>
  <c r="E286" i="20"/>
  <c r="E287" i="20"/>
  <c r="E288" i="20"/>
  <c r="E289" i="20"/>
  <c r="E290" i="20"/>
  <c r="E291" i="20"/>
  <c r="E292" i="20"/>
  <c r="E293" i="20"/>
  <c r="E294" i="20"/>
  <c r="E295" i="20"/>
  <c r="E296" i="20"/>
  <c r="E297" i="20"/>
  <c r="E354" i="20"/>
  <c r="E55" i="58"/>
  <c r="E56" i="58"/>
  <c r="E57" i="58"/>
  <c r="E58" i="58"/>
  <c r="E59" i="58"/>
  <c r="E60" i="58"/>
  <c r="E61" i="58"/>
  <c r="E62" i="58"/>
  <c r="E63" i="58"/>
  <c r="E64" i="58"/>
  <c r="E65" i="58"/>
  <c r="E66" i="58"/>
  <c r="E67" i="58"/>
  <c r="E1031" i="58"/>
  <c r="E207" i="58"/>
  <c r="E208" i="58"/>
  <c r="E209" i="58"/>
  <c r="E210" i="58"/>
  <c r="E211" i="58"/>
  <c r="E212" i="58"/>
  <c r="E213" i="58"/>
  <c r="E214" i="58"/>
  <c r="E215" i="58"/>
  <c r="E216" i="58"/>
  <c r="E217" i="58"/>
  <c r="E218" i="58"/>
  <c r="E219" i="58"/>
  <c r="E1032" i="58"/>
  <c r="E368" i="58"/>
  <c r="E369" i="58"/>
  <c r="E370" i="58"/>
  <c r="E371" i="58"/>
  <c r="E372" i="58"/>
  <c r="E373" i="58"/>
  <c r="E374" i="58"/>
  <c r="E375" i="58"/>
  <c r="E376" i="58"/>
  <c r="E377" i="58"/>
  <c r="E378" i="58"/>
  <c r="E379" i="58"/>
  <c r="E380" i="58"/>
  <c r="E1033" i="58"/>
  <c r="E529" i="58"/>
  <c r="E530" i="58"/>
  <c r="E531" i="58"/>
  <c r="E532" i="58"/>
  <c r="E533" i="58"/>
  <c r="E534" i="58"/>
  <c r="E535" i="58"/>
  <c r="E536" i="58"/>
  <c r="E537" i="58"/>
  <c r="E538" i="58"/>
  <c r="E539" i="58"/>
  <c r="E540" i="58"/>
  <c r="E541" i="58"/>
  <c r="E1034" i="58"/>
  <c r="E690" i="58"/>
  <c r="E691" i="58"/>
  <c r="E692" i="58"/>
  <c r="E693" i="58"/>
  <c r="E694" i="58"/>
  <c r="E695" i="58"/>
  <c r="E696" i="58"/>
  <c r="E697" i="58"/>
  <c r="E698" i="58"/>
  <c r="E699" i="58"/>
  <c r="E700" i="58"/>
  <c r="E701" i="58"/>
  <c r="E702" i="58"/>
  <c r="E1035" i="58"/>
  <c r="E869" i="58"/>
  <c r="E870" i="58"/>
  <c r="E871" i="58"/>
  <c r="E872" i="58"/>
  <c r="E873" i="58"/>
  <c r="E874" i="58"/>
  <c r="E875" i="58"/>
  <c r="E876" i="58"/>
  <c r="E877" i="58"/>
  <c r="E878" i="58"/>
  <c r="E879" i="58"/>
  <c r="E880" i="58"/>
  <c r="E881" i="58"/>
  <c r="E1036" i="58"/>
  <c r="E1037" i="58"/>
  <c r="E27" i="47"/>
  <c r="E85" i="47"/>
  <c r="D85" i="47"/>
  <c r="D354" i="20"/>
  <c r="N373" i="66"/>
  <c r="N419" i="66"/>
  <c r="M373" i="66"/>
  <c r="M419" i="66"/>
  <c r="L373" i="66"/>
  <c r="L419" i="66"/>
  <c r="K373" i="66"/>
  <c r="K419" i="66"/>
  <c r="J373" i="66"/>
  <c r="J419" i="66"/>
  <c r="I373" i="66"/>
  <c r="I419" i="66"/>
  <c r="H373" i="66"/>
  <c r="H419" i="66"/>
  <c r="G373" i="66"/>
  <c r="G419" i="66"/>
  <c r="F373" i="66"/>
  <c r="F419" i="66"/>
  <c r="E373" i="66"/>
  <c r="E419" i="66"/>
  <c r="N372" i="66"/>
  <c r="N418" i="66"/>
  <c r="M372" i="66"/>
  <c r="M418" i="66"/>
  <c r="L372" i="66"/>
  <c r="L418" i="66"/>
  <c r="K372" i="66"/>
  <c r="K418" i="66"/>
  <c r="J372" i="66"/>
  <c r="J418" i="66"/>
  <c r="I372" i="66"/>
  <c r="I418" i="66"/>
  <c r="H372" i="66"/>
  <c r="H418" i="66"/>
  <c r="G372" i="66"/>
  <c r="G418" i="66"/>
  <c r="F372" i="66"/>
  <c r="F418" i="66"/>
  <c r="E372" i="66"/>
  <c r="E418" i="66"/>
  <c r="N371" i="66"/>
  <c r="N417" i="66"/>
  <c r="M371" i="66"/>
  <c r="M417" i="66"/>
  <c r="L371" i="66"/>
  <c r="L417" i="66"/>
  <c r="K371" i="66"/>
  <c r="K417" i="66"/>
  <c r="J371" i="66"/>
  <c r="J417" i="66"/>
  <c r="I371" i="66"/>
  <c r="I417" i="66"/>
  <c r="H371" i="66"/>
  <c r="H417" i="66"/>
  <c r="G371" i="66"/>
  <c r="G417" i="66"/>
  <c r="F371" i="66"/>
  <c r="F417" i="66"/>
  <c r="E371" i="66"/>
  <c r="E417" i="66"/>
  <c r="N212" i="66"/>
  <c r="N415" i="66"/>
  <c r="M212" i="66"/>
  <c r="M415" i="66"/>
  <c r="L212" i="66"/>
  <c r="L415" i="66"/>
  <c r="K212" i="66"/>
  <c r="K415" i="66"/>
  <c r="J212" i="66"/>
  <c r="J415" i="66"/>
  <c r="I212" i="66"/>
  <c r="I415" i="66"/>
  <c r="H212" i="66"/>
  <c r="H415" i="66"/>
  <c r="G212" i="66"/>
  <c r="G415" i="66"/>
  <c r="F212" i="66"/>
  <c r="F415" i="66"/>
  <c r="E212" i="66"/>
  <c r="E415" i="66"/>
  <c r="N211" i="66"/>
  <c r="N414" i="66"/>
  <c r="M211" i="66"/>
  <c r="M414" i="66"/>
  <c r="L211" i="66"/>
  <c r="L414" i="66"/>
  <c r="K211" i="66"/>
  <c r="K414" i="66"/>
  <c r="J211" i="66"/>
  <c r="J414" i="66"/>
  <c r="I211" i="66"/>
  <c r="I414" i="66"/>
  <c r="H211" i="66"/>
  <c r="H414" i="66"/>
  <c r="G211" i="66"/>
  <c r="G414" i="66"/>
  <c r="F211" i="66"/>
  <c r="F414" i="66"/>
  <c r="E211" i="66"/>
  <c r="E414" i="66"/>
  <c r="N210" i="66"/>
  <c r="N413" i="66"/>
  <c r="M210" i="66"/>
  <c r="M413" i="66"/>
  <c r="L210" i="66"/>
  <c r="L413" i="66"/>
  <c r="K210" i="66"/>
  <c r="K413" i="66"/>
  <c r="J210" i="66"/>
  <c r="J413" i="66"/>
  <c r="I210" i="66"/>
  <c r="I413" i="66"/>
  <c r="H210" i="66"/>
  <c r="H413" i="66"/>
  <c r="G210" i="66"/>
  <c r="G413" i="66"/>
  <c r="F210" i="66"/>
  <c r="F413" i="66"/>
  <c r="E210" i="66"/>
  <c r="E413" i="66"/>
  <c r="N40" i="66"/>
  <c r="N411" i="66"/>
  <c r="M40" i="66"/>
  <c r="M411" i="66"/>
  <c r="L40" i="66"/>
  <c r="L411" i="66"/>
  <c r="K40" i="66"/>
  <c r="K411" i="66"/>
  <c r="J40" i="66"/>
  <c r="J411" i="66"/>
  <c r="I40" i="66"/>
  <c r="I411" i="66"/>
  <c r="H40" i="66"/>
  <c r="H411" i="66"/>
  <c r="G40" i="66"/>
  <c r="G411" i="66"/>
  <c r="F40" i="66"/>
  <c r="F411" i="66"/>
  <c r="E40" i="66"/>
  <c r="E411" i="66"/>
  <c r="N6" i="72"/>
  <c r="M6" i="72"/>
  <c r="L6" i="72"/>
  <c r="K6" i="72"/>
  <c r="J6" i="72"/>
  <c r="I6" i="72"/>
  <c r="H6" i="72"/>
  <c r="G6" i="72"/>
  <c r="F6" i="72"/>
  <c r="E6" i="72"/>
  <c r="N80" i="63"/>
  <c r="N81" i="63"/>
  <c r="N82" i="63"/>
  <c r="N83" i="63"/>
  <c r="M80" i="63"/>
  <c r="M81" i="63"/>
  <c r="M82" i="63"/>
  <c r="M83" i="63"/>
  <c r="L80" i="63"/>
  <c r="L81" i="63"/>
  <c r="L82" i="63"/>
  <c r="L83" i="63"/>
  <c r="K80" i="63"/>
  <c r="K81" i="63"/>
  <c r="K82" i="63"/>
  <c r="K83" i="63"/>
  <c r="J80" i="63"/>
  <c r="J81" i="63"/>
  <c r="J82" i="63"/>
  <c r="J83" i="63"/>
  <c r="I80" i="63"/>
  <c r="I81" i="63"/>
  <c r="I82" i="63"/>
  <c r="I83" i="63"/>
  <c r="H80" i="63"/>
  <c r="H81" i="63"/>
  <c r="H82" i="63"/>
  <c r="H83" i="63"/>
  <c r="G80" i="63"/>
  <c r="G81" i="63"/>
  <c r="G82" i="63"/>
  <c r="G83" i="63"/>
  <c r="F80" i="63"/>
  <c r="F81" i="63"/>
  <c r="F82" i="63"/>
  <c r="F83" i="63"/>
  <c r="E80" i="63"/>
  <c r="E81" i="63"/>
  <c r="E82" i="63"/>
  <c r="E83" i="63"/>
  <c r="F75" i="63"/>
  <c r="F76" i="63"/>
  <c r="F77" i="63"/>
  <c r="F78" i="63"/>
  <c r="G75" i="63"/>
  <c r="G76" i="63"/>
  <c r="G77" i="63"/>
  <c r="G78" i="63"/>
  <c r="H75" i="63"/>
  <c r="H76" i="63"/>
  <c r="H77" i="63"/>
  <c r="H78" i="63"/>
  <c r="I75" i="63"/>
  <c r="I76" i="63"/>
  <c r="I77" i="63"/>
  <c r="I78" i="63"/>
  <c r="J75" i="63"/>
  <c r="J76" i="63"/>
  <c r="J77" i="63"/>
  <c r="J78" i="63"/>
  <c r="K75" i="63"/>
  <c r="K76" i="63"/>
  <c r="K77" i="63"/>
  <c r="K78" i="63"/>
  <c r="L75" i="63"/>
  <c r="L76" i="63"/>
  <c r="L77" i="63"/>
  <c r="L78" i="63"/>
  <c r="M75" i="63"/>
  <c r="M76" i="63"/>
  <c r="M77" i="63"/>
  <c r="M78" i="63"/>
  <c r="N75" i="63"/>
  <c r="N76" i="63"/>
  <c r="N77" i="63"/>
  <c r="N78" i="63"/>
  <c r="E75" i="63"/>
  <c r="E76" i="63"/>
  <c r="E77" i="63"/>
  <c r="E78" i="63"/>
  <c r="F70" i="63"/>
  <c r="F71" i="63"/>
  <c r="F72" i="63"/>
  <c r="F73" i="63"/>
  <c r="G70" i="63"/>
  <c r="G71" i="63"/>
  <c r="G72" i="63"/>
  <c r="G73" i="63"/>
  <c r="H70" i="63"/>
  <c r="H71" i="63"/>
  <c r="H72" i="63"/>
  <c r="H73" i="63"/>
  <c r="I70" i="63"/>
  <c r="I71" i="63"/>
  <c r="I72" i="63"/>
  <c r="I73" i="63"/>
  <c r="J70" i="63"/>
  <c r="J71" i="63"/>
  <c r="J72" i="63"/>
  <c r="J73" i="63"/>
  <c r="K70" i="63"/>
  <c r="K71" i="63"/>
  <c r="K72" i="63"/>
  <c r="K73" i="63"/>
  <c r="L70" i="63"/>
  <c r="L71" i="63"/>
  <c r="L72" i="63"/>
  <c r="L73" i="63"/>
  <c r="M70" i="63"/>
  <c r="M71" i="63"/>
  <c r="M72" i="63"/>
  <c r="M73" i="63"/>
  <c r="N70" i="63"/>
  <c r="N71" i="63"/>
  <c r="N72" i="63"/>
  <c r="N73" i="63"/>
  <c r="E70" i="63"/>
  <c r="E71" i="63"/>
  <c r="E72" i="63"/>
  <c r="E73" i="63"/>
  <c r="D42" i="71"/>
  <c r="D42" i="70"/>
  <c r="D82" i="63"/>
  <c r="D77" i="63"/>
  <c r="D72" i="63"/>
  <c r="D81" i="63"/>
  <c r="D76" i="63"/>
  <c r="D80" i="63"/>
  <c r="D75" i="63"/>
  <c r="D70" i="63"/>
  <c r="D71" i="63"/>
  <c r="N21" i="63"/>
  <c r="N23" i="63"/>
  <c r="N24" i="63"/>
  <c r="N25" i="63"/>
  <c r="N27" i="63"/>
  <c r="N28" i="63"/>
  <c r="N29" i="63"/>
  <c r="E21" i="63"/>
  <c r="F21" i="63"/>
  <c r="G21" i="63"/>
  <c r="H21" i="63"/>
  <c r="I21" i="63"/>
  <c r="J21" i="63"/>
  <c r="K21" i="63"/>
  <c r="L21" i="63"/>
  <c r="M21" i="63"/>
  <c r="E23" i="63"/>
  <c r="F23" i="63"/>
  <c r="G23" i="63"/>
  <c r="H23" i="63"/>
  <c r="I23" i="63"/>
  <c r="J23" i="63"/>
  <c r="K23" i="63"/>
  <c r="L23" i="63"/>
  <c r="M23" i="63"/>
  <c r="E24" i="63"/>
  <c r="F24" i="63"/>
  <c r="G24" i="63"/>
  <c r="H24" i="63"/>
  <c r="I24" i="63"/>
  <c r="J24" i="63"/>
  <c r="K24" i="63"/>
  <c r="L24" i="63"/>
  <c r="M24" i="63"/>
  <c r="E25" i="63"/>
  <c r="F25" i="63"/>
  <c r="G25" i="63"/>
  <c r="H25" i="63"/>
  <c r="I25" i="63"/>
  <c r="J25" i="63"/>
  <c r="K25" i="63"/>
  <c r="L25" i="63"/>
  <c r="M25" i="63"/>
  <c r="E27" i="63"/>
  <c r="F27" i="63"/>
  <c r="G27" i="63"/>
  <c r="H27" i="63"/>
  <c r="I27" i="63"/>
  <c r="J27" i="63"/>
  <c r="K27" i="63"/>
  <c r="L27" i="63"/>
  <c r="M27" i="63"/>
  <c r="E28" i="63"/>
  <c r="F28" i="63"/>
  <c r="G28" i="63"/>
  <c r="H28" i="63"/>
  <c r="I28" i="63"/>
  <c r="J28" i="63"/>
  <c r="K28" i="63"/>
  <c r="L28" i="63"/>
  <c r="M28" i="63"/>
  <c r="E29" i="63"/>
  <c r="F29" i="63"/>
  <c r="G29" i="63"/>
  <c r="H29" i="63"/>
  <c r="I29" i="63"/>
  <c r="J29" i="63"/>
  <c r="K29" i="63"/>
  <c r="L29" i="63"/>
  <c r="M29" i="63"/>
  <c r="D29" i="63"/>
  <c r="D28" i="63"/>
  <c r="D27" i="63"/>
  <c r="D25" i="63"/>
  <c r="D24" i="63"/>
  <c r="D23" i="63"/>
  <c r="D21" i="63"/>
  <c r="D50" i="71"/>
  <c r="D47" i="71"/>
  <c r="D46" i="71"/>
  <c r="D45" i="71"/>
  <c r="D39" i="71"/>
  <c r="N38" i="71"/>
  <c r="M38" i="71"/>
  <c r="L38" i="71"/>
  <c r="K38" i="71"/>
  <c r="J38" i="71"/>
  <c r="I38" i="71"/>
  <c r="H38" i="71"/>
  <c r="G38" i="71"/>
  <c r="F38" i="71"/>
  <c r="E38" i="71"/>
  <c r="D38" i="71"/>
  <c r="N37" i="71"/>
  <c r="M37" i="71"/>
  <c r="L37" i="71"/>
  <c r="K37" i="71"/>
  <c r="J37" i="71"/>
  <c r="I37" i="71"/>
  <c r="H37" i="71"/>
  <c r="G37" i="71"/>
  <c r="F37" i="71"/>
  <c r="E37" i="71"/>
  <c r="D37" i="71"/>
  <c r="N36" i="71"/>
  <c r="M36" i="71"/>
  <c r="L36" i="71"/>
  <c r="K36" i="71"/>
  <c r="J36" i="71"/>
  <c r="I36" i="71"/>
  <c r="H36" i="71"/>
  <c r="G36" i="71"/>
  <c r="F36" i="71"/>
  <c r="E36" i="71"/>
  <c r="D36" i="71"/>
  <c r="N35" i="71"/>
  <c r="M35" i="71"/>
  <c r="L35" i="71"/>
  <c r="K35" i="71"/>
  <c r="J35" i="71"/>
  <c r="I35" i="71"/>
  <c r="H35" i="71"/>
  <c r="G35" i="71"/>
  <c r="F35" i="71"/>
  <c r="E35" i="71"/>
  <c r="D35" i="71"/>
  <c r="N34" i="71"/>
  <c r="M34" i="71"/>
  <c r="L34" i="71"/>
  <c r="K34" i="71"/>
  <c r="J34" i="71"/>
  <c r="I34" i="71"/>
  <c r="H34" i="71"/>
  <c r="G34" i="71"/>
  <c r="F34" i="71"/>
  <c r="E34" i="71"/>
  <c r="D34" i="71"/>
  <c r="D30" i="71"/>
  <c r="D29" i="71"/>
  <c r="D28" i="71"/>
  <c r="N16" i="71"/>
  <c r="M16" i="71"/>
  <c r="L16" i="71"/>
  <c r="K16" i="71"/>
  <c r="J16" i="71"/>
  <c r="I16" i="71"/>
  <c r="H16" i="71"/>
  <c r="G16" i="71"/>
  <c r="F16" i="71"/>
  <c r="E16" i="71"/>
  <c r="D16" i="71"/>
  <c r="N15" i="71"/>
  <c r="M15" i="71"/>
  <c r="L15" i="71"/>
  <c r="K15" i="71"/>
  <c r="J15" i="71"/>
  <c r="I15" i="71"/>
  <c r="H15" i="71"/>
  <c r="G15" i="71"/>
  <c r="F15" i="71"/>
  <c r="E15" i="71"/>
  <c r="D15" i="71"/>
  <c r="N14" i="71"/>
  <c r="M14" i="71"/>
  <c r="L14" i="71"/>
  <c r="K14" i="71"/>
  <c r="J14" i="71"/>
  <c r="I14" i="71"/>
  <c r="H14" i="71"/>
  <c r="G14" i="71"/>
  <c r="F14" i="71"/>
  <c r="E14" i="71"/>
  <c r="D14" i="71"/>
  <c r="C1" i="71"/>
  <c r="N22" i="71"/>
  <c r="M22" i="71"/>
  <c r="L22" i="71"/>
  <c r="K22" i="71"/>
  <c r="J22" i="71"/>
  <c r="I22" i="71"/>
  <c r="H22" i="71"/>
  <c r="G22" i="71"/>
  <c r="F22" i="71"/>
  <c r="E22" i="71"/>
  <c r="N21" i="71"/>
  <c r="M21" i="71"/>
  <c r="L21" i="71"/>
  <c r="K21" i="71"/>
  <c r="J21" i="71"/>
  <c r="I21" i="71"/>
  <c r="H21" i="71"/>
  <c r="G21" i="71"/>
  <c r="F21" i="71"/>
  <c r="E21" i="71"/>
  <c r="N20" i="71"/>
  <c r="M20" i="71"/>
  <c r="L20" i="71"/>
  <c r="K20" i="71"/>
  <c r="J20" i="71"/>
  <c r="I20" i="71"/>
  <c r="H20" i="71"/>
  <c r="G20" i="71"/>
  <c r="F20" i="71"/>
  <c r="E20" i="71"/>
  <c r="N9" i="71"/>
  <c r="M9" i="71"/>
  <c r="L9" i="71"/>
  <c r="K9" i="71"/>
  <c r="J9" i="71"/>
  <c r="I9" i="71"/>
  <c r="H9" i="71"/>
  <c r="G9" i="71"/>
  <c r="F9" i="71"/>
  <c r="E9" i="71"/>
  <c r="N8" i="71"/>
  <c r="M8" i="71"/>
  <c r="L8" i="71"/>
  <c r="K8" i="71"/>
  <c r="J8" i="71"/>
  <c r="I8" i="71"/>
  <c r="H8" i="71"/>
  <c r="G8" i="71"/>
  <c r="F8" i="71"/>
  <c r="E8" i="71"/>
  <c r="D7" i="71"/>
  <c r="D47" i="70"/>
  <c r="D46" i="70"/>
  <c r="D45" i="70"/>
  <c r="F16" i="70"/>
  <c r="F22" i="70"/>
  <c r="G16" i="70"/>
  <c r="G22" i="70"/>
  <c r="H16" i="70"/>
  <c r="H22" i="70"/>
  <c r="I16" i="70"/>
  <c r="I22" i="70"/>
  <c r="J16" i="70"/>
  <c r="J22" i="70"/>
  <c r="K16" i="70"/>
  <c r="K22" i="70"/>
  <c r="L16" i="70"/>
  <c r="L22" i="70"/>
  <c r="M16" i="70"/>
  <c r="M22" i="70"/>
  <c r="N16" i="70"/>
  <c r="N22" i="70"/>
  <c r="E16" i="70"/>
  <c r="E22" i="70"/>
  <c r="F15" i="70"/>
  <c r="F21" i="70"/>
  <c r="G15" i="70"/>
  <c r="G21" i="70"/>
  <c r="H15" i="70"/>
  <c r="H21" i="70"/>
  <c r="I15" i="70"/>
  <c r="I21" i="70"/>
  <c r="J15" i="70"/>
  <c r="J21" i="70"/>
  <c r="K15" i="70"/>
  <c r="K21" i="70"/>
  <c r="L15" i="70"/>
  <c r="L21" i="70"/>
  <c r="M15" i="70"/>
  <c r="M21" i="70"/>
  <c r="N15" i="70"/>
  <c r="N21" i="70"/>
  <c r="E15" i="70"/>
  <c r="E21" i="70"/>
  <c r="F14" i="70"/>
  <c r="F20" i="70"/>
  <c r="G14" i="70"/>
  <c r="G20" i="70"/>
  <c r="H14" i="70"/>
  <c r="H20" i="70"/>
  <c r="I14" i="70"/>
  <c r="I20" i="70"/>
  <c r="J14" i="70"/>
  <c r="J20" i="70"/>
  <c r="K14" i="70"/>
  <c r="K20" i="70"/>
  <c r="L14" i="70"/>
  <c r="L20" i="70"/>
  <c r="M14" i="70"/>
  <c r="M20" i="70"/>
  <c r="N14" i="70"/>
  <c r="N20" i="70"/>
  <c r="E14" i="70"/>
  <c r="E20" i="70"/>
  <c r="F14" i="2"/>
  <c r="F16" i="2"/>
  <c r="G14" i="2"/>
  <c r="G16" i="2"/>
  <c r="H14" i="2"/>
  <c r="H16" i="2"/>
  <c r="I14" i="2"/>
  <c r="I16" i="2"/>
  <c r="J14" i="2"/>
  <c r="J16" i="2"/>
  <c r="K14" i="2"/>
  <c r="K16" i="2"/>
  <c r="L14" i="2"/>
  <c r="L16" i="2"/>
  <c r="M14" i="2"/>
  <c r="M16" i="2"/>
  <c r="N14" i="2"/>
  <c r="N16" i="2"/>
  <c r="E14" i="2"/>
  <c r="E16" i="2"/>
  <c r="D15" i="70"/>
  <c r="D16" i="70"/>
  <c r="D14" i="2"/>
  <c r="D14" i="70"/>
  <c r="D50" i="70"/>
  <c r="D39" i="70"/>
  <c r="N38" i="70"/>
  <c r="M38" i="70"/>
  <c r="L38" i="70"/>
  <c r="K38" i="70"/>
  <c r="J38" i="70"/>
  <c r="I38" i="70"/>
  <c r="H38" i="70"/>
  <c r="G38" i="70"/>
  <c r="F38" i="70"/>
  <c r="E38" i="70"/>
  <c r="D38" i="70"/>
  <c r="N37" i="70"/>
  <c r="M37" i="70"/>
  <c r="L37" i="70"/>
  <c r="K37" i="70"/>
  <c r="J37" i="70"/>
  <c r="I37" i="70"/>
  <c r="H37" i="70"/>
  <c r="G37" i="70"/>
  <c r="F37" i="70"/>
  <c r="E37" i="70"/>
  <c r="D37" i="70"/>
  <c r="N36" i="70"/>
  <c r="M36" i="70"/>
  <c r="L36" i="70"/>
  <c r="K36" i="70"/>
  <c r="J36" i="70"/>
  <c r="I36" i="70"/>
  <c r="H36" i="70"/>
  <c r="G36" i="70"/>
  <c r="F36" i="70"/>
  <c r="E36" i="70"/>
  <c r="D36" i="70"/>
  <c r="N35" i="70"/>
  <c r="M35" i="70"/>
  <c r="L35" i="70"/>
  <c r="K35" i="70"/>
  <c r="J35" i="70"/>
  <c r="I35" i="70"/>
  <c r="H35" i="70"/>
  <c r="G35" i="70"/>
  <c r="F35" i="70"/>
  <c r="E35" i="70"/>
  <c r="D35" i="70"/>
  <c r="N34" i="70"/>
  <c r="M34" i="70"/>
  <c r="L34" i="70"/>
  <c r="K34" i="70"/>
  <c r="J34" i="70"/>
  <c r="I34" i="70"/>
  <c r="H34" i="70"/>
  <c r="G34" i="70"/>
  <c r="F34" i="70"/>
  <c r="E34" i="70"/>
  <c r="D34" i="70"/>
  <c r="D30" i="70"/>
  <c r="D29" i="70"/>
  <c r="D28" i="70"/>
  <c r="C1" i="70"/>
  <c r="N9" i="70"/>
  <c r="M9" i="70"/>
  <c r="L9" i="70"/>
  <c r="K9" i="70"/>
  <c r="J9" i="70"/>
  <c r="I9" i="70"/>
  <c r="H9" i="70"/>
  <c r="G9" i="70"/>
  <c r="F9" i="70"/>
  <c r="E9" i="70"/>
  <c r="N8" i="70"/>
  <c r="M8" i="70"/>
  <c r="L8" i="70"/>
  <c r="K8" i="70"/>
  <c r="J8" i="70"/>
  <c r="I8" i="70"/>
  <c r="H8" i="70"/>
  <c r="G8" i="70"/>
  <c r="F8" i="70"/>
  <c r="E8" i="70"/>
  <c r="D7" i="70"/>
  <c r="E31" i="2"/>
  <c r="F31" i="2"/>
  <c r="G31" i="2"/>
  <c r="H31" i="2"/>
  <c r="I31" i="2"/>
  <c r="J31" i="2"/>
  <c r="K31" i="2"/>
  <c r="L31" i="2"/>
  <c r="M31" i="2"/>
  <c r="N31" i="2"/>
  <c r="E30" i="2"/>
  <c r="F30" i="2"/>
  <c r="G30" i="2"/>
  <c r="H30" i="2"/>
  <c r="I30" i="2"/>
  <c r="J30" i="2"/>
  <c r="K30" i="2"/>
  <c r="L30" i="2"/>
  <c r="M30" i="2"/>
  <c r="N30" i="2"/>
  <c r="E29" i="2"/>
  <c r="F29" i="2"/>
  <c r="G29" i="2"/>
  <c r="H29" i="2"/>
  <c r="I29" i="2"/>
  <c r="J29" i="2"/>
  <c r="K29" i="2"/>
  <c r="L29" i="2"/>
  <c r="M29" i="2"/>
  <c r="N29" i="2"/>
  <c r="E28" i="2"/>
  <c r="F28" i="2"/>
  <c r="G28" i="2"/>
  <c r="H28" i="2"/>
  <c r="I28" i="2"/>
  <c r="J28" i="2"/>
  <c r="K28" i="2"/>
  <c r="L28" i="2"/>
  <c r="M28" i="2"/>
  <c r="N28" i="2"/>
  <c r="E27" i="2"/>
  <c r="F27" i="2"/>
  <c r="G27" i="2"/>
  <c r="H27" i="2"/>
  <c r="I27" i="2"/>
  <c r="J27" i="2"/>
  <c r="K27" i="2"/>
  <c r="L27" i="2"/>
  <c r="M27" i="2"/>
  <c r="N27" i="2"/>
  <c r="D31" i="2"/>
  <c r="D30" i="2"/>
  <c r="D29" i="2"/>
  <c r="D28" i="2"/>
  <c r="D27" i="2"/>
  <c r="D36" i="2"/>
  <c r="D38" i="2"/>
  <c r="D24" i="2"/>
  <c r="D23" i="2"/>
  <c r="D22" i="2"/>
  <c r="D34" i="2"/>
  <c r="D217" i="60"/>
  <c r="D211" i="60"/>
  <c r="D209" i="60"/>
  <c r="D203" i="60"/>
  <c r="D201" i="60"/>
  <c r="D195" i="60"/>
  <c r="D193" i="60"/>
  <c r="D187" i="60"/>
  <c r="D185" i="60"/>
  <c r="D179" i="60"/>
  <c r="D177" i="60"/>
  <c r="D171" i="60"/>
  <c r="D169" i="60"/>
  <c r="D163" i="60"/>
  <c r="D157" i="60"/>
  <c r="D151" i="60"/>
  <c r="D149" i="60"/>
  <c r="D143" i="60"/>
  <c r="D141" i="60"/>
  <c r="D135" i="60"/>
  <c r="D133" i="60"/>
  <c r="D127" i="60"/>
  <c r="D125" i="60"/>
  <c r="D119" i="60"/>
  <c r="D117" i="60"/>
  <c r="D111" i="60"/>
  <c r="D109" i="60"/>
  <c r="D103" i="60"/>
  <c r="D97" i="60"/>
  <c r="D89" i="60"/>
  <c r="D81" i="60"/>
  <c r="D73" i="60"/>
  <c r="D65" i="60"/>
  <c r="D57" i="60"/>
  <c r="D1050" i="58"/>
  <c r="D1040" i="58"/>
  <c r="D1030" i="58"/>
  <c r="C60" i="66"/>
  <c r="C964" i="58"/>
  <c r="C948" i="58"/>
  <c r="C932" i="58"/>
  <c r="C916" i="58"/>
  <c r="C900" i="58"/>
  <c r="C884" i="58"/>
  <c r="C836" i="58"/>
  <c r="C868" i="58"/>
  <c r="C852" i="58"/>
  <c r="C791" i="58"/>
  <c r="C775" i="58"/>
  <c r="C760" i="58"/>
  <c r="C756" i="58"/>
  <c r="C740" i="58"/>
  <c r="C724" i="58"/>
  <c r="C709" i="58"/>
  <c r="C705" i="58"/>
  <c r="C689" i="58"/>
  <c r="C673" i="58"/>
  <c r="C658" i="58"/>
  <c r="C631" i="58"/>
  <c r="C615" i="58"/>
  <c r="C600" i="58"/>
  <c r="C596" i="58"/>
  <c r="C579" i="58"/>
  <c r="C544" i="58"/>
  <c r="C512" i="58"/>
  <c r="C528" i="58"/>
  <c r="C563" i="58"/>
  <c r="C548" i="58"/>
  <c r="C493" i="58"/>
  <c r="C497" i="58"/>
  <c r="C454" i="58"/>
  <c r="C470" i="58"/>
  <c r="C439" i="58"/>
  <c r="C435" i="58"/>
  <c r="C419" i="58"/>
  <c r="C403" i="58"/>
  <c r="C388" i="58"/>
  <c r="C384" i="58"/>
  <c r="C351" i="58"/>
  <c r="C367" i="58"/>
  <c r="C336" i="58"/>
  <c r="C273" i="58"/>
  <c r="C222" i="58"/>
  <c r="C309" i="58"/>
  <c r="C293" i="58"/>
  <c r="C257" i="58"/>
  <c r="C241" i="58"/>
  <c r="C278" i="58"/>
  <c r="C226" i="58"/>
  <c r="C206" i="58"/>
  <c r="C190" i="58"/>
  <c r="C175" i="58"/>
  <c r="C148" i="58"/>
  <c r="C132" i="58"/>
  <c r="C117" i="58"/>
  <c r="C54" i="58"/>
  <c r="C23" i="58"/>
  <c r="C85" i="58"/>
  <c r="C70" i="58"/>
  <c r="C101" i="58"/>
  <c r="C259" i="20"/>
  <c r="C225" i="20"/>
  <c r="C242" i="20"/>
  <c r="C202" i="20"/>
  <c r="C187" i="20"/>
  <c r="C171" i="20"/>
  <c r="C156" i="20"/>
  <c r="C140" i="20"/>
  <c r="C125" i="20"/>
  <c r="C102" i="20"/>
  <c r="C72" i="20"/>
  <c r="C40" i="20"/>
  <c r="D833" i="54"/>
  <c r="D842" i="54"/>
  <c r="D851" i="54"/>
  <c r="N768" i="54"/>
  <c r="M768" i="54"/>
  <c r="L768" i="54"/>
  <c r="K768" i="54"/>
  <c r="J768" i="54"/>
  <c r="I768" i="54"/>
  <c r="H768" i="54"/>
  <c r="G768" i="54"/>
  <c r="F768" i="54"/>
  <c r="E768" i="54"/>
  <c r="N722" i="54"/>
  <c r="M722" i="54"/>
  <c r="L722" i="54"/>
  <c r="K722" i="54"/>
  <c r="J722" i="54"/>
  <c r="I722" i="54"/>
  <c r="H722" i="54"/>
  <c r="G722" i="54"/>
  <c r="F722" i="54"/>
  <c r="E722" i="54"/>
  <c r="N583" i="54"/>
  <c r="M583" i="54"/>
  <c r="L583" i="54"/>
  <c r="K583" i="54"/>
  <c r="J583" i="54"/>
  <c r="I583" i="54"/>
  <c r="H583" i="54"/>
  <c r="G583" i="54"/>
  <c r="F583" i="54"/>
  <c r="E583" i="54"/>
  <c r="N484" i="54"/>
  <c r="M484" i="54"/>
  <c r="L484" i="54"/>
  <c r="K484" i="54"/>
  <c r="J484" i="54"/>
  <c r="I484" i="54"/>
  <c r="H484" i="54"/>
  <c r="G484" i="54"/>
  <c r="F484" i="54"/>
  <c r="E484" i="54"/>
  <c r="N438" i="54"/>
  <c r="M438" i="54"/>
  <c r="L438" i="54"/>
  <c r="K438" i="54"/>
  <c r="J438" i="54"/>
  <c r="I438" i="54"/>
  <c r="H438" i="54"/>
  <c r="G438" i="54"/>
  <c r="F438" i="54"/>
  <c r="E438" i="54"/>
  <c r="N392" i="54"/>
  <c r="M392" i="54"/>
  <c r="L392" i="54"/>
  <c r="K392" i="54"/>
  <c r="J392" i="54"/>
  <c r="I392" i="54"/>
  <c r="H392" i="54"/>
  <c r="G392" i="54"/>
  <c r="F392" i="54"/>
  <c r="E392" i="54"/>
  <c r="N285" i="54"/>
  <c r="M285" i="54"/>
  <c r="L285" i="54"/>
  <c r="K285" i="54"/>
  <c r="J285" i="54"/>
  <c r="I285" i="54"/>
  <c r="H285" i="54"/>
  <c r="G285" i="54"/>
  <c r="F285" i="54"/>
  <c r="E285" i="54"/>
  <c r="N241" i="54"/>
  <c r="M241" i="54"/>
  <c r="L241" i="54"/>
  <c r="K241" i="54"/>
  <c r="J241" i="54"/>
  <c r="I241" i="54"/>
  <c r="H241" i="54"/>
  <c r="G241" i="54"/>
  <c r="F241" i="54"/>
  <c r="E241" i="54"/>
  <c r="N197" i="54"/>
  <c r="M197" i="54"/>
  <c r="L197" i="54"/>
  <c r="K197" i="54"/>
  <c r="J197" i="54"/>
  <c r="I197" i="54"/>
  <c r="H197" i="54"/>
  <c r="G197" i="54"/>
  <c r="F197" i="54"/>
  <c r="E197" i="54"/>
  <c r="D1029" i="68"/>
  <c r="D961" i="68"/>
  <c r="D893" i="68"/>
  <c r="D825" i="68"/>
  <c r="D757" i="68"/>
  <c r="D689" i="68"/>
  <c r="D621" i="68"/>
  <c r="D554" i="68"/>
  <c r="D486" i="68"/>
  <c r="D418" i="68"/>
  <c r="D350" i="68"/>
  <c r="D281" i="68"/>
  <c r="D214" i="68"/>
  <c r="D146" i="68"/>
  <c r="D71" i="68"/>
  <c r="D1007" i="68"/>
  <c r="D1006" i="68"/>
  <c r="D1005" i="68"/>
  <c r="D1003" i="68"/>
  <c r="D1002" i="68"/>
  <c r="D1001" i="68"/>
  <c r="D939" i="68"/>
  <c r="D938" i="68"/>
  <c r="D937" i="68"/>
  <c r="D935" i="68"/>
  <c r="D934" i="68"/>
  <c r="D933" i="68"/>
  <c r="D871" i="68"/>
  <c r="D870" i="68"/>
  <c r="D869" i="68"/>
  <c r="D867" i="68"/>
  <c r="D866" i="68"/>
  <c r="D865" i="68"/>
  <c r="D803" i="68"/>
  <c r="D802" i="68"/>
  <c r="D801" i="68"/>
  <c r="D799" i="68"/>
  <c r="D798" i="68"/>
  <c r="D797" i="68"/>
  <c r="D735" i="68"/>
  <c r="D734" i="68"/>
  <c r="D733" i="68"/>
  <c r="D731" i="68"/>
  <c r="D730" i="68"/>
  <c r="D729" i="68"/>
  <c r="D667" i="68"/>
  <c r="D666" i="68"/>
  <c r="D665" i="68"/>
  <c r="D663" i="68"/>
  <c r="D662" i="68"/>
  <c r="D661" i="68"/>
  <c r="D599" i="68"/>
  <c r="D598" i="68"/>
  <c r="D597" i="68"/>
  <c r="D595" i="68"/>
  <c r="D594" i="68"/>
  <c r="D593" i="68"/>
  <c r="D532" i="68"/>
  <c r="D531" i="68"/>
  <c r="D530" i="68"/>
  <c r="D528" i="68"/>
  <c r="D527" i="68"/>
  <c r="D526" i="68"/>
  <c r="D464" i="68"/>
  <c r="D463" i="68"/>
  <c r="D462" i="68"/>
  <c r="D460" i="68"/>
  <c r="D459" i="68"/>
  <c r="D458" i="68"/>
  <c r="D396" i="68"/>
  <c r="D395" i="68"/>
  <c r="D394" i="68"/>
  <c r="D392" i="68"/>
  <c r="D391" i="68"/>
  <c r="D390" i="68"/>
  <c r="D328" i="68"/>
  <c r="D327" i="68"/>
  <c r="D326" i="68"/>
  <c r="D324" i="68"/>
  <c r="D323" i="68"/>
  <c r="D322" i="68"/>
  <c r="D259" i="68"/>
  <c r="D258" i="68"/>
  <c r="D257" i="68"/>
  <c r="D255" i="68"/>
  <c r="D254" i="68"/>
  <c r="D253" i="68"/>
  <c r="D188" i="68"/>
  <c r="D187" i="68"/>
  <c r="D186" i="68"/>
  <c r="D192" i="68"/>
  <c r="D191" i="68"/>
  <c r="D190" i="68"/>
  <c r="D123" i="68"/>
  <c r="D122" i="68"/>
  <c r="D119" i="68"/>
  <c r="D118" i="68"/>
  <c r="D117" i="68"/>
  <c r="D121" i="68"/>
  <c r="N115" i="68"/>
  <c r="M115" i="68"/>
  <c r="L115" i="68"/>
  <c r="K115" i="68"/>
  <c r="J115" i="68"/>
  <c r="I115" i="68"/>
  <c r="H115" i="68"/>
  <c r="G115" i="68"/>
  <c r="F115" i="68"/>
  <c r="E115" i="68"/>
  <c r="D115" i="68"/>
  <c r="D114" i="68"/>
  <c r="D113" i="68"/>
  <c r="N111" i="68"/>
  <c r="M111" i="68"/>
  <c r="L111" i="68"/>
  <c r="K111" i="68"/>
  <c r="J111" i="68"/>
  <c r="I111" i="68"/>
  <c r="H111" i="68"/>
  <c r="G111" i="68"/>
  <c r="F111" i="68"/>
  <c r="E111" i="68"/>
  <c r="D111" i="68"/>
  <c r="D110" i="68"/>
  <c r="D109" i="68"/>
  <c r="D49" i="68"/>
  <c r="D48" i="68"/>
  <c r="D47" i="68"/>
  <c r="D45" i="68"/>
  <c r="D43" i="68"/>
  <c r="D44" i="68"/>
  <c r="C143" i="54"/>
  <c r="D172" i="54"/>
  <c r="D171" i="54"/>
  <c r="D170" i="54"/>
  <c r="D168" i="54"/>
  <c r="D167" i="54"/>
  <c r="D166" i="54"/>
  <c r="D164" i="54"/>
  <c r="D163" i="54"/>
  <c r="D162" i="54"/>
  <c r="D160" i="54"/>
  <c r="D159" i="54"/>
  <c r="D158" i="54"/>
  <c r="D155" i="54"/>
  <c r="D154" i="54"/>
  <c r="D153" i="54"/>
  <c r="D151" i="54"/>
  <c r="D150" i="54"/>
  <c r="D149" i="54"/>
  <c r="D147" i="54"/>
  <c r="D146" i="54"/>
  <c r="D145" i="54"/>
  <c r="C109" i="54"/>
  <c r="D138" i="54"/>
  <c r="D137" i="54"/>
  <c r="D136" i="54"/>
  <c r="D134" i="54"/>
  <c r="D133" i="54"/>
  <c r="D132" i="54"/>
  <c r="D130" i="54"/>
  <c r="D129" i="54"/>
  <c r="D128" i="54"/>
  <c r="D126" i="54"/>
  <c r="D125" i="54"/>
  <c r="D124" i="54"/>
  <c r="D121" i="54"/>
  <c r="D120" i="54"/>
  <c r="D119" i="54"/>
  <c r="D117" i="54"/>
  <c r="D116" i="54"/>
  <c r="D115" i="54"/>
  <c r="D113" i="54"/>
  <c r="D112" i="54"/>
  <c r="D111" i="54"/>
  <c r="D104" i="54"/>
  <c r="D103" i="54"/>
  <c r="D102" i="54"/>
  <c r="D100" i="54"/>
  <c r="D99" i="54"/>
  <c r="D98" i="54"/>
  <c r="D96" i="54"/>
  <c r="D95" i="54"/>
  <c r="D94" i="54"/>
  <c r="D91" i="54"/>
  <c r="D90" i="54"/>
  <c r="D92" i="54"/>
  <c r="D87" i="54"/>
  <c r="D86" i="54"/>
  <c r="D85" i="54"/>
  <c r="D83" i="54"/>
  <c r="D82" i="54"/>
  <c r="D81" i="54"/>
  <c r="D79" i="54"/>
  <c r="D78" i="54"/>
  <c r="D77" i="54"/>
  <c r="C75" i="54"/>
  <c r="D756" i="54"/>
  <c r="D710" i="54"/>
  <c r="N676" i="54"/>
  <c r="M676" i="54"/>
  <c r="L676" i="54"/>
  <c r="K676" i="54"/>
  <c r="J676" i="54"/>
  <c r="I676" i="54"/>
  <c r="H676" i="54"/>
  <c r="G676" i="54"/>
  <c r="F676" i="54"/>
  <c r="E676" i="54"/>
  <c r="N623" i="54"/>
  <c r="M623" i="54"/>
  <c r="L623" i="54"/>
  <c r="K623" i="54"/>
  <c r="J623" i="54"/>
  <c r="I623" i="54"/>
  <c r="H623" i="54"/>
  <c r="G623" i="54"/>
  <c r="F623" i="54"/>
  <c r="E623" i="54"/>
  <c r="D617" i="54"/>
  <c r="D571" i="54"/>
  <c r="N537" i="54"/>
  <c r="M537" i="54"/>
  <c r="L537" i="54"/>
  <c r="K537" i="54"/>
  <c r="J537" i="54"/>
  <c r="I537" i="54"/>
  <c r="H537" i="54"/>
  <c r="G537" i="54"/>
  <c r="F537" i="54"/>
  <c r="E537" i="54"/>
  <c r="D472" i="54"/>
  <c r="D426" i="54"/>
  <c r="D1041" i="68"/>
  <c r="D1039" i="68"/>
  <c r="D1038" i="68"/>
  <c r="D1037" i="68"/>
  <c r="D1035" i="68"/>
  <c r="D1034" i="68"/>
  <c r="D1033" i="68"/>
  <c r="D1031" i="68"/>
  <c r="D1030" i="68"/>
  <c r="D1027" i="68"/>
  <c r="D1026" i="68"/>
  <c r="D1025" i="68"/>
  <c r="D1023" i="68"/>
  <c r="D1022" i="68"/>
  <c r="D1021" i="68"/>
  <c r="D1019" i="68"/>
  <c r="D1018" i="68"/>
  <c r="D1017" i="68"/>
  <c r="D1015" i="68"/>
  <c r="D1014" i="68"/>
  <c r="D1013" i="68"/>
  <c r="D1011" i="68"/>
  <c r="D1010" i="68"/>
  <c r="D1009" i="68"/>
  <c r="D999" i="68"/>
  <c r="D998" i="68"/>
  <c r="D997" i="68"/>
  <c r="D995" i="68"/>
  <c r="D984" i="68"/>
  <c r="D983" i="68"/>
  <c r="D973" i="68"/>
  <c r="D971" i="68"/>
  <c r="D970" i="68"/>
  <c r="D969" i="68"/>
  <c r="D967" i="68"/>
  <c r="D966" i="68"/>
  <c r="D965" i="68"/>
  <c r="D963" i="68"/>
  <c r="D962" i="68"/>
  <c r="D959" i="68"/>
  <c r="D958" i="68"/>
  <c r="D957" i="68"/>
  <c r="D955" i="68"/>
  <c r="D954" i="68"/>
  <c r="D953" i="68"/>
  <c r="D951" i="68"/>
  <c r="D950" i="68"/>
  <c r="D949" i="68"/>
  <c r="D947" i="68"/>
  <c r="D946" i="68"/>
  <c r="D945" i="68"/>
  <c r="D943" i="68"/>
  <c r="D942" i="68"/>
  <c r="D941" i="68"/>
  <c r="D931" i="68"/>
  <c r="D930" i="68"/>
  <c r="D929" i="68"/>
  <c r="D927" i="68"/>
  <c r="D916" i="68"/>
  <c r="D915" i="68"/>
  <c r="D905" i="68"/>
  <c r="D903" i="68"/>
  <c r="D902" i="68"/>
  <c r="D901" i="68"/>
  <c r="D899" i="68"/>
  <c r="D898" i="68"/>
  <c r="D897" i="68"/>
  <c r="D895" i="68"/>
  <c r="D894" i="68"/>
  <c r="D891" i="68"/>
  <c r="D890" i="68"/>
  <c r="D889" i="68"/>
  <c r="D887" i="68"/>
  <c r="D886" i="68"/>
  <c r="D885" i="68"/>
  <c r="D883" i="68"/>
  <c r="D882" i="68"/>
  <c r="D881" i="68"/>
  <c r="D879" i="68"/>
  <c r="D878" i="68"/>
  <c r="D877" i="68"/>
  <c r="D875" i="68"/>
  <c r="D874" i="68"/>
  <c r="D873" i="68"/>
  <c r="D863" i="68"/>
  <c r="D862" i="68"/>
  <c r="D861" i="68"/>
  <c r="D859" i="68"/>
  <c r="D848" i="68"/>
  <c r="D847" i="68"/>
  <c r="D837" i="68"/>
  <c r="D835" i="68"/>
  <c r="D834" i="68"/>
  <c r="D833" i="68"/>
  <c r="D831" i="68"/>
  <c r="D830" i="68"/>
  <c r="D829" i="68"/>
  <c r="D827" i="68"/>
  <c r="D826" i="68"/>
  <c r="D823" i="68"/>
  <c r="D822" i="68"/>
  <c r="D821" i="68"/>
  <c r="D819" i="68"/>
  <c r="D818" i="68"/>
  <c r="D817" i="68"/>
  <c r="D815" i="68"/>
  <c r="D814" i="68"/>
  <c r="D813" i="68"/>
  <c r="D811" i="68"/>
  <c r="D810" i="68"/>
  <c r="D809" i="68"/>
  <c r="D807" i="68"/>
  <c r="D806" i="68"/>
  <c r="D805" i="68"/>
  <c r="D795" i="68"/>
  <c r="D794" i="68"/>
  <c r="D793" i="68"/>
  <c r="D791" i="68"/>
  <c r="D780" i="68"/>
  <c r="D779" i="68"/>
  <c r="D769" i="68"/>
  <c r="D767" i="68"/>
  <c r="D766" i="68"/>
  <c r="D765" i="68"/>
  <c r="D763" i="68"/>
  <c r="D762" i="68"/>
  <c r="D761" i="68"/>
  <c r="D759" i="68"/>
  <c r="D758" i="68"/>
  <c r="D755" i="68"/>
  <c r="D754" i="68"/>
  <c r="D753" i="68"/>
  <c r="D751" i="68"/>
  <c r="D750" i="68"/>
  <c r="D749" i="68"/>
  <c r="D747" i="68"/>
  <c r="D746" i="68"/>
  <c r="D745" i="68"/>
  <c r="D743" i="68"/>
  <c r="D742" i="68"/>
  <c r="D741" i="68"/>
  <c r="D739" i="68"/>
  <c r="D738" i="68"/>
  <c r="D737" i="68"/>
  <c r="D727" i="68"/>
  <c r="D726" i="68"/>
  <c r="D725" i="68"/>
  <c r="D723" i="68"/>
  <c r="D712" i="68"/>
  <c r="D711" i="68"/>
  <c r="D701" i="68"/>
  <c r="D699" i="68"/>
  <c r="D698" i="68"/>
  <c r="D697" i="68"/>
  <c r="D695" i="68"/>
  <c r="D694" i="68"/>
  <c r="D693" i="68"/>
  <c r="D691" i="68"/>
  <c r="D690" i="68"/>
  <c r="D687" i="68"/>
  <c r="D686" i="68"/>
  <c r="D685" i="68"/>
  <c r="D683" i="68"/>
  <c r="D682" i="68"/>
  <c r="D681" i="68"/>
  <c r="D679" i="68"/>
  <c r="D678" i="68"/>
  <c r="D677" i="68"/>
  <c r="D675" i="68"/>
  <c r="D674" i="68"/>
  <c r="D673" i="68"/>
  <c r="D671" i="68"/>
  <c r="D670" i="68"/>
  <c r="D669" i="68"/>
  <c r="D659" i="68"/>
  <c r="D658" i="68"/>
  <c r="D657" i="68"/>
  <c r="D655" i="68"/>
  <c r="D644" i="68"/>
  <c r="D643" i="68"/>
  <c r="D633" i="68"/>
  <c r="D631" i="68"/>
  <c r="D630" i="68"/>
  <c r="D629" i="68"/>
  <c r="D627" i="68"/>
  <c r="D626" i="68"/>
  <c r="D625" i="68"/>
  <c r="D623" i="68"/>
  <c r="D622" i="68"/>
  <c r="D619" i="68"/>
  <c r="D618" i="68"/>
  <c r="D617" i="68"/>
  <c r="D615" i="68"/>
  <c r="D614" i="68"/>
  <c r="D613" i="68"/>
  <c r="D611" i="68"/>
  <c r="D610" i="68"/>
  <c r="D609" i="68"/>
  <c r="D607" i="68"/>
  <c r="D606" i="68"/>
  <c r="D605" i="68"/>
  <c r="D603" i="68"/>
  <c r="D602" i="68"/>
  <c r="D601" i="68"/>
  <c r="D591" i="68"/>
  <c r="D590" i="68"/>
  <c r="D589" i="68"/>
  <c r="D587" i="68"/>
  <c r="D576" i="68"/>
  <c r="D575" i="68"/>
  <c r="D566" i="68"/>
  <c r="D564" i="68"/>
  <c r="D563" i="68"/>
  <c r="D562" i="68"/>
  <c r="D560" i="68"/>
  <c r="D559" i="68"/>
  <c r="D558" i="68"/>
  <c r="D556" i="68"/>
  <c r="D555" i="68"/>
  <c r="D552" i="68"/>
  <c r="D551" i="68"/>
  <c r="D550" i="68"/>
  <c r="D548" i="68"/>
  <c r="D547" i="68"/>
  <c r="D546" i="68"/>
  <c r="D544" i="68"/>
  <c r="D543" i="68"/>
  <c r="D542" i="68"/>
  <c r="D540" i="68"/>
  <c r="D539" i="68"/>
  <c r="D538" i="68"/>
  <c r="D536" i="68"/>
  <c r="D535" i="68"/>
  <c r="D534" i="68"/>
  <c r="D524" i="68"/>
  <c r="D523" i="68"/>
  <c r="D522" i="68"/>
  <c r="D520" i="68"/>
  <c r="D509" i="68"/>
  <c r="D508" i="68"/>
  <c r="D498" i="68"/>
  <c r="D496" i="68"/>
  <c r="D495" i="68"/>
  <c r="D494" i="68"/>
  <c r="D492" i="68"/>
  <c r="D491" i="68"/>
  <c r="D490" i="68"/>
  <c r="D488" i="68"/>
  <c r="D487" i="68"/>
  <c r="D484" i="68"/>
  <c r="D483" i="68"/>
  <c r="D482" i="68"/>
  <c r="D480" i="68"/>
  <c r="D479" i="68"/>
  <c r="D478" i="68"/>
  <c r="D476" i="68"/>
  <c r="D475" i="68"/>
  <c r="D474" i="68"/>
  <c r="D472" i="68"/>
  <c r="D471" i="68"/>
  <c r="D470" i="68"/>
  <c r="D468" i="68"/>
  <c r="D467" i="68"/>
  <c r="D466" i="68"/>
  <c r="D456" i="68"/>
  <c r="D455" i="68"/>
  <c r="D454" i="68"/>
  <c r="D452" i="68"/>
  <c r="D441" i="68"/>
  <c r="D440" i="68"/>
  <c r="D430" i="68"/>
  <c r="D428" i="68"/>
  <c r="D427" i="68"/>
  <c r="D426" i="68"/>
  <c r="D424" i="68"/>
  <c r="D423" i="68"/>
  <c r="D422" i="68"/>
  <c r="D420" i="68"/>
  <c r="D419" i="68"/>
  <c r="D416" i="68"/>
  <c r="D415" i="68"/>
  <c r="D414" i="68"/>
  <c r="D412" i="68"/>
  <c r="D411" i="68"/>
  <c r="D410" i="68"/>
  <c r="D408" i="68"/>
  <c r="D407" i="68"/>
  <c r="D406" i="68"/>
  <c r="D404" i="68"/>
  <c r="D403" i="68"/>
  <c r="D402" i="68"/>
  <c r="D400" i="68"/>
  <c r="D399" i="68"/>
  <c r="D398" i="68"/>
  <c r="D388" i="68"/>
  <c r="D387" i="68"/>
  <c r="D386" i="68"/>
  <c r="D384" i="68"/>
  <c r="D373" i="68"/>
  <c r="D372" i="68"/>
  <c r="D362" i="68"/>
  <c r="D360" i="68"/>
  <c r="D359" i="68"/>
  <c r="D358" i="68"/>
  <c r="D356" i="68"/>
  <c r="D355" i="68"/>
  <c r="D354" i="68"/>
  <c r="D352" i="68"/>
  <c r="D351" i="68"/>
  <c r="D348" i="68"/>
  <c r="D347" i="68"/>
  <c r="D346" i="68"/>
  <c r="D344" i="68"/>
  <c r="D343" i="68"/>
  <c r="D342" i="68"/>
  <c r="D340" i="68"/>
  <c r="D339" i="68"/>
  <c r="D338" i="68"/>
  <c r="D336" i="68"/>
  <c r="D335" i="68"/>
  <c r="D334" i="68"/>
  <c r="D332" i="68"/>
  <c r="D331" i="68"/>
  <c r="D330" i="68"/>
  <c r="D320" i="68"/>
  <c r="D319" i="68"/>
  <c r="D318" i="68"/>
  <c r="D316" i="68"/>
  <c r="D305" i="68"/>
  <c r="D304" i="68"/>
  <c r="D293" i="68"/>
  <c r="D291" i="68"/>
  <c r="D290" i="68"/>
  <c r="D289" i="68"/>
  <c r="D287" i="68"/>
  <c r="D286" i="68"/>
  <c r="D285" i="68"/>
  <c r="D283" i="68"/>
  <c r="D282" i="68"/>
  <c r="D279" i="68"/>
  <c r="D278" i="68"/>
  <c r="D277" i="68"/>
  <c r="D275" i="68"/>
  <c r="D274" i="68"/>
  <c r="D273" i="68"/>
  <c r="D271" i="68"/>
  <c r="D270" i="68"/>
  <c r="D269" i="68"/>
  <c r="D267" i="68"/>
  <c r="D266" i="68"/>
  <c r="D265" i="68"/>
  <c r="D263" i="68"/>
  <c r="D262" i="68"/>
  <c r="D261" i="68"/>
  <c r="D251" i="68"/>
  <c r="D250" i="68"/>
  <c r="D249" i="68"/>
  <c r="D247" i="68"/>
  <c r="D236" i="68"/>
  <c r="D235" i="68"/>
  <c r="D226" i="68"/>
  <c r="D224" i="68"/>
  <c r="D223" i="68"/>
  <c r="D222" i="68"/>
  <c r="D220" i="68"/>
  <c r="D219" i="68"/>
  <c r="D218" i="68"/>
  <c r="D216" i="68"/>
  <c r="D215" i="68"/>
  <c r="D212" i="68"/>
  <c r="D211" i="68"/>
  <c r="D210" i="68"/>
  <c r="D208" i="68"/>
  <c r="D207" i="68"/>
  <c r="D206" i="68"/>
  <c r="D204" i="68"/>
  <c r="D203" i="68"/>
  <c r="D202" i="68"/>
  <c r="D200" i="68"/>
  <c r="D199" i="68"/>
  <c r="D198" i="68"/>
  <c r="D196" i="68"/>
  <c r="D195" i="68"/>
  <c r="D194" i="68"/>
  <c r="D184" i="68"/>
  <c r="D183" i="68"/>
  <c r="D182" i="68"/>
  <c r="D180" i="68"/>
  <c r="D169" i="68"/>
  <c r="D168" i="68"/>
  <c r="D158" i="68"/>
  <c r="D156" i="68"/>
  <c r="D155" i="68"/>
  <c r="D154" i="68"/>
  <c r="D152" i="68"/>
  <c r="D151" i="68"/>
  <c r="D150" i="68"/>
  <c r="D148" i="68"/>
  <c r="D147" i="68"/>
  <c r="D144" i="68"/>
  <c r="D143" i="68"/>
  <c r="D142" i="68"/>
  <c r="D140" i="68"/>
  <c r="D139" i="68"/>
  <c r="D138" i="68"/>
  <c r="D136" i="68"/>
  <c r="D135" i="68"/>
  <c r="D134" i="68"/>
  <c r="D132" i="68"/>
  <c r="D131" i="68"/>
  <c r="D130" i="68"/>
  <c r="D128" i="68"/>
  <c r="D127" i="68"/>
  <c r="D126" i="68"/>
  <c r="D107" i="68"/>
  <c r="D106" i="68"/>
  <c r="D105" i="68"/>
  <c r="D103" i="68"/>
  <c r="D92" i="68"/>
  <c r="D91" i="68"/>
  <c r="D40" i="68"/>
  <c r="D81" i="68"/>
  <c r="D80" i="68"/>
  <c r="D79" i="68"/>
  <c r="D77" i="68"/>
  <c r="D76" i="68"/>
  <c r="D75" i="68"/>
  <c r="D73" i="68"/>
  <c r="D72" i="68"/>
  <c r="D41" i="68"/>
  <c r="D39" i="68"/>
  <c r="D37" i="68"/>
  <c r="D26" i="68"/>
  <c r="D65" i="68"/>
  <c r="D64" i="68"/>
  <c r="D63" i="68"/>
  <c r="D69" i="68"/>
  <c r="D68" i="68"/>
  <c r="D67" i="68"/>
  <c r="D61" i="68"/>
  <c r="D60" i="68"/>
  <c r="D59" i="68"/>
  <c r="D57" i="68"/>
  <c r="D56" i="68"/>
  <c r="D55" i="68"/>
  <c r="D53" i="68"/>
  <c r="D52" i="68"/>
  <c r="D51" i="68"/>
  <c r="F837" i="68"/>
  <c r="J837" i="68"/>
  <c r="N837" i="68"/>
  <c r="H973" i="68"/>
  <c r="L973" i="68"/>
  <c r="F293" i="68"/>
  <c r="J293" i="68"/>
  <c r="N293" i="68"/>
  <c r="F769" i="68"/>
  <c r="J769" i="68"/>
  <c r="H905" i="68"/>
  <c r="L905" i="68"/>
  <c r="F1041" i="68"/>
  <c r="J1041" i="68"/>
  <c r="N1041" i="68"/>
  <c r="F701" i="68"/>
  <c r="J701" i="68"/>
  <c r="N701" i="68"/>
  <c r="H837" i="68"/>
  <c r="L837" i="68"/>
  <c r="F973" i="68"/>
  <c r="J973" i="68"/>
  <c r="N973" i="68"/>
  <c r="K1041" i="68"/>
  <c r="E158" i="68"/>
  <c r="I158" i="68"/>
  <c r="M158" i="68"/>
  <c r="H769" i="68"/>
  <c r="L769" i="68"/>
  <c r="F905" i="68"/>
  <c r="J905" i="68"/>
  <c r="N905" i="68"/>
  <c r="G973" i="68"/>
  <c r="K973" i="68"/>
  <c r="H1041" i="68"/>
  <c r="L1041" i="68"/>
  <c r="F226" i="68"/>
  <c r="N226" i="68"/>
  <c r="K430" i="68"/>
  <c r="G498" i="68"/>
  <c r="G633" i="68"/>
  <c r="G701" i="68"/>
  <c r="K701" i="68"/>
  <c r="G769" i="68"/>
  <c r="K769" i="68"/>
  <c r="G837" i="68"/>
  <c r="K837" i="68"/>
  <c r="G905" i="68"/>
  <c r="K905" i="68"/>
  <c r="J226" i="68"/>
  <c r="G430" i="68"/>
  <c r="K498" i="68"/>
  <c r="G226" i="68"/>
  <c r="K226" i="68"/>
  <c r="H430" i="68"/>
  <c r="L430" i="68"/>
  <c r="H498" i="68"/>
  <c r="L498" i="68"/>
  <c r="H566" i="68"/>
  <c r="H633" i="68"/>
  <c r="L633" i="68"/>
  <c r="H701" i="68"/>
  <c r="L701" i="68"/>
  <c r="G158" i="68"/>
  <c r="K158" i="68"/>
  <c r="H293" i="68"/>
  <c r="L293" i="68"/>
  <c r="E226" i="68"/>
  <c r="I226" i="68"/>
  <c r="M226" i="68"/>
  <c r="F430" i="68"/>
  <c r="J430" i="68"/>
  <c r="N430" i="68"/>
  <c r="F498" i="68"/>
  <c r="J498" i="68"/>
  <c r="N498" i="68"/>
  <c r="N769" i="68"/>
  <c r="K633" i="68"/>
  <c r="E566" i="68"/>
  <c r="I566" i="68"/>
  <c r="M566" i="68"/>
  <c r="F158" i="68"/>
  <c r="J158" i="68"/>
  <c r="N158" i="68"/>
  <c r="H158" i="68"/>
  <c r="L158" i="68"/>
  <c r="H226" i="68"/>
  <c r="L226" i="68"/>
  <c r="G293" i="68"/>
  <c r="K293" i="68"/>
  <c r="E293" i="68"/>
  <c r="I293" i="68"/>
  <c r="M293" i="68"/>
  <c r="E430" i="68"/>
  <c r="I430" i="68"/>
  <c r="M430" i="68"/>
  <c r="E498" i="68"/>
  <c r="I498" i="68"/>
  <c r="M498" i="68"/>
  <c r="L566" i="68"/>
  <c r="G566" i="68"/>
  <c r="K566" i="68"/>
  <c r="F566" i="68"/>
  <c r="J566" i="68"/>
  <c r="N566" i="68"/>
  <c r="E633" i="68"/>
  <c r="I633" i="68"/>
  <c r="M633" i="68"/>
  <c r="F633" i="68"/>
  <c r="J633" i="68"/>
  <c r="N633" i="68"/>
  <c r="E701" i="68"/>
  <c r="I701" i="68"/>
  <c r="M701" i="68"/>
  <c r="E769" i="68"/>
  <c r="I769" i="68"/>
  <c r="M769" i="68"/>
  <c r="E837" i="68"/>
  <c r="I837" i="68"/>
  <c r="M837" i="68"/>
  <c r="E905" i="68"/>
  <c r="I905" i="68"/>
  <c r="M905" i="68"/>
  <c r="E973" i="68"/>
  <c r="I973" i="68"/>
  <c r="M973" i="68"/>
  <c r="G1041" i="68"/>
  <c r="E1041" i="68"/>
  <c r="I1041" i="68"/>
  <c r="M1041" i="68"/>
  <c r="F362" i="68"/>
  <c r="J362" i="68"/>
  <c r="N362" i="68"/>
  <c r="E362" i="68"/>
  <c r="M362" i="68"/>
  <c r="G362" i="68"/>
  <c r="K362" i="68"/>
  <c r="H362" i="68"/>
  <c r="L362" i="68"/>
  <c r="I362" i="68"/>
  <c r="D83" i="68"/>
  <c r="C21" i="68"/>
  <c r="F83" i="68"/>
  <c r="K83" i="68"/>
  <c r="H83" i="68"/>
  <c r="E83" i="68"/>
  <c r="M83" i="68"/>
  <c r="G83" i="68"/>
  <c r="L83" i="68"/>
  <c r="I83" i="68"/>
  <c r="J83" i="68"/>
  <c r="N83" i="68"/>
  <c r="I1064" i="68"/>
  <c r="G1064" i="68"/>
  <c r="L1064" i="68"/>
  <c r="K1064" i="68"/>
  <c r="M1064" i="68"/>
  <c r="F1064" i="68"/>
  <c r="N1064" i="68"/>
  <c r="E1064" i="68"/>
  <c r="H1064" i="68"/>
  <c r="J1064" i="68"/>
  <c r="K53" i="20"/>
  <c r="N115" i="20"/>
  <c r="M115" i="20"/>
  <c r="F115" i="20"/>
  <c r="J115" i="20"/>
  <c r="I115" i="20"/>
  <c r="H115" i="20"/>
  <c r="L115" i="20"/>
  <c r="K115" i="20"/>
  <c r="G115" i="20"/>
  <c r="E85" i="20"/>
  <c r="J53" i="20"/>
  <c r="L53" i="20"/>
  <c r="G53" i="20"/>
  <c r="F53" i="20"/>
  <c r="I53" i="20"/>
  <c r="G19" i="69"/>
  <c r="K85" i="20"/>
  <c r="M20" i="69"/>
  <c r="G18" i="69"/>
  <c r="I20" i="69"/>
  <c r="J20" i="69"/>
  <c r="C6" i="67"/>
  <c r="H53" i="20"/>
  <c r="I18" i="69"/>
  <c r="M53" i="20"/>
  <c r="E20" i="69"/>
  <c r="N85" i="20"/>
  <c r="E115" i="20"/>
  <c r="N53" i="20"/>
  <c r="I85" i="20"/>
  <c r="J85" i="20"/>
  <c r="L85" i="20"/>
  <c r="F85" i="20"/>
  <c r="M85" i="20"/>
  <c r="H85" i="20"/>
  <c r="G85" i="20"/>
  <c r="E53" i="20"/>
  <c r="I19" i="69"/>
  <c r="G20" i="69"/>
  <c r="F19" i="69"/>
  <c r="K19" i="69"/>
  <c r="E18" i="69"/>
  <c r="F20" i="69"/>
  <c r="H19" i="69"/>
  <c r="N19" i="69"/>
  <c r="H18" i="69"/>
  <c r="M19" i="69"/>
  <c r="L18" i="69"/>
  <c r="L20" i="69"/>
  <c r="E19" i="69"/>
  <c r="M18" i="69"/>
  <c r="K20" i="69"/>
  <c r="J18" i="69"/>
  <c r="J19" i="69"/>
  <c r="K18" i="69"/>
  <c r="N18" i="69"/>
  <c r="F18" i="69"/>
  <c r="L19" i="69"/>
  <c r="N20" i="69"/>
  <c r="H20" i="69"/>
  <c r="E52" i="1"/>
  <c r="E53" i="1"/>
  <c r="E54" i="1"/>
  <c r="E55" i="1"/>
  <c r="E56" i="1"/>
  <c r="E57" i="1"/>
  <c r="E58" i="1"/>
  <c r="E59" i="1"/>
  <c r="E60" i="1"/>
  <c r="E9" i="58"/>
  <c r="E10" i="58"/>
  <c r="H60" i="1"/>
  <c r="H59" i="1"/>
  <c r="H58" i="1"/>
  <c r="H57" i="1"/>
  <c r="H56" i="1"/>
  <c r="H55" i="1"/>
  <c r="H54" i="1"/>
  <c r="H53" i="1"/>
  <c r="H52" i="1"/>
  <c r="H51" i="1"/>
  <c r="F60" i="1"/>
  <c r="F59" i="1"/>
  <c r="F58" i="1"/>
  <c r="F57" i="1"/>
  <c r="F56" i="1"/>
  <c r="F55" i="1"/>
  <c r="F54" i="1"/>
  <c r="F53" i="1"/>
  <c r="F52" i="1"/>
  <c r="F51" i="1"/>
  <c r="D60" i="1"/>
  <c r="D59" i="1"/>
  <c r="D58" i="1"/>
  <c r="D57" i="1"/>
  <c r="D56" i="1"/>
  <c r="D55" i="1"/>
  <c r="D54" i="1"/>
  <c r="D53" i="1"/>
  <c r="D52" i="1"/>
  <c r="D51" i="1"/>
  <c r="F9" i="58"/>
  <c r="F10" i="58"/>
  <c r="G10" i="58"/>
  <c r="G9" i="58"/>
  <c r="C27" i="66"/>
  <c r="C7" i="66"/>
  <c r="H10" i="58"/>
  <c r="H9" i="58"/>
  <c r="I10" i="58"/>
  <c r="I9" i="58"/>
  <c r="J9" i="58"/>
  <c r="J10" i="58"/>
  <c r="K10" i="58"/>
  <c r="K9" i="58"/>
  <c r="L10" i="58"/>
  <c r="L9" i="58"/>
  <c r="M3" i="63"/>
  <c r="B3" i="63"/>
  <c r="B2" i="63"/>
  <c r="M9" i="58"/>
  <c r="M10" i="58"/>
  <c r="N9" i="58"/>
  <c r="N10" i="58"/>
  <c r="D258" i="60"/>
  <c r="D257" i="60"/>
  <c r="D256" i="60"/>
  <c r="D255" i="60"/>
  <c r="D254" i="60"/>
  <c r="D253" i="60"/>
  <c r="D252" i="60"/>
  <c r="D248" i="60"/>
  <c r="D247" i="60"/>
  <c r="D246" i="60"/>
  <c r="D245" i="60"/>
  <c r="D244" i="60"/>
  <c r="D243" i="60"/>
  <c r="D242" i="60"/>
  <c r="D251" i="60"/>
  <c r="D237" i="60"/>
  <c r="D236" i="60"/>
  <c r="D235" i="60"/>
  <c r="D234" i="60"/>
  <c r="D233" i="60"/>
  <c r="D232" i="60"/>
  <c r="D231" i="60"/>
  <c r="D43" i="60"/>
  <c r="H258" i="60"/>
  <c r="N254" i="60"/>
  <c r="D241" i="60"/>
  <c r="D230" i="60"/>
  <c r="C162" i="60"/>
  <c r="E258" i="60"/>
  <c r="E257" i="60"/>
  <c r="E256" i="60"/>
  <c r="E255" i="60"/>
  <c r="E254" i="60"/>
  <c r="E253" i="60"/>
  <c r="N252" i="60"/>
  <c r="M252" i="60"/>
  <c r="L252" i="60"/>
  <c r="K252" i="60"/>
  <c r="J252" i="60"/>
  <c r="I252" i="60"/>
  <c r="H252" i="60"/>
  <c r="G252" i="60"/>
  <c r="F252" i="60"/>
  <c r="E252" i="60"/>
  <c r="C102" i="60"/>
  <c r="D91" i="60"/>
  <c r="D83" i="60"/>
  <c r="D75" i="60"/>
  <c r="D67" i="60"/>
  <c r="D59" i="60"/>
  <c r="D51" i="60"/>
  <c r="D49" i="60"/>
  <c r="C42" i="60"/>
  <c r="E232" i="60"/>
  <c r="E243" i="60"/>
  <c r="E234" i="60"/>
  <c r="E245" i="60"/>
  <c r="E231" i="60"/>
  <c r="E242" i="60"/>
  <c r="E233" i="60"/>
  <c r="E244" i="60"/>
  <c r="E236" i="60"/>
  <c r="E247" i="60"/>
  <c r="E237" i="60"/>
  <c r="E248" i="60"/>
  <c r="E235" i="60"/>
  <c r="E246" i="60"/>
  <c r="H237" i="60"/>
  <c r="H248" i="60"/>
  <c r="L233" i="60"/>
  <c r="L244" i="60"/>
  <c r="J257" i="60"/>
  <c r="J253" i="60"/>
  <c r="J256" i="60"/>
  <c r="N253" i="60"/>
  <c r="H254" i="60"/>
  <c r="L254" i="60"/>
  <c r="F254" i="60"/>
  <c r="J254" i="60"/>
  <c r="G255" i="60"/>
  <c r="K255" i="60"/>
  <c r="I255" i="60"/>
  <c r="M255" i="60"/>
  <c r="F256" i="60"/>
  <c r="N256" i="60"/>
  <c r="I257" i="60"/>
  <c r="M257" i="60"/>
  <c r="N257" i="60"/>
  <c r="H257" i="60"/>
  <c r="L257" i="60"/>
  <c r="L258" i="60"/>
  <c r="F258" i="60"/>
  <c r="J258" i="60"/>
  <c r="N258" i="60"/>
  <c r="F253" i="60"/>
  <c r="F257" i="60"/>
  <c r="G256" i="60"/>
  <c r="K256" i="60"/>
  <c r="I256" i="60"/>
  <c r="M256" i="60"/>
  <c r="I258" i="60"/>
  <c r="M258" i="60"/>
  <c r="G253" i="60"/>
  <c r="H253" i="60"/>
  <c r="K253" i="60"/>
  <c r="I253" i="60"/>
  <c r="M253" i="60"/>
  <c r="H256" i="60"/>
  <c r="L256" i="60"/>
  <c r="G257" i="60"/>
  <c r="K257" i="60"/>
  <c r="L253" i="60"/>
  <c r="G254" i="60"/>
  <c r="K254" i="60"/>
  <c r="I254" i="60"/>
  <c r="M254" i="60"/>
  <c r="F255" i="60"/>
  <c r="J255" i="60"/>
  <c r="N255" i="60"/>
  <c r="H255" i="60"/>
  <c r="L255" i="60"/>
  <c r="G258" i="60"/>
  <c r="K258" i="60"/>
  <c r="K233" i="60"/>
  <c r="K244" i="60"/>
  <c r="F231" i="60"/>
  <c r="F242" i="60"/>
  <c r="K236" i="60"/>
  <c r="K247" i="60"/>
  <c r="I234" i="60"/>
  <c r="I245" i="60"/>
  <c r="H233" i="60"/>
  <c r="H244" i="60"/>
  <c r="H236" i="60"/>
  <c r="H247" i="60"/>
  <c r="J235" i="60"/>
  <c r="J246" i="60"/>
  <c r="G232" i="60"/>
  <c r="G243" i="60"/>
  <c r="H231" i="60"/>
  <c r="H242" i="60"/>
  <c r="G233" i="60"/>
  <c r="G244" i="60"/>
  <c r="G236" i="60"/>
  <c r="G247" i="60"/>
  <c r="F233" i="60"/>
  <c r="F244" i="60"/>
  <c r="K235" i="60"/>
  <c r="K246" i="60"/>
  <c r="N234" i="60"/>
  <c r="N245" i="60"/>
  <c r="K232" i="60"/>
  <c r="K243" i="60"/>
  <c r="F237" i="60"/>
  <c r="F248" i="60"/>
  <c r="M235" i="60"/>
  <c r="M246" i="60"/>
  <c r="H234" i="60"/>
  <c r="H245" i="60"/>
  <c r="J231" i="60"/>
  <c r="J242" i="60"/>
  <c r="K237" i="60"/>
  <c r="K248" i="60"/>
  <c r="I237" i="60"/>
  <c r="I248" i="60"/>
  <c r="N232" i="60"/>
  <c r="N243" i="60"/>
  <c r="M233" i="60"/>
  <c r="M244" i="60"/>
  <c r="G235" i="60"/>
  <c r="G246" i="60"/>
  <c r="J234" i="60"/>
  <c r="J245" i="60"/>
  <c r="N233" i="60"/>
  <c r="N244" i="60"/>
  <c r="L232" i="60"/>
  <c r="L243" i="60"/>
  <c r="L237" i="60"/>
  <c r="L248" i="60"/>
  <c r="I236" i="60"/>
  <c r="I247" i="60"/>
  <c r="I235" i="60"/>
  <c r="I246" i="60"/>
  <c r="L234" i="60"/>
  <c r="L245" i="60"/>
  <c r="M231" i="60"/>
  <c r="M242" i="60"/>
  <c r="L231" i="60"/>
  <c r="L242" i="60"/>
  <c r="F232" i="60"/>
  <c r="F243" i="60"/>
  <c r="M237" i="60"/>
  <c r="M248" i="60"/>
  <c r="F236" i="60"/>
  <c r="F247" i="60"/>
  <c r="K234" i="60"/>
  <c r="K245" i="60"/>
  <c r="I232" i="60"/>
  <c r="I243" i="60"/>
  <c r="J237" i="60"/>
  <c r="J248" i="60"/>
  <c r="H235" i="60"/>
  <c r="H246" i="60"/>
  <c r="N231" i="60"/>
  <c r="N242" i="60"/>
  <c r="G234" i="60"/>
  <c r="G245" i="60"/>
  <c r="M236" i="60"/>
  <c r="M247" i="60"/>
  <c r="F235" i="60"/>
  <c r="F246" i="60"/>
  <c r="K231" i="60"/>
  <c r="K242" i="60"/>
  <c r="G231" i="60"/>
  <c r="G242" i="60"/>
  <c r="I231" i="60"/>
  <c r="I242" i="60"/>
  <c r="G237" i="60"/>
  <c r="G248" i="60"/>
  <c r="I233" i="60"/>
  <c r="I244" i="60"/>
  <c r="J232" i="60"/>
  <c r="J243" i="60"/>
  <c r="M232" i="60"/>
  <c r="M243" i="60"/>
  <c r="N236" i="60"/>
  <c r="N247" i="60"/>
  <c r="M234" i="60"/>
  <c r="M245" i="60"/>
  <c r="F234" i="60"/>
  <c r="F245" i="60"/>
  <c r="J233" i="60"/>
  <c r="J244" i="60"/>
  <c r="H232" i="60"/>
  <c r="H243" i="60"/>
  <c r="N237" i="60"/>
  <c r="N248" i="60"/>
  <c r="L236" i="60"/>
  <c r="L247" i="60"/>
  <c r="L235" i="60"/>
  <c r="L246" i="60"/>
  <c r="N235" i="60"/>
  <c r="N246" i="60"/>
  <c r="J236" i="60"/>
  <c r="J247" i="60"/>
  <c r="C6" i="60"/>
  <c r="C240" i="29"/>
  <c r="C104" i="29"/>
  <c r="C26" i="29"/>
  <c r="D72" i="47"/>
  <c r="D68" i="47"/>
  <c r="D64" i="47"/>
  <c r="C44" i="47"/>
  <c r="C32" i="47"/>
  <c r="C20" i="47"/>
  <c r="N101" i="29"/>
  <c r="G101" i="29"/>
  <c r="H101" i="29"/>
  <c r="L101" i="29"/>
  <c r="E101" i="29"/>
  <c r="K101" i="29"/>
  <c r="F101" i="29"/>
  <c r="J101" i="29"/>
  <c r="M101" i="29"/>
  <c r="I101" i="29"/>
  <c r="C88" i="20"/>
  <c r="C57" i="20"/>
  <c r="C26" i="20"/>
  <c r="C754" i="54"/>
  <c r="C708" i="54"/>
  <c r="C662" i="54"/>
  <c r="C615" i="54"/>
  <c r="C569" i="54"/>
  <c r="C523" i="54"/>
  <c r="C185" i="54"/>
  <c r="C229" i="54"/>
  <c r="C273" i="54"/>
  <c r="C470" i="54"/>
  <c r="C424" i="54"/>
  <c r="C378" i="54"/>
  <c r="C1" i="2"/>
  <c r="D827" i="58"/>
  <c r="D664" i="54"/>
  <c r="D525" i="54"/>
  <c r="D380" i="54"/>
  <c r="C17" i="1"/>
  <c r="C6" i="47"/>
  <c r="C6" i="29"/>
  <c r="D7" i="2"/>
  <c r="G11" i="66"/>
  <c r="G10" i="66"/>
  <c r="F10" i="66"/>
  <c r="F11" i="66"/>
  <c r="E10" i="66"/>
  <c r="E11" i="66"/>
  <c r="E6" i="63"/>
  <c r="G6" i="63"/>
  <c r="F6" i="63"/>
  <c r="F9" i="60"/>
  <c r="F10" i="60"/>
  <c r="E9" i="60"/>
  <c r="E10" i="60"/>
  <c r="G9" i="60"/>
  <c r="G10" i="60"/>
  <c r="G8" i="47"/>
  <c r="G9" i="47"/>
  <c r="F8" i="47"/>
  <c r="F9" i="47"/>
  <c r="E8" i="47"/>
  <c r="E9" i="47"/>
  <c r="G9" i="29"/>
  <c r="G10" i="29"/>
  <c r="F9" i="29"/>
  <c r="F10" i="29"/>
  <c r="E9" i="29"/>
  <c r="E10" i="29"/>
  <c r="F9" i="2"/>
  <c r="F8" i="2"/>
  <c r="E9" i="2"/>
  <c r="E8" i="2"/>
  <c r="G8" i="2"/>
  <c r="G9" i="2"/>
  <c r="E10" i="20"/>
  <c r="E9" i="20"/>
  <c r="G9" i="20"/>
  <c r="G10" i="20"/>
  <c r="F10" i="20"/>
  <c r="F9" i="20"/>
  <c r="G7" i="19"/>
  <c r="G8" i="19"/>
  <c r="E8" i="19"/>
  <c r="E7" i="19"/>
  <c r="F7" i="19"/>
  <c r="F8" i="19"/>
  <c r="H11" i="66"/>
  <c r="H10" i="66"/>
  <c r="H6" i="63"/>
  <c r="H10" i="60"/>
  <c r="H9" i="60"/>
  <c r="H9" i="47"/>
  <c r="H8" i="47"/>
  <c r="H10" i="29"/>
  <c r="H9" i="29"/>
  <c r="H8" i="2"/>
  <c r="H9" i="2"/>
  <c r="H9" i="20"/>
  <c r="H10" i="20"/>
  <c r="H8" i="19"/>
  <c r="H7" i="19"/>
  <c r="I11" i="66"/>
  <c r="I10" i="66"/>
  <c r="I6" i="63"/>
  <c r="I10" i="60"/>
  <c r="I9" i="60"/>
  <c r="I9" i="47"/>
  <c r="I8" i="47"/>
  <c r="I9" i="29"/>
  <c r="I10" i="29"/>
  <c r="I9" i="2"/>
  <c r="I8" i="2"/>
  <c r="I10" i="20"/>
  <c r="I9" i="20"/>
  <c r="I8" i="19"/>
  <c r="I7" i="19"/>
  <c r="J10" i="66"/>
  <c r="J11" i="66"/>
  <c r="J6" i="63"/>
  <c r="J9" i="60"/>
  <c r="J10" i="60"/>
  <c r="J8" i="47"/>
  <c r="J9" i="47"/>
  <c r="J9" i="29"/>
  <c r="J10" i="29"/>
  <c r="J8" i="2"/>
  <c r="J9" i="2"/>
  <c r="J10" i="20"/>
  <c r="J9" i="20"/>
  <c r="J8" i="19"/>
  <c r="J7" i="19"/>
  <c r="L10" i="66"/>
  <c r="L11" i="66"/>
  <c r="K11" i="66"/>
  <c r="K10" i="66"/>
  <c r="K6" i="63"/>
  <c r="L6" i="63"/>
  <c r="K9" i="60"/>
  <c r="K10" i="60"/>
  <c r="L10" i="60"/>
  <c r="L9" i="60"/>
  <c r="K8" i="47"/>
  <c r="K9" i="47"/>
  <c r="K9" i="29"/>
  <c r="K10" i="29"/>
  <c r="K9" i="2"/>
  <c r="K8" i="2"/>
  <c r="K9" i="20"/>
  <c r="K10" i="20"/>
  <c r="K8" i="19"/>
  <c r="K7" i="19"/>
  <c r="N10" i="66"/>
  <c r="N11" i="66"/>
  <c r="M10" i="66"/>
  <c r="M11" i="66"/>
  <c r="M6" i="63"/>
  <c r="N6" i="63"/>
  <c r="M10" i="60"/>
  <c r="M9" i="60"/>
  <c r="N9" i="60"/>
  <c r="N10" i="60"/>
  <c r="L9" i="47"/>
  <c r="L8" i="47"/>
  <c r="L10" i="29"/>
  <c r="L9" i="29"/>
  <c r="L8" i="2"/>
  <c r="L9" i="2"/>
  <c r="L9" i="20"/>
  <c r="L10" i="20"/>
  <c r="L8" i="19"/>
  <c r="L7" i="19"/>
  <c r="M8" i="47"/>
  <c r="M9" i="47"/>
  <c r="N8" i="47"/>
  <c r="N9" i="47"/>
  <c r="N9" i="29"/>
  <c r="N10" i="29"/>
  <c r="M9" i="29"/>
  <c r="M10" i="29"/>
  <c r="M9" i="2"/>
  <c r="M8" i="2"/>
  <c r="N9" i="2"/>
  <c r="N8" i="2"/>
  <c r="N9" i="20"/>
  <c r="N10" i="20"/>
  <c r="M10" i="20"/>
  <c r="M9" i="20"/>
  <c r="M8" i="19"/>
  <c r="M7" i="19"/>
  <c r="N8" i="19"/>
  <c r="N7" i="19"/>
</calcChain>
</file>

<file path=xl/comments1.xml><?xml version="1.0" encoding="utf-8"?>
<comments xmlns="http://schemas.openxmlformats.org/spreadsheetml/2006/main">
  <authors>
    <author>Author</author>
  </authors>
  <commentList>
    <comment ref="C10" authorId="0" shapeId="0">
      <text>
        <r>
          <rPr>
            <b/>
            <sz val="9"/>
            <color indexed="81"/>
            <rFont val="Tahoma"/>
            <family val="2"/>
          </rPr>
          <t xml:space="preserve">Author:
</t>
        </r>
      </text>
    </comment>
    <comment ref="C34" authorId="0" shapeId="0">
      <text>
        <r>
          <rPr>
            <b/>
            <sz val="9"/>
            <color indexed="81"/>
            <rFont val="Tahoma"/>
            <family val="2"/>
          </rPr>
          <t>Author:</t>
        </r>
        <r>
          <rPr>
            <sz val="9"/>
            <color indexed="81"/>
            <rFont val="Tahoma"/>
            <family val="2"/>
          </rPr>
          <t xml:space="preserve">
Enter required currency unit. This will then auto-paste at the top of each sheet in the workbook</t>
        </r>
      </text>
    </comment>
    <comment ref="C36" authorId="0" shapeId="0">
      <text>
        <r>
          <rPr>
            <b/>
            <sz val="9"/>
            <color indexed="81"/>
            <rFont val="Tahoma"/>
            <family val="2"/>
          </rPr>
          <t>Author:</t>
        </r>
        <r>
          <rPr>
            <sz val="9"/>
            <color indexed="81"/>
            <rFont val="Tahoma"/>
            <family val="2"/>
          </rPr>
          <t xml:space="preserve">
enter either 1, or 1,000. An error message will show if you try to enter other units</t>
        </r>
      </text>
    </comment>
    <comment ref="C38" authorId="0" shapeId="0">
      <text>
        <r>
          <rPr>
            <b/>
            <sz val="9"/>
            <color indexed="81"/>
            <rFont val="Tahoma"/>
            <family val="2"/>
          </rPr>
          <t>Author:</t>
        </r>
        <r>
          <rPr>
            <sz val="9"/>
            <color indexed="81"/>
            <rFont val="Tahoma"/>
            <family val="2"/>
          </rPr>
          <t xml:space="preserve">
Enter the forecast inflation rate you will use for the analysis period.</t>
        </r>
      </text>
    </comment>
    <comment ref="C47" authorId="0" shapeId="0">
      <text>
        <r>
          <rPr>
            <b/>
            <sz val="9"/>
            <color indexed="81"/>
            <rFont val="Tahoma"/>
            <family val="2"/>
          </rPr>
          <t>Author:</t>
        </r>
        <r>
          <rPr>
            <sz val="9"/>
            <color indexed="81"/>
            <rFont val="Tahoma"/>
            <family val="2"/>
          </rPr>
          <t xml:space="preserve">
This will determine the start of the analysis period. Change this start date to suit your own requirements.</t>
        </r>
      </text>
    </comment>
  </commentList>
</comments>
</file>

<file path=xl/comments2.xml><?xml version="1.0" encoding="utf-8"?>
<comments xmlns="http://schemas.openxmlformats.org/spreadsheetml/2006/main">
  <authors>
    <author>Author</author>
  </authors>
  <commentList>
    <comment ref="D36" authorId="0" shapeId="0">
      <text>
        <r>
          <rPr>
            <sz val="9"/>
            <color indexed="81"/>
            <rFont val="Tahoma"/>
            <family val="2"/>
          </rPr>
          <t xml:space="preserve">Sum of paper records generated over the maintenance cycle
</t>
        </r>
      </text>
    </comment>
    <comment ref="D3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2" authorId="0" shapeId="0">
      <text>
        <r>
          <rPr>
            <sz val="9"/>
            <color indexed="81"/>
            <rFont val="Tahoma"/>
            <family val="2"/>
          </rPr>
          <t xml:space="preserve">Sum of paper records generated over the maintenance cycle
</t>
        </r>
      </text>
    </comment>
    <comment ref="D10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2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3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3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4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4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4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5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5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79" authorId="0" shapeId="0">
      <text>
        <r>
          <rPr>
            <sz val="9"/>
            <color indexed="81"/>
            <rFont val="Tahoma"/>
            <family val="2"/>
          </rPr>
          <t xml:space="preserve">Sum of paper records generated over the maintenance cycle
</t>
        </r>
      </text>
    </comment>
    <comment ref="D18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8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9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0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0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0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1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1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2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2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46" authorId="0" shapeId="0">
      <text>
        <r>
          <rPr>
            <sz val="9"/>
            <color indexed="81"/>
            <rFont val="Tahoma"/>
            <family val="2"/>
          </rPr>
          <t xml:space="preserve">Sum of paper records generated over the maintenance cycle
</t>
        </r>
      </text>
    </comment>
    <comment ref="D24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5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6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6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7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7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7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8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8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29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15" authorId="0" shapeId="0">
      <text>
        <r>
          <rPr>
            <sz val="9"/>
            <color indexed="81"/>
            <rFont val="Tahoma"/>
            <family val="2"/>
          </rPr>
          <t xml:space="preserve">Sum of paper records generated over the maintenance cycle
</t>
        </r>
      </text>
    </comment>
    <comment ref="D31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2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3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3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4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4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4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5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5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6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83" authorId="0" shapeId="0">
      <text>
        <r>
          <rPr>
            <sz val="9"/>
            <color indexed="81"/>
            <rFont val="Tahoma"/>
            <family val="2"/>
          </rPr>
          <t xml:space="preserve">Sum of paper records generated over the maintenance cycle
</t>
        </r>
      </text>
    </comment>
    <comment ref="D38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38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0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0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0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1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1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2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2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2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51" authorId="0" shapeId="0">
      <text>
        <r>
          <rPr>
            <sz val="9"/>
            <color indexed="81"/>
            <rFont val="Tahoma"/>
            <family val="2"/>
          </rPr>
          <t xml:space="preserve">Sum of paper records generated over the maintenance cycle
</t>
        </r>
      </text>
    </comment>
    <comment ref="D45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5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6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7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7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8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8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8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9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49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19" authorId="0" shapeId="0">
      <text>
        <r>
          <rPr>
            <sz val="9"/>
            <color indexed="81"/>
            <rFont val="Tahoma"/>
            <family val="2"/>
          </rPr>
          <t xml:space="preserve">Sum of paper records generated over the maintenance cycle
</t>
        </r>
      </text>
    </comment>
    <comment ref="D52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2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3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4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4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48"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52"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56"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60"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64"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86" authorId="0" shapeId="0">
      <text>
        <r>
          <rPr>
            <sz val="9"/>
            <color indexed="81"/>
            <rFont val="Tahoma"/>
            <family val="2"/>
          </rPr>
          <t xml:space="preserve">Sum of paper records generated over the maintenance cycle
</t>
        </r>
      </text>
    </comment>
    <comment ref="D58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59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0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0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1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1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1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2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2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3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54" authorId="0" shapeId="0">
      <text>
        <r>
          <rPr>
            <sz val="9"/>
            <color indexed="81"/>
            <rFont val="Tahoma"/>
            <family val="2"/>
          </rPr>
          <t xml:space="preserve">Sum of paper records generated over the maintenance cycle
</t>
        </r>
      </text>
    </comment>
    <comment ref="D65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5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7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7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7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8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8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9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9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69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22" authorId="0" shapeId="0">
      <text>
        <r>
          <rPr>
            <sz val="9"/>
            <color indexed="81"/>
            <rFont val="Tahoma"/>
            <family val="2"/>
          </rPr>
          <t xml:space="preserve">Sum of paper records generated over the maintenance cycle
</t>
        </r>
      </text>
    </comment>
    <comment ref="D72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2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3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4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4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5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5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5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6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6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90" authorId="0" shapeId="0">
      <text>
        <r>
          <rPr>
            <sz val="9"/>
            <color indexed="81"/>
            <rFont val="Tahoma"/>
            <family val="2"/>
          </rPr>
          <t xml:space="preserve">Sum of paper records generated over the maintenance cycle
</t>
        </r>
      </text>
    </comment>
    <comment ref="D79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79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0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1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1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1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2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2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3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3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58" authorId="0" shapeId="0">
      <text>
        <r>
          <rPr>
            <sz val="9"/>
            <color indexed="81"/>
            <rFont val="Tahoma"/>
            <family val="2"/>
          </rPr>
          <t xml:space="preserve">Sum of paper records generated over the maintenance cycle
</t>
        </r>
      </text>
    </comment>
    <comment ref="D85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6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7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7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8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8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9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9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89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0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26" authorId="0" shapeId="0">
      <text>
        <r>
          <rPr>
            <sz val="9"/>
            <color indexed="81"/>
            <rFont val="Tahoma"/>
            <family val="2"/>
          </rPr>
          <t xml:space="preserve">Sum of paper records generated over the maintenance cycle
</t>
        </r>
      </text>
    </comment>
    <comment ref="D92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3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4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4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5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5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5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6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6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7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94" authorId="0" shapeId="0">
      <text>
        <r>
          <rPr>
            <sz val="9"/>
            <color indexed="81"/>
            <rFont val="Tahoma"/>
            <family val="2"/>
          </rPr>
          <t xml:space="preserve">Sum of paper records generated over the maintenance cycle
</t>
        </r>
      </text>
    </comment>
    <comment ref="D99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99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1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1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1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23"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27"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31"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35"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 ref="D1039" authorId="0" shapeId="0">
      <text>
        <r>
          <rPr>
            <sz val="9"/>
            <color indexed="81"/>
            <rFont val="Tahoma"/>
            <family val="2"/>
          </rPr>
          <t xml:space="preserve">The Total over the Cycle is divided by the number of years in the maintenance cycle to derive the records per aircraft per annum. This is then multiplied by the fleet size to derive the records generated for the entire fleet
</t>
        </r>
      </text>
    </comment>
  </commentList>
</comments>
</file>

<file path=xl/comments3.xml><?xml version="1.0" encoding="utf-8"?>
<comments xmlns="http://schemas.openxmlformats.org/spreadsheetml/2006/main">
  <authors>
    <author>Author</author>
  </authors>
  <commentList>
    <comment ref="D75" authorId="0" shapeId="0">
      <text>
        <r>
          <rPr>
            <b/>
            <sz val="9"/>
            <color indexed="81"/>
            <rFont val="Tahoma"/>
            <family val="2"/>
          </rPr>
          <t>Author:</t>
        </r>
        <r>
          <rPr>
            <sz val="9"/>
            <color indexed="81"/>
            <rFont val="Tahoma"/>
            <family val="2"/>
          </rPr>
          <t xml:space="preserve">
Indexed for inflation from Year 2 onwards</t>
        </r>
      </text>
    </comment>
  </commentList>
</comments>
</file>

<file path=xl/sharedStrings.xml><?xml version="1.0" encoding="utf-8"?>
<sst xmlns="http://schemas.openxmlformats.org/spreadsheetml/2006/main" count="5645" uniqueCount="4387">
  <si>
    <t>Total</t>
  </si>
  <si>
    <t xml:space="preserve"> StartDate</t>
  </si>
  <si>
    <t>CompanyOrg</t>
  </si>
  <si>
    <t>CaseSubject</t>
  </si>
  <si>
    <t xml:space="preserve"> Scenario1</t>
  </si>
  <si>
    <t xml:space="preserve"> Scenario2</t>
  </si>
  <si>
    <t xml:space="preserve"> CurrSymbol</t>
  </si>
  <si>
    <t xml:space="preserve"> CurrUnits</t>
  </si>
  <si>
    <t xml:space="preserve"> Blue: data entry (unlocked)</t>
  </si>
  <si>
    <t xml:space="preserve"> Red corner: comment.</t>
  </si>
  <si>
    <t>Yr 3 ending</t>
  </si>
  <si>
    <t>Yr 2 ending</t>
  </si>
  <si>
    <t>Yr 1 ending</t>
  </si>
  <si>
    <t xml:space="preserve"> Inflation</t>
  </si>
  <si>
    <t xml:space="preserve"> Bold green: Assigned name for adjacent cell or range</t>
  </si>
  <si>
    <t xml:space="preserve"> Green: Derived results appear on cash flow statements (locked)</t>
  </si>
  <si>
    <t>Commercial in Confidence</t>
  </si>
  <si>
    <t>Setup</t>
  </si>
  <si>
    <t>Line Maintenance</t>
  </si>
  <si>
    <t>Heavy Maintenance</t>
  </si>
  <si>
    <t>n/a</t>
  </si>
  <si>
    <t>US$</t>
  </si>
  <si>
    <t>Analysis Period</t>
  </si>
  <si>
    <t>Line Maintenance Locations</t>
  </si>
  <si>
    <t>Heavy Maintenance Locations</t>
  </si>
  <si>
    <t>Line Maintenance MFDs per location</t>
  </si>
  <si>
    <t>Transit Station MFDs per location</t>
  </si>
  <si>
    <t>Heavy Maintenance MFDs per location</t>
  </si>
  <si>
    <t>Total Transit MFDs</t>
  </si>
  <si>
    <t>Total Line Maintenance MFDs</t>
  </si>
  <si>
    <t>Total Heavy Maintenance MFDs</t>
  </si>
  <si>
    <t xml:space="preserve">MFD Value </t>
  </si>
  <si>
    <t>Records per Archive Box</t>
  </si>
  <si>
    <t xml:space="preserve"> Scenario3</t>
  </si>
  <si>
    <t>Supply Chain &amp; Logistics</t>
  </si>
  <si>
    <t>Salary Inputs</t>
  </si>
  <si>
    <t>Maintenance &amp; Engineering Location Inputs</t>
  </si>
  <si>
    <t>A320</t>
  </si>
  <si>
    <t>B717</t>
  </si>
  <si>
    <t>Yr 4 ending</t>
  </si>
  <si>
    <t>Yr 5 ending</t>
  </si>
  <si>
    <t>Yr 6 ending</t>
  </si>
  <si>
    <t>Yr 7 ending</t>
  </si>
  <si>
    <t>Yr 8 ending</t>
  </si>
  <si>
    <t>Yr 9 ending</t>
  </si>
  <si>
    <t>Yr 10 ending</t>
  </si>
  <si>
    <t>Key</t>
  </si>
  <si>
    <t>OfficeLeaseRate</t>
  </si>
  <si>
    <t>Transit Station Print Room per location</t>
  </si>
  <si>
    <t>Total Transit Print Room</t>
  </si>
  <si>
    <t>Line Maintenance Print Room per location</t>
  </si>
  <si>
    <t>Heavy Maintenance Print Room per location</t>
  </si>
  <si>
    <t>OfficeLeaseUnit</t>
  </si>
  <si>
    <t>m2</t>
  </si>
  <si>
    <t>Copy Paper Purchase Costs</t>
  </si>
  <si>
    <t>Total SCL MFDs</t>
  </si>
  <si>
    <t>Supply Chain &amp; Logistics Locations</t>
  </si>
  <si>
    <t>Office Space Leasing Cost</t>
  </si>
  <si>
    <t>Copy Paper - Purchase Cost</t>
  </si>
  <si>
    <t>Multi-Function Device (MFD) Requirements &amp; Cost</t>
  </si>
  <si>
    <t>LocTransit</t>
  </si>
  <si>
    <t>LocSCL</t>
  </si>
  <si>
    <t>Aircraft Type</t>
  </si>
  <si>
    <t>Total SCL Print Room</t>
  </si>
  <si>
    <t>P</t>
  </si>
  <si>
    <t>D</t>
  </si>
  <si>
    <t xml:space="preserve">Column A - Information </t>
  </si>
  <si>
    <t>Range Name / Total Cell Name</t>
  </si>
  <si>
    <t>Number trained</t>
  </si>
  <si>
    <t>Derived from Setup Tab input</t>
  </si>
  <si>
    <t>H</t>
  </si>
  <si>
    <t xml:space="preserve">Number trained </t>
  </si>
  <si>
    <t>Forecast Lease Returns</t>
  </si>
  <si>
    <t>Print Cost per Record</t>
  </si>
  <si>
    <t>Forecast average annual inflation rate for analysis period</t>
  </si>
  <si>
    <t>IATA Disclaimer</t>
  </si>
  <si>
    <t>Grey Text: Paper-based Systems Inputs</t>
  </si>
  <si>
    <t>Outsourced Paper Records Processing Cost</t>
  </si>
  <si>
    <t>Company/Organization name</t>
  </si>
  <si>
    <t>Business Case  Subject</t>
  </si>
  <si>
    <t>Scenario 1 Name</t>
  </si>
  <si>
    <t>Scenario 2 Name</t>
  </si>
  <si>
    <t>Scenario 3 Name</t>
  </si>
  <si>
    <t>Currency symbol (e.g., €, $, ¥,  £)</t>
  </si>
  <si>
    <t>Currency units in 1000s or 1s</t>
  </si>
  <si>
    <t>Enter either 1000 or 1</t>
  </si>
  <si>
    <t>Analysis period start date</t>
  </si>
  <si>
    <t>Office Space Leasing Rate</t>
  </si>
  <si>
    <t>Office Space Leasing Unit</t>
  </si>
  <si>
    <t xml:space="preserve"> Select from drop-down</t>
  </si>
  <si>
    <t>Version Number</t>
  </si>
  <si>
    <t>VersionNo</t>
  </si>
  <si>
    <t>RevisionDate</t>
  </si>
  <si>
    <t>Revision Date</t>
  </si>
  <si>
    <t>Fleet Size Total</t>
  </si>
  <si>
    <t>FleetSize_A</t>
  </si>
  <si>
    <t>FleetSize_B</t>
  </si>
  <si>
    <t>FleetSize_C</t>
  </si>
  <si>
    <t>FleetSize_D</t>
  </si>
  <si>
    <t>FleetSize_E</t>
  </si>
  <si>
    <t>FleetSize_F</t>
  </si>
  <si>
    <t>FleetSize_G</t>
  </si>
  <si>
    <t>FleetSize_Total</t>
  </si>
  <si>
    <t>FleetCycleHvy_A</t>
  </si>
  <si>
    <t>FleetCycleHvy_B</t>
  </si>
  <si>
    <t>FleetCycleHvy_C</t>
  </si>
  <si>
    <t>FleetCycleHvy_D</t>
  </si>
  <si>
    <t>FleetCycleHvy_E</t>
  </si>
  <si>
    <t>FleetCycleHvy_F</t>
  </si>
  <si>
    <t>FleetCycleHvy_G</t>
  </si>
  <si>
    <t>TOTAL pSystems Paper Records Generated pa</t>
  </si>
  <si>
    <t>TOTAL hSystems Paper Records Generated pa</t>
  </si>
  <si>
    <t>TOTAL eSystems Paper Records Generated pa</t>
  </si>
  <si>
    <t>per Aircraft Total over Cycle</t>
  </si>
  <si>
    <t>Total FLEET Records Generated pa</t>
  </si>
  <si>
    <t>Black &amp; White Average Cost per Copy</t>
  </si>
  <si>
    <t>CostperCopy</t>
  </si>
  <si>
    <t>pSystems Total Paper Records</t>
  </si>
  <si>
    <t>hSystems Total Paper Records</t>
  </si>
  <si>
    <t>eSystems Total Paper Records</t>
  </si>
  <si>
    <t>pSystems Processing Cost</t>
  </si>
  <si>
    <t>pSystemsCost_PaperProcess</t>
  </si>
  <si>
    <t>hSystems Processing Cost</t>
  </si>
  <si>
    <t>hSystemsCost_PaperProcess</t>
  </si>
  <si>
    <t>eSystems Processing Cost</t>
  </si>
  <si>
    <t>eSystemsCost_PaperProcess</t>
  </si>
  <si>
    <t xml:space="preserve">pSystems - Total MFDs Required </t>
  </si>
  <si>
    <t xml:space="preserve">hSystems - Total MFDs Required </t>
  </si>
  <si>
    <t xml:space="preserve">eSystems - Total MFDs Required </t>
  </si>
  <si>
    <t>TOTAL MFD Costs</t>
  </si>
  <si>
    <t xml:space="preserve">pSystems Total Office Space - Print Room </t>
  </si>
  <si>
    <t>hSystems Total Office Space - Filing Cabinets</t>
  </si>
  <si>
    <t>pSystems MFD Leasing Costs pa</t>
  </si>
  <si>
    <t>hSystems MFD Leasing Costs pa</t>
  </si>
  <si>
    <t>eSystems MFD Leasing Costs pa</t>
  </si>
  <si>
    <t>pSystems Printing Costs pa</t>
  </si>
  <si>
    <t>hSystems Printing Costs pa</t>
  </si>
  <si>
    <t>eSystems Printing Costs pa</t>
  </si>
  <si>
    <t>pSystems TOTAL MFD Costs pa</t>
  </si>
  <si>
    <t>hSystems TOTAL MFD Costs pa</t>
  </si>
  <si>
    <t>eSystems TOTAL MFD Costs pa</t>
  </si>
  <si>
    <t>eSystems Total Office Space - Filing Cabinets</t>
  </si>
  <si>
    <t>pSystems Total Office Space - Compactus Units</t>
  </si>
  <si>
    <t>hSystems Total Office Space - Compactus Units</t>
  </si>
  <si>
    <t>eSystems Total Office Space - Compactus Units</t>
  </si>
  <si>
    <t>eSystems Total Office Space</t>
  </si>
  <si>
    <t>hSystems Total Office Space</t>
  </si>
  <si>
    <t>pSystems Total Office Space</t>
  </si>
  <si>
    <t>Total Office Leasing Costs pa</t>
  </si>
  <si>
    <t>pSystems Total Office Space Cost</t>
  </si>
  <si>
    <t>hSystems Total Office Space Cost</t>
  </si>
  <si>
    <t>eSystems Total Office Space Cost</t>
  </si>
  <si>
    <t>Annual Storage Cost per box</t>
  </si>
  <si>
    <t>pSystems Boxes stored pa</t>
  </si>
  <si>
    <t>hSystems Boxes Stored pa</t>
  </si>
  <si>
    <t>eSystems Boxes Stored pa</t>
  </si>
  <si>
    <t>eSystems Storage Cost pa</t>
  </si>
  <si>
    <t>Archive Retrieval Costs pa</t>
  </si>
  <si>
    <t>pSystems Archive Retrieval  Events pa</t>
  </si>
  <si>
    <t>hSystems Archive Retrieval  Events pa</t>
  </si>
  <si>
    <t>eSystems Archive Retrieval  Events pa</t>
  </si>
  <si>
    <t>pSystems Storage Cost pa</t>
  </si>
  <si>
    <t>hSystems Storage Cost pa</t>
  </si>
  <si>
    <t>pSystems Archive Retrieval  Cost pa</t>
  </si>
  <si>
    <t>hSystems Archive Retrieval  Cost pa</t>
  </si>
  <si>
    <t>eSystems Archive Retrieval  Cost pa</t>
  </si>
  <si>
    <t>Costs Total - Archive Storage &amp; Retrieval</t>
  </si>
  <si>
    <t>pSystems Paper Cost</t>
  </si>
  <si>
    <t>hSystems Paper Cost</t>
  </si>
  <si>
    <t>eSystems Paper Cost</t>
  </si>
  <si>
    <t>MFD Total Costs</t>
  </si>
  <si>
    <t>pSystems_CFS_PaperProcess</t>
  </si>
  <si>
    <t>pSystems_CFS_RecordsPaperPurchase</t>
  </si>
  <si>
    <t>pSystems_CFS_RecordsMFDLease</t>
  </si>
  <si>
    <t>pSystems_CFS_RecordsOfficeLease</t>
  </si>
  <si>
    <t>pSystems_CFS_RecordsTotal</t>
  </si>
  <si>
    <t>hSystems_CFS_PaperProcess</t>
  </si>
  <si>
    <t>hSystems_CFS_RecordsPaperPurchase</t>
  </si>
  <si>
    <t>hSystems_CFS_RecordsMFDLease</t>
  </si>
  <si>
    <t>hSystems_CFS_RecordsOfficeLease</t>
  </si>
  <si>
    <t>hSystems_CFS_RecordsTotal</t>
  </si>
  <si>
    <t>eSystems_CFS_RecordsPaperPurchase</t>
  </si>
  <si>
    <t>eSystems_CFS_RecordsMFDLease</t>
  </si>
  <si>
    <t>eSystems_CFS_RecordsOfficeLease</t>
  </si>
  <si>
    <t>eSystems_CFS_RecordsTotal</t>
  </si>
  <si>
    <t>eSystems_CFS_PaperProcess</t>
  </si>
  <si>
    <t>Office Space Leasing Unit Cost pa</t>
  </si>
  <si>
    <t>Total FLEET Records Generated by Department</t>
  </si>
  <si>
    <t>Other AAA</t>
  </si>
  <si>
    <t>Other BBB</t>
  </si>
  <si>
    <t>Other 1</t>
  </si>
  <si>
    <t>Other 2</t>
  </si>
  <si>
    <t>FleetTypeA</t>
  </si>
  <si>
    <t>FleetTypeB</t>
  </si>
  <si>
    <t>FleetTypeC</t>
  </si>
  <si>
    <t>FleetTypeD</t>
  </si>
  <si>
    <t>FleetTypeE</t>
  </si>
  <si>
    <t>FleetTypeF</t>
  </si>
  <si>
    <t>FleetTypeG</t>
  </si>
  <si>
    <t>pSystems Cost: TOTAL Training</t>
  </si>
  <si>
    <t>pSystemsCost_TrgTotal_CFS</t>
  </si>
  <si>
    <t>Forecast Lease Returns pa</t>
  </si>
  <si>
    <t>LeaseReturnForecast</t>
  </si>
  <si>
    <t>eSystemsLessorVisitForecast</t>
  </si>
  <si>
    <t>hSystemsLessorVisitForecast</t>
  </si>
  <si>
    <t>pSystemsLessorVisitForecast</t>
  </si>
  <si>
    <t>pSystemsLeaseLaborHrsSCL</t>
  </si>
  <si>
    <t>hSystemsLeaseLaborHrsSCL</t>
  </si>
  <si>
    <t>eSystemsLeaseLaborHrsSCL</t>
  </si>
  <si>
    <t>pSystems Forecast Lessor Visits pa</t>
  </si>
  <si>
    <t>hSystems Forecast Lessor Visits pa</t>
  </si>
  <si>
    <t>eSystems Forecast Lessor Visits pa</t>
  </si>
  <si>
    <t>pSystems Forecast Disputed Records pa</t>
  </si>
  <si>
    <t>pSystemsLeaseDisputeRecordsForecast</t>
  </si>
  <si>
    <t>hSystems Forecast Disputed Records pa</t>
  </si>
  <si>
    <t>eSystems Forecast Disputed Records pa</t>
  </si>
  <si>
    <t>hSystemsLeaseDisputeRecordsForecast</t>
  </si>
  <si>
    <t>eSystemsLeaseDisputeRecordsForecast</t>
  </si>
  <si>
    <t>All currency -  US$ in 1000s</t>
  </si>
  <si>
    <t>pSystems Forecast Record Searches pa</t>
  </si>
  <si>
    <t>pSystemsLeaseRecordsSearchForecast</t>
  </si>
  <si>
    <t>hSystemsLeaseRecordsSearchForecast</t>
  </si>
  <si>
    <t>eSystemsLeaseRecordsSearchForecast</t>
  </si>
  <si>
    <t>Lease Due Diligence Times - Lessee Labor Cost</t>
  </si>
  <si>
    <t>pSystems Forecast Lease Due Diligence Events pa</t>
  </si>
  <si>
    <t>hSystems Forecast Lease Due Diligence Events pa</t>
  </si>
  <si>
    <t>eSystems Forecast Lease Due Diligence Events pa</t>
  </si>
  <si>
    <t>pSystemsLeaseDueDilEventForecast</t>
  </si>
  <si>
    <t>hSystemsLeaseDueDilEventForecast</t>
  </si>
  <si>
    <t>eSystemsLeaseDueDilEventForecast</t>
  </si>
  <si>
    <t>pSystemsLeaseReturnPrintCollLaborHrsSCL</t>
  </si>
  <si>
    <t>hSystemsLeaseReturnPrintCollLaborHrsSCL</t>
  </si>
  <si>
    <t>eSystemsLeaseReturnPrintCollLaborHrsSCL</t>
  </si>
  <si>
    <t>Average Paper Records Printed per Lease Return</t>
  </si>
  <si>
    <t>pSystemsLeasePaperPrint</t>
  </si>
  <si>
    <t>hSystemsLeasePaperPrint</t>
  </si>
  <si>
    <t>eSystemsLeasePaperPrint</t>
  </si>
  <si>
    <t>pSystems Lease Paper Print</t>
  </si>
  <si>
    <t>hSystems Lease Paper Print</t>
  </si>
  <si>
    <t>eSystems Lease Paper Print</t>
  </si>
  <si>
    <t>pSystems Lease Paper Print Cost</t>
  </si>
  <si>
    <t>hSystems Lease Paper Print Cost</t>
  </si>
  <si>
    <t>eSystems Lease Paper Print Cost</t>
  </si>
  <si>
    <t>Lease Paper Records Print Cost</t>
  </si>
  <si>
    <t>pSystemsLeaseReturnPrintCollLaborCostTotal</t>
  </si>
  <si>
    <t>hSystemsLeaseReturnPrintCollLaborCostTotal</t>
  </si>
  <si>
    <t>eSystemsLeaseReturnPrintCollLaborCostTotal</t>
  </si>
  <si>
    <t>eSystemsLeaseReturnPaperPrintCost</t>
  </si>
  <si>
    <t>pSystemsLeaseReturnPaperPrintCost</t>
  </si>
  <si>
    <t>hSystemsLeaseReturnPaperPrintCost</t>
  </si>
  <si>
    <t>pSystems Average Warranty Claims per Aircraft pa</t>
  </si>
  <si>
    <t>pSystems Average Warranty Claims per Systems pa</t>
  </si>
  <si>
    <t>hSystems Average Warranty Claims per Aircraft pa</t>
  </si>
  <si>
    <t>hSystems Average Warranty Claims per Systems pa</t>
  </si>
  <si>
    <t>eSystems Average Warranty Claims per Aircraft pa</t>
  </si>
  <si>
    <t>eSystems Average Warranty Claims per Systems pa</t>
  </si>
  <si>
    <t>Per Aircraft Records Generated - Event 1</t>
  </si>
  <si>
    <t>Per Aircraft Records Generated - Event 2</t>
  </si>
  <si>
    <t>Per Aircraft Records Generated - Event 3</t>
  </si>
  <si>
    <t>Per Aircraft Records Generated - Event 4</t>
  </si>
  <si>
    <t>Per Aircraft Records Generated - Event 5</t>
  </si>
  <si>
    <t>Per Aircraft Records Generated - Event 6</t>
  </si>
  <si>
    <t>Per Aircraft Records Generated - Event 7</t>
  </si>
  <si>
    <t>Per Aircraft Records Generated - Event 8</t>
  </si>
  <si>
    <t>Total Paper Records</t>
  </si>
  <si>
    <t>Outsourced Process Cost per Record (cents)</t>
  </si>
  <si>
    <t>A220</t>
  </si>
  <si>
    <t>Paper Records Generated</t>
  </si>
  <si>
    <t>Paper Records Processing Cost - Outsourced</t>
  </si>
  <si>
    <t>MFD Leasing Cost Calculations</t>
  </si>
  <si>
    <t>MFD Printing Cost Calculations</t>
  </si>
  <si>
    <t>Print Rooms &amp; Paper Storage Requirements</t>
  </si>
  <si>
    <t>Filing Cabinet Area Requirements</t>
  </si>
  <si>
    <t>Compactus Unit Area Requirements</t>
  </si>
  <si>
    <t>Lease Returns - Lessee Labor Cost Calculations</t>
  </si>
  <si>
    <t>Warranty Labor Cost Calculations</t>
  </si>
  <si>
    <t xml:space="preserve">% of Total LM FTEs requiring training pa </t>
  </si>
  <si>
    <t>pSystemsFTE_LM</t>
  </si>
  <si>
    <t>pSystemsFTE_HM</t>
  </si>
  <si>
    <t>pSystemsFTE_SCL</t>
  </si>
  <si>
    <t>pSystemsFTE_O1</t>
  </si>
  <si>
    <t>pSystemsFTE_O2</t>
  </si>
  <si>
    <t>pSystems Training Costs - LM</t>
  </si>
  <si>
    <t>pSystems Training Costs - HM</t>
  </si>
  <si>
    <t xml:space="preserve">% of Total HM FTEs requiring training pa </t>
  </si>
  <si>
    <t xml:space="preserve">% of Total SCL FTEs requiring training pa </t>
  </si>
  <si>
    <t>pSystemsLease_Cost_Total_CFS</t>
  </si>
  <si>
    <t>pSystemsPaperRecords_Total</t>
  </si>
  <si>
    <t>hSystemsPaperRecords_Total</t>
  </si>
  <si>
    <t>hSystemsLease_Cost_Total_CFS</t>
  </si>
  <si>
    <t>eSystemsLease_Cost_Total_CFS</t>
  </si>
  <si>
    <t>Maintenance Information System</t>
  </si>
  <si>
    <t>Document Management System</t>
  </si>
  <si>
    <t>SCL Management System</t>
  </si>
  <si>
    <t>Other System 1</t>
  </si>
  <si>
    <t>Other System 2</t>
  </si>
  <si>
    <t>IT System Codes</t>
  </si>
  <si>
    <t>System Name</t>
  </si>
  <si>
    <t>Annual Operating Costs</t>
  </si>
  <si>
    <t>Annual Licence Costs</t>
  </si>
  <si>
    <t>Annual Upgrade Costs</t>
  </si>
  <si>
    <t>Annual Customization Costs</t>
  </si>
  <si>
    <t>Mobility System</t>
  </si>
  <si>
    <t>eTechnical Logbook</t>
  </si>
  <si>
    <t>pSystems IT Requirements Total</t>
  </si>
  <si>
    <t>Annual Software Costs</t>
  </si>
  <si>
    <t>hSystems IT Requirements Total</t>
  </si>
  <si>
    <t>eSystems IT Requirements Total</t>
  </si>
  <si>
    <t>pSystemsIT_Cost_Total_CFS</t>
  </si>
  <si>
    <t>hSystemsIT_Cost_Total_CFS</t>
  </si>
  <si>
    <t>eSystemsIT_Cost_Total_CFS</t>
  </si>
  <si>
    <t>IT Code A</t>
  </si>
  <si>
    <t>IT Code B</t>
  </si>
  <si>
    <t>IT Code C</t>
  </si>
  <si>
    <t>IT Code D</t>
  </si>
  <si>
    <t>IT Code E</t>
  </si>
  <si>
    <t>IT Code F</t>
  </si>
  <si>
    <t>IT Code G</t>
  </si>
  <si>
    <t>pSystemsCostIT_Total</t>
  </si>
  <si>
    <t>hSystemsCostIT_Total</t>
  </si>
  <si>
    <t>eSystemsCostIT_Total</t>
  </si>
  <si>
    <t>pSystemsIT_CodeA_Total_CFS</t>
  </si>
  <si>
    <t>pSystemsIT_CodeB_Total_CFS</t>
  </si>
  <si>
    <t>pSystemsIT_CodeC_Total_CFS</t>
  </si>
  <si>
    <t>pSystemsIT_CodeD_Total_CFS</t>
  </si>
  <si>
    <t>pSystemsIT_CodeE_Total_CFS</t>
  </si>
  <si>
    <t>pSystemsIT_CodeF_Total_CFS</t>
  </si>
  <si>
    <t>pSystemsIT_CodeG_Total_CFS</t>
  </si>
  <si>
    <t>hSystemsIT_CodeA_Total_CFS</t>
  </si>
  <si>
    <t>hSystemsIT_CodeB_Total_CFS</t>
  </si>
  <si>
    <t>hSystemsIT_CodeC_Total_CFS</t>
  </si>
  <si>
    <t>hSystemsIT_CodeD_Total_CFS</t>
  </si>
  <si>
    <t>hSystemsIT_CodeE_Total_CFS</t>
  </si>
  <si>
    <t>hSystemsIT_CodeF_Total_CFS</t>
  </si>
  <si>
    <t>hSystemsIT_CodeG_Total_CFS</t>
  </si>
  <si>
    <t>eSystemsIT_CodeA_Total_CFS</t>
  </si>
  <si>
    <t>eSystemsIT_CodeB_Total_CFS</t>
  </si>
  <si>
    <t>eSystemsIT_CodeC_Total_CFS</t>
  </si>
  <si>
    <t>eSystemsIT_CodeD_Total_CFS</t>
  </si>
  <si>
    <t>eSystemsIT_CodeE_Total_CFS</t>
  </si>
  <si>
    <t>eSystemsIT_CodeF_Total_CFS</t>
  </si>
  <si>
    <t>eSystemsIT_CodeG_Total_CFS</t>
  </si>
  <si>
    <t>IATA</t>
  </si>
  <si>
    <t>Maroon Text: Paperless Systems Inputs</t>
  </si>
  <si>
    <t>Blue Text: Hybrid Systems Inputs</t>
  </si>
  <si>
    <t>pSystemsFTEWarranty</t>
  </si>
  <si>
    <t>hSystemsFTEWarranty</t>
  </si>
  <si>
    <t>eSystemsFTEWarranty</t>
  </si>
  <si>
    <t>pSystemsFTEWarranty_OutputSummary</t>
  </si>
  <si>
    <t>hSystemsFTEWarranty_OutputSummary</t>
  </si>
  <si>
    <t>eSystemsFTEWarranty_OutputSummary</t>
  </si>
  <si>
    <t>FTEs required for Rework Related Activity</t>
  </si>
  <si>
    <t>pSystems Rework FTEs</t>
  </si>
  <si>
    <t>hSystems Rework FTEs</t>
  </si>
  <si>
    <t>eSystems Rework FTEs</t>
  </si>
  <si>
    <t>Rework FTE Summaries For Output Graphs</t>
  </si>
  <si>
    <t>pSystemsFTE_QSC</t>
  </si>
  <si>
    <t>FTE &amp; System Labor Efficiencies</t>
  </si>
  <si>
    <t>Lease Related FTE Summaries For Output Graphs</t>
  </si>
  <si>
    <t xml:space="preserve">Required Analysis Period - Years   </t>
  </si>
  <si>
    <t>AnalysisPeriodYrs</t>
  </si>
  <si>
    <t>Year Begins</t>
  </si>
  <si>
    <t>Year Ends</t>
  </si>
  <si>
    <t>Analysis Period Summary</t>
  </si>
  <si>
    <t>Annual Leave</t>
  </si>
  <si>
    <t>Long Service Leave</t>
  </si>
  <si>
    <t>Training</t>
  </si>
  <si>
    <t>pSystems Touch Hrs pa</t>
  </si>
  <si>
    <t>hSystems Touch Hrs pa</t>
  </si>
  <si>
    <t>eSystems Touch Hrs pa</t>
  </si>
  <si>
    <t>Public Holidays</t>
  </si>
  <si>
    <t>Total Authorized Absences</t>
  </si>
  <si>
    <t>pSystems Labor Utilization Rate</t>
  </si>
  <si>
    <t>hSystems Labor Utilization Rate</t>
  </si>
  <si>
    <t>eSystems Labor Utilization Rate</t>
  </si>
  <si>
    <t>Annual Burdened Salary</t>
  </si>
  <si>
    <t>1) Select 'Formulas' tab on excel top ribbon</t>
  </si>
  <si>
    <t>2) Select 'Name Manager'</t>
  </si>
  <si>
    <t>3) The Name Manager Window will pop up</t>
  </si>
  <si>
    <t>5) The 'Edit Name' window will appear.</t>
  </si>
  <si>
    <t>7) You have now successfully changed the Cell Name</t>
  </si>
  <si>
    <t xml:space="preserve">Normal Hours per FTE </t>
  </si>
  <si>
    <t>Average Overtime per FTE</t>
  </si>
  <si>
    <t>Total Paid Hours per FTE pa</t>
  </si>
  <si>
    <t>Sick Leave</t>
  </si>
  <si>
    <t>Authorized Absences - Avg Hrs pa</t>
  </si>
  <si>
    <t xml:space="preserve">Other Company Service </t>
  </si>
  <si>
    <t>Total Available Productive Hrs pa</t>
  </si>
  <si>
    <t>Annual Base Salaries per FTE (Avg)</t>
  </si>
  <si>
    <t>Overhead Rates (Avg)</t>
  </si>
  <si>
    <t>pSystems Touch Hour Rates</t>
  </si>
  <si>
    <t>hSystems Touch Hour Rates</t>
  </si>
  <si>
    <t>eSystems Touch Hour Rates</t>
  </si>
  <si>
    <t>Burdened Salary Calculations</t>
  </si>
  <si>
    <t>Paid Hours pa Calculations</t>
  </si>
  <si>
    <t>Total Available Productive Hours Calculations</t>
  </si>
  <si>
    <t>Labor Utilization Rate Inputs</t>
  </si>
  <si>
    <t>FTEHoursPaidYr</t>
  </si>
  <si>
    <t>FTEHoursAuthAbsenceYr</t>
  </si>
  <si>
    <t>FTEHoursAvailProductiveYr</t>
  </si>
  <si>
    <t>pSystemsLaborUtilRate</t>
  </si>
  <si>
    <t>hSystemsLaborUtilRate</t>
  </si>
  <si>
    <t>eSystemsLaborUtilRate</t>
  </si>
  <si>
    <t>Overtime as % Base Rate</t>
  </si>
  <si>
    <t>Overtime Paid pa (Avg)</t>
  </si>
  <si>
    <t>Base Hrly rate</t>
  </si>
  <si>
    <t>Total Direct Salary (Base + Overtime)</t>
  </si>
  <si>
    <t>SalaryBaseRateHrly</t>
  </si>
  <si>
    <t>SalaryDirectpa</t>
  </si>
  <si>
    <t>SalaryOTpa</t>
  </si>
  <si>
    <t>Clerical, Records, Tech Pubs
(CRT)</t>
  </si>
  <si>
    <t>Line Maintenance
(LM)</t>
  </si>
  <si>
    <t>Heavy Maintenance
(HM)</t>
  </si>
  <si>
    <t>Supply Chain &amp; Logistics
(SCL)</t>
  </si>
  <si>
    <t>Quality, Safety &amp; Compliance
(QSC)</t>
  </si>
  <si>
    <t>Engine Maintenance
(EM)</t>
  </si>
  <si>
    <t>Component Maintenance
(CM)</t>
  </si>
  <si>
    <t>Sheetmetal &amp; Composite Structures
(SMCS)</t>
  </si>
  <si>
    <t>Touch Hour Rate Calculations</t>
  </si>
  <si>
    <t>Touch Hours per FTE Calculations</t>
  </si>
  <si>
    <t>SalaryOTPercent</t>
  </si>
  <si>
    <t>FTEHoursNormalYr</t>
  </si>
  <si>
    <t>FTEHoursOTYr</t>
  </si>
  <si>
    <t>SalaryBaseYr</t>
  </si>
  <si>
    <t xml:space="preserve">Transit Locations </t>
  </si>
  <si>
    <t>Quality, Safety &amp; Compliance Locations</t>
  </si>
  <si>
    <t>Engine Maintenance Locations</t>
  </si>
  <si>
    <t>Component Maintenance Locations</t>
  </si>
  <si>
    <t>Sheetmetal &amp; Composite Structures Locations</t>
  </si>
  <si>
    <t>LocCRT</t>
  </si>
  <si>
    <t>LocQSC</t>
  </si>
  <si>
    <t>LocEM</t>
  </si>
  <si>
    <t>LocCM</t>
  </si>
  <si>
    <t>LocSMCS</t>
  </si>
  <si>
    <t>LocO1</t>
  </si>
  <si>
    <t>LocO2</t>
  </si>
  <si>
    <t>Other Department 1 Locations</t>
  </si>
  <si>
    <t>Other Department 2 Locations</t>
  </si>
  <si>
    <t>Spare Category - rename as required - eg; Management Locations</t>
  </si>
  <si>
    <t>Spare Category - rename as required - eg; Ground Support Locations</t>
  </si>
  <si>
    <r>
      <rPr>
        <b/>
        <sz val="10"/>
        <rFont val="Arial"/>
        <family val="2"/>
      </rPr>
      <t>Why name cells in Excel?</t>
    </r>
    <r>
      <rPr>
        <sz val="10"/>
        <rFont val="Arial"/>
        <family val="2"/>
      </rPr>
      <t xml:space="preserve">
The default name for each cell in an Excel spreadsheet is based on the relevant column and row. One of the reasons why you may want to change this name is to make it easier to find what you are looking for, especially when there’s a lot of information in a particular spreadsheet. For instance, if you name a particular cell ‘Total’, searching for this word is much faster than scrolling through the spreadsheet to find the correct cell or trying to remember its specific column and row.
This is also the case when creating formulas for computations. Instead of using the cells’ column letter and row number, it’s more convenient to use a name that you can easily understand. For example, naming one cell ‘GrossIncome’ and the other one ‘Deductions’ makes it easier for you to compute net income by subtracting Deductions from GrossIncome for the result.
Another benefit of naming cells is that it is easier for other users to understand. If you are sharing the spreadsheet or workbook with other colleagues or business associates, using cell names that are easy for everyone to identify reduces potential confusion.
Either individual cells or cell ranges can be named</t>
    </r>
  </si>
  <si>
    <t>4) Scroll down to 'LocO1' - Double click this Row</t>
  </si>
  <si>
    <t>6) Click in the 'name' field to highlight LocO1 and overtype with LocManagement and then click OK</t>
  </si>
  <si>
    <t>8) Be sure to now change Cell O31 to read LocManagement</t>
  </si>
  <si>
    <t>FleetSize_H</t>
  </si>
  <si>
    <t>FleetSize_I</t>
  </si>
  <si>
    <t>FleetSize_J</t>
  </si>
  <si>
    <t>FleetSize_K</t>
  </si>
  <si>
    <t>FleetSize_L</t>
  </si>
  <si>
    <t>FleetSize_M</t>
  </si>
  <si>
    <t>FleetSize_N</t>
  </si>
  <si>
    <t>FleetSize_O</t>
  </si>
  <si>
    <t>A321</t>
  </si>
  <si>
    <t>FleetTypeH</t>
  </si>
  <si>
    <t>FleetTypeI</t>
  </si>
  <si>
    <t>FleetTypeJ</t>
  </si>
  <si>
    <t>FleetTypeK</t>
  </si>
  <si>
    <t>FleetTypeL</t>
  </si>
  <si>
    <t>FleetTypeM</t>
  </si>
  <si>
    <t>FleetTypeN</t>
  </si>
  <si>
    <t>FleetTypeO</t>
  </si>
  <si>
    <t>Scenario 1: Paper-Based (pSystems) Labor Cost per Lessor Visit</t>
  </si>
  <si>
    <t>Scenario 1: Paper-Based (pSystems) Disputed Record - Lessee Labor Cost</t>
  </si>
  <si>
    <t>Scenario 1: Paper-Based (pSystems) Lease Due Diligence Labor Cost</t>
  </si>
  <si>
    <t>B737-300/400</t>
  </si>
  <si>
    <t>B737-800</t>
  </si>
  <si>
    <t>B747-300</t>
  </si>
  <si>
    <t>B747-400</t>
  </si>
  <si>
    <t>B787-800</t>
  </si>
  <si>
    <t>B787-900</t>
  </si>
  <si>
    <t>A330-200</t>
  </si>
  <si>
    <t>A330-300</t>
  </si>
  <si>
    <t>A380-800</t>
  </si>
  <si>
    <t>A350-800</t>
  </si>
  <si>
    <t>A350-900</t>
  </si>
  <si>
    <t>Fleet Mix Inputs</t>
  </si>
  <si>
    <t>Records Generation Input</t>
  </si>
  <si>
    <t>RecordsHMCycleTotal_A</t>
  </si>
  <si>
    <t>RecordsHMFleetTotalpa_A</t>
  </si>
  <si>
    <t>RecordsLMFleetTotalpa_A</t>
  </si>
  <si>
    <t>RecordsLMFleetTotalpa_B</t>
  </si>
  <si>
    <t>RecordsLMFleetTotalpa_C</t>
  </si>
  <si>
    <t>RecordsLMFleetTotalpa_D</t>
  </si>
  <si>
    <t>RecordsLMFleetTotalpa_E</t>
  </si>
  <si>
    <t>RecordsLMFleetTotalpa_F</t>
  </si>
  <si>
    <t>RecordsLMFleetTotalpa_G</t>
  </si>
  <si>
    <t>RecordsLMFleetTotalpa_H</t>
  </si>
  <si>
    <t>RecordsLMFleetTotalpa_I</t>
  </si>
  <si>
    <t>FleetCycleHvy_I</t>
  </si>
  <si>
    <t>RecordsCRTFleetTotalpa_A</t>
  </si>
  <si>
    <t>RecordsSCLFleetTotalpa_A</t>
  </si>
  <si>
    <t>RecordsQSCFleetTotalpa_A</t>
  </si>
  <si>
    <t>RecordsEMFleetTotalpa_A</t>
  </si>
  <si>
    <t>RecordsCMFleetTotalpa_A</t>
  </si>
  <si>
    <t>RecordsSMCSFleetTotalpa_A</t>
  </si>
  <si>
    <t>RecordsO1FleetTotalpa_A</t>
  </si>
  <si>
    <t>RecordsO2FleetTotalpa_A</t>
  </si>
  <si>
    <t>RecordsFleetTotalGrandpa_A</t>
  </si>
  <si>
    <t>RecordsHMFleetTotalpa_B</t>
  </si>
  <si>
    <t>RecordsCRTFleetTotalpa_B</t>
  </si>
  <si>
    <t>RecordsSCLFleetTotalpa_B</t>
  </si>
  <si>
    <t>RecordsQSCFleetTotalpa_B</t>
  </si>
  <si>
    <t>RecordsEMFleetTotalpa_B</t>
  </si>
  <si>
    <t>RecordsCMFleetTotalpa_B</t>
  </si>
  <si>
    <t>RecordsSMCSFleetTotalpa_B</t>
  </si>
  <si>
    <t>RecordsO1FleetTotalpa_B</t>
  </si>
  <si>
    <t>RecordsHMCycleTotal_B</t>
  </si>
  <si>
    <t>RecordsO2FleetTotalpa_B</t>
  </si>
  <si>
    <t>RecordsFleetTotalGrandpa_B</t>
  </si>
  <si>
    <t>RecordsHMFleetTotalpa_C</t>
  </si>
  <si>
    <t>RecordsCRTFleetTotalpa_C</t>
  </si>
  <si>
    <t>RecordsSCLFleetTotalpa_C</t>
  </si>
  <si>
    <t>RecordsQSCFleetTotalpa_C</t>
  </si>
  <si>
    <t>RecordsEMFleetTotalpa_C</t>
  </si>
  <si>
    <t>RecordsCMFleetTotalpa_C</t>
  </si>
  <si>
    <t>RecordsSMCSFleetTotalpa_C</t>
  </si>
  <si>
    <t>RecordsO1FleetTotalpa_C</t>
  </si>
  <si>
    <t>RecordsHMCycleTotal_C</t>
  </si>
  <si>
    <t>RecordsO2FleetTotalpa_C</t>
  </si>
  <si>
    <t>RecordsFleetTotalGrandpa_C</t>
  </si>
  <si>
    <t>RecordsHMFleetTotalpa_D</t>
  </si>
  <si>
    <t>RecordsCRTFleetTotalpa_D</t>
  </si>
  <si>
    <t>RecordsSCLFleetTotalpa_D</t>
  </si>
  <si>
    <t>RecordsQSCFleetTotalpa_D</t>
  </si>
  <si>
    <t>RecordsEMFleetTotalpa_D</t>
  </si>
  <si>
    <t>RecordsCMFleetTotalpa_D</t>
  </si>
  <si>
    <t>RecordsSMCSFleetTotalpa_D</t>
  </si>
  <si>
    <t>RecordsO1FleetTotalpa_D</t>
  </si>
  <si>
    <t>RecordsHMCycleTotal_D</t>
  </si>
  <si>
    <t>RecordsO2FleetTotalpa_D</t>
  </si>
  <si>
    <t>RecordsFleetTotalGrandpa_D</t>
  </si>
  <si>
    <t>RecordsHMFleetTotalpa_E</t>
  </si>
  <si>
    <t>RecordsCRTFleetTotalpa_E</t>
  </si>
  <si>
    <t>RecordsSCLFleetTotalpa_E</t>
  </si>
  <si>
    <t>RecordsQSCFleetTotalpa_E</t>
  </si>
  <si>
    <t>RecordsEMFleetTotalpa_E</t>
  </si>
  <si>
    <t>RecordsCMFleetTotalpa_E</t>
  </si>
  <si>
    <t>RecordsSMCSFleetTotalpa_E</t>
  </si>
  <si>
    <t>RecordsO1FleetTotalpa_E</t>
  </si>
  <si>
    <t>RecordsHMCycleTotal_E</t>
  </si>
  <si>
    <t>RecordsO2FleetTotalpa_E</t>
  </si>
  <si>
    <t>RecordsFleetTotalGrandpa_E</t>
  </si>
  <si>
    <t>RecordsHMFleetTotalpa_F</t>
  </si>
  <si>
    <t>RecordsCRTFleetTotalpa_F</t>
  </si>
  <si>
    <t>RecordsSCLFleetTotalpa_F</t>
  </si>
  <si>
    <t>RecordsQSCFleetTotalpa_F</t>
  </si>
  <si>
    <t>RecordsEMFleetTotalpa_F</t>
  </si>
  <si>
    <t>RecordsCMFleetTotalpa_F</t>
  </si>
  <si>
    <t>RecordsSMCSFleetTotalpa_F</t>
  </si>
  <si>
    <t>RecordsO1FleetTotalpa_F</t>
  </si>
  <si>
    <t>RecordsHMCycleTotal_F</t>
  </si>
  <si>
    <t>RecordsO2FleetTotalpa_F</t>
  </si>
  <si>
    <t>RecordsFleetTotalGrandpa_F</t>
  </si>
  <si>
    <t>RecordsHMFleetTotalpa_G</t>
  </si>
  <si>
    <t>RecordsCRTFleetTotalpa_G</t>
  </si>
  <si>
    <t>RecordsSCLFleetTotalpa_G</t>
  </si>
  <si>
    <t>RecordsQSCFleetTotalpa_G</t>
  </si>
  <si>
    <t>RecordsEMFleetTotalpa_G</t>
  </si>
  <si>
    <t>RecordsCMFleetTotalpa_G</t>
  </si>
  <si>
    <t>RecordsSMCSFleetTotalpa_G</t>
  </si>
  <si>
    <t>RecordsO1FleetTotalpa_G</t>
  </si>
  <si>
    <t>RecordsHMCycleTotal_G</t>
  </si>
  <si>
    <t>RecordsO2FleetTotalpa_G</t>
  </si>
  <si>
    <t>RecordsFleetTotalGrandpa_G</t>
  </si>
  <si>
    <t>FleetCycleHvy_H</t>
  </si>
  <si>
    <t>RecordsHMFleetTotalpa_H</t>
  </si>
  <si>
    <t>RecordsCRTFleetTotalpa_H</t>
  </si>
  <si>
    <t>RecordsSCLFleetTotalpa_H</t>
  </si>
  <si>
    <t>RecordsQSCFleetTotalpa_H</t>
  </si>
  <si>
    <t>RecordsEMFleetTotalpa_H</t>
  </si>
  <si>
    <t>RecordsCMFleetTotalpa_H</t>
  </si>
  <si>
    <t>RecordsSMCSFleetTotalpa_H</t>
  </si>
  <si>
    <t>RecordsO1FleetTotalpa_H</t>
  </si>
  <si>
    <t>RecordsHMCycleTotal_H</t>
  </si>
  <si>
    <t>RecordsO2FleetTotalpa_H</t>
  </si>
  <si>
    <t>RecordsFleetTotalGrandpa_H</t>
  </si>
  <si>
    <t>RecordsHMFleetTotalpa_I</t>
  </si>
  <si>
    <t>RecordsCRTFleetTotalpa_I</t>
  </si>
  <si>
    <t>RecordsSCLFleetTotalpa_I</t>
  </si>
  <si>
    <t>RecordsQSCFleetTotalpa_I</t>
  </si>
  <si>
    <t>RecordsEMFleetTotalpa_I</t>
  </si>
  <si>
    <t>RecordsCMFleetTotalpa_I</t>
  </si>
  <si>
    <t>RecordsSMCSFleetTotalpa_I</t>
  </si>
  <si>
    <t>RecordsO1FleetTotalpa_I</t>
  </si>
  <si>
    <t>RecordsHMCycleTotal_I</t>
  </si>
  <si>
    <t>RecordsO2FleetTotalpa_I</t>
  </si>
  <si>
    <t>RecordsFleetTotalGrandpa_I</t>
  </si>
  <si>
    <t>FleetCycleHvy_J</t>
  </si>
  <si>
    <t>RecordsHMFleetTotalpa_J</t>
  </si>
  <si>
    <t>RecordsLMFleetTotalpa_J</t>
  </si>
  <si>
    <t>RecordsCRTFleetTotalpa_J</t>
  </si>
  <si>
    <t>RecordsSCLFleetTotalpa_J</t>
  </si>
  <si>
    <t>RecordsQSCFleetTotalpa_J</t>
  </si>
  <si>
    <t>RecordsEMFleetTotalpa_J</t>
  </si>
  <si>
    <t>RecordsCMFleetTotalpa_J</t>
  </si>
  <si>
    <t>RecordsSMCSFleetTotalpa_J</t>
  </si>
  <si>
    <t>RecordsO1FleetTotalpa_J</t>
  </si>
  <si>
    <t>RecordsHMCycleTotal_J</t>
  </si>
  <si>
    <t>RecordsO2FleetTotalpa_J</t>
  </si>
  <si>
    <t>RecordsFleetTotalGrandpa_J</t>
  </si>
  <si>
    <t>FleetCycleHvy_K</t>
  </si>
  <si>
    <t>RecordsHMFleetTotalpa_K</t>
  </si>
  <si>
    <t>RecordsLMFleetTotalpa_K</t>
  </si>
  <si>
    <t>RecordsCRTFleetTotalpa_K</t>
  </si>
  <si>
    <t>RecordsSCLFleetTotalpa_K</t>
  </si>
  <si>
    <t>RecordsQSCFleetTotalpa_K</t>
  </si>
  <si>
    <t>RecordsEMFleetTotalpa_K</t>
  </si>
  <si>
    <t>RecordsCMFleetTotalpa_K</t>
  </si>
  <si>
    <t>RecordsSMCSFleetTotalpa_K</t>
  </si>
  <si>
    <t>RecordsO1FleetTotalpa_K</t>
  </si>
  <si>
    <t>RecordsHMCycleTotal_K</t>
  </si>
  <si>
    <t>RecordsO2FleetTotalpa_K</t>
  </si>
  <si>
    <t>RecordsFleetTotalGrandpa_K</t>
  </si>
  <si>
    <t>FleetCycleHvy_L</t>
  </si>
  <si>
    <t>RecordsHMFleetTotalpa_L</t>
  </si>
  <si>
    <t>RecordsLMFleetTotalpa_L</t>
  </si>
  <si>
    <t>RecordsCRTFleetTotalpa_L</t>
  </si>
  <si>
    <t>RecordsSCLFleetTotalpa_L</t>
  </si>
  <si>
    <t>RecordsQSCFleetTotalpa_L</t>
  </si>
  <si>
    <t>RecordsEMFleetTotalpa_L</t>
  </si>
  <si>
    <t>RecordsCMFleetTotalpa_L</t>
  </si>
  <si>
    <t>RecordsSMCSFleetTotalpa_L</t>
  </si>
  <si>
    <t>RecordsO1FleetTotalpa_L</t>
  </si>
  <si>
    <t>RecordsHMCycleTotal_L</t>
  </si>
  <si>
    <t>RecordsO2FleetTotalpa_L</t>
  </si>
  <si>
    <t>RecordsFleetTotalGrandpa_L</t>
  </si>
  <si>
    <t>FleetCycleHvy_M</t>
  </si>
  <si>
    <t>RecordsHMFleetTotalpa_M</t>
  </si>
  <si>
    <t>RecordsLMFleetTotalpa_M</t>
  </si>
  <si>
    <t>RecordsCRTFleetTotalpa_M</t>
  </si>
  <si>
    <t>RecordsSCLFleetTotalpa_M</t>
  </si>
  <si>
    <t>RecordsQSCFleetTotalpa_M</t>
  </si>
  <si>
    <t>RecordsEMFleetTotalpa_M</t>
  </si>
  <si>
    <t>RecordsCMFleetTotalpa_M</t>
  </si>
  <si>
    <t>RecordsSMCSFleetTotalpa_M</t>
  </si>
  <si>
    <t>RecordsO1FleetTotalpa_M</t>
  </si>
  <si>
    <t>RecordsHMCycleTotal_M</t>
  </si>
  <si>
    <t>RecordsO2FleetTotalpa_M</t>
  </si>
  <si>
    <t>RecordsFleetTotalGrandpa_M</t>
  </si>
  <si>
    <t>FleetCycleHvy_N</t>
  </si>
  <si>
    <t>RecordsHMFleetTotalpa_N</t>
  </si>
  <si>
    <t>RecordsLMFleetTotalpa_N</t>
  </si>
  <si>
    <t>RecordsCRTFleetTotalpa_N</t>
  </si>
  <si>
    <t>RecordsSCLFleetTotalpa_N</t>
  </si>
  <si>
    <t>RecordsQSCFleetTotalpa_N</t>
  </si>
  <si>
    <t>RecordsEMFleetTotalpa_N</t>
  </si>
  <si>
    <t>RecordsCMFleetTotalpa_N</t>
  </si>
  <si>
    <t>RecordsSMCSFleetTotalpa_N</t>
  </si>
  <si>
    <t>RecordsO1FleetTotalpa_N</t>
  </si>
  <si>
    <t>RecordsHMCycleTotal_N</t>
  </si>
  <si>
    <t>RecordsO2FleetTotalpa_N</t>
  </si>
  <si>
    <t>RecordsFleetTotalGrandpa_N</t>
  </si>
  <si>
    <t>FleetCycleHvy_O</t>
  </si>
  <si>
    <t>RecordsHMFleetTotalpa_O</t>
  </si>
  <si>
    <t>RecordsLMFleetTotalpa_O</t>
  </si>
  <si>
    <t>RecordsCRTFleetTotalpa_O</t>
  </si>
  <si>
    <t>RecordsSCLFleetTotalpa_O</t>
  </si>
  <si>
    <t>RecordsQSCFleetTotalpa_O</t>
  </si>
  <si>
    <t>RecordsEMFleetTotalpa_O</t>
  </si>
  <si>
    <t>RecordsCMFleetTotalpa_O</t>
  </si>
  <si>
    <t>RecordsSMCSFleetTotalpa_O</t>
  </si>
  <si>
    <t>RecordsO1FleetTotalpa_O</t>
  </si>
  <si>
    <t>RecordsHMCycleTotal_O</t>
  </si>
  <si>
    <t>RecordsO2FleetTotalpa_O</t>
  </si>
  <si>
    <t>RecordsFleetTotalGrandpa_O</t>
  </si>
  <si>
    <t>Clerical, Records &amp; Tech Pubs</t>
  </si>
  <si>
    <t>Quality, Safety &amp; Compliance</t>
  </si>
  <si>
    <t>Engine Maintenance</t>
  </si>
  <si>
    <t>Component Maintenance</t>
  </si>
  <si>
    <t>Sheetmetal &amp; Composite Structures</t>
  </si>
  <si>
    <t>FleetRecordsPerAnnumHM_TotalGrand</t>
  </si>
  <si>
    <t>FleetRecordsPerAnnumLM_TotalGrand</t>
  </si>
  <si>
    <t>FleetRecordsPerAnnumCRT_TotalGrand</t>
  </si>
  <si>
    <t>FleetRecordsPerAnnumSCL_TotalGrand</t>
  </si>
  <si>
    <t>FleetRecordsPerAnnumQSC_TotalGrand</t>
  </si>
  <si>
    <t>FleetRecordsPerAnnumEM_TotalGrand</t>
  </si>
  <si>
    <t>FleetRecordsPerAnnumCM_TotalGrand</t>
  </si>
  <si>
    <t>FleetRecordsPerAnnumSMCS_TotalGrand</t>
  </si>
  <si>
    <t>FleetRecordsPerAnnumO1_TotalGrand</t>
  </si>
  <si>
    <t>FleetRecordsPerAnnumO2_TotalGrand</t>
  </si>
  <si>
    <t>FleetRecordsPerAnnum_TotalGrand</t>
  </si>
  <si>
    <t>Fleet Mix Input</t>
  </si>
  <si>
    <t>eSystemsPaperRecords_Total</t>
  </si>
  <si>
    <t>Total CRT MFDs</t>
  </si>
  <si>
    <t>Total QSC MFDs</t>
  </si>
  <si>
    <t>Engine Maintenance MFDs per Location</t>
  </si>
  <si>
    <t>Quality, Safety &amp; Compliance MFDs per Location</t>
  </si>
  <si>
    <t>Supply Chain &amp; Logistcs MFDs per Location</t>
  </si>
  <si>
    <t>Clerical, records &amp; Tech Pubs MFDs per Location</t>
  </si>
  <si>
    <t>Component Maintenance MFDs per Location</t>
  </si>
  <si>
    <t>Total CM MFDs</t>
  </si>
  <si>
    <t>Total EM MFDs</t>
  </si>
  <si>
    <t>Total SMCS MFDs</t>
  </si>
  <si>
    <t>Sheetmetal &amp; Composite Structures MFDs per Location</t>
  </si>
  <si>
    <t>Other 1 MFDs per Location</t>
  </si>
  <si>
    <t>Total Other 1 MFDs</t>
  </si>
  <si>
    <t>Other 2 MFDs per Location</t>
  </si>
  <si>
    <t>Total Other 2 MFDs</t>
  </si>
  <si>
    <t>pSystemsMFD_Total</t>
  </si>
  <si>
    <t>hSystemsMFD_Total</t>
  </si>
  <si>
    <t>eSystemsMFD_Total</t>
  </si>
  <si>
    <t>MFDLeaseCostpa_Each</t>
  </si>
  <si>
    <t>MFD Monthly Leasing Rate/$1000</t>
  </si>
  <si>
    <t>MFD Annual Leasing Cost - Each</t>
  </si>
  <si>
    <t>pSystemsMFDLeaseCostpa_Total</t>
  </si>
  <si>
    <t>hSystemsMFDLeaseCostpa_Total</t>
  </si>
  <si>
    <t>eSystemsMFDLeaseCostpa_Total</t>
  </si>
  <si>
    <t>pSystemsMFDPrintCostpa_Total</t>
  </si>
  <si>
    <t>hSystemsMFDPrintCostpa_Total</t>
  </si>
  <si>
    <t>eSystemsMFDPrintCostpa_Total</t>
  </si>
  <si>
    <t>pSystemsMFDCostpa_TotalGrand</t>
  </si>
  <si>
    <t>hSystemsMFDCostpa_TotalGrand</t>
  </si>
  <si>
    <t>eSystemsMFDCostpa_TotalGrand</t>
  </si>
  <si>
    <t>LocLM</t>
  </si>
  <si>
    <t>LocHM</t>
  </si>
  <si>
    <t>Total LM Print Room</t>
  </si>
  <si>
    <t>Total HM Print Room</t>
  </si>
  <si>
    <t>Total CRT Print Room</t>
  </si>
  <si>
    <t>Total QSC Print Room</t>
  </si>
  <si>
    <t>Engine Maintenance Print Room per location</t>
  </si>
  <si>
    <t>Total EM Print Room</t>
  </si>
  <si>
    <t>Supply Chain &amp; Logistics Print Room per location</t>
  </si>
  <si>
    <t>Quality, Safety &amp; Compliance Print Room per location</t>
  </si>
  <si>
    <t>Component Maintenance Print Room per location</t>
  </si>
  <si>
    <t>Total CM Print Room</t>
  </si>
  <si>
    <t>Sheetmetal &amp; Composite Structures Print Room per location</t>
  </si>
  <si>
    <t>Total SMCS Print Room</t>
  </si>
  <si>
    <t>Other 1 Print Room per location</t>
  </si>
  <si>
    <t>Total O1 Print Room</t>
  </si>
  <si>
    <t>Other 2 Print Room per location</t>
  </si>
  <si>
    <t>Total O2 Print Room</t>
  </si>
  <si>
    <t xml:space="preserve">hSystems Total Office Space - Print Room </t>
  </si>
  <si>
    <t>hSystemsPrintRoomArea_Total</t>
  </si>
  <si>
    <t>pSystemsPrintRoomArea_Total</t>
  </si>
  <si>
    <t>hSystemsPrintRoomArea_Each</t>
  </si>
  <si>
    <t>pSystemsPrintRoomArea_Each</t>
  </si>
  <si>
    <t>eSystemsPrintRoomArea_Each</t>
  </si>
  <si>
    <t>eSystemsPrintRoomArea_Total</t>
  </si>
  <si>
    <t xml:space="preserve">eSystems Total Office Space - Print Room </t>
  </si>
  <si>
    <t>pSystemsFilingCabinetArea_Each</t>
  </si>
  <si>
    <t>Transit Station Filing Cabinet per location</t>
  </si>
  <si>
    <t>Total Transit Filing Cabinet</t>
  </si>
  <si>
    <t>Line Maintenance Filing Cabinet per location</t>
  </si>
  <si>
    <t>Total LM Filing Cabinet</t>
  </si>
  <si>
    <t>Heavy Maintenance Filing Cabinet per location</t>
  </si>
  <si>
    <t>Total HM Filing Cabinet</t>
  </si>
  <si>
    <t>Total CRT Filing Cabinet</t>
  </si>
  <si>
    <t>Supply Chain &amp; Logistics Filing Cabinet per location</t>
  </si>
  <si>
    <t>Total SCL Filing Cabinet</t>
  </si>
  <si>
    <t>Quality, Safety &amp; Compliance Filing Cabinet per location</t>
  </si>
  <si>
    <t>Total QSC Filing Cabinet</t>
  </si>
  <si>
    <t>Engine Maintenance Filing Cabinet per location</t>
  </si>
  <si>
    <t>Total EM Filing Cabinet</t>
  </si>
  <si>
    <t>Component Maintenance Filing Cabinet per location</t>
  </si>
  <si>
    <t>Total CM Filing Cabinet</t>
  </si>
  <si>
    <t>Sheetmetal &amp; Composite Structures Filing Cabinet per location</t>
  </si>
  <si>
    <t>Total SMCS Filing Cabinet</t>
  </si>
  <si>
    <t>Other 1 Filing Cabinet per location</t>
  </si>
  <si>
    <t>Total O1 Filing Cabinet</t>
  </si>
  <si>
    <t>Other 2 Filing Cabinet per location</t>
  </si>
  <si>
    <t>Total O2 Filing Cabinet</t>
  </si>
  <si>
    <t xml:space="preserve">pSystems Total Office Space - Filing Cabinet </t>
  </si>
  <si>
    <t>pSystemsFilingCabinetArea_Total</t>
  </si>
  <si>
    <t>hSystemsFilingCabinetArea_Total</t>
  </si>
  <si>
    <t>hSystemsFilingCabinetArea_Each</t>
  </si>
  <si>
    <t>eSystemsFilingCabinetArea_Each</t>
  </si>
  <si>
    <t>eSystemsFilingCabinetArea_Total</t>
  </si>
  <si>
    <t>eSystemsCompactusArea_Total</t>
  </si>
  <si>
    <t>pSystemsCompactusArea_Total</t>
  </si>
  <si>
    <t>hSystemsCompactusArea_Total</t>
  </si>
  <si>
    <t>hSystemsCompactusArea_Each</t>
  </si>
  <si>
    <t>Transit Station Compactus Units per location</t>
  </si>
  <si>
    <t>Total Transit Compactus Units</t>
  </si>
  <si>
    <t>Line Maintenance Compactus Units per location</t>
  </si>
  <si>
    <t>Total LM Compactus Units</t>
  </si>
  <si>
    <t>Heavy Maintenance Compactus Units per location</t>
  </si>
  <si>
    <t>Total HM Compactus Units</t>
  </si>
  <si>
    <t>Total CRT Compactus Units</t>
  </si>
  <si>
    <t>Supply Chain &amp; Logistics Compactus Units per location</t>
  </si>
  <si>
    <t>Total SCL Compactus Units</t>
  </si>
  <si>
    <t>Quality, Safety &amp; Compliance Compactus Units per location</t>
  </si>
  <si>
    <t>Total QSC Compactus Units</t>
  </si>
  <si>
    <t>Engine Maintenance Compactus Units per location</t>
  </si>
  <si>
    <t>Total EM Compactus Units</t>
  </si>
  <si>
    <t>Component Maintenance Compactus Units per location</t>
  </si>
  <si>
    <t>Total CM Compactus Units</t>
  </si>
  <si>
    <t>Sheetmetal &amp; Composite Structures Compactus Units per location</t>
  </si>
  <si>
    <t>Total SMCS Compactus Units</t>
  </si>
  <si>
    <t>Other 1 Compactus Units per location</t>
  </si>
  <si>
    <t>Total O1 Compactus Units</t>
  </si>
  <si>
    <t>Other 2 Compactus Units per location</t>
  </si>
  <si>
    <t>Total O2 Compactus Units</t>
  </si>
  <si>
    <t>pSystemsCompactusArea_Each</t>
  </si>
  <si>
    <t>eSystemsCompactusArea_Each</t>
  </si>
  <si>
    <t>pSystemsOfficeSpace_Total</t>
  </si>
  <si>
    <t>hSystemsOfficeSpace_Total</t>
  </si>
  <si>
    <t>eSystemsOfficeSpace_Total</t>
  </si>
  <si>
    <t>OfficeLeaseRatepa_Inflated</t>
  </si>
  <si>
    <t>pSystemsOfficeLeaseCostpa_Total</t>
  </si>
  <si>
    <t>hSystemsOfficeLeaseCostpa_Total</t>
  </si>
  <si>
    <t>eSystemsOfficeLeaseCostpa_Total</t>
  </si>
  <si>
    <t>RecordsLegacyYr1</t>
  </si>
  <si>
    <t>Legacy Archived Records @ Year  1</t>
  </si>
  <si>
    <t>pSystems Records Archived Cumulative Gross</t>
  </si>
  <si>
    <t>pSystemsRecordsArchiveCumulative_Gross</t>
  </si>
  <si>
    <t>hSystems Records Archived Cumulative Gross</t>
  </si>
  <si>
    <t>eSystems Records Archived Cumulative Gross</t>
  </si>
  <si>
    <t>hSystemsRecordsArchiveCumulative_Gross</t>
  </si>
  <si>
    <t>eSystemsRecordsArchiveCumulative_Gross</t>
  </si>
  <si>
    <t>pSystems Records Cumulative Archived Net</t>
  </si>
  <si>
    <t>pSystems Records Shredded @ 1 yr post A/C Disposal</t>
  </si>
  <si>
    <t>pSystemsRecordsArchiveShredDisposal</t>
  </si>
  <si>
    <t>pSystemsRecordsArchiveCumulative_Net</t>
  </si>
  <si>
    <t>pSystems  Records Archived Shredded Annually with CAA approval of digital systems</t>
  </si>
  <si>
    <t>pSystemsRecordsArchiveShredDueDigital</t>
  </si>
  <si>
    <t>pSystems Archived records pa</t>
  </si>
  <si>
    <t>hSystems Archived records pa</t>
  </si>
  <si>
    <t>hSystems Records Shredded @ 1 yr post A/C Disposal</t>
  </si>
  <si>
    <t>hSystemsRecordsArchiveShredDisposal</t>
  </si>
  <si>
    <t>hSystems  Records Archived Shredded Annually with CAA approval of digital systems</t>
  </si>
  <si>
    <t>hSystemsRecordsArchiveShredDueDigital</t>
  </si>
  <si>
    <t>hSystems Records Cumulative Archived Net</t>
  </si>
  <si>
    <t>hSystemsRecordsArchiveCumulative_Net</t>
  </si>
  <si>
    <t>pSystemRecordsShredRate</t>
  </si>
  <si>
    <t>hSystemRecordsShredRate</t>
  </si>
  <si>
    <t>eSystems Archived records pa</t>
  </si>
  <si>
    <t>eSystems Records Shredded @ 1 yr post A/C Disposal</t>
  </si>
  <si>
    <t>eSystems  Records Archived Shredded Annually with CAA approval of digital systems</t>
  </si>
  <si>
    <t>eSystems Records Cumulative Archived Net</t>
  </si>
  <si>
    <t>eSystemRecordsShredRate</t>
  </si>
  <si>
    <t>eSystemsRecordsArchiveShredDisposal</t>
  </si>
  <si>
    <t>eSystemsRecordsArchiveShredDueDigital</t>
  </si>
  <si>
    <t>eSystemsRecordsArchiveCumulative_Net</t>
  </si>
  <si>
    <t>Book Type Codes</t>
  </si>
  <si>
    <t>Book Name</t>
  </si>
  <si>
    <t>Technical Log</t>
  </si>
  <si>
    <t>Cabin Log</t>
  </si>
  <si>
    <t>IFE Log</t>
  </si>
  <si>
    <t>Other CCC</t>
  </si>
  <si>
    <t>Other DDD</t>
  </si>
  <si>
    <t>Purchasing Cost / sheet</t>
  </si>
  <si>
    <t>Paper 'Book' Purchase Cost</t>
  </si>
  <si>
    <t>BookCodeA</t>
  </si>
  <si>
    <t>BookCodeB</t>
  </si>
  <si>
    <t>BookCodeC</t>
  </si>
  <si>
    <t>BookCodeD</t>
  </si>
  <si>
    <t>BookCodeE</t>
  </si>
  <si>
    <t>BookCodeF</t>
  </si>
  <si>
    <t>BookCodeG</t>
  </si>
  <si>
    <t>BookCodeACost_Each</t>
  </si>
  <si>
    <t>BookCodeBCost_Each</t>
  </si>
  <si>
    <t>BookCodeCCost_Each</t>
  </si>
  <si>
    <t>BookCodeDCost_Each</t>
  </si>
  <si>
    <t>BookCodeECost_Each</t>
  </si>
  <si>
    <t>BookCodeFCost_Each</t>
  </si>
  <si>
    <t>BookCodeGCost_Each</t>
  </si>
  <si>
    <t>Operational Books (ie Aircraft Log Books)</t>
  </si>
  <si>
    <t>Non-Operational Books</t>
  </si>
  <si>
    <t>pSystems - 'Book' Cost pa</t>
  </si>
  <si>
    <t>hSystems - 'Book' Cost pa</t>
  </si>
  <si>
    <t>pSystemsBookCostpa_total</t>
  </si>
  <si>
    <t>hSystemsBookCostpa_total</t>
  </si>
  <si>
    <t>(If eLogs introduced then enter 0 in relevant usage fields)</t>
  </si>
  <si>
    <t>(If eBooks introduced then enter 0 in relevant usage fields)</t>
  </si>
  <si>
    <t>eSystems - 'Book' Cost pa</t>
  </si>
  <si>
    <t>eSystemsBookCostpa_total</t>
  </si>
  <si>
    <t>Paper 'Book' Purchase Costs</t>
  </si>
  <si>
    <t>pSystems_CFS_PaperBookPurchase</t>
  </si>
  <si>
    <t>eSystems_CFS_PaperBookPurchase</t>
  </si>
  <si>
    <t>hSystems_CFS_PaperBookPurchase</t>
  </si>
  <si>
    <t>RecordsEngFleetTotalpa_A</t>
  </si>
  <si>
    <t>RecordsPlgFleetTotalpa_A</t>
  </si>
  <si>
    <t>RecordsEngFleetTotalpa_B</t>
  </si>
  <si>
    <t>RecordsPlgFleetTotalpa_B</t>
  </si>
  <si>
    <t>RecordsEngFleetTotalpa_C</t>
  </si>
  <si>
    <t>RecordsPlgFleetTotalpa_C</t>
  </si>
  <si>
    <t>RecordsEngFleetTotalpa_D</t>
  </si>
  <si>
    <t>RecordsPlgFleetTotalpa_D</t>
  </si>
  <si>
    <t>RecordsEngFleetTotalpa_E</t>
  </si>
  <si>
    <t>RecordsPlgFleetTotalpa_E</t>
  </si>
  <si>
    <t>RecordsEngFleetTotalpa_F</t>
  </si>
  <si>
    <t>RecordsPlgFleetTotalpa_F</t>
  </si>
  <si>
    <t>RecordsEngFleetTotalpa_G</t>
  </si>
  <si>
    <t>RecordsPlgFleetTotalpa_G</t>
  </si>
  <si>
    <t>RecordsEngFleetTotalpa_H</t>
  </si>
  <si>
    <t>RecordsPlgFleetTotalpa_H</t>
  </si>
  <si>
    <t>RecordsEngFleetTotalpa_I</t>
  </si>
  <si>
    <t>RecordsPlgFleetTotalpa_I</t>
  </si>
  <si>
    <t>RecordsEngFleetTotalpa_J</t>
  </si>
  <si>
    <t>RecordsPlgFleetTotalpa_J</t>
  </si>
  <si>
    <t>RecordsEngFleetTotalpa_K</t>
  </si>
  <si>
    <t>RecordsPlgFleetTotalpa_K</t>
  </si>
  <si>
    <t>RecordsEngFleetTotalpa_L</t>
  </si>
  <si>
    <t>RecordsPlgFleetTotalpa_L</t>
  </si>
  <si>
    <t>RecordsEngFleetTotalpa_M</t>
  </si>
  <si>
    <t>RecordsPlgFleetTotalpa_M</t>
  </si>
  <si>
    <t>RecordsEngFleetTotalpa_N</t>
  </si>
  <si>
    <t>RecordsPlgFleetTotalpa_N</t>
  </si>
  <si>
    <t>RecordsEngFleetTotalpa_O</t>
  </si>
  <si>
    <t>RecordsPlgFleetTotalpa_O</t>
  </si>
  <si>
    <t>Engineering</t>
  </si>
  <si>
    <t>Planning</t>
  </si>
  <si>
    <t>FleetRecordsPerAnnumEng_TotalGrand</t>
  </si>
  <si>
    <t>FleetRecordsPerAnnumPlg_TotalGrand</t>
  </si>
  <si>
    <t>pSystems PLG Paper %"</t>
  </si>
  <si>
    <t>pSystems ENG Paper %"</t>
  </si>
  <si>
    <t>pSystems LM Paper %"</t>
  </si>
  <si>
    <t>pSystems HM Paper %"</t>
  </si>
  <si>
    <t>pSystems CRT Paper %"</t>
  </si>
  <si>
    <t>pSystems SCL Paper %"</t>
  </si>
  <si>
    <t>pSystems QSC Paper %"</t>
  </si>
  <si>
    <t>pSystems EM Paper %"</t>
  </si>
  <si>
    <t>pSystems CM Paper %"</t>
  </si>
  <si>
    <t>pSystems SMCS Paper %"</t>
  </si>
  <si>
    <t>pSystems O1 Paper %"</t>
  </si>
  <si>
    <t>pSystemsPaperPercentHM</t>
  </si>
  <si>
    <t>pSystemsPaperPercentLM</t>
  </si>
  <si>
    <t>pSystemsPaperPercentENG</t>
  </si>
  <si>
    <t>pSystemsPaperPercentPLG</t>
  </si>
  <si>
    <t>pSystemsPaperPercentCRT</t>
  </si>
  <si>
    <t>pSystemsPaperPercentSCL</t>
  </si>
  <si>
    <t>pSystemsPaperPercentQSC</t>
  </si>
  <si>
    <t>pSystemsPaperPercentEM</t>
  </si>
  <si>
    <t>pSystemsPaperPercentCM</t>
  </si>
  <si>
    <t>pSystemsPaperPercentSMCS</t>
  </si>
  <si>
    <t>pSystemsPaperPercentO1</t>
  </si>
  <si>
    <t>pSystemsPaperPercentO2</t>
  </si>
  <si>
    <t>hSystems HM Paper %"</t>
  </si>
  <si>
    <t>hSystemsPaperPercentHM</t>
  </si>
  <si>
    <t>hSystems LM Paper %"</t>
  </si>
  <si>
    <t>hSystemsPaperPercentLM</t>
  </si>
  <si>
    <t>hSystems ENG Paper %"</t>
  </si>
  <si>
    <t>hSystemsPaperPercentENG</t>
  </si>
  <si>
    <t>hSystems PLG Paper %"</t>
  </si>
  <si>
    <t>hSystemsPaperPercentPLG</t>
  </si>
  <si>
    <t>hSystems CRT Paper %"</t>
  </si>
  <si>
    <t>hSystemsPaperPercentCRT</t>
  </si>
  <si>
    <t>hSystems SCL Paper %"</t>
  </si>
  <si>
    <t>hSystemsPaperPercentSCL</t>
  </si>
  <si>
    <t>hSystems QSC Paper %"</t>
  </si>
  <si>
    <t>hSystemsPaperPercentQSC</t>
  </si>
  <si>
    <t>hSystems EM Paper %"</t>
  </si>
  <si>
    <t>hSystemsPaperPercentEM</t>
  </si>
  <si>
    <t>hSystems CM Paper %"</t>
  </si>
  <si>
    <t>hSystemsPaperPercentCM</t>
  </si>
  <si>
    <t>hSystems SMCS Paper %"</t>
  </si>
  <si>
    <t>hSystemsPaperPercentSMCS</t>
  </si>
  <si>
    <t>hSystems O1 Paper %"</t>
  </si>
  <si>
    <t>hSystemsPaperPercentO1</t>
  </si>
  <si>
    <t>hSystems 02 Paper %"</t>
  </si>
  <si>
    <t>hSystemsPaperPercentO2</t>
  </si>
  <si>
    <t>eSystems HM Paper %"</t>
  </si>
  <si>
    <t>eSystemsPaperPercentHM</t>
  </si>
  <si>
    <t>eSystems LM Paper %"</t>
  </si>
  <si>
    <t>eSystemsPaperPercentLM</t>
  </si>
  <si>
    <t>eSystems ENG Paper %"</t>
  </si>
  <si>
    <t>eSystemsPaperPercentENG</t>
  </si>
  <si>
    <t>eSystems PLG Paper %"</t>
  </si>
  <si>
    <t>eSystemsPaperPercentPLG</t>
  </si>
  <si>
    <t>eSystems CRT Paper %"</t>
  </si>
  <si>
    <t>eSystemsPaperPercentCRT</t>
  </si>
  <si>
    <t>eSystems SCL Paper %"</t>
  </si>
  <si>
    <t>eSystemsPaperPercentSCL</t>
  </si>
  <si>
    <t>eSystems QSC Paper %"</t>
  </si>
  <si>
    <t>eSystemsPaperPercentQSC</t>
  </si>
  <si>
    <t>eSystems EM Paper %"</t>
  </si>
  <si>
    <t>eSystemsPaperPercentEM</t>
  </si>
  <si>
    <t>eSystems CM Paper %"</t>
  </si>
  <si>
    <t>eSystemsPaperPercentCM</t>
  </si>
  <si>
    <t>eSystems SMCS Paper %"</t>
  </si>
  <si>
    <t>eSystemsPaperPercentSMCS</t>
  </si>
  <si>
    <t>eSystems O1 Paper %"</t>
  </si>
  <si>
    <t>eSystemsPaperPercentO1</t>
  </si>
  <si>
    <t>eSystems 02 Paper %"</t>
  </si>
  <si>
    <t>eSystemsPaperPercentO2</t>
  </si>
  <si>
    <t>pSystems Paper Records as a Percentage of Total Records</t>
  </si>
  <si>
    <t>eSystems Paper Records as a Percentage of Total Records</t>
  </si>
  <si>
    <t>hSystems Paper Records as a Percentage of Total Records</t>
  </si>
  <si>
    <t>Planning
(PLG)</t>
  </si>
  <si>
    <t>Engineering
(ENG)</t>
  </si>
  <si>
    <t>Planning Locations</t>
  </si>
  <si>
    <t>Engineering Locations</t>
  </si>
  <si>
    <t>Clerical, Records, Tech Pubs Locations</t>
  </si>
  <si>
    <t>LocENG</t>
  </si>
  <si>
    <t>LocPLG</t>
  </si>
  <si>
    <t>Engineering MFDs per location</t>
  </si>
  <si>
    <t>Total Engineering MFDs</t>
  </si>
  <si>
    <t>Planning MFDs per location</t>
  </si>
  <si>
    <t>Total Planning MFDs</t>
  </si>
  <si>
    <t>Clerical, Records &amp; Tech Pubs MFDs per Location</t>
  </si>
  <si>
    <t>Clerical, Records Tech Pubs MFDs per Location</t>
  </si>
  <si>
    <t>Engineering Print Room per location</t>
  </si>
  <si>
    <t>Total ENG Print Room</t>
  </si>
  <si>
    <t>Planning Print Room per location</t>
  </si>
  <si>
    <t>Total PLG Print Room</t>
  </si>
  <si>
    <t>Engineering Filing Cabinet per location</t>
  </si>
  <si>
    <t>Total ENG Filing Cabinet</t>
  </si>
  <si>
    <t>Planning Filing Cabinet per location</t>
  </si>
  <si>
    <t>Total PLG Filing Cabinet</t>
  </si>
  <si>
    <t>Engineering Compactus Units per location</t>
  </si>
  <si>
    <t>Total Eng Compactus Units</t>
  </si>
  <si>
    <t>Planning Compactus Units per location</t>
  </si>
  <si>
    <t>Total PLG Compactus Units</t>
  </si>
  <si>
    <t>Costs - Archive &amp; Retrieval</t>
  </si>
  <si>
    <t>pSystems HM Paper Error %</t>
  </si>
  <si>
    <t>pSystems LM Paper Error %</t>
  </si>
  <si>
    <t>pSystems ENG Paper Error %</t>
  </si>
  <si>
    <t>pSystems PLG Paper Error %</t>
  </si>
  <si>
    <t>pSystems CRT Paper Error %</t>
  </si>
  <si>
    <t>pSystems SCL Paper Error %</t>
  </si>
  <si>
    <t>pSystems QSC Paper Error %</t>
  </si>
  <si>
    <t>pSystems EM Paper Error %</t>
  </si>
  <si>
    <t>pSystems CM Paper Error %</t>
  </si>
  <si>
    <t>pSystems SMCS Paper Error %</t>
  </si>
  <si>
    <t>pSystems O1 Paper Error %</t>
  </si>
  <si>
    <t>pSystems O2 Paper Error %</t>
  </si>
  <si>
    <t>pSystemsPaperPercentErrorHM</t>
  </si>
  <si>
    <t>pSystemsPaperPercentErrorLM</t>
  </si>
  <si>
    <t>pSystemsPaperPercentErrorENG</t>
  </si>
  <si>
    <t>pSystemsPaperPercentErrorPLG</t>
  </si>
  <si>
    <t>pSystemsPaperPercentErrorCRT</t>
  </si>
  <si>
    <t>pSystemsPaperPercentErrorSCL</t>
  </si>
  <si>
    <t>pSystemsPaperPercentErrorQSC</t>
  </si>
  <si>
    <t>pSystemsPaperPercentErrorEM</t>
  </si>
  <si>
    <t>pSystemsPaperPercentErrorCM</t>
  </si>
  <si>
    <t>pSystemsPaperPercentErrorSMCS</t>
  </si>
  <si>
    <t>pSystemsPaperPercentErrorO1</t>
  </si>
  <si>
    <t>pSystemsPaperPercentErrorO2</t>
  </si>
  <si>
    <t>pSystemsPaperRecordsErrors_Total</t>
  </si>
  <si>
    <t>pSystems Fleet Records HM Paper Total</t>
  </si>
  <si>
    <t>pSystemsFleetPaperHMTotal</t>
  </si>
  <si>
    <t>pSystems Fleet Records LM Paper Total</t>
  </si>
  <si>
    <t>pSystems Fleet Records ENG Paper Total</t>
  </si>
  <si>
    <t>pSystems Fleet Records PLG Paper Total</t>
  </si>
  <si>
    <t>pSystems Fleet Records CRT Paper Total</t>
  </si>
  <si>
    <t>pSystems Fleet Records SCL Paper Total</t>
  </si>
  <si>
    <t>pSystems Fleet Records QSC Paper Total</t>
  </si>
  <si>
    <t>pSystems Fleet Records EM Paper Total</t>
  </si>
  <si>
    <t>pSystems Fleet Records CM Paper Total</t>
  </si>
  <si>
    <t>pSystems Fleet Records SMCS Paper Total</t>
  </si>
  <si>
    <t>pSystems Fleet Records O1 Paper Total</t>
  </si>
  <si>
    <t>pSystems Fleet Records O2 Paper Total</t>
  </si>
  <si>
    <t>pSystems O2 Paper %"</t>
  </si>
  <si>
    <t>pSystemsFleetPaperLMTotal</t>
  </si>
  <si>
    <t>pSystemsFleetPaperENGTotal</t>
  </si>
  <si>
    <t>pSystemsFleetPaperPLGTotal</t>
  </si>
  <si>
    <t>pSystemsFleetPaperCRTTotal</t>
  </si>
  <si>
    <t>pSystemsFleetPaperSCLTotal</t>
  </si>
  <si>
    <t>pSystemsFleetPaperQSCTotal</t>
  </si>
  <si>
    <t>pSystemsFleetPaperCMTotal</t>
  </si>
  <si>
    <t>pSystemsFleetPaperEMTotal</t>
  </si>
  <si>
    <t>pSystemsFleetPaperSMCSTotal</t>
  </si>
  <si>
    <t>pSystemsFleetPaperO1Total</t>
  </si>
  <si>
    <t>pSystemsFleetPaperO2Total</t>
  </si>
  <si>
    <t>pSystems HM Required Error Reworks</t>
  </si>
  <si>
    <t>pSystems LM Required Error Reworks</t>
  </si>
  <si>
    <t>pSystems ENG Required Error Reworks</t>
  </si>
  <si>
    <t>pSystems PLG Required Error Reworks</t>
  </si>
  <si>
    <t>pSystems CRT Required Error Reworks</t>
  </si>
  <si>
    <t>pSystems SCL Required Error Reworks</t>
  </si>
  <si>
    <t>pSystems QSC Required Error Reworks</t>
  </si>
  <si>
    <t>pSystems EM Required Error Reworks</t>
  </si>
  <si>
    <t>pSystems CM Required Error Reworks</t>
  </si>
  <si>
    <t>pSystems SMCS Required Error Reworks</t>
  </si>
  <si>
    <t>pSystems O1 Required Error Reworks</t>
  </si>
  <si>
    <t>pSystems O2 Required Error Reworks</t>
  </si>
  <si>
    <t>TOTAL pSystems Required Error Reworks pa</t>
  </si>
  <si>
    <t>pSystemsPaperRequiredReworksHM</t>
  </si>
  <si>
    <t>pSystemsPaperRequiredReworksLM</t>
  </si>
  <si>
    <t>pSystemsPaperRequiredReworksENG</t>
  </si>
  <si>
    <t>pSystemsPaperRequiredReworksPLG</t>
  </si>
  <si>
    <t>pSystemsPaperRequiredReworksCRT</t>
  </si>
  <si>
    <t>pSystemsPaperRequiredReworksSCL</t>
  </si>
  <si>
    <t>pSystemsPaperRequiredReworksQSC</t>
  </si>
  <si>
    <t>pSystemsPaperRequiredReworksEM</t>
  </si>
  <si>
    <t>pSystemsPaperRequiredReworksCM</t>
  </si>
  <si>
    <t>pSystemsPaperRequiredReworksSMCS</t>
  </si>
  <si>
    <t>pSystemsPaperRequiredReworksO1</t>
  </si>
  <si>
    <t>pSystemsPaperRequiredReworksO2</t>
  </si>
  <si>
    <t>hSystems HM Paper Error %</t>
  </si>
  <si>
    <t>hSystemsPaperPercentErrorHM</t>
  </si>
  <si>
    <t>hSystems LM Paper Error %</t>
  </si>
  <si>
    <t>hSystemsPaperPercentErrorLM</t>
  </si>
  <si>
    <t>hSystems ENG Paper Error %</t>
  </si>
  <si>
    <t>hSystemsPaperPercentErrorENG</t>
  </si>
  <si>
    <t>hSystems PLG Paper Error %</t>
  </si>
  <si>
    <t>hSystemsPaperPercentErrorPLG</t>
  </si>
  <si>
    <t>hSystems CRT Paper Error %</t>
  </si>
  <si>
    <t>hSystemsPaperPercentErrorCRT</t>
  </si>
  <si>
    <t>hSystems SCL Paper Error %</t>
  </si>
  <si>
    <t>hSystemsPaperPercentErrorSCL</t>
  </si>
  <si>
    <t>hSystems QSC Paper Error %</t>
  </si>
  <si>
    <t>hSystemsPaperPercentErrorQSC</t>
  </si>
  <si>
    <t>hSystems EM Paper Error %</t>
  </si>
  <si>
    <t>hSystemsPaperPercentErrorEM</t>
  </si>
  <si>
    <t>hSystems CM Paper Error %</t>
  </si>
  <si>
    <t>hSystemsPaperPercentErrorCM</t>
  </si>
  <si>
    <t>hSystems SMCS Paper Error %</t>
  </si>
  <si>
    <t>hSystemsPaperPercentErrorSMCS</t>
  </si>
  <si>
    <t>hSystems O1 Paper Error %</t>
  </si>
  <si>
    <t>hSystemsPaperPercentErrorO1</t>
  </si>
  <si>
    <t>hSystems O2 Paper Error %</t>
  </si>
  <si>
    <t>hSystemsPaperPercentErrorO2</t>
  </si>
  <si>
    <t>hSystems HM Required Error Reworks</t>
  </si>
  <si>
    <t>hSystemsPaperRequiredReworksHM</t>
  </si>
  <si>
    <t>hSystems LM Required Error Reworks</t>
  </si>
  <si>
    <t>hSystemsPaperRequiredReworksLM</t>
  </si>
  <si>
    <t>hSystems ENG Required Error Reworks</t>
  </si>
  <si>
    <t>hSystemsPaperRequiredReworksENG</t>
  </si>
  <si>
    <t>hSystems PLG Required Error Reworks</t>
  </si>
  <si>
    <t>hSystemsPaperRequiredReworksPLG</t>
  </si>
  <si>
    <t>hSystems CRT Required Error Reworks</t>
  </si>
  <si>
    <t>hSystemsPaperRequiredReworksCRT</t>
  </si>
  <si>
    <t>hSystems SCL Required Error Reworks</t>
  </si>
  <si>
    <t>hSystemsPaperRequiredReworksSCL</t>
  </si>
  <si>
    <t>hSystems QSC Required Error Reworks</t>
  </si>
  <si>
    <t>hSystemsPaperRequiredReworksQSC</t>
  </si>
  <si>
    <t>hSystems EM Required Error Reworks</t>
  </si>
  <si>
    <t>hSystemsPaperRequiredReworksEM</t>
  </si>
  <si>
    <t>hSystems CM Required Error Reworks</t>
  </si>
  <si>
    <t>hSystemsPaperRequiredReworksCM</t>
  </si>
  <si>
    <t>hSystems SMCS Required Error Reworks</t>
  </si>
  <si>
    <t>hSystemsPaperRequiredReworksSMCS</t>
  </si>
  <si>
    <t>hSystems O1 Required Error Reworks</t>
  </si>
  <si>
    <t>hSystemsPaperRequiredReworksO1</t>
  </si>
  <si>
    <t>hSystems O2 Required Error Reworks</t>
  </si>
  <si>
    <t>hSystemsPaperRequiredReworksO2</t>
  </si>
  <si>
    <t>TOTAL hSystems Required Error Reworks pa</t>
  </si>
  <si>
    <t>hSystemsPaperRecordsErrors_Total</t>
  </si>
  <si>
    <t>pSystems Paper Records Generated</t>
  </si>
  <si>
    <t>hSystems Paper Records Generated</t>
  </si>
  <si>
    <t>hSystems Fleet Records HM Paper Total</t>
  </si>
  <si>
    <t>hSystemsFleetPaperHMTotal</t>
  </si>
  <si>
    <t>hSystems Fleet Records LM Paper Total</t>
  </si>
  <si>
    <t>hSystemsFleetPaperLMTotal</t>
  </si>
  <si>
    <t>hSystems Fleet Records ENG Paper Total</t>
  </si>
  <si>
    <t>hSystemsFleetPaperENGTotal</t>
  </si>
  <si>
    <t>hSystems Fleet Records PLG Paper Total</t>
  </si>
  <si>
    <t>hSystemsFleetPaperPLGTotal</t>
  </si>
  <si>
    <t>hSystems Fleet Records CRT Paper Total</t>
  </si>
  <si>
    <t>hSystemsFleetPaperCRTTotal</t>
  </si>
  <si>
    <t>hSystems Fleet Records SCL Paper Total</t>
  </si>
  <si>
    <t>hSystemsFleetPaperSCLTotal</t>
  </si>
  <si>
    <t>hSystems Fleet Records QSC Paper Total</t>
  </si>
  <si>
    <t>hSystemsFleetPaperQSCTotal</t>
  </si>
  <si>
    <t>hSystems Fleet Records EM Paper Total</t>
  </si>
  <si>
    <t>hSystemsFleetPaperEMTotal</t>
  </si>
  <si>
    <t>hSystems Fleet Records CM Paper Total</t>
  </si>
  <si>
    <t>hSystemsFleetPaperCMTotal</t>
  </si>
  <si>
    <t>hSystems Fleet Records SMCS Paper Total</t>
  </si>
  <si>
    <t>hSystemsFleetPaperSMCSTotal</t>
  </si>
  <si>
    <t>hSystems Fleet Records O1 Paper Total</t>
  </si>
  <si>
    <t>hSystemsFleetPaperO1Total</t>
  </si>
  <si>
    <t>hSystems Fleet Records O2 Paper Total</t>
  </si>
  <si>
    <t>hSystemsFleetPaperO2Total</t>
  </si>
  <si>
    <t>eSystems Paper Records Generated</t>
  </si>
  <si>
    <t>eSystems Fleet Records HM Paper Total</t>
  </si>
  <si>
    <t>eSystemsFleetPaperHMTotal</t>
  </si>
  <si>
    <t>eSystems Fleet Records LM Paper Total</t>
  </si>
  <si>
    <t>eSystemsFleetPaperLMTotal</t>
  </si>
  <si>
    <t>eSystems Fleet Records ENG Paper Total</t>
  </si>
  <si>
    <t>eSystemsFleetPaperENGTotal</t>
  </si>
  <si>
    <t>eSystems Fleet Records PLG Paper Total</t>
  </si>
  <si>
    <t>eSystemsFleetPaperPLGTotal</t>
  </si>
  <si>
    <t>eSystems Fleet Records CRT Paper Total</t>
  </si>
  <si>
    <t>eSystemsFleetPaperCRTTotal</t>
  </si>
  <si>
    <t>eSystems Fleet Records SCL Paper Total</t>
  </si>
  <si>
    <t>eSystemsFleetPaperSCLTotal</t>
  </si>
  <si>
    <t>eSystems Fleet Records QSC Paper Total</t>
  </si>
  <si>
    <t>eSystemsFleetPaperQSCTotal</t>
  </si>
  <si>
    <t>eSystems Fleet Records EM Paper Total</t>
  </si>
  <si>
    <t>eSystemsFleetPaperEMTotal</t>
  </si>
  <si>
    <t>eSystems Fleet Records CM Paper Total</t>
  </si>
  <si>
    <t>eSystemsFleetPaperCMTotal</t>
  </si>
  <si>
    <t>eSystems Fleet Records SMCS Paper Total</t>
  </si>
  <si>
    <t>eSystemsFleetPaperSMCSTotal</t>
  </si>
  <si>
    <t>eSystems Fleet Records O1 Paper Total</t>
  </si>
  <si>
    <t>eSystemsFleetPaperO1Total</t>
  </si>
  <si>
    <t>eSystems Fleet Records O2 Paper Total</t>
  </si>
  <si>
    <t>eSystemsFleetPaperO2Total</t>
  </si>
  <si>
    <t>eSystems HM Paper Error %</t>
  </si>
  <si>
    <t>eSystemsPaperPercentErrorHM</t>
  </si>
  <si>
    <t>eSystems LM Paper Error %</t>
  </si>
  <si>
    <t>eSystemsPaperPercentErrorLM</t>
  </si>
  <si>
    <t>eSystems ENG Paper Error %</t>
  </si>
  <si>
    <t>eSystemsPaperPercentErrorENG</t>
  </si>
  <si>
    <t>eSystems PLG Paper Error %</t>
  </si>
  <si>
    <t>eSystemsPaperPercentErrorPLG</t>
  </si>
  <si>
    <t>eSystems CRT Paper Error %</t>
  </si>
  <si>
    <t>eSystemsPaperPercentErrorCRT</t>
  </si>
  <si>
    <t>eSystems SCL Paper Error %</t>
  </si>
  <si>
    <t>eSystemsPaperPercentErrorSCL</t>
  </si>
  <si>
    <t>eSystems QSC Paper Error %</t>
  </si>
  <si>
    <t>eSystemsPaperPercentErrorQSC</t>
  </si>
  <si>
    <t>eSystems EM Paper Error %</t>
  </si>
  <si>
    <t>eSystemsPaperPercentErrorEM</t>
  </si>
  <si>
    <t>eSystems CM Paper Error %</t>
  </si>
  <si>
    <t>eSystemsPaperPercentErrorCM</t>
  </si>
  <si>
    <t>eSystems SMCS Paper Error %</t>
  </si>
  <si>
    <t>eSystemsPaperPercentErrorSMCS</t>
  </si>
  <si>
    <t>eSystems O1 Paper Error %</t>
  </si>
  <si>
    <t>eSystemsPaperPercentErrorO1</t>
  </si>
  <si>
    <t>eSystems O2 Paper Error %</t>
  </si>
  <si>
    <t>eSystemsPaperPercentErrorO2</t>
  </si>
  <si>
    <t>eSystems HM Required Error Reworks</t>
  </si>
  <si>
    <t>eSystemsPaperRequiredReworksHM</t>
  </si>
  <si>
    <t>eSystems LM Required Error Reworks</t>
  </si>
  <si>
    <t>eSystemsPaperRequiredReworksLM</t>
  </si>
  <si>
    <t>eSystems ENG Required Error Reworks</t>
  </si>
  <si>
    <t>eSystemsPaperRequiredReworksENG</t>
  </si>
  <si>
    <t>eSystems PLG Required Error Reworks</t>
  </si>
  <si>
    <t>eSystemsPaperRequiredReworksPLG</t>
  </si>
  <si>
    <t>eSystems CRT Required Error Reworks</t>
  </si>
  <si>
    <t>eSystemsPaperRequiredReworksCRT</t>
  </si>
  <si>
    <t>eSystems SCL Required Error Reworks</t>
  </si>
  <si>
    <t>eSystemsPaperRequiredReworksSCL</t>
  </si>
  <si>
    <t>eSystems QSC Required Error Reworks</t>
  </si>
  <si>
    <t>eSystemsPaperRequiredReworksQSC</t>
  </si>
  <si>
    <t>eSystems EM Required Error Reworks</t>
  </si>
  <si>
    <t>eSystemsPaperRequiredReworksEM</t>
  </si>
  <si>
    <t>eSystems CM Required Error Reworks</t>
  </si>
  <si>
    <t>eSystemsPaperRequiredReworksCM</t>
  </si>
  <si>
    <t>eSystems SMCS Required Error Reworks</t>
  </si>
  <si>
    <t>eSystemsPaperRequiredReworksSMCS</t>
  </si>
  <si>
    <t>eSystems O1 Required Error Reworks</t>
  </si>
  <si>
    <t>eSystemsPaperRequiredReworksO1</t>
  </si>
  <si>
    <t>eSystems O2 Required Error Reworks</t>
  </si>
  <si>
    <t>eSystemsPaperRequiredReworksO2</t>
  </si>
  <si>
    <t>TOTAL eSystems Required Error Reworks pa</t>
  </si>
  <si>
    <t>eSystemsPaperRecordsErrors_Total</t>
  </si>
  <si>
    <t>pSystems HM Rework Hours</t>
  </si>
  <si>
    <t>pSystems LM Rework Hours</t>
  </si>
  <si>
    <t>pSystems ENG Rework Hours</t>
  </si>
  <si>
    <t>pSystems PLG Rework Hours</t>
  </si>
  <si>
    <t>pSystems CRT Rework Hours</t>
  </si>
  <si>
    <t>pSystems SCL Rework Hours</t>
  </si>
  <si>
    <t>pSystems QSC Rework Hours</t>
  </si>
  <si>
    <t>pSystems EM Rework Hours</t>
  </si>
  <si>
    <t>pSystems CM Rework Hours</t>
  </si>
  <si>
    <t>pSystems SMCS Rework Hours</t>
  </si>
  <si>
    <t>pSystems O1 Rework Hours</t>
  </si>
  <si>
    <t>pSystems O2 Rework Hours</t>
  </si>
  <si>
    <t>pSystemsReworkHoursHM</t>
  </si>
  <si>
    <t>pSystemsReworkHoursLM</t>
  </si>
  <si>
    <t>pSystemsReworkHoursENG</t>
  </si>
  <si>
    <t>pSystemsReworkHoursPLG</t>
  </si>
  <si>
    <t>pSystemsReworkHoursCRT</t>
  </si>
  <si>
    <t>pSystemsReworkHoursSCL</t>
  </si>
  <si>
    <t>pSystemsReworkHoursQSC</t>
  </si>
  <si>
    <t>pSystemsReworkHoursEM</t>
  </si>
  <si>
    <t>pSystemsReworkHoursCM</t>
  </si>
  <si>
    <t>pSystemsReworkHoursSMCS</t>
  </si>
  <si>
    <t>pSystemsReworkHoursO1</t>
  </si>
  <si>
    <t>pSystemsReworkHoursO2</t>
  </si>
  <si>
    <t>pSystems HM Rework Hours pa</t>
  </si>
  <si>
    <t>pSystems LM Rework Hours pa</t>
  </si>
  <si>
    <t>pSystems ENG Rework Hours pa</t>
  </si>
  <si>
    <t>pSystems PLG Rework Hours pa</t>
  </si>
  <si>
    <t>pSystems CRT Rework Hours pa</t>
  </si>
  <si>
    <t>pSystems SCL Rework Hours pa</t>
  </si>
  <si>
    <t>pSystems QSC Rework Hours pa</t>
  </si>
  <si>
    <t>pSystems EM Rework Hours pa</t>
  </si>
  <si>
    <t>pSystems CM Rework Hours pa</t>
  </si>
  <si>
    <t>pSystems SMCS Rework Hours pa</t>
  </si>
  <si>
    <t>pSystems O1 Rework Hours pa</t>
  </si>
  <si>
    <t>pSystems O2 Rework Hours pa</t>
  </si>
  <si>
    <t>pSystemsReworkHourspaHM</t>
  </si>
  <si>
    <t>pSystemsReworkHourspaLM</t>
  </si>
  <si>
    <t>pSystemsReworkHourspaENG</t>
  </si>
  <si>
    <t>pSystemsReworkHourspaPLG</t>
  </si>
  <si>
    <t>pSystemsReworkHourspaCRT</t>
  </si>
  <si>
    <t>pSystemsReworkHourspaSCL</t>
  </si>
  <si>
    <t>pSystemsReworkHourspaQSC</t>
  </si>
  <si>
    <t>pSystemsReworkHourspaEM</t>
  </si>
  <si>
    <t>pSystemsReworkHourspaCM</t>
  </si>
  <si>
    <t>pSystemsReworkHourspaSMCS</t>
  </si>
  <si>
    <t>pSystemsReworkHourspaO1</t>
  </si>
  <si>
    <t>pSystemsReworkHourspaO2</t>
  </si>
  <si>
    <t>hSystems HM Rework Hours</t>
  </si>
  <si>
    <t>hSystemsReworkHoursHM</t>
  </si>
  <si>
    <t>hSystems LM Rework Hours</t>
  </si>
  <si>
    <t>hSystemsReworkHoursLM</t>
  </si>
  <si>
    <t>hSystems ENG Rework Hours</t>
  </si>
  <si>
    <t>hSystemsReworkHoursENG</t>
  </si>
  <si>
    <t>hSystems PLG Rework Hours</t>
  </si>
  <si>
    <t>hSystemsReworkHoursPLG</t>
  </si>
  <si>
    <t>hSystems CRT Rework Hours</t>
  </si>
  <si>
    <t>hSystemsReworkHoursCRT</t>
  </si>
  <si>
    <t>hSystems SCL Rework Hours</t>
  </si>
  <si>
    <t>hSystemsReworkHoursSCL</t>
  </si>
  <si>
    <t>hSystems QSC Rework Hours</t>
  </si>
  <si>
    <t>hSystemsReworkHoursQSC</t>
  </si>
  <si>
    <t>hSystems EM Rework Hours</t>
  </si>
  <si>
    <t>hSystemsReworkHoursEM</t>
  </si>
  <si>
    <t>hSystems CM Rework Hours</t>
  </si>
  <si>
    <t>hSystemsReworkHoursCM</t>
  </si>
  <si>
    <t>hSystems SMCS Rework Hours</t>
  </si>
  <si>
    <t>hSystemsReworkHoursSMCS</t>
  </si>
  <si>
    <t>hSystems O1 Rework Hours</t>
  </si>
  <si>
    <t>hSystemsReworkHoursO1</t>
  </si>
  <si>
    <t>hSystems O2 Rework Hours</t>
  </si>
  <si>
    <t>hSystemsReworkHoursO2</t>
  </si>
  <si>
    <t>hSystems HM Rework Hours pa</t>
  </si>
  <si>
    <t>hSystemsReworkHourspaHM</t>
  </si>
  <si>
    <t>hSystems LM Rework Hours pa</t>
  </si>
  <si>
    <t>hSystemsReworkHourspaLM</t>
  </si>
  <si>
    <t>hSystems ENG Rework Hours pa</t>
  </si>
  <si>
    <t>hSystemsReworkHourspaENG</t>
  </si>
  <si>
    <t>hSystems PLG Rework Hours pa</t>
  </si>
  <si>
    <t>hSystemsReworkHourspaPLG</t>
  </si>
  <si>
    <t>hSystems CRT Rework Hours pa</t>
  </si>
  <si>
    <t>hSystemsReworkHourspaCRT</t>
  </si>
  <si>
    <t>hSystems SCL Rework Hours pa</t>
  </si>
  <si>
    <t>hSystemsReworkHourspaSCL</t>
  </si>
  <si>
    <t>hSystems QSC Rework Hours pa</t>
  </si>
  <si>
    <t>hSystemsReworkHourspaQSC</t>
  </si>
  <si>
    <t>hSystems EM Rework Hours pa</t>
  </si>
  <si>
    <t>hSystemsReworkHourspaEM</t>
  </si>
  <si>
    <t>hSystems CM Rework Hours pa</t>
  </si>
  <si>
    <t>hSystemsReworkHourspaCM</t>
  </si>
  <si>
    <t>hSystems SMCS Rework Hours pa</t>
  </si>
  <si>
    <t>hSystemsReworkHourspaSMCS</t>
  </si>
  <si>
    <t>hSystems O1 Rework Hours pa</t>
  </si>
  <si>
    <t>hSystemsReworkHourspaO1</t>
  </si>
  <si>
    <t>hSystems O2 Rework Hours pa</t>
  </si>
  <si>
    <t>hSystemsReworkHourspaO2</t>
  </si>
  <si>
    <t>eSystems HM Rework Hours</t>
  </si>
  <si>
    <t>eSystemsReworkHoursHM</t>
  </si>
  <si>
    <t>eSystems LM Rework Hours</t>
  </si>
  <si>
    <t>eSystemsReworkHoursLM</t>
  </si>
  <si>
    <t>eSystems ENG Rework Hours</t>
  </si>
  <si>
    <t>eSystemsReworkHoursENG</t>
  </si>
  <si>
    <t>eSystems PLG Rework Hours</t>
  </si>
  <si>
    <t>eSystemsReworkHoursPLG</t>
  </si>
  <si>
    <t>eSystems CRT Rework Hours</t>
  </si>
  <si>
    <t>eSystemsReworkHoursCRT</t>
  </si>
  <si>
    <t>eSystems SCL Rework Hours</t>
  </si>
  <si>
    <t>eSystemsReworkHoursSCL</t>
  </si>
  <si>
    <t>eSystems QSC Rework Hours</t>
  </si>
  <si>
    <t>eSystemsReworkHoursQSC</t>
  </si>
  <si>
    <t>eSystems EM Rework Hours</t>
  </si>
  <si>
    <t>eSystemsReworkHoursEM</t>
  </si>
  <si>
    <t>eSystems CM Rework Hours</t>
  </si>
  <si>
    <t>eSystemsReworkHoursCM</t>
  </si>
  <si>
    <t>eSystems SMCS Rework Hours</t>
  </si>
  <si>
    <t>eSystemsReworkHoursSMCS</t>
  </si>
  <si>
    <t>eSystems O1 Rework Hours</t>
  </si>
  <si>
    <t>eSystemsReworkHoursO1</t>
  </si>
  <si>
    <t>eSystems O2 Rework Hours</t>
  </si>
  <si>
    <t>eSystemsReworkHoursO2</t>
  </si>
  <si>
    <t>eSystems HM Rework Hours pa</t>
  </si>
  <si>
    <t>eSystemsReworkHourspaHM</t>
  </si>
  <si>
    <t>eSystems LM Rework Hours pa</t>
  </si>
  <si>
    <t>eSystemsReworkHourspaLM</t>
  </si>
  <si>
    <t>eSystems ENG Rework Hours pa</t>
  </si>
  <si>
    <t>eSystemsReworkHourspaENG</t>
  </si>
  <si>
    <t>eSystems PLG Rework Hours pa</t>
  </si>
  <si>
    <t>eSystemsReworkHourspaPLG</t>
  </si>
  <si>
    <t>eSystems CRT Rework Hours pa</t>
  </si>
  <si>
    <t>eSystemsReworkHourspaCRT</t>
  </si>
  <si>
    <t>eSystems SCL Rework Hours pa</t>
  </si>
  <si>
    <t>eSystemsReworkHourspaSCL</t>
  </si>
  <si>
    <t>eSystems QSC Rework Hours pa</t>
  </si>
  <si>
    <t>eSystemsReworkHourspaQSC</t>
  </si>
  <si>
    <t>eSystems EM Rework Hours pa</t>
  </si>
  <si>
    <t>eSystemsReworkHourspaEM</t>
  </si>
  <si>
    <t>eSystems CM Rework Hours pa</t>
  </si>
  <si>
    <t>eSystemsReworkHourspaCM</t>
  </si>
  <si>
    <t>eSystems SMCS Rework Hours pa</t>
  </si>
  <si>
    <t>eSystemsReworkHourspaSMCS</t>
  </si>
  <si>
    <t>eSystems O1 Rework Hours pa</t>
  </si>
  <si>
    <t>eSystemsReworkHourspaO1</t>
  </si>
  <si>
    <t>eSystems O2 Rework Hours pa</t>
  </si>
  <si>
    <t>eSystemsReworkHourspaO2</t>
  </si>
  <si>
    <t>pSystemsTouchRateHourENG</t>
  </si>
  <si>
    <t>pSystemsTouchRateHourPLG</t>
  </si>
  <si>
    <t>pSystemsTouchRateHourLM</t>
  </si>
  <si>
    <t>pSystemsTouchRateHourHM</t>
  </si>
  <si>
    <t>pSystemsTouchRateHourCRT</t>
  </si>
  <si>
    <t>pSystemsTouchRateHourSCL</t>
  </si>
  <si>
    <t>pSystemsTouchRateHourQSC</t>
  </si>
  <si>
    <t>pSystemsTouchRateHourEM</t>
  </si>
  <si>
    <t>pSystemsTouchRateHourCM</t>
  </si>
  <si>
    <t>pSystemsTouchRateHourSMCS</t>
  </si>
  <si>
    <t>pSystemsTouchRateHourO1</t>
  </si>
  <si>
    <t>pSystemsTouchRateHourO2</t>
  </si>
  <si>
    <t>hSystemsTouchRateHourENG</t>
  </si>
  <si>
    <t>hSystemsTouchRateHourPLG</t>
  </si>
  <si>
    <t>hSystemsTouchRateHourLM</t>
  </si>
  <si>
    <t>hSystemsTouchRateHourHM</t>
  </si>
  <si>
    <t>hSystemsTouchRateHourCRT</t>
  </si>
  <si>
    <t>hSystemsTouchRateHourSCL</t>
  </si>
  <si>
    <t>hSystemsTouchRateHourQSC</t>
  </si>
  <si>
    <t>hSystemsTouchRateHourEM</t>
  </si>
  <si>
    <t>hSystemsTouchRateHourCM</t>
  </si>
  <si>
    <t>hSystemsTouchRateHourSMCS</t>
  </si>
  <si>
    <t>hSystemsTouchRateHourO1</t>
  </si>
  <si>
    <t>hSystemsTouchRateHourO2</t>
  </si>
  <si>
    <t>eSystemsTouchRateHourENG</t>
  </si>
  <si>
    <t>eSystemsTouchRateHourPLG</t>
  </si>
  <si>
    <t>eSystemsTouchRateHourLM</t>
  </si>
  <si>
    <t>eSystemsTouchRateHourHM</t>
  </si>
  <si>
    <t>eSystemsTouchRateHourCRT</t>
  </si>
  <si>
    <t>eSystemsTouchRateHourSCL</t>
  </si>
  <si>
    <t>eSystemsTouchRateHourQSC</t>
  </si>
  <si>
    <t>eSystemsTouchRateHourEM</t>
  </si>
  <si>
    <t>eSystemsTouchRateHourCM</t>
  </si>
  <si>
    <t>eSystemsTouchRateHourSMCS</t>
  </si>
  <si>
    <t>eSystemsTouchRateHourO1</t>
  </si>
  <si>
    <t>eSystemsTouchRateHourO2</t>
  </si>
  <si>
    <t>pSystems HM Rework Cost pa</t>
  </si>
  <si>
    <t>pSystemsReworkCostpaHM</t>
  </si>
  <si>
    <t>pSystemsReworkCostpaLM</t>
  </si>
  <si>
    <t>pSystemsReworkCostpaENG</t>
  </si>
  <si>
    <t>pSystemsReworkCostpaPLG</t>
  </si>
  <si>
    <t>pSystemsReworkCostpaCRT</t>
  </si>
  <si>
    <t>pSystemsReworkCostpaSCL</t>
  </si>
  <si>
    <t>pSystemsReworkCostpaQSC</t>
  </si>
  <si>
    <t>pSystemsReworkCostpaEM</t>
  </si>
  <si>
    <t>pSystemsReworkCostpaCM</t>
  </si>
  <si>
    <t>pSystemsReworkCostpaSMCS</t>
  </si>
  <si>
    <t>pSystemsReworkCostpaO1</t>
  </si>
  <si>
    <t>pSystemsReworkCostpaO2</t>
  </si>
  <si>
    <t>hSystems HM Rework Cost pa</t>
  </si>
  <si>
    <t>hSystemsReworkCostpaHM</t>
  </si>
  <si>
    <t>hSystemsReworkCostpaLM</t>
  </si>
  <si>
    <t>hSystemsReworkCostpaENG</t>
  </si>
  <si>
    <t>hSystemsReworkCostpaPLG</t>
  </si>
  <si>
    <t>hSystemsReworkCostpaCRT</t>
  </si>
  <si>
    <t>hSystemsReworkCostpaSCL</t>
  </si>
  <si>
    <t>hSystemsReworkCostpaQSC</t>
  </si>
  <si>
    <t>hSystemsReworkCostpaEM</t>
  </si>
  <si>
    <t>hSystemsReworkCostpaCM</t>
  </si>
  <si>
    <t>hSystemsReworkCostpaSMCS</t>
  </si>
  <si>
    <t>hSystemsReworkCostpaO1</t>
  </si>
  <si>
    <t>hSystemsReworkCostpaO2</t>
  </si>
  <si>
    <t>eSystems HM Rework Cost pa</t>
  </si>
  <si>
    <t>eSystemsReworkCostpaHM</t>
  </si>
  <si>
    <t>eSystemsReworkCostpaLM</t>
  </si>
  <si>
    <t>eSystemsReworkCostpaENG</t>
  </si>
  <si>
    <t>eSystemsReworkCostpaPLG</t>
  </si>
  <si>
    <t>eSystemsReworkCostpaCRT</t>
  </si>
  <si>
    <t>eSystemsReworkCostpaSCL</t>
  </si>
  <si>
    <t>eSystemsReworkCostpaQSC</t>
  </si>
  <si>
    <t>eSystemsReworkCostpaEM</t>
  </si>
  <si>
    <t>eSystemsReworkCostpaCM</t>
  </si>
  <si>
    <t>eSystemsReworkCostpaSMCS</t>
  </si>
  <si>
    <t>eSystemsReworkCostpaO1</t>
  </si>
  <si>
    <t>eSystemsReworkCostpaO2</t>
  </si>
  <si>
    <t>pSystems LM Rework Cost pa</t>
  </si>
  <si>
    <t>pSystems ENG Rework Cost pa</t>
  </si>
  <si>
    <t>pSystems PLG Rework Cost pa</t>
  </si>
  <si>
    <t>pSystems CRT Rework Cost pa</t>
  </si>
  <si>
    <t>pSystems SCL Rework Cost pa</t>
  </si>
  <si>
    <t>pSystems QSC Rework Cost pa</t>
  </si>
  <si>
    <t>pSystems EM Rework Cost pa</t>
  </si>
  <si>
    <t>pSystems CM Rework Cost pa</t>
  </si>
  <si>
    <t>pSystems SMCS Rework Cost pa</t>
  </si>
  <si>
    <t>pSystems O1 Rework Cost pa</t>
  </si>
  <si>
    <t>pSystems O2 Rework Cost pa</t>
  </si>
  <si>
    <t>hSystems LM Rework Cost pa</t>
  </si>
  <si>
    <t>hSystems ENG Rework Cost pa</t>
  </si>
  <si>
    <t>hSystems PLG Rework Cost pa</t>
  </si>
  <si>
    <t>hSystems CRT Rework Cost pa</t>
  </si>
  <si>
    <t>hSystems SCL Rework Cost pa</t>
  </si>
  <si>
    <t>hSystems QSC Rework Cost pa</t>
  </si>
  <si>
    <t>hSystems EM Rework Cost pa</t>
  </si>
  <si>
    <t>hSystems CM Rework Cost pa</t>
  </si>
  <si>
    <t>hSystems SMCS Rework Cost pa</t>
  </si>
  <si>
    <t>hSystems O1 Rework Cost pa</t>
  </si>
  <si>
    <t>hSystems O2 Rework Cost pa</t>
  </si>
  <si>
    <t>eSystems LM Rework Cost pa</t>
  </si>
  <si>
    <t>eSystems ENG Rework Cost pa</t>
  </si>
  <si>
    <t>eSystems PLG Rework Cost pa</t>
  </si>
  <si>
    <t>eSystems CRT Rework Cost pa</t>
  </si>
  <si>
    <t>eSystems SCL Rework Cost pa</t>
  </si>
  <si>
    <t>eSystems QSC Rework Cost pa</t>
  </si>
  <si>
    <t>eSystems EM Rework Cost pa</t>
  </si>
  <si>
    <t>eSystems CM Rework Cost pa</t>
  </si>
  <si>
    <t>eSystems SMCS Rework Cost pa</t>
  </si>
  <si>
    <t>eSystems O1 Rework Cost pa</t>
  </si>
  <si>
    <t>eSystems O2 Rework Cost pa</t>
  </si>
  <si>
    <t>pSystems Rework Total Cost pa</t>
  </si>
  <si>
    <t>pSystemsReworkTotalCostpa</t>
  </si>
  <si>
    <t>hSystems Rework Total Cost pa</t>
  </si>
  <si>
    <t>hSystemsReworkTotalCostpa</t>
  </si>
  <si>
    <t>eSystems Rework Total Cost pa</t>
  </si>
  <si>
    <t>eSystemsReworkTotalCostpa</t>
  </si>
  <si>
    <t>pSystems HM Rework FTEs</t>
  </si>
  <si>
    <t>pSystems LM Rework FTEs</t>
  </si>
  <si>
    <t>pSystems ENG Rework FTEs</t>
  </si>
  <si>
    <t>pSystems PLG Rework FTEs</t>
  </si>
  <si>
    <t>pSystems CRT Rework FTEs</t>
  </si>
  <si>
    <t>pSystems SCL Rework FTEs</t>
  </si>
  <si>
    <t>pSystems QSC Rework FTEs</t>
  </si>
  <si>
    <t>pSystems EM Rework FTEs</t>
  </si>
  <si>
    <t>pSystems CM Rework FTEs</t>
  </si>
  <si>
    <t>pSystems SMCS Rework FTEs</t>
  </si>
  <si>
    <t>pSystems O1 Rework FTEs</t>
  </si>
  <si>
    <t>pSystems O2 Rework FTEs</t>
  </si>
  <si>
    <t>pSystems Rework Total FTEs</t>
  </si>
  <si>
    <t>pSystemsReworkFTEsHM</t>
  </si>
  <si>
    <t>pSystemsReworkFTEsLM</t>
  </si>
  <si>
    <t>pSystemsReworkFTEsENG</t>
  </si>
  <si>
    <t>pSystemsReworkFTEsPLG</t>
  </si>
  <si>
    <t>pSystemsReworkFTEsCRT</t>
  </si>
  <si>
    <t>pSystemsReworkFTEsSCL</t>
  </si>
  <si>
    <t>pSystemsReworkFTEsQSC</t>
  </si>
  <si>
    <t>pSystemsReworkFTEsEM</t>
  </si>
  <si>
    <t>pSystemsReworkFTEsCM</t>
  </si>
  <si>
    <t>pSystemsReworkFTEsSMCS</t>
  </si>
  <si>
    <t>pSystemsReworkFTEsO1</t>
  </si>
  <si>
    <t>pSystemsReworkFTEsO2</t>
  </si>
  <si>
    <t>pSystemsReworkTotalFTEs</t>
  </si>
  <si>
    <t>hSystems HM Rework FTEs</t>
  </si>
  <si>
    <t>hSystemsReworkFTEsHM</t>
  </si>
  <si>
    <t>hSystems LM Rework FTEs</t>
  </si>
  <si>
    <t>hSystemsReworkFTEsLM</t>
  </si>
  <si>
    <t>hSystems ENG Rework FTEs</t>
  </si>
  <si>
    <t>hSystemsReworkFTEsENG</t>
  </si>
  <si>
    <t>hSystems PLG Rework FTEs</t>
  </si>
  <si>
    <t>hSystemsReworkFTEsPLG</t>
  </si>
  <si>
    <t>hSystems CRT Rework FTEs</t>
  </si>
  <si>
    <t>hSystemsReworkFTEsCRT</t>
  </si>
  <si>
    <t>hSystems SCL Rework FTEs</t>
  </si>
  <si>
    <t>hSystemsReworkFTEsSCL</t>
  </si>
  <si>
    <t>hSystems QSC Rework FTEs</t>
  </si>
  <si>
    <t>hSystemsReworkFTEsQSC</t>
  </si>
  <si>
    <t>hSystems EM Rework FTEs</t>
  </si>
  <si>
    <t>hSystemsReworkFTEsEM</t>
  </si>
  <si>
    <t>hSystems CM Rework FTEs</t>
  </si>
  <si>
    <t>hSystemsReworkFTEsCM</t>
  </si>
  <si>
    <t>hSystems SMCS Rework FTEs</t>
  </si>
  <si>
    <t>hSystemsReworkFTEsSMCS</t>
  </si>
  <si>
    <t>hSystems O1 Rework FTEs</t>
  </si>
  <si>
    <t>hSystemsReworkFTEsO1</t>
  </si>
  <si>
    <t>hSystems O2 Rework FTEs</t>
  </si>
  <si>
    <t>hSystemsReworkFTEsO2</t>
  </si>
  <si>
    <t>hSystems Rework Total FTEs</t>
  </si>
  <si>
    <t>hSystemsReworkTotalFTEs</t>
  </si>
  <si>
    <t>eSystems HM Rework FTEs</t>
  </si>
  <si>
    <t>eSystemsReworkFTEsHM</t>
  </si>
  <si>
    <t>eSystems LM Rework FTEs</t>
  </si>
  <si>
    <t>eSystemsReworkFTEsLM</t>
  </si>
  <si>
    <t>eSystems ENG Rework FTEs</t>
  </si>
  <si>
    <t>eSystemsReworkFTEsENG</t>
  </si>
  <si>
    <t>eSystems PLG Rework FTEs</t>
  </si>
  <si>
    <t>eSystemsReworkFTEsPLG</t>
  </si>
  <si>
    <t>eSystems CRT Rework FTEs</t>
  </si>
  <si>
    <t>eSystemsReworkFTEsCRT</t>
  </si>
  <si>
    <t>eSystems SCL Rework FTEs</t>
  </si>
  <si>
    <t>eSystemsReworkFTEsSCL</t>
  </si>
  <si>
    <t>eSystems QSC Rework FTEs</t>
  </si>
  <si>
    <t>eSystemsReworkFTEsQSC</t>
  </si>
  <si>
    <t>eSystems EM Rework FTEs</t>
  </si>
  <si>
    <t>eSystemsReworkFTEsEM</t>
  </si>
  <si>
    <t>eSystems CM Rework FTEs</t>
  </si>
  <si>
    <t>eSystemsReworkFTEsCM</t>
  </si>
  <si>
    <t>eSystems SMCS Rework FTEs</t>
  </si>
  <si>
    <t>eSystemsReworkFTEsSMCS</t>
  </si>
  <si>
    <t>eSystems O1 Rework FTEs</t>
  </si>
  <si>
    <t>eSystemsReworkFTEsO1</t>
  </si>
  <si>
    <t>eSystems O2 Rework FTEs</t>
  </si>
  <si>
    <t>eSystemsReworkFTEsO2</t>
  </si>
  <si>
    <t>eSystems Rework Total FTEs</t>
  </si>
  <si>
    <t>eSystemsReworkTotalFTEs</t>
  </si>
  <si>
    <t>eSystemsReworkTotalCostpa_CFS</t>
  </si>
  <si>
    <t>pSystemsReworkTotalCostpa_CFS</t>
  </si>
  <si>
    <t>hSystemsReworkTotalCostpa_CFS</t>
  </si>
  <si>
    <t>pSystemsFTERework_OutputSummary</t>
  </si>
  <si>
    <t>hSystemsFTERework_OutputSummary</t>
  </si>
  <si>
    <t>eSystemsFTERework_OutputSummary</t>
  </si>
  <si>
    <t>pSystems HM Labor Hours per Return</t>
  </si>
  <si>
    <t>pSystems LM Labor Hours per Return</t>
  </si>
  <si>
    <t>pSystems ENG Labor Hours per Return</t>
  </si>
  <si>
    <t>pSystems PLG Labor Hours per Return</t>
  </si>
  <si>
    <t>pSystems CRT Labor Hours per Return</t>
  </si>
  <si>
    <t>pSystems SCL Labor Hours per Return</t>
  </si>
  <si>
    <t>pSystems QSC Labor Hours per Return</t>
  </si>
  <si>
    <t>pSystems EM Labor Hours per Return</t>
  </si>
  <si>
    <t>pSystems CM Labor Hours per Return</t>
  </si>
  <si>
    <t>pSystems SMCS Labor Hours per Return</t>
  </si>
  <si>
    <t>pSystems O1 Labor Hours per Return</t>
  </si>
  <si>
    <t>pSystems O2 Labor Hours per Return</t>
  </si>
  <si>
    <t>pSystemsLeaseLaborHrsHM</t>
  </si>
  <si>
    <t>pSystemsLeaseLaborHrsLM</t>
  </si>
  <si>
    <t>pSystemsLeaseLaborHrsENG</t>
  </si>
  <si>
    <t>pSystemsLeaseLaborHrsPLG</t>
  </si>
  <si>
    <t>pSystemsLeaseLaborHrsCRT</t>
  </si>
  <si>
    <t>pSystemsLeaseLaborHrsQSC</t>
  </si>
  <si>
    <t>pSystemsLeaseLaborHrsEM</t>
  </si>
  <si>
    <t>pSystemsLeaseLaborHrsCM</t>
  </si>
  <si>
    <t>pSystemsLeaseLaborHrsSMCS</t>
  </si>
  <si>
    <t>pSystemsLeaseLaborHrsO1</t>
  </si>
  <si>
    <t>pSystemsLeaseLaborHrsO2</t>
  </si>
  <si>
    <t>pSystems HM Lease Return Cost pa</t>
  </si>
  <si>
    <t>pSystems LM Lease Return Cost pa</t>
  </si>
  <si>
    <t>pSystems ENG Lease Return Cost pa</t>
  </si>
  <si>
    <t>pSystems PLG Lease Return Cost pa</t>
  </si>
  <si>
    <t>pSystems CRT Lease Return Cost pa</t>
  </si>
  <si>
    <t>pSystems SCL Lease Return Cost pa</t>
  </si>
  <si>
    <t>pSystems QSC Lease Return Cost pa</t>
  </si>
  <si>
    <t>pSystems EM Lease Return Cost pa</t>
  </si>
  <si>
    <t>pSystems CM Lease Return Cost pa</t>
  </si>
  <si>
    <t>pSystems SMCS Lease Return Cost pa</t>
  </si>
  <si>
    <t>pSystems O1 Lease Return Cost pa</t>
  </si>
  <si>
    <t>pSystems O2 Lease Return Cost pa</t>
  </si>
  <si>
    <t>pSystems Lease Return Total Cost pa</t>
  </si>
  <si>
    <t>pSystemsLeaseLaborCostHM</t>
  </si>
  <si>
    <t>pSystemsLeaseLaborCostLM</t>
  </si>
  <si>
    <t>pSystemsLeaseLaborCostENG</t>
  </si>
  <si>
    <t>pSystemsLeaseLaborCostPLG</t>
  </si>
  <si>
    <t>pSystemsLeaseLaborCostCRT</t>
  </si>
  <si>
    <t>pSystemsLeaseLaborCostSCL</t>
  </si>
  <si>
    <t>pSystemsLeaseLaborCostQSC</t>
  </si>
  <si>
    <t>pSystemsLeaseLaborCostEM</t>
  </si>
  <si>
    <t>pSystemsLeaseLaborCostCM</t>
  </si>
  <si>
    <t>pSystemsLeaseLaborCostSMCS</t>
  </si>
  <si>
    <t>pSystemsLeaseLaborCostO1</t>
  </si>
  <si>
    <t>pSystemsLeaseLaborCostO2</t>
  </si>
  <si>
    <t>pSystems HM Lease Return FTEs</t>
  </si>
  <si>
    <t>pSystems LM Lease Return FTEs</t>
  </si>
  <si>
    <t>pSystems ENG Lease Return FTEs</t>
  </si>
  <si>
    <t>pSystems PLG Lease Return FTEs</t>
  </si>
  <si>
    <t>pSystems CRT Lease Return FTEs</t>
  </si>
  <si>
    <t>pSystems SCL Lease Return FTEs</t>
  </si>
  <si>
    <t>pSystems QSC Lease Return FTEs</t>
  </si>
  <si>
    <t>pSystems EM Lease Return FTEs</t>
  </si>
  <si>
    <t>pSystems CM Lease Return FTEs</t>
  </si>
  <si>
    <t>pSystems SMCS Lease Return FTEs</t>
  </si>
  <si>
    <t>pSystems O1 Lease Return FTEs</t>
  </si>
  <si>
    <t>pSystems O2 Lease Return FTEs</t>
  </si>
  <si>
    <t>pSystems Lease Return Total FTEs</t>
  </si>
  <si>
    <t>pSystemsLeaseReturnFTEsHM</t>
  </si>
  <si>
    <t>pSystemsLeaseReturnFTEsLM</t>
  </si>
  <si>
    <t>pSystemsLeaseReturnFTEsENG</t>
  </si>
  <si>
    <t>pSystemsLeaseReturnFTEsPLG</t>
  </si>
  <si>
    <t>pSystemsLeaseReturnFTEsCRT</t>
  </si>
  <si>
    <t>pSystemsLeaseReturnFTEsSCL</t>
  </si>
  <si>
    <t>pSystemsLeaseReturnFTEsQSC</t>
  </si>
  <si>
    <t>pSystemsLeaseReturnFTEsEM</t>
  </si>
  <si>
    <t>pSystemsLeaseReturnFTEsCM</t>
  </si>
  <si>
    <t>pSystemsLeaseReturnFTEsSMCS</t>
  </si>
  <si>
    <t>pSystemsLeaseReturnFTEsO1</t>
  </si>
  <si>
    <t>pSystemsLeaseReturnFTEsO2</t>
  </si>
  <si>
    <t>pSystemsLeaseReturnTotalFTEs</t>
  </si>
  <si>
    <t>pSystemsTouchHourspaENG</t>
  </si>
  <si>
    <t>pSystemsTouchHourspaPLG</t>
  </si>
  <si>
    <t>pSystemsTouchHourspaLM</t>
  </si>
  <si>
    <t>pSystemsTouchHourspaHM</t>
  </si>
  <si>
    <t>pSystemsTouchHourspaCRT</t>
  </si>
  <si>
    <t>pSystemsTouchHourspaSCL</t>
  </si>
  <si>
    <t>pSystemsTouchHourspaQSC</t>
  </si>
  <si>
    <t>pSystemsTouchHourspaEM</t>
  </si>
  <si>
    <t>pSystemsTouchHourspaCM</t>
  </si>
  <si>
    <t>pSystemsTouchHourspaSMCS</t>
  </si>
  <si>
    <t>pSystemsTouchHourspaO1</t>
  </si>
  <si>
    <t>pSystemsTouchHourspaO2</t>
  </si>
  <si>
    <t>hSystemsTouchHourspaENG</t>
  </si>
  <si>
    <t>hSystemsTouchHourspaPLG</t>
  </si>
  <si>
    <t>hSystemsTouchHourspaLM</t>
  </si>
  <si>
    <t>hSystemsTouchHourspaHM</t>
  </si>
  <si>
    <t>hSystemsTouchHourspaCRT</t>
  </si>
  <si>
    <t>hSystemsTouchHourspaSCL</t>
  </si>
  <si>
    <t>hSystemsTouchHourspaQSC</t>
  </si>
  <si>
    <t>hSystemsTouchHourspaEM</t>
  </si>
  <si>
    <t>hSystemsTouchHourspaCM</t>
  </si>
  <si>
    <t>hSystemsTouchHourspaSMCS</t>
  </si>
  <si>
    <t>hSystemsTouchHourspaO1</t>
  </si>
  <si>
    <t>hSystemsTouchHourspaO2</t>
  </si>
  <si>
    <t>eSystemsTouchHourspaENG</t>
  </si>
  <si>
    <t>eSystemsTouchHourspaPLG</t>
  </si>
  <si>
    <t>eSystemsTouchHourspaLM</t>
  </si>
  <si>
    <t>eSystemsTouchHourspaHM</t>
  </si>
  <si>
    <t>eSystemsTouchHourspaCRT</t>
  </si>
  <si>
    <t>eSystemsTouchHourspaSCL</t>
  </si>
  <si>
    <t>eSystemsTouchHourspaQSC</t>
  </si>
  <si>
    <t>eSystemsTouchHourspaEM</t>
  </si>
  <si>
    <t>eSystemsTouchHourspaCM</t>
  </si>
  <si>
    <t>eSystemsTouchHourspaSMCS</t>
  </si>
  <si>
    <t>eSystemsTouchHourspaO1</t>
  </si>
  <si>
    <t>eSystemsTouchHourspaO2</t>
  </si>
  <si>
    <t>hSystems HM Labor Hours per Return</t>
  </si>
  <si>
    <t>hSystemsLeaseLaborHrsHM</t>
  </si>
  <si>
    <t>hSystems LM Labor Hours per Return</t>
  </si>
  <si>
    <t>hSystemsLeaseLaborHrsLM</t>
  </si>
  <si>
    <t>hSystems ENG Labor Hours per Return</t>
  </si>
  <si>
    <t>hSystemsLeaseLaborHrsENG</t>
  </si>
  <si>
    <t>hSystems PLG Labor Hours per Return</t>
  </si>
  <si>
    <t>hSystemsLeaseLaborHrsPLG</t>
  </si>
  <si>
    <t>hSystems CRT Labor Hours per Return</t>
  </si>
  <si>
    <t>hSystemsLeaseLaborHrsCRT</t>
  </si>
  <si>
    <t>hSystems SCL Labor Hours per Return</t>
  </si>
  <si>
    <t>hSystems QSC Labor Hours per Return</t>
  </si>
  <si>
    <t>hSystemsLeaseLaborHrsQSC</t>
  </si>
  <si>
    <t>hSystems EM Labor Hours per Return</t>
  </si>
  <si>
    <t>hSystemsLeaseLaborHrsEM</t>
  </si>
  <si>
    <t>hSystems CM Labor Hours per Return</t>
  </si>
  <si>
    <t>hSystemsLeaseLaborHrsCM</t>
  </si>
  <si>
    <t>hSystems SMCS Labor Hours per Return</t>
  </si>
  <si>
    <t>hSystemsLeaseLaborHrsSMCS</t>
  </si>
  <si>
    <t>hSystems O1 Labor Hours per Return</t>
  </si>
  <si>
    <t>hSystemsLeaseLaborHrsO1</t>
  </si>
  <si>
    <t>hSystems O2 Labor Hours per Return</t>
  </si>
  <si>
    <t>hSystemsLeaseLaborHrsO2</t>
  </si>
  <si>
    <t>hSystems HM Lease Return Cost pa</t>
  </si>
  <si>
    <t>hSystemsLeaseLaborCostHM</t>
  </si>
  <si>
    <t>hSystems LM Lease Return Cost pa</t>
  </si>
  <si>
    <t>hSystemsLeaseLaborCostLM</t>
  </si>
  <si>
    <t>hSystems ENG Lease Return Cost pa</t>
  </si>
  <si>
    <t>hSystemsLeaseLaborCostENG</t>
  </si>
  <si>
    <t>hSystems PLG Lease Return Cost pa</t>
  </si>
  <si>
    <t>hSystemsLeaseLaborCostPLG</t>
  </si>
  <si>
    <t>hSystems CRT Lease Return Cost pa</t>
  </si>
  <si>
    <t>hSystemsLeaseLaborCostCRT</t>
  </si>
  <si>
    <t>hSystems SCL Lease Return Cost pa</t>
  </si>
  <si>
    <t>hSystemsLeaseLaborCostSCL</t>
  </si>
  <si>
    <t>hSystems QSC Lease Return Cost pa</t>
  </si>
  <si>
    <t>hSystemsLeaseLaborCostQSC</t>
  </si>
  <si>
    <t>hSystems EM Lease Return Cost pa</t>
  </si>
  <si>
    <t>hSystemsLeaseLaborCostEM</t>
  </si>
  <si>
    <t>hSystems CM Lease Return Cost pa</t>
  </si>
  <si>
    <t>hSystemsLeaseLaborCostCM</t>
  </si>
  <si>
    <t>hSystems SMCS Lease Return Cost pa</t>
  </si>
  <si>
    <t>hSystemsLeaseLaborCostSMCS</t>
  </si>
  <si>
    <t>hSystems O1 Lease Return Cost pa</t>
  </si>
  <si>
    <t>hSystemsLeaseLaborCostO1</t>
  </si>
  <si>
    <t>hSystems O2 Lease Return Cost pa</t>
  </si>
  <si>
    <t>hSystemsLeaseLaborCostO2</t>
  </si>
  <si>
    <t>hSystems Lease Return Total Cost pa</t>
  </si>
  <si>
    <t>hSystems HM Lease Return FTEs</t>
  </si>
  <si>
    <t>hSystemsLeaseReturnFTEsHM</t>
  </si>
  <si>
    <t>hSystems LM Lease Return FTEs</t>
  </si>
  <si>
    <t>hSystemsLeaseReturnFTEsLM</t>
  </si>
  <si>
    <t>hSystems ENG Lease Return FTEs</t>
  </si>
  <si>
    <t>hSystemsLeaseReturnFTEsENG</t>
  </si>
  <si>
    <t>hSystems PLG Lease Return FTEs</t>
  </si>
  <si>
    <t>hSystemsLeaseReturnFTEsPLG</t>
  </si>
  <si>
    <t>hSystems CRT Lease Return FTEs</t>
  </si>
  <si>
    <t>hSystemsLeaseReturnFTEsCRT</t>
  </si>
  <si>
    <t>hSystems SCL Lease Return FTEs</t>
  </si>
  <si>
    <t>hSystemsLeaseReturnFTEsSCL</t>
  </si>
  <si>
    <t>hSystems QSC Lease Return FTEs</t>
  </si>
  <si>
    <t>hSystemsLeaseReturnFTEsQSC</t>
  </si>
  <si>
    <t>hSystems EM Lease Return FTEs</t>
  </si>
  <si>
    <t>hSystemsLeaseReturnFTEsEM</t>
  </si>
  <si>
    <t>hSystems CM Lease Return FTEs</t>
  </si>
  <si>
    <t>hSystemsLeaseReturnFTEsCM</t>
  </si>
  <si>
    <t>hSystems SMCS Lease Return FTEs</t>
  </si>
  <si>
    <t>hSystemsLeaseReturnFTEsSMCS</t>
  </si>
  <si>
    <t>hSystems O1 Lease Return FTEs</t>
  </si>
  <si>
    <t>hSystemsLeaseReturnFTEsO1</t>
  </si>
  <si>
    <t>hSystems O2 Lease Return FTEs</t>
  </si>
  <si>
    <t>hSystemsLeaseReturnFTEsO2</t>
  </si>
  <si>
    <t>hSystems Lease Return Total FTEs</t>
  </si>
  <si>
    <t>hSystemsLeaseReturnTotalFTEs</t>
  </si>
  <si>
    <t>eSystems HM Labor Hours per Return</t>
  </si>
  <si>
    <t>eSystemsLeaseLaborHrsHM</t>
  </si>
  <si>
    <t>eSystems LM Labor Hours per Return</t>
  </si>
  <si>
    <t>eSystemsLeaseLaborHrsLM</t>
  </si>
  <si>
    <t>eSystems ENG Labor Hours per Return</t>
  </si>
  <si>
    <t>eSystemsLeaseLaborHrsENG</t>
  </si>
  <si>
    <t>eSystems PLG Labor Hours per Return</t>
  </si>
  <si>
    <t>eSystemsLeaseLaborHrsPLG</t>
  </si>
  <si>
    <t>eSystems CRT Labor Hours per Return</t>
  </si>
  <si>
    <t>eSystemsLeaseLaborHrsCRT</t>
  </si>
  <si>
    <t>eSystems SCL Labor Hours per Return</t>
  </si>
  <si>
    <t>eSystems QSC Labor Hours per Return</t>
  </si>
  <si>
    <t>eSystemsLeaseLaborHrsQSC</t>
  </si>
  <si>
    <t>eSystems EM Labor Hours per Return</t>
  </si>
  <si>
    <t>eSystemsLeaseLaborHrsEM</t>
  </si>
  <si>
    <t>eSystems CM Labor Hours per Return</t>
  </si>
  <si>
    <t>eSystemsLeaseLaborHrsCM</t>
  </si>
  <si>
    <t>eSystems SMCS Labor Hours per Return</t>
  </si>
  <si>
    <t>eSystemsLeaseLaborHrsSMCS</t>
  </si>
  <si>
    <t>eSystems O1 Labor Hours per Return</t>
  </si>
  <si>
    <t>eSystemsLeaseLaborHrsO1</t>
  </si>
  <si>
    <t>eSystems O2 Labor Hours per Return</t>
  </si>
  <si>
    <t>eSystemsLeaseLaborHrsO2</t>
  </si>
  <si>
    <t>eSystems HM Lease Return Cost pa</t>
  </si>
  <si>
    <t>eSystemsLeaseLaborCostHM</t>
  </si>
  <si>
    <t>eSystems LM Lease Return Cost pa</t>
  </si>
  <si>
    <t>eSystemsLeaseLaborCostLM</t>
  </si>
  <si>
    <t>eSystems ENG Lease Return Cost pa</t>
  </si>
  <si>
    <t>eSystemsLeaseLaborCostENG</t>
  </si>
  <si>
    <t>eSystems PLG Lease Return Cost pa</t>
  </si>
  <si>
    <t>eSystemsLeaseLaborCostPLG</t>
  </si>
  <si>
    <t>eSystems CRT Lease Return Cost pa</t>
  </si>
  <si>
    <t>eSystemsLeaseLaborCostCRT</t>
  </si>
  <si>
    <t>eSystems SCL Lease Return Cost pa</t>
  </si>
  <si>
    <t>eSystemsLeaseLaborCostSCL</t>
  </si>
  <si>
    <t>eSystems QSC Lease Return Cost pa</t>
  </si>
  <si>
    <t>eSystemsLeaseLaborCostQSC</t>
  </si>
  <si>
    <t>eSystems EM Lease Return Cost pa</t>
  </si>
  <si>
    <t>eSystemsLeaseLaborCostEM</t>
  </si>
  <si>
    <t>eSystems CM Lease Return Cost pa</t>
  </si>
  <si>
    <t>eSystemsLeaseLaborCostCM</t>
  </si>
  <si>
    <t>eSystems SMCS Lease Return Cost pa</t>
  </si>
  <si>
    <t>eSystemsLeaseLaborCostSMCS</t>
  </si>
  <si>
    <t>eSystems O1 Lease Return Cost pa</t>
  </si>
  <si>
    <t>eSystemsLeaseLaborCostO1</t>
  </si>
  <si>
    <t>eSystems O2 Lease Return Cost pa</t>
  </si>
  <si>
    <t>eSystemsLeaseLaborCostO2</t>
  </si>
  <si>
    <t>eSystems Lease Return Total Cost pa</t>
  </si>
  <si>
    <t>eSystems HM Lease Return FTEs</t>
  </si>
  <si>
    <t>eSystemsLeaseReturnFTEsHM</t>
  </si>
  <si>
    <t>eSystems LM Lease Return FTEs</t>
  </si>
  <si>
    <t>eSystemsLeaseReturnFTEsLM</t>
  </si>
  <si>
    <t>eSystems ENG Lease Return FTEs</t>
  </si>
  <si>
    <t>eSystemsLeaseReturnFTEsENG</t>
  </si>
  <si>
    <t>eSystems PLG Lease Return FTEs</t>
  </si>
  <si>
    <t>eSystemsLeaseReturnFTEsPLG</t>
  </si>
  <si>
    <t>eSystems CRT Lease Return FTEs</t>
  </si>
  <si>
    <t>eSystemsLeaseReturnFTEsCRT</t>
  </si>
  <si>
    <t>eSystems SCL Lease Return FTEs</t>
  </si>
  <si>
    <t>eSystemsLeaseReturnFTEsSCL</t>
  </si>
  <si>
    <t>eSystems QSC Lease Return FTEs</t>
  </si>
  <si>
    <t>eSystemsLeaseReturnFTEsQSC</t>
  </si>
  <si>
    <t>eSystems EM Lease Return FTEs</t>
  </si>
  <si>
    <t>eSystemsLeaseReturnFTEsEM</t>
  </si>
  <si>
    <t>eSystems CM Lease Return FTEs</t>
  </si>
  <si>
    <t>eSystemsLeaseReturnFTEsCM</t>
  </si>
  <si>
    <t>eSystems SMCS Lease Return FTEs</t>
  </si>
  <si>
    <t>eSystemsLeaseReturnFTEsSMCS</t>
  </si>
  <si>
    <t>eSystems O1 Lease Return FTEs</t>
  </si>
  <si>
    <t>eSystemsLeaseReturnFTEsO1</t>
  </si>
  <si>
    <t>eSystems O2 Lease Return FTEs</t>
  </si>
  <si>
    <t>eSystemsLeaseReturnFTEsO2</t>
  </si>
  <si>
    <t>eSystems Lease Return Total FTEs</t>
  </si>
  <si>
    <t>eSystemsLeaseReturnTotalFTEs</t>
  </si>
  <si>
    <t>pSystems HM Labor Hours per Lessor Visit</t>
  </si>
  <si>
    <t>pSystems LM Labor Hours per Lessor Visit</t>
  </si>
  <si>
    <t>pSystems ENG Labor Hours per Lessor Visit</t>
  </si>
  <si>
    <t>pSystems PLG Labor Hours per Lessor Visit</t>
  </si>
  <si>
    <t>pSystems CRT Labor Hours per Lessor Visit</t>
  </si>
  <si>
    <t>pSystems SCL Labor Hours per Lessor Visit</t>
  </si>
  <si>
    <t>pSystems QSC Labor Hours per Lessor Visit</t>
  </si>
  <si>
    <t>pSystems EM Labor Hours per Lessor Visit</t>
  </si>
  <si>
    <t>pSystems CM Labor Hours per Lessor Visit</t>
  </si>
  <si>
    <t>pSystems SMCS Labor Hours per Lessor Visit</t>
  </si>
  <si>
    <t>pSystems O1 Labor Hours per Lessor Visit</t>
  </si>
  <si>
    <t>pSystems O2 Labor Hours per Lessor Visit</t>
  </si>
  <si>
    <t>pSystems HM Lease Lessor Visit Cost pa</t>
  </si>
  <si>
    <t>pSystems LM Lease Lessor Visit Cost pa</t>
  </si>
  <si>
    <t>pSystems ENG Lease Lessor Visit Cost pa</t>
  </si>
  <si>
    <t>pSystems PLG Lease Lessor Visit Cost pa</t>
  </si>
  <si>
    <t>pSystems CRT Lease Lessor Visit Cost pa</t>
  </si>
  <si>
    <t>pSystems SCL Lease Lessor Visit Cost pa</t>
  </si>
  <si>
    <t>pSystems QSC Lease Lessor Visit Cost pa</t>
  </si>
  <si>
    <t>pSystems EM Lease Lessor Visit Cost pa</t>
  </si>
  <si>
    <t>pSystems CM Lease Lessor Visit Cost pa</t>
  </si>
  <si>
    <t>pSystems SMCS Lease Lessor Visit Cost pa</t>
  </si>
  <si>
    <t>pSystems O1 Lease Lessor Visit Cost pa</t>
  </si>
  <si>
    <t>pSystems O2 Lease Lessor Visit Cost pa</t>
  </si>
  <si>
    <t>pSystems Lease Lessor Visit Total Cost pa</t>
  </si>
  <si>
    <t>pSystems HM Lease Lessor Visit FTEs</t>
  </si>
  <si>
    <t>pSystems LM Lease Lessor Visit FTEs</t>
  </si>
  <si>
    <t>pSystems ENG Lease Lessor Visit FTEs</t>
  </si>
  <si>
    <t>pSystems PLG Lease Lessor Visit FTEs</t>
  </si>
  <si>
    <t>pSystems CRT Lease Lessor Visit FTEs</t>
  </si>
  <si>
    <t>pSystems SCL Lease Lessor Visit FTEs</t>
  </si>
  <si>
    <t>pSystems QSC Lease Lessor Visit FTEs</t>
  </si>
  <si>
    <t>pSystems EM Lease Lessor Visit FTEs</t>
  </si>
  <si>
    <t>pSystems CM Lease Lessor Visit FTEs</t>
  </si>
  <si>
    <t>pSystems SMCS Lease Lessor Visit FTEs</t>
  </si>
  <si>
    <t>pSystems O1 Lease Lessor Visit FTEs</t>
  </si>
  <si>
    <t>pSystems O2 Lease Lessor Visit FTEs</t>
  </si>
  <si>
    <t>pSystems Lease Lessor Visit Total FTEs</t>
  </si>
  <si>
    <t>hSystems HM Labor Hours per Lessor Visit</t>
  </si>
  <si>
    <t>hSystems LM Labor Hours per Lessor Visit</t>
  </si>
  <si>
    <t>hSystems ENG Labor Hours per Lessor Visit</t>
  </si>
  <si>
    <t>hSystems PLG Labor Hours per Lessor Visit</t>
  </si>
  <si>
    <t>hSystems CRT Labor Hours per Lessor Visit</t>
  </si>
  <si>
    <t>hSystems SCL Labor Hours per Lessor Visit</t>
  </si>
  <si>
    <t>hSystems QSC Labor Hours per Lessor Visit</t>
  </si>
  <si>
    <t>hSystems EM Labor Hours per Lessor Visit</t>
  </si>
  <si>
    <t>hSystems CM Labor Hours per Lessor Visit</t>
  </si>
  <si>
    <t>hSystems SMCS Labor Hours per Lessor Visit</t>
  </si>
  <si>
    <t>hSystems O1 Labor Hours per Lessor Visit</t>
  </si>
  <si>
    <t>hSystems O2 Labor Hours per Lessor Visit</t>
  </si>
  <si>
    <t>hSystems HM Lease Lessor Visit Cost pa</t>
  </si>
  <si>
    <t>hSystems LM Lease Lessor Visit Cost pa</t>
  </si>
  <si>
    <t>hSystems ENG Lease Lessor Visit Cost pa</t>
  </si>
  <si>
    <t>hSystems PLG Lease Lessor Visit Cost pa</t>
  </si>
  <si>
    <t>hSystems CRT Lease Lessor Visit Cost pa</t>
  </si>
  <si>
    <t>hSystems SCL Lease Lessor Visit Cost pa</t>
  </si>
  <si>
    <t>hSystems QSC Lease Lessor Visit Cost pa</t>
  </si>
  <si>
    <t>hSystems EM Lease Lessor Visit Cost pa</t>
  </si>
  <si>
    <t>hSystems CM Lease Lessor Visit Cost pa</t>
  </si>
  <si>
    <t>hSystems SMCS Lease Lessor Visit Cost pa</t>
  </si>
  <si>
    <t>hSystems O1 Lease Lessor Visit Cost pa</t>
  </si>
  <si>
    <t>hSystems O2 Lease Lessor Visit Cost pa</t>
  </si>
  <si>
    <t>hSystems Lease Lessor Visit Total Cost pa</t>
  </si>
  <si>
    <t>hSystems HM Lease Lessor Visit FTEs</t>
  </si>
  <si>
    <t>hSystems LM Lease Lessor Visit FTEs</t>
  </si>
  <si>
    <t>hSystems ENG Lease Lessor Visit FTEs</t>
  </si>
  <si>
    <t>hSystems PLG Lease Lessor Visit FTEs</t>
  </si>
  <si>
    <t>hSystems CRT Lease Lessor Visit FTEs</t>
  </si>
  <si>
    <t>hSystems SCL Lease Lessor Visit FTEs</t>
  </si>
  <si>
    <t>hSystems QSC Lease Lessor Visit FTEs</t>
  </si>
  <si>
    <t>hSystems EM Lease Lessor Visit FTEs</t>
  </si>
  <si>
    <t>hSystems CM Lease Lessor Visit FTEs</t>
  </si>
  <si>
    <t>hSystems SMCS Lease Lessor Visit FTEs</t>
  </si>
  <si>
    <t>hSystems O1 Lease Lessor Visit FTEs</t>
  </si>
  <si>
    <t>hSystems O2 Lease Lessor Visit FTEs</t>
  </si>
  <si>
    <t>hSystems Lease Lessor Visit Total FTEs</t>
  </si>
  <si>
    <t>eSystems HM Labor Hours per Lessor Visit</t>
  </si>
  <si>
    <t>eSystems LM Labor Hours per Lessor Visit</t>
  </si>
  <si>
    <t>eSystems ENG Labor Hours per Lessor Visit</t>
  </si>
  <si>
    <t>eSystems PLG Labor Hours per Lessor Visit</t>
  </si>
  <si>
    <t>eSystems CRT Labor Hours per Lessor Visit</t>
  </si>
  <si>
    <t>eSystems SCL Labor Hours per Lessor Visit</t>
  </si>
  <si>
    <t>eSystems QSC Labor Hours per Lessor Visit</t>
  </si>
  <si>
    <t>eSystems EM Labor Hours per Lessor Visit</t>
  </si>
  <si>
    <t>eSystems CM Labor Hours per Lessor Visit</t>
  </si>
  <si>
    <t>eSystems SMCS Labor Hours per Lessor Visit</t>
  </si>
  <si>
    <t>eSystems O1 Labor Hours per Lessor Visit</t>
  </si>
  <si>
    <t>eSystems O2 Labor Hours per Lessor Visit</t>
  </si>
  <si>
    <t>eSystems HM Lease Lessor Visit Cost pa</t>
  </si>
  <si>
    <t>eSystems LM Lease Lessor Visit Cost pa</t>
  </si>
  <si>
    <t>eSystems ENG Lease Lessor Visit Cost pa</t>
  </si>
  <si>
    <t>eSystems PLG Lease Lessor Visit Cost pa</t>
  </si>
  <si>
    <t>eSystems CRT Lease Lessor Visit Cost pa</t>
  </si>
  <si>
    <t>eSystems SCL Lease Lessor Visit Cost pa</t>
  </si>
  <si>
    <t>eSystems QSC Lease Lessor Visit Cost pa</t>
  </si>
  <si>
    <t>eSystems EM Lease Lessor Visit Cost pa</t>
  </si>
  <si>
    <t>eSystems CM Lease Lessor Visit Cost pa</t>
  </si>
  <si>
    <t>eSystems SMCS Lease Lessor Visit Cost pa</t>
  </si>
  <si>
    <t>eSystems O1 Lease Lessor Visit Cost pa</t>
  </si>
  <si>
    <t>eSystems O2 Lease Lessor Visit Cost pa</t>
  </si>
  <si>
    <t>eSystems Lease Lessor Visit Total Cost pa</t>
  </si>
  <si>
    <t>eSystems HM Lease Lessor Visit FTEs</t>
  </si>
  <si>
    <t>eSystems LM Lease Lessor Visit FTEs</t>
  </si>
  <si>
    <t>eSystems ENG Lease Lessor Visit FTEs</t>
  </si>
  <si>
    <t>eSystems PLG Lease Lessor Visit FTEs</t>
  </si>
  <si>
    <t>eSystems CRT Lease Lessor Visit FTEs</t>
  </si>
  <si>
    <t>eSystems SCL Lease Lessor Visit FTEs</t>
  </si>
  <si>
    <t>eSystems QSC Lease Lessor Visit FTEs</t>
  </si>
  <si>
    <t>eSystems EM Lease Lessor Visit FTEs</t>
  </si>
  <si>
    <t>eSystems CM Lease Lessor Visit FTEs</t>
  </si>
  <si>
    <t>eSystems SMCS Lease Lessor Visit FTEs</t>
  </si>
  <si>
    <t>eSystems O1 Lease Lessor Visit FTEs</t>
  </si>
  <si>
    <t>eSystems O2 Lease Lessor Visit FTEs</t>
  </si>
  <si>
    <t>eSystems Lease Lessor Visit Total FTEs</t>
  </si>
  <si>
    <t>pSystemsLeaseHostLaborHrsHM</t>
  </si>
  <si>
    <t>pSystemsLeaseHostLaborHrsLM</t>
  </si>
  <si>
    <t>pSystemsLeaseHostLaborHrsENG</t>
  </si>
  <si>
    <t>pSystemsLeaseHostLaborHrsPLG</t>
  </si>
  <si>
    <t>pSystemsLeaseHostLaborHrsCRT</t>
  </si>
  <si>
    <t>pSystemsLeaseHostLaborHrsSCL</t>
  </si>
  <si>
    <t>pSystemsLeaseHostLaborHrsQSC</t>
  </si>
  <si>
    <t>pSystemsLeaseHostLaborHrsEM</t>
  </si>
  <si>
    <t>pSystemsLeaseHostLaborHrsSMCS</t>
  </si>
  <si>
    <t>pSystemsLeaseHostLaborHrsO1</t>
  </si>
  <si>
    <t>pSystemsLeaseHostLaborHrsO2</t>
  </si>
  <si>
    <t>pSystemsLeaseHostLaborCostHM</t>
  </si>
  <si>
    <t>pSystemsLeaseHostLaborCostLM</t>
  </si>
  <si>
    <t>pSystemsLeaseHostLaborCostENG</t>
  </si>
  <si>
    <t>pSystemsLeaseHostLaborCostPLG</t>
  </si>
  <si>
    <t>pSystemsLeaseHostLaborCostCRT</t>
  </si>
  <si>
    <t>pSystemsLeaseHostLaborCostSCL</t>
  </si>
  <si>
    <t>pSystemsLeaseHostLaborCostQSC</t>
  </si>
  <si>
    <t>pSystemsLeaseHostLaborCostEM</t>
  </si>
  <si>
    <t>pSystemsLeaseHostLaborCostCM</t>
  </si>
  <si>
    <t>pSystemsLeaseHostLaborCostSMCS</t>
  </si>
  <si>
    <t>pSystemsLeaseHostLaborCostO1</t>
  </si>
  <si>
    <t>pSystemsLeaseHostLaborCostO2</t>
  </si>
  <si>
    <t>pSystemsLeaseHostLaborCostTotal</t>
  </si>
  <si>
    <t>hSystemsLeaseHostLaborHrsHM</t>
  </si>
  <si>
    <t>hSystemsLeaseHostLaborHrsLM</t>
  </si>
  <si>
    <t>hSystemsLeaseHostLaborHrsENG</t>
  </si>
  <si>
    <t>hSystemsLeaseHostLaborHrsPLG</t>
  </si>
  <si>
    <t>hSystemsLeaseHostLaborHrsCRT</t>
  </si>
  <si>
    <t>hSystemsLeaseHostLaborHrsSCL</t>
  </si>
  <si>
    <t>hSystemsLeaseHostLaborHrsQSC</t>
  </si>
  <si>
    <t>hSystemsLeaseHostLaborHrsEM</t>
  </si>
  <si>
    <t>hSystemsLeaseHostLaborHrsCM</t>
  </si>
  <si>
    <t>hSystemsLeaseHostLaborHrsSMCS</t>
  </si>
  <si>
    <t>hSystemsLeaseHostLaborHrsO1</t>
  </si>
  <si>
    <t>hSystemsLeaseHostLaborHrsO2</t>
  </si>
  <si>
    <t>hSystemsLeaseHostLaborCostHM</t>
  </si>
  <si>
    <t>hSystemsLeaseHostLaborCostLM</t>
  </si>
  <si>
    <t>hSystemsLeaseHostLaborCostENG</t>
  </si>
  <si>
    <t>hSystemsLeaseHostLaborCostPLG</t>
  </si>
  <si>
    <t>hSystemsLeaseHostLaborCostCRT</t>
  </si>
  <si>
    <t>hSystemsLeaseHostLaborCostSCL</t>
  </si>
  <si>
    <t>hSystemsLeaseHostLaborCostQSC</t>
  </si>
  <si>
    <t>hSystemsLeaseHostLaborCostEM</t>
  </si>
  <si>
    <t>hSystemsLeaseHostLaborCostCM</t>
  </si>
  <si>
    <t>hSystemsLeaseHostLaborCostSMCS</t>
  </si>
  <si>
    <t>hSystemsLeaseHostLaborCostO1</t>
  </si>
  <si>
    <t>hSystemsLeaseHostLaborCostO2</t>
  </si>
  <si>
    <t>hSystemsLeaseHostLaborCostTotal</t>
  </si>
  <si>
    <t>eSystemsLeaseHostLaborHrsHM</t>
  </si>
  <si>
    <t>eSystemsLeaseHostLaborHrsLM</t>
  </si>
  <si>
    <t>eSystemsLeaseHostLaborHrsENG</t>
  </si>
  <si>
    <t>eSystemsLeaseHostLaborHrsPLG</t>
  </si>
  <si>
    <t>eSystemsLeaseHostLaborHrsCRT</t>
  </si>
  <si>
    <t>eSystemsLeaseHostLaborHrsSCL</t>
  </si>
  <si>
    <t>eSystemsLeaseHostLaborHrsQSC</t>
  </si>
  <si>
    <t>eSystemsLeaseHostLaborHrsEM</t>
  </si>
  <si>
    <t>eSystemsLeaseHostLaborHrsCM</t>
  </si>
  <si>
    <t>eSystemsLeaseHostLaborHrsSMCS</t>
  </si>
  <si>
    <t>eSystemsLeaseHostLaborHrsO1</t>
  </si>
  <si>
    <t>eSystemsLeaseHostLaborHrsO2</t>
  </si>
  <si>
    <t>eSystemsLeaseHostLaborCostHM</t>
  </si>
  <si>
    <t>eSystemsLeaseHostLaborCostLM</t>
  </si>
  <si>
    <t>eSystemsLeaseHostLaborCostENG</t>
  </si>
  <si>
    <t>eSystemsLeaseHostLaborCostPLG</t>
  </si>
  <si>
    <t>eSystemsLeaseHostLaborCostCRT</t>
  </si>
  <si>
    <t>eSystemsLeaseHostLaborCostSCL</t>
  </si>
  <si>
    <t>eSystemsLeaseHostLaborCostQSC</t>
  </si>
  <si>
    <t>eSystemsLeaseHostLaborCostEM</t>
  </si>
  <si>
    <t>eSystemsLeaseHostLaborCostCM</t>
  </si>
  <si>
    <t>eSystemsLeaseHostLaborCostSMCS</t>
  </si>
  <si>
    <t>eSystemsLeaseHostLaborCostO1</t>
  </si>
  <si>
    <t>eSystemsLeaseHostLaborCostO2</t>
  </si>
  <si>
    <t>eSystemsLeaseHostLaborCostTotal</t>
  </si>
  <si>
    <t>pSystems HM Labor Hours per Disputed Record</t>
  </si>
  <si>
    <t>pSystems LM Labor Hours per Disputed Record</t>
  </si>
  <si>
    <t>pSystems ENG Labor Hours per Disputed Record</t>
  </si>
  <si>
    <t>pSystems PLG Labor Hours per Disputed Record</t>
  </si>
  <si>
    <t>pSystems CRT Labor Hours per Disputed Record</t>
  </si>
  <si>
    <t>pSystems SCL Labor Hours per Disputed Record</t>
  </si>
  <si>
    <t>pSystems QSC Labor Hours per Disputed Record</t>
  </si>
  <si>
    <t>pSystems EM Labor Hours per Disputed Record</t>
  </si>
  <si>
    <t>pSystems CM Labor Hours per Disputed Record</t>
  </si>
  <si>
    <t>pSystems SMCS Labor Hours per Disputed Record</t>
  </si>
  <si>
    <t>pSystems O1 Labor Hours per Disputed Record</t>
  </si>
  <si>
    <t>pSystems O2 Labor Hours per Disputed Record</t>
  </si>
  <si>
    <t>pSystemsLeaseDisputedRecordLaborHrsHM</t>
  </si>
  <si>
    <t>pSystemsLeaseDisputedRecordLaborHrsLM</t>
  </si>
  <si>
    <t>pSystemsLeaseDisputedRecordLaborHrsENG</t>
  </si>
  <si>
    <t>pSystemsLeaseDisputedRecordLaborHrsPLG</t>
  </si>
  <si>
    <t>pSystemsLeaseDisputedRecordLaborHrsCRT</t>
  </si>
  <si>
    <t>pSystemsLeaseDisputedRecordLaborHrsSCL</t>
  </si>
  <si>
    <t>pSystemsLeaseDisputedRecordLaborHrsQSC</t>
  </si>
  <si>
    <t>pSystemsLeaseDisputedRecordLaborHrsEM</t>
  </si>
  <si>
    <t>pSystemsLeaseDisputedRecordLaborHrsCM</t>
  </si>
  <si>
    <t>pSystemsLeaseDisputedRecordLaborHrsSMCS</t>
  </si>
  <si>
    <t>pSystemsLeaseDisputedRecordLaborHrsO1</t>
  </si>
  <si>
    <t>pSystemsLeaseDisputedRecordLaborHrsO2</t>
  </si>
  <si>
    <t>pSystemsLeaseDisputedRecordLaborCostHM</t>
  </si>
  <si>
    <t>pSystemsLeaseDisputedRecordLaborCostLM</t>
  </si>
  <si>
    <t>pSystemsLeaseDisputedRecordLaborCostENG</t>
  </si>
  <si>
    <t>pSystemsLeaseDisputedRecordLaborCostPLG</t>
  </si>
  <si>
    <t>pSystemsLeaseDisputedRecordLaborCostCRT</t>
  </si>
  <si>
    <t>pSystemsLeaseDisputedRecordLaborCostSCL</t>
  </si>
  <si>
    <t>pSystemsLeaseDisputedRecordLaborCostQSC</t>
  </si>
  <si>
    <t>pSystemsLeaseDisputedRecordLaborCostEM</t>
  </si>
  <si>
    <t>pSystemsLeaseDisputedRecordLaborCostCM</t>
  </si>
  <si>
    <t>pSystemsLeaseDisputedRecordLaborCostSMCS</t>
  </si>
  <si>
    <t>pSystemsLeaseDisputedRecordLaborCostO1</t>
  </si>
  <si>
    <t>pSystemsLeaseDisputedRecordLaborCostO2</t>
  </si>
  <si>
    <t>pSystemsLeaseDisputedRecordLaborCostTotal</t>
  </si>
  <si>
    <t>pSystems HM Lease Disputed Record Cost pa</t>
  </si>
  <si>
    <t>pSystems LM Lease Disputed Record Cost pa</t>
  </si>
  <si>
    <t>pSystems ENG Lease Disputed Record Cost pa</t>
  </si>
  <si>
    <t>pSystems PLG Lease Disputed Record Cost pa</t>
  </si>
  <si>
    <t>pSystems CRT Lease Disputed Record Cost pa</t>
  </si>
  <si>
    <t>pSystems SCL Lease Disputed Record Cost pa</t>
  </si>
  <si>
    <t>pSystems QSC Lease Disputed Record Cost pa</t>
  </si>
  <si>
    <t>pSystems EM Lease Disputed Record Cost pa</t>
  </si>
  <si>
    <t>pSystems CM Lease Disputed Record Cost pa</t>
  </si>
  <si>
    <t>pSystems SMCS Lease Disputed Record Cost pa</t>
  </si>
  <si>
    <t>pSystems O1 Lease Disputed Record Cost pa</t>
  </si>
  <si>
    <t>pSystems O2 Lease Disputed Record Cost pa</t>
  </si>
  <si>
    <t>pSystems Lease Disputed Record Total Cost pa</t>
  </si>
  <si>
    <t>pSystems HM Lease Disputed Record FTEs</t>
  </si>
  <si>
    <t>pSystems LM Lease Disputed Record FTEs</t>
  </si>
  <si>
    <t>pSystems ENG Lease Disputed Record FTEs</t>
  </si>
  <si>
    <t>pSystems PLG Lease Disputed Record FTEs</t>
  </si>
  <si>
    <t>pSystems CRT Lease Disputed Record FTEs</t>
  </si>
  <si>
    <t>pSystems SCL Lease Disputed Record FTEs</t>
  </si>
  <si>
    <t>pSystems QSC Lease Disputed Record FTEs</t>
  </si>
  <si>
    <t>pSystems EM Lease Disputed Record FTEs</t>
  </si>
  <si>
    <t>pSystems CM Lease Disputed Record FTEs</t>
  </si>
  <si>
    <t>pSystems SMCS Lease Disputed Record FTEs</t>
  </si>
  <si>
    <t>pSystems O1 Lease Disputed Record FTEs</t>
  </si>
  <si>
    <t>pSystems O2 Lease Disputed Record FTEs</t>
  </si>
  <si>
    <t>pSystems Lease Disputed Record Total FTEs</t>
  </si>
  <si>
    <t>pSystemsLeaseDisputedRecordFTEsHM</t>
  </si>
  <si>
    <t>pSystemsLeaseDisputedRecordFTEsLM</t>
  </si>
  <si>
    <t>pSystemsLeaseDisputedRecordFTEsENG</t>
  </si>
  <si>
    <t>pSystemsLeaseDisputedRecordFTEsPLG</t>
  </si>
  <si>
    <t>pSystemsLeaseDisputedRecordFTEsCRT</t>
  </si>
  <si>
    <t>pSystemsLeaseDisputedRecordFTEsSCL</t>
  </si>
  <si>
    <t>pSystemsLeaseDisputedRecordFTEsQSC</t>
  </si>
  <si>
    <t>pSystemsLeaseDisputedRecordFTEsEM</t>
  </si>
  <si>
    <t>pSystemsLeaseDisputedRecordFTEsCM</t>
  </si>
  <si>
    <t>pSystemsLeaseDisputedRecordFTEsSMCS</t>
  </si>
  <si>
    <t>pSystemsLeaseDisputedRecordFTEsO1</t>
  </si>
  <si>
    <t>pSystemsLeaseDisputedRecordFTEsO2</t>
  </si>
  <si>
    <t>pSystemsLeaseDisputedRecordTotalFTEs</t>
  </si>
  <si>
    <t>hSystems HM Labor Hours per Disputed Record</t>
  </si>
  <si>
    <t>hSystemsLeaseDisputedRecordLaborHrsHM</t>
  </si>
  <si>
    <t>hSystems LM Labor Hours per Disputed Record</t>
  </si>
  <si>
    <t>hSystemsLeaseDisputedRecordLaborHrsLM</t>
  </si>
  <si>
    <t>hSystems ENG Labor Hours per Disputed Record</t>
  </si>
  <si>
    <t>hSystemsLeaseDisputedRecordLaborHrsENG</t>
  </si>
  <si>
    <t>hSystems PLG Labor Hours per Disputed Record</t>
  </si>
  <si>
    <t>hSystemsLeaseDisputedRecordLaborHrsPLG</t>
  </si>
  <si>
    <t>hSystems CRT Labor Hours per Disputed Record</t>
  </si>
  <si>
    <t>hSystemsLeaseDisputedRecordLaborHrsCRT</t>
  </si>
  <si>
    <t>hSystems SCL Labor Hours per Disputed Record</t>
  </si>
  <si>
    <t>hSystemsLeaseDisputedRecordLaborHrsSCL</t>
  </si>
  <si>
    <t>hSystems QSC Labor Hours per Disputed Record</t>
  </si>
  <si>
    <t>hSystemsLeaseDisputedRecordLaborHrsQSC</t>
  </si>
  <si>
    <t>hSystems EM Labor Hours per Disputed Record</t>
  </si>
  <si>
    <t>hSystemsLeaseDisputedRecordLaborHrsEM</t>
  </si>
  <si>
    <t>hSystems CM Labor Hours per Disputed Record</t>
  </si>
  <si>
    <t>hSystemsLeaseDisputedRecordLaborHrsCM</t>
  </si>
  <si>
    <t>hSystems SMCS Labor Hours per Disputed Record</t>
  </si>
  <si>
    <t>hSystemsLeaseDisputedRecordLaborHrsSMCS</t>
  </si>
  <si>
    <t>hSystems O1 Labor Hours per Disputed Record</t>
  </si>
  <si>
    <t>hSystemsLeaseDisputedRecordLaborHrsO1</t>
  </si>
  <si>
    <t>hSystems O2 Labor Hours per Disputed Record</t>
  </si>
  <si>
    <t>hSystemsLeaseDisputedRecordLaborHrsO2</t>
  </si>
  <si>
    <t>hSystems HM Lease Disputed Record Cost pa</t>
  </si>
  <si>
    <t>hSystemsLeaseDisputedRecordLaborCostHM</t>
  </si>
  <si>
    <t>hSystems LM Lease Disputed Record Cost pa</t>
  </si>
  <si>
    <t>hSystemsLeaseDisputedRecordLaborCostLM</t>
  </si>
  <si>
    <t>hSystems ENG Lease Disputed Record Cost pa</t>
  </si>
  <si>
    <t>hSystemsLeaseDisputedRecordLaborCostENG</t>
  </si>
  <si>
    <t>hSystems PLG Lease Disputed Record Cost pa</t>
  </si>
  <si>
    <t>hSystemsLeaseDisputedRecordLaborCostPLG</t>
  </si>
  <si>
    <t>hSystems CRT Lease Disputed Record Cost pa</t>
  </si>
  <si>
    <t>hSystemsLeaseDisputedRecordLaborCostCRT</t>
  </si>
  <si>
    <t>hSystems SCL Lease Disputed Record Cost pa</t>
  </si>
  <si>
    <t>hSystemsLeaseDisputedRecordLaborCostSCL</t>
  </si>
  <si>
    <t>hSystems QSC Lease Disputed Record Cost pa</t>
  </si>
  <si>
    <t>hSystemsLeaseDisputedRecordLaborCostQSC</t>
  </si>
  <si>
    <t>hSystems EM Lease Disputed Record Cost pa</t>
  </si>
  <si>
    <t>hSystemsLeaseDisputedRecordLaborCostEM</t>
  </si>
  <si>
    <t>hSystems CM Lease Disputed Record Cost pa</t>
  </si>
  <si>
    <t>hSystemsLeaseDisputedRecordLaborCostCM</t>
  </si>
  <si>
    <t>hSystems SMCS Lease Disputed Record Cost pa</t>
  </si>
  <si>
    <t>hSystemsLeaseDisputedRecordLaborCostSMCS</t>
  </si>
  <si>
    <t>hSystems O1 Lease Disputed Record Cost pa</t>
  </si>
  <si>
    <t>hSystemsLeaseDisputedRecordLaborCostO1</t>
  </si>
  <si>
    <t>hSystems O2 Lease Disputed Record Cost pa</t>
  </si>
  <si>
    <t>hSystemsLeaseDisputedRecordLaborCostO2</t>
  </si>
  <si>
    <t>hSystems Lease Disputed Record Total Cost pa</t>
  </si>
  <si>
    <t>hSystemsLeaseDisputedRecordLaborCostTotal</t>
  </si>
  <si>
    <t>hSystems HM Lease Disputed Record FTEs</t>
  </si>
  <si>
    <t>hSystemsLeaseDisputedRecordFTEsHM</t>
  </si>
  <si>
    <t>hSystems LM Lease Disputed Record FTEs</t>
  </si>
  <si>
    <t>hSystemsLeaseDisputedRecordFTEsLM</t>
  </si>
  <si>
    <t>hSystems ENG Lease Disputed Record FTEs</t>
  </si>
  <si>
    <t>hSystemsLeaseDisputedRecordFTEsENG</t>
  </si>
  <si>
    <t>hSystems PLG Lease Disputed Record FTEs</t>
  </si>
  <si>
    <t>hSystemsLeaseDisputedRecordFTEsPLG</t>
  </si>
  <si>
    <t>hSystems CRT Lease Disputed Record FTEs</t>
  </si>
  <si>
    <t>hSystemsLeaseDisputedRecordFTEsCRT</t>
  </si>
  <si>
    <t>hSystems SCL Lease Disputed Record FTEs</t>
  </si>
  <si>
    <t>hSystemsLeaseDisputedRecordFTEsSCL</t>
  </si>
  <si>
    <t>hSystems QSC Lease Disputed Record FTEs</t>
  </si>
  <si>
    <t>hSystemsLeaseDisputedRecordFTEsQSC</t>
  </si>
  <si>
    <t>hSystems EM Lease Disputed Record FTEs</t>
  </si>
  <si>
    <t>hSystemsLeaseDisputedRecordFTEsEM</t>
  </si>
  <si>
    <t>hSystems CM Lease Disputed Record FTEs</t>
  </si>
  <si>
    <t>hSystemsLeaseDisputedRecordFTEsCM</t>
  </si>
  <si>
    <t>hSystems SMCS Lease Disputed Record FTEs</t>
  </si>
  <si>
    <t>hSystemsLeaseDisputedRecordFTEsSMCS</t>
  </si>
  <si>
    <t>hSystems O1 Lease Disputed Record FTEs</t>
  </si>
  <si>
    <t>hSystemsLeaseDisputedRecordFTEsO1</t>
  </si>
  <si>
    <t>hSystems O2 Lease Disputed Record FTEs</t>
  </si>
  <si>
    <t>hSystemsLeaseDisputedRecordFTEsO2</t>
  </si>
  <si>
    <t>hSystems Lease Disputed Record Total FTEs</t>
  </si>
  <si>
    <t>hSystemsLeaseDisputedRecordTotalFTEs</t>
  </si>
  <si>
    <t>eSystems HM Labor Hours per Disputed Record</t>
  </si>
  <si>
    <t>eSystemsLeaseDisputedRecordLaborHrsHM</t>
  </si>
  <si>
    <t>eSystems LM Labor Hours per Disputed Record</t>
  </si>
  <si>
    <t>eSystemsLeaseDisputedRecordLaborHrsLM</t>
  </si>
  <si>
    <t>eSystems ENG Labor Hours per Disputed Record</t>
  </si>
  <si>
    <t>eSystemsLeaseDisputedRecordLaborHrsENG</t>
  </si>
  <si>
    <t>eSystems PLG Labor Hours per Disputed Record</t>
  </si>
  <si>
    <t>eSystemsLeaseDisputedRecordLaborHrsPLG</t>
  </si>
  <si>
    <t>eSystems CRT Labor Hours per Disputed Record</t>
  </si>
  <si>
    <t>eSystemsLeaseDisputedRecordLaborHrsCRT</t>
  </si>
  <si>
    <t>eSystems SCL Labor Hours per Disputed Record</t>
  </si>
  <si>
    <t>eSystemsLeaseDisputedRecordLaborHrsSCL</t>
  </si>
  <si>
    <t>eSystems QSC Labor Hours per Disputed Record</t>
  </si>
  <si>
    <t>eSystemsLeaseDisputedRecordLaborHrsQSC</t>
  </si>
  <si>
    <t>eSystems EM Labor Hours per Disputed Record</t>
  </si>
  <si>
    <t>eSystemsLeaseDisputedRecordLaborHrsEM</t>
  </si>
  <si>
    <t>eSystems CM Labor Hours per Disputed Record</t>
  </si>
  <si>
    <t>eSystemsLeaseDisputedRecordLaborHrsCM</t>
  </si>
  <si>
    <t>eSystems SMCS Labor Hours per Disputed Record</t>
  </si>
  <si>
    <t>eSystemsLeaseDisputedRecordLaborHrsSMCS</t>
  </si>
  <si>
    <t>eSystems O1 Labor Hours per Disputed Record</t>
  </si>
  <si>
    <t>eSystemsLeaseDisputedRecordLaborHrsO1</t>
  </si>
  <si>
    <t>eSystems O2 Labor Hours per Disputed Record</t>
  </si>
  <si>
    <t>eSystemsLeaseDisputedRecordLaborHrsO2</t>
  </si>
  <si>
    <t>eSystems HM Lease Disputed Record Cost pa</t>
  </si>
  <si>
    <t>eSystemsLeaseDisputedRecordLaborCostHM</t>
  </si>
  <si>
    <t>eSystems LM Lease Disputed Record Cost pa</t>
  </si>
  <si>
    <t>eSystemsLeaseDisputedRecordLaborCostLM</t>
  </si>
  <si>
    <t>eSystems ENG Lease Disputed Record Cost pa</t>
  </si>
  <si>
    <t>eSystemsLeaseDisputedRecordLaborCostENG</t>
  </si>
  <si>
    <t>eSystems PLG Lease Disputed Record Cost pa</t>
  </si>
  <si>
    <t>eSystemsLeaseDisputedRecordLaborCostPLG</t>
  </si>
  <si>
    <t>eSystems CRT Lease Disputed Record Cost pa</t>
  </si>
  <si>
    <t>eSystemsLeaseDisputedRecordLaborCostCRT</t>
  </si>
  <si>
    <t>eSystems SCL Lease Disputed Record Cost pa</t>
  </si>
  <si>
    <t>eSystemsLeaseDisputedRecordLaborCostSCL</t>
  </si>
  <si>
    <t>eSystems QSC Lease Disputed Record Cost pa</t>
  </si>
  <si>
    <t>eSystemsLeaseDisputedRecordLaborCostQSC</t>
  </si>
  <si>
    <t>eSystems EM Lease Disputed Record Cost pa</t>
  </si>
  <si>
    <t>eSystemsLeaseDisputedRecordLaborCostEM</t>
  </si>
  <si>
    <t>eSystems CM Lease Disputed Record Cost pa</t>
  </si>
  <si>
    <t>eSystemsLeaseDisputedRecordLaborCostCM</t>
  </si>
  <si>
    <t>eSystems SMCS Lease Disputed Record Cost pa</t>
  </si>
  <si>
    <t>eSystemsLeaseDisputedRecordLaborCostSMCS</t>
  </si>
  <si>
    <t>eSystems O1 Lease Disputed Record Cost pa</t>
  </si>
  <si>
    <t>eSystemsLeaseDisputedRecordLaborCostO1</t>
  </si>
  <si>
    <t>eSystems O2 Lease Disputed Record Cost pa</t>
  </si>
  <si>
    <t>eSystemsLeaseDisputedRecordLaborCostO2</t>
  </si>
  <si>
    <t>eSystems Lease Disputed Record Total Cost pa</t>
  </si>
  <si>
    <t>eSystemsLeaseDisputedRecordLaborCostTotal</t>
  </si>
  <si>
    <t>eSystems HM Lease Disputed Record FTEs</t>
  </si>
  <si>
    <t>eSystemsLeaseDisputedRecordFTEsHM</t>
  </si>
  <si>
    <t>eSystems LM Lease Disputed Record FTEs</t>
  </si>
  <si>
    <t>eSystemsLeaseDisputedRecordFTEsLM</t>
  </si>
  <si>
    <t>eSystems ENG Lease Disputed Record FTEs</t>
  </si>
  <si>
    <t>eSystemsLeaseDisputedRecordFTEsENG</t>
  </si>
  <si>
    <t>eSystems PLG Lease Disputed Record FTEs</t>
  </si>
  <si>
    <t>eSystemsLeaseDisputedRecordFTEsPLG</t>
  </si>
  <si>
    <t>eSystems CRT Lease Disputed Record FTEs</t>
  </si>
  <si>
    <t>eSystemsLeaseDisputedRecordFTEsCRT</t>
  </si>
  <si>
    <t>eSystems SCL Lease Disputed Record FTEs</t>
  </si>
  <si>
    <t>eSystemsLeaseDisputedRecordFTEsSCL</t>
  </si>
  <si>
    <t>eSystems QSC Lease Disputed Record FTEs</t>
  </si>
  <si>
    <t>eSystemsLeaseDisputedRecordFTEsQSC</t>
  </si>
  <si>
    <t>eSystems EM Lease Disputed Record FTEs</t>
  </si>
  <si>
    <t>eSystemsLeaseDisputedRecordFTEsEM</t>
  </si>
  <si>
    <t>eSystems CM Lease Disputed Record FTEs</t>
  </si>
  <si>
    <t>eSystemsLeaseDisputedRecordFTEsCM</t>
  </si>
  <si>
    <t>eSystems SMCS Lease Disputed Record FTEs</t>
  </si>
  <si>
    <t>eSystemsLeaseDisputedRecordFTEsSMCS</t>
  </si>
  <si>
    <t>eSystems O1 Lease Disputed Record FTEs</t>
  </si>
  <si>
    <t>eSystemsLeaseDisputedRecordFTEsO1</t>
  </si>
  <si>
    <t>eSystems O2 Lease Disputed Record FTEs</t>
  </si>
  <si>
    <t>eSystemsLeaseDisputedRecordFTEsO2</t>
  </si>
  <si>
    <t>eSystems Lease Disputed Record Total FTEs</t>
  </si>
  <si>
    <t>eSystemsLeaseDisputedRecordTotalFTEs</t>
  </si>
  <si>
    <t>pSystemsLeaseRecordSearchLaborHrsHM</t>
  </si>
  <si>
    <t>pSystemsLeaseRecordSearchLaborHrsLM</t>
  </si>
  <si>
    <t>pSystemsLeaseRecordSearchLaborHrsENG</t>
  </si>
  <si>
    <t>pSystemsLeaseRecordSearchLaborHrsPLG</t>
  </si>
  <si>
    <t>pSystemsLeaseRecordSearchLaborHrsCRT</t>
  </si>
  <si>
    <t>pSystemsLeaseRecordSearchLaborHrsSCL</t>
  </si>
  <si>
    <t>pSystemsLeaseRecordSearchLaborHrsQSC</t>
  </si>
  <si>
    <t>pSystemsLeaseRecordSearchLaborHrsEM</t>
  </si>
  <si>
    <t>pSystemsLeaseRecordSearchLaborHrsCM</t>
  </si>
  <si>
    <t>pSystemsLeaseRecordSearchLaborHrsSMCS</t>
  </si>
  <si>
    <t>pSystemsLeaseRecordSearchLaborHrsO1</t>
  </si>
  <si>
    <t>pSystemsLeaseRecordSearchLaborHrsO2</t>
  </si>
  <si>
    <t>pSystemsLeaseRecordSearchLaborCostHM</t>
  </si>
  <si>
    <t>pSystemsLeaseRecordSearchLaborCostLM</t>
  </si>
  <si>
    <t>pSystemsLeaseRecordSearchLaborCostENG</t>
  </si>
  <si>
    <t>pSystemsLeaseRecordSearchLaborCostPLG</t>
  </si>
  <si>
    <t>pSystemsLeaseRecordSearchLaborCostCRT</t>
  </si>
  <si>
    <t>pSystemsLeaseRecordSearchLaborCostSCL</t>
  </si>
  <si>
    <t>pSystemsLeaseRecordSearchLaborCostQSC</t>
  </si>
  <si>
    <t>pSystemsLeaseRecordSearchLaborCostEM</t>
  </si>
  <si>
    <t>pSystemsLeaseRecordSearchLaborCostCM</t>
  </si>
  <si>
    <t>pSystemsLeaseRecordSearchLaborCostSMCS</t>
  </si>
  <si>
    <t>pSystemsLeaseRecordSearchLaborCostO1</t>
  </si>
  <si>
    <t>pSystemsLeaseRecordSearchLaborCostO2</t>
  </si>
  <si>
    <t>pSystemsLeaseRecordSearchLaborCostTotal</t>
  </si>
  <si>
    <t>pSystemsLeaseRecordSearchFTEsHM</t>
  </si>
  <si>
    <t>pSystemsLeaseRecordSearchFTEsLM</t>
  </si>
  <si>
    <t>pSystemsLeaseRecordSearchFTEsENG</t>
  </si>
  <si>
    <t>pSystemsLeaseRecordSearchFTEsPLG</t>
  </si>
  <si>
    <t>pSystemsLeaseRecordSearchFTEsCRT</t>
  </si>
  <si>
    <t>pSystemsLeaseRecordSearchFTEsSCL</t>
  </si>
  <si>
    <t>pSystemsLeaseRecordSearchFTEsQSC</t>
  </si>
  <si>
    <t>pSystemsLeaseRecordSearchFTEsEM</t>
  </si>
  <si>
    <t>pSystemsLeaseRecordSearchFTEsCM</t>
  </si>
  <si>
    <t>pSystemsLeaseRecordSearchFTEsSMCS</t>
  </si>
  <si>
    <t>pSystemsLeaseRecordSearchFTEsO1</t>
  </si>
  <si>
    <t>pSystemsLeaseRecordSearchFTEsO2</t>
  </si>
  <si>
    <t>pSystemsLeaseRecordSearchTotalFTEs</t>
  </si>
  <si>
    <t>pSystems HM Labor Hours per Record Search</t>
  </si>
  <si>
    <t>pSystems LM Labor Hours per Record Search</t>
  </si>
  <si>
    <t>pSystems ENG Labor Hours per Record Search</t>
  </si>
  <si>
    <t>pSystems PLG Labor Hours per Record Search</t>
  </si>
  <si>
    <t>pSystems CRT Labor Hours per Record Search</t>
  </si>
  <si>
    <t>pSystems SCL Labor Hours per Record Search</t>
  </si>
  <si>
    <t>pSystems QSC Labor Hours per Record Search</t>
  </si>
  <si>
    <t>pSystems EM Labor Hours per Record Search</t>
  </si>
  <si>
    <t>pSystems CM Labor Hours per Record Search</t>
  </si>
  <si>
    <t>pSystems SMCS Labor Hours per Record Search</t>
  </si>
  <si>
    <t>pSystems O1 Labor Hours per Record Search</t>
  </si>
  <si>
    <t>pSystems O2 Labor Hours per Record Search</t>
  </si>
  <si>
    <t>pSystems HM Lease Record Search Cost pa</t>
  </si>
  <si>
    <t>pSystems LM Lease Record Search Cost pa</t>
  </si>
  <si>
    <t>pSystems ENG Lease Record Search Cost pa</t>
  </si>
  <si>
    <t>pSystems PLG Lease Record Search Cost pa</t>
  </si>
  <si>
    <t>pSystems CRT Lease Record Search Cost pa</t>
  </si>
  <si>
    <t>pSystems SCL Lease Record Search Cost pa</t>
  </si>
  <si>
    <t>pSystems QSC Lease Record Search Cost pa</t>
  </si>
  <si>
    <t>pSystems EM Lease Record Search Cost pa</t>
  </si>
  <si>
    <t>pSystems CM Lease Record Search Cost pa</t>
  </si>
  <si>
    <t>pSystems SMCS Lease Record Search Cost pa</t>
  </si>
  <si>
    <t>pSystems O1 Lease Record Search Cost pa</t>
  </si>
  <si>
    <t>pSystems O2 Lease Record Search Cost pa</t>
  </si>
  <si>
    <t>pSystems Lease Record Search Total Cost pa</t>
  </si>
  <si>
    <t>pSystems HM Lease Record Search FTEs</t>
  </si>
  <si>
    <t>pSystems LM Lease Record Search FTEs</t>
  </si>
  <si>
    <t>pSystems ENG Lease Record Search FTEs</t>
  </si>
  <si>
    <t>pSystems PLG Lease Record Search FTEs</t>
  </si>
  <si>
    <t>pSystems CRT Lease Record Search FTEs</t>
  </si>
  <si>
    <t>pSystems SCL Lease Record Search FTEs</t>
  </si>
  <si>
    <t>pSystems QSC Lease Record Search FTEs</t>
  </si>
  <si>
    <t>pSystems EM Lease Record Search FTEs</t>
  </si>
  <si>
    <t>pSystems CM Lease Record Search FTEs</t>
  </si>
  <si>
    <t>pSystems SMCS Lease Record Search FTEs</t>
  </si>
  <si>
    <t>pSystems O1 Lease Record Search FTEs</t>
  </si>
  <si>
    <t>pSystems O2 Lease Record Search FTEs</t>
  </si>
  <si>
    <t>pSystems Lease Record Search Total FTEs</t>
  </si>
  <si>
    <t>hSystems Forecast Record Searches pa</t>
  </si>
  <si>
    <t>hSystems HM Labor Hours per Record Search</t>
  </si>
  <si>
    <t>hSystemsLeaseRecordSearchLaborHrsHM</t>
  </si>
  <si>
    <t>hSystems LM Labor Hours per Record Search</t>
  </si>
  <si>
    <t>hSystemsLeaseRecordSearchLaborHrsLM</t>
  </si>
  <si>
    <t>hSystems ENG Labor Hours per Record Search</t>
  </si>
  <si>
    <t>hSystemsLeaseRecordSearchLaborHrsENG</t>
  </si>
  <si>
    <t>hSystems PLG Labor Hours per Record Search</t>
  </si>
  <si>
    <t>hSystemsLeaseRecordSearchLaborHrsPLG</t>
  </si>
  <si>
    <t>hSystems CRT Labor Hours per Record Search</t>
  </si>
  <si>
    <t>hSystemsLeaseRecordSearchLaborHrsCRT</t>
  </si>
  <si>
    <t>hSystems SCL Labor Hours per Record Search</t>
  </si>
  <si>
    <t>hSystemsLeaseRecordSearchLaborHrsSCL</t>
  </si>
  <si>
    <t>hSystems QSC Labor Hours per Record Search</t>
  </si>
  <si>
    <t>hSystemsLeaseRecordSearchLaborHrsQSC</t>
  </si>
  <si>
    <t>hSystems EM Labor Hours per Record Search</t>
  </si>
  <si>
    <t>hSystemsLeaseRecordSearchLaborHrsEM</t>
  </si>
  <si>
    <t>hSystems CM Labor Hours per Record Search</t>
  </si>
  <si>
    <t>hSystemsLeaseRecordSearchLaborHrsCM</t>
  </si>
  <si>
    <t>hSystems SMCS Labor Hours per Record Search</t>
  </si>
  <si>
    <t>hSystemsLeaseRecordSearchLaborHrsSMCS</t>
  </si>
  <si>
    <t>hSystems O1 Labor Hours per Record Search</t>
  </si>
  <si>
    <t>hSystemsLeaseRecordSearchLaborHrsO1</t>
  </si>
  <si>
    <t>hSystems O2 Labor Hours per Record Search</t>
  </si>
  <si>
    <t>hSystemsLeaseRecordSearchLaborHrsO2</t>
  </si>
  <si>
    <t>hSystems HM Lease Record Search Cost pa</t>
  </si>
  <si>
    <t>hSystemsLeaseRecordSearchLaborCostHM</t>
  </si>
  <si>
    <t>hSystems LM Lease Record Search Cost pa</t>
  </si>
  <si>
    <t>hSystemsLeaseRecordSearchLaborCostLM</t>
  </si>
  <si>
    <t>hSystems ENG Lease Record Search Cost pa</t>
  </si>
  <si>
    <t>hSystemsLeaseRecordSearchLaborCostENG</t>
  </si>
  <si>
    <t>hSystems PLG Lease Record Search Cost pa</t>
  </si>
  <si>
    <t>hSystemsLeaseRecordSearchLaborCostPLG</t>
  </si>
  <si>
    <t>hSystems CRT Lease Record Search Cost pa</t>
  </si>
  <si>
    <t>hSystemsLeaseRecordSearchLaborCostCRT</t>
  </si>
  <si>
    <t>hSystems SCL Lease Record Search Cost pa</t>
  </si>
  <si>
    <t>hSystemsLeaseRecordSearchLaborCostSCL</t>
  </si>
  <si>
    <t>hSystems QSC Lease Record Search Cost pa</t>
  </si>
  <si>
    <t>hSystemsLeaseRecordSearchLaborCostQSC</t>
  </si>
  <si>
    <t>hSystems EM Lease Record Search Cost pa</t>
  </si>
  <si>
    <t>hSystemsLeaseRecordSearchLaborCostEM</t>
  </si>
  <si>
    <t>hSystems CM Lease Record Search Cost pa</t>
  </si>
  <si>
    <t>hSystemsLeaseRecordSearchLaborCostCM</t>
  </si>
  <si>
    <t>hSystems SMCS Lease Record Search Cost pa</t>
  </si>
  <si>
    <t>hSystemsLeaseRecordSearchLaborCostSMCS</t>
  </si>
  <si>
    <t>hSystems O1 Lease Record Search Cost pa</t>
  </si>
  <si>
    <t>hSystemsLeaseRecordSearchLaborCostO1</t>
  </si>
  <si>
    <t>hSystems O2 Lease Record Search Cost pa</t>
  </si>
  <si>
    <t>hSystemsLeaseRecordSearchLaborCostO2</t>
  </si>
  <si>
    <t>hSystems Lease Record Search Total Cost pa</t>
  </si>
  <si>
    <t>hSystemsLeaseRecordSearchLaborCostTotal</t>
  </si>
  <si>
    <t>hSystems HM Lease Record Search FTEs</t>
  </si>
  <si>
    <t>hSystemsLeaseRecordSearchFTEsHM</t>
  </si>
  <si>
    <t>hSystems LM Lease Record Search FTEs</t>
  </si>
  <si>
    <t>hSystemsLeaseRecordSearchFTEsLM</t>
  </si>
  <si>
    <t>hSystems ENG Lease Record Search FTEs</t>
  </si>
  <si>
    <t>hSystemsLeaseRecordSearchFTEsENG</t>
  </si>
  <si>
    <t>hSystems PLG Lease Record Search FTEs</t>
  </si>
  <si>
    <t>hSystemsLeaseRecordSearchFTEsPLG</t>
  </si>
  <si>
    <t>hSystems CRT Lease Record Search FTEs</t>
  </si>
  <si>
    <t>hSystemsLeaseRecordSearchFTEsCRT</t>
  </si>
  <si>
    <t>hSystems SCL Lease Record Search FTEs</t>
  </si>
  <si>
    <t>hSystemsLeaseRecordSearchFTEsSCL</t>
  </si>
  <si>
    <t>hSystems QSC Lease Record Search FTEs</t>
  </si>
  <si>
    <t>hSystemsLeaseRecordSearchFTEsQSC</t>
  </si>
  <si>
    <t>hSystems EM Lease Record Search FTEs</t>
  </si>
  <si>
    <t>hSystemsLeaseRecordSearchFTEsEM</t>
  </si>
  <si>
    <t>hSystems CM Lease Record Search FTEs</t>
  </si>
  <si>
    <t>hSystemsLeaseRecordSearchFTEsCM</t>
  </si>
  <si>
    <t>hSystems SMCS Lease Record Search FTEs</t>
  </si>
  <si>
    <t>hSystemsLeaseRecordSearchFTEsSMCS</t>
  </si>
  <si>
    <t>hSystems O1 Lease Record Search FTEs</t>
  </si>
  <si>
    <t>hSystemsLeaseRecordSearchFTEsO1</t>
  </si>
  <si>
    <t>hSystems O2 Lease Record Search FTEs</t>
  </si>
  <si>
    <t>hSystemsLeaseRecordSearchFTEsO2</t>
  </si>
  <si>
    <t>hSystems Lease Record Search Total FTEs</t>
  </si>
  <si>
    <t>hSystemsLeaseRecordSearchTotalFTEs</t>
  </si>
  <si>
    <t>eSystems Forecast Record Searches pa</t>
  </si>
  <si>
    <t>eSystems HM Labor Hours per Record Search</t>
  </si>
  <si>
    <t>eSystemsLeaseRecordSearchLaborHrsHM</t>
  </si>
  <si>
    <t>eSystems LM Labor Hours per Record Search</t>
  </si>
  <si>
    <t>eSystemsLeaseRecordSearchLaborHrsLM</t>
  </si>
  <si>
    <t>eSystems ENG Labor Hours per Record Search</t>
  </si>
  <si>
    <t>eSystemsLeaseRecordSearchLaborHrsENG</t>
  </si>
  <si>
    <t>eSystems PLG Labor Hours per Record Search</t>
  </si>
  <si>
    <t>eSystemsLeaseRecordSearchLaborHrsPLG</t>
  </si>
  <si>
    <t>eSystems CRT Labor Hours per Record Search</t>
  </si>
  <si>
    <t>eSystemsLeaseRecordSearchLaborHrsCRT</t>
  </si>
  <si>
    <t>eSystems SCL Labor Hours per Record Search</t>
  </si>
  <si>
    <t>eSystemsLeaseRecordSearchLaborHrsSCL</t>
  </si>
  <si>
    <t>eSystems QSC Labor Hours per Record Search</t>
  </si>
  <si>
    <t>eSystemsLeaseRecordSearchLaborHrsQSC</t>
  </si>
  <si>
    <t>eSystems EM Labor Hours per Record Search</t>
  </si>
  <si>
    <t>eSystemsLeaseRecordSearchLaborHrsEM</t>
  </si>
  <si>
    <t>eSystems CM Labor Hours per Record Search</t>
  </si>
  <si>
    <t>eSystemsLeaseRecordSearchLaborHrsCM</t>
  </si>
  <si>
    <t>eSystems SMCS Labor Hours per Record Search</t>
  </si>
  <si>
    <t>eSystemsLeaseRecordSearchLaborHrsSMCS</t>
  </si>
  <si>
    <t>eSystems O1 Labor Hours per Record Search</t>
  </si>
  <si>
    <t>eSystemsLeaseRecordSearchLaborHrsO1</t>
  </si>
  <si>
    <t>eSystems O2 Labor Hours per Record Search</t>
  </si>
  <si>
    <t>eSystemsLeaseRecordSearchLaborHrsO2</t>
  </si>
  <si>
    <t>eSystems HM Lease Record Search Cost pa</t>
  </si>
  <si>
    <t>eSystemsLeaseRecordSearchLaborCostHM</t>
  </si>
  <si>
    <t>eSystems LM Lease Record Search Cost pa</t>
  </si>
  <si>
    <t>eSystemsLeaseRecordSearchLaborCostLM</t>
  </si>
  <si>
    <t>eSystems ENG Lease Record Search Cost pa</t>
  </si>
  <si>
    <t>eSystemsLeaseRecordSearchLaborCostENG</t>
  </si>
  <si>
    <t>eSystems PLG Lease Record Search Cost pa</t>
  </si>
  <si>
    <t>eSystemsLeaseRecordSearchLaborCostPLG</t>
  </si>
  <si>
    <t>eSystems CRT Lease Record Search Cost pa</t>
  </si>
  <si>
    <t>eSystemsLeaseRecordSearchLaborCostCRT</t>
  </si>
  <si>
    <t>eSystems SCL Lease Record Search Cost pa</t>
  </si>
  <si>
    <t>eSystemsLeaseRecordSearchLaborCostSCL</t>
  </si>
  <si>
    <t>eSystems QSC Lease Record Search Cost pa</t>
  </si>
  <si>
    <t>eSystemsLeaseRecordSearchLaborCostQSC</t>
  </si>
  <si>
    <t>eSystems EM Lease Record Search Cost pa</t>
  </si>
  <si>
    <t>eSystemsLeaseRecordSearchLaborCostEM</t>
  </si>
  <si>
    <t>eSystems CM Lease Record Search Cost pa</t>
  </si>
  <si>
    <t>eSystemsLeaseRecordSearchLaborCostCM</t>
  </si>
  <si>
    <t>eSystems SMCS Lease Record Search Cost pa</t>
  </si>
  <si>
    <t>eSystemsLeaseRecordSearchLaborCostSMCS</t>
  </si>
  <si>
    <t>eSystems O1 Lease Record Search Cost pa</t>
  </si>
  <si>
    <t>eSystemsLeaseRecordSearchLaborCostO1</t>
  </si>
  <si>
    <t>eSystems O2 Lease Record Search Cost pa</t>
  </si>
  <si>
    <t>eSystemsLeaseRecordSearchLaborCostO2</t>
  </si>
  <si>
    <t>eSystems Lease Record Search Total Cost pa</t>
  </si>
  <si>
    <t>eSystemsLeaseRecordSearchLaborCostTotal</t>
  </si>
  <si>
    <t>eSystems HM Lease Record Search FTEs</t>
  </si>
  <si>
    <t>eSystemsLeaseRecordSearchFTEsHM</t>
  </si>
  <si>
    <t>eSystems LM Lease Record Search FTEs</t>
  </si>
  <si>
    <t>eSystemsLeaseRecordSearchFTEsLM</t>
  </si>
  <si>
    <t>eSystems ENG Lease Record Search FTEs</t>
  </si>
  <si>
    <t>eSystemsLeaseRecordSearchFTEsENG</t>
  </si>
  <si>
    <t>eSystems PLG Lease Record Search FTEs</t>
  </si>
  <si>
    <t>eSystemsLeaseRecordSearchFTEsPLG</t>
  </si>
  <si>
    <t>eSystems CRT Lease Record Search FTEs</t>
  </si>
  <si>
    <t>eSystemsLeaseRecordSearchFTEsCRT</t>
  </si>
  <si>
    <t>eSystems SCL Lease Record Search FTEs</t>
  </si>
  <si>
    <t>eSystemsLeaseRecordSearchFTEsSCL</t>
  </si>
  <si>
    <t>eSystems QSC Lease Record Search FTEs</t>
  </si>
  <si>
    <t>eSystemsLeaseRecordSearchFTEsQSC</t>
  </si>
  <si>
    <t>eSystems EM Lease Record Search FTEs</t>
  </si>
  <si>
    <t>eSystemsLeaseRecordSearchFTEsEM</t>
  </si>
  <si>
    <t>eSystems CM Lease Record Search FTEs</t>
  </si>
  <si>
    <t>eSystemsLeaseRecordSearchFTEsCM</t>
  </si>
  <si>
    <t>eSystems SMCS Lease Record Search FTEs</t>
  </si>
  <si>
    <t>eSystemsLeaseRecordSearchFTEsSMCS</t>
  </si>
  <si>
    <t>eSystems O1 Lease Record Search FTEs</t>
  </si>
  <si>
    <t>eSystemsLeaseRecordSearchFTEsO1</t>
  </si>
  <si>
    <t>eSystems O2 Lease Record Search FTEs</t>
  </si>
  <si>
    <t>eSystemsLeaseRecordSearchFTEsO2</t>
  </si>
  <si>
    <t>eSystems Lease Record Search Total FTEs</t>
  </si>
  <si>
    <t>eSystemsLeaseRecordSearchTotalFTEs</t>
  </si>
  <si>
    <t>pSystems HM Labor Hours per Due Diligence</t>
  </si>
  <si>
    <t>pSystems LM Labor Hours per Due Diligence</t>
  </si>
  <si>
    <t>pSystems ENG Labor Hours per Due Diligence</t>
  </si>
  <si>
    <t>pSystems PLG Labor Hours per Due Diligence</t>
  </si>
  <si>
    <t>pSystems CRT Labor Hours per Due Diligence</t>
  </si>
  <si>
    <t>pSystems SCL Labor Hours per Due Diligence</t>
  </si>
  <si>
    <t>pSystems QSC Labor Hours per Due Diligence</t>
  </si>
  <si>
    <t>pSystems EM Labor Hours per Due Diligence</t>
  </si>
  <si>
    <t>pSystems CM Labor Hours per Due Diligence</t>
  </si>
  <si>
    <t>pSystems SMCS Labor Hours per Due Diligence</t>
  </si>
  <si>
    <t>pSystems O1 Labor Hours per Due Diligence</t>
  </si>
  <si>
    <t>pSystems O2 Labor Hours per Due Diligence</t>
  </si>
  <si>
    <t>pSystems HM Lease Due Diligence Cost pa</t>
  </si>
  <si>
    <t>pSystems LM Lease Due Diligence Cost pa</t>
  </si>
  <si>
    <t>pSystems ENG Lease Due Diligence Cost pa</t>
  </si>
  <si>
    <t>pSystems PLG Lease Due Diligence Cost pa</t>
  </si>
  <si>
    <t>pSystems CRT Lease Due Diligence Cost pa</t>
  </si>
  <si>
    <t>pSystems SCL Lease Due Diligence Cost pa</t>
  </si>
  <si>
    <t>pSystems QSC Lease Due Diligence Cost pa</t>
  </si>
  <si>
    <t>pSystems EM Lease Due Diligence Cost pa</t>
  </si>
  <si>
    <t>pSystems CM Lease Due Diligence Cost pa</t>
  </si>
  <si>
    <t>pSystems SMCS Lease Due Diligence Cost pa</t>
  </si>
  <si>
    <t>pSystems O1 Lease Due Diligence Cost pa</t>
  </si>
  <si>
    <t>pSystems O2 Lease Due Diligence Cost pa</t>
  </si>
  <si>
    <t>pSystems Lease Due Diligence Total Cost pa</t>
  </si>
  <si>
    <t>pSystems HM Lease Due Diligence FTEs</t>
  </si>
  <si>
    <t>pSystems LM Lease Due Diligence FTEs</t>
  </si>
  <si>
    <t>pSystems ENG Lease Due Diligence FTEs</t>
  </si>
  <si>
    <t>pSystems PLG Lease Due Diligence FTEs</t>
  </si>
  <si>
    <t>pSystems CRT Lease Due Diligence FTEs</t>
  </si>
  <si>
    <t>pSystems SCL Lease Due Diligence FTEs</t>
  </si>
  <si>
    <t>pSystems QSC Lease Due Diligence FTEs</t>
  </si>
  <si>
    <t>pSystems EM Lease Due Diligence FTEs</t>
  </si>
  <si>
    <t>pSystems CM Lease Due Diligence FTEs</t>
  </si>
  <si>
    <t>pSystems SMCS Lease Due Diligence FTEs</t>
  </si>
  <si>
    <t>pSystems O1 Lease Due Diligence FTEs</t>
  </si>
  <si>
    <t>pSystems O2 Lease Due Diligence FTEs</t>
  </si>
  <si>
    <t>pSystems Lease Due Diligence Total FTEs</t>
  </si>
  <si>
    <t>pSystemsLeaseDueDilLaborHrsHM</t>
  </si>
  <si>
    <t>pSystemsLeaseDueDilLaborHrsLM</t>
  </si>
  <si>
    <t>pSystemsLeaseDueDilLaborHrsENG</t>
  </si>
  <si>
    <t>pSystemsLeaseDueDilLaborHrsPLG</t>
  </si>
  <si>
    <t>pSystemsLeaseDueDilLaborHrsCRT</t>
  </si>
  <si>
    <t>pSystemsLeaseDueDilLaborHrsSCL</t>
  </si>
  <si>
    <t>pSystemsLeaseDueDilLaborHrsQSC</t>
  </si>
  <si>
    <t>pSystemsLeaseDueDilLaborHrsEM</t>
  </si>
  <si>
    <t>pSystemsLeaseDueDilLaborHrsCM</t>
  </si>
  <si>
    <t>pSystemsLeaseDueDilLaborHrsSMCS</t>
  </si>
  <si>
    <t>pSystemsLeaseDueDilLaborHrsO1</t>
  </si>
  <si>
    <t>pSystemsLeaseDueDilLaborHrsO2</t>
  </si>
  <si>
    <t>pSystemsLeaseDueDilLaborCostHM</t>
  </si>
  <si>
    <t>pSystemsLeaseDueDilLaborCostLM</t>
  </si>
  <si>
    <t>pSystemsLeaseDueDilLaborCostENG</t>
  </si>
  <si>
    <t>pSystemsLeaseDueDilLaborCostPLG</t>
  </si>
  <si>
    <t>pSystemsLeaseDueDilLaborCostCRT</t>
  </si>
  <si>
    <t>pSystemsLeaseDueDilLaborCostSCL</t>
  </si>
  <si>
    <t>pSystemsLeaseDueDilLaborCostQSC</t>
  </si>
  <si>
    <t>pSystemsLeaseDueDilLaborCostEM</t>
  </si>
  <si>
    <t>pSystemsLeaseDueDilLaborCostCM</t>
  </si>
  <si>
    <t>pSystemsLeaseDueDilLaborCostSMCS</t>
  </si>
  <si>
    <t>pSystemsLeaseDueDilLaborCostO1</t>
  </si>
  <si>
    <t>pSystemsLeaseDueDilLaborCostO2</t>
  </si>
  <si>
    <t>pSystemsLeaseDueDilLaborCostTotal</t>
  </si>
  <si>
    <t>pSystemsLeaseDueDilFTEsHM</t>
  </si>
  <si>
    <t>pSystemsLeaseDueDilFTEsLM</t>
  </si>
  <si>
    <t>pSystemsLeaseDueDilFTEsENG</t>
  </si>
  <si>
    <t>pSystemsLeaseDueDilFTEsPLG</t>
  </si>
  <si>
    <t>pSystemsLeaseDueDilFTEsCRT</t>
  </si>
  <si>
    <t>pSystemsLeaseDueDilFTEsSCL</t>
  </si>
  <si>
    <t>pSystemsLeaseDueDilFTEsQSC</t>
  </si>
  <si>
    <t>pSystemsLeaseDueDilFTEsEM</t>
  </si>
  <si>
    <t>pSystemsLeaseDueDilFTEsCM</t>
  </si>
  <si>
    <t>pSystemsLeaseDueDilFTEsSMCS</t>
  </si>
  <si>
    <t>pSystemsLeaseDueDilFTEsO1</t>
  </si>
  <si>
    <t>pSystemsLeaseDueDilFTEsO2</t>
  </si>
  <si>
    <t>pSystemsLeaseDueDilTotalFTEs</t>
  </si>
  <si>
    <t>hSystems HM Labor Hours per Due Diligence</t>
  </si>
  <si>
    <t>hSystemsLeaseDueDilLaborHrsHM</t>
  </si>
  <si>
    <t>hSystems LM Labor Hours per Due Diligence</t>
  </si>
  <si>
    <t>hSystemsLeaseDueDilLaborHrsLM</t>
  </si>
  <si>
    <t>hSystems ENG Labor Hours per Due Diligence</t>
  </si>
  <si>
    <t>hSystemsLeaseDueDilLaborHrsENG</t>
  </si>
  <si>
    <t>hSystems PLG Labor Hours per Due Diligence</t>
  </si>
  <si>
    <t>hSystemsLeaseDueDilLaborHrsPLG</t>
  </si>
  <si>
    <t>hSystems CRT Labor Hours per Due Diligence</t>
  </si>
  <si>
    <t>hSystemsLeaseDueDilLaborHrsCRT</t>
  </si>
  <si>
    <t>hSystems SCL Labor Hours per Due Diligence</t>
  </si>
  <si>
    <t>hSystemsLeaseDueDilLaborHrsSCL</t>
  </si>
  <si>
    <t>hSystems QSC Labor Hours per Due Diligence</t>
  </si>
  <si>
    <t>hSystemsLeaseDueDilLaborHrsQSC</t>
  </si>
  <si>
    <t>hSystems EM Labor Hours per Due Diligence</t>
  </si>
  <si>
    <t>hSystemsLeaseDueDilLaborHrsEM</t>
  </si>
  <si>
    <t>hSystems CM Labor Hours per Due Diligence</t>
  </si>
  <si>
    <t>hSystemsLeaseDueDilLaborHrsCM</t>
  </si>
  <si>
    <t>hSystems SMCS Labor Hours per Due Diligence</t>
  </si>
  <si>
    <t>hSystemsLeaseDueDilLaborHrsSMCS</t>
  </si>
  <si>
    <t>hSystems O1 Labor Hours per Due Diligence</t>
  </si>
  <si>
    <t>hSystemsLeaseDueDilLaborHrsO1</t>
  </si>
  <si>
    <t>hSystems O2 Labor Hours per Due Diligence</t>
  </si>
  <si>
    <t>hSystemsLeaseDueDilLaborHrsO2</t>
  </si>
  <si>
    <t>hSystems HM Lease Due Diligence Cost pa</t>
  </si>
  <si>
    <t>hSystemsLeaseDueDilLaborCostHM</t>
  </si>
  <si>
    <t>hSystems LM Lease Due Diligence Cost pa</t>
  </si>
  <si>
    <t>hSystemsLeaseDueDilLaborCostLM</t>
  </si>
  <si>
    <t>hSystems ENG Lease Due Diligence Cost pa</t>
  </si>
  <si>
    <t>hSystemsLeaseDueDilLaborCostENG</t>
  </si>
  <si>
    <t>hSystems PLG Lease Due Diligence Cost pa</t>
  </si>
  <si>
    <t>hSystemsLeaseDueDilLaborCostPLG</t>
  </si>
  <si>
    <t>hSystems CRT Lease Due Diligence Cost pa</t>
  </si>
  <si>
    <t>hSystemsLeaseDueDilLaborCostCRT</t>
  </si>
  <si>
    <t>hSystems SCL Lease Due Diligence Cost pa</t>
  </si>
  <si>
    <t>hSystemsLeaseDueDilLaborCostSCL</t>
  </si>
  <si>
    <t>hSystems QSC Lease Due Diligence Cost pa</t>
  </si>
  <si>
    <t>hSystemsLeaseDueDilLaborCostQSC</t>
  </si>
  <si>
    <t>hSystems EM Lease Due Diligence Cost pa</t>
  </si>
  <si>
    <t>hSystemsLeaseDueDilLaborCostEM</t>
  </si>
  <si>
    <t>hSystems CM Lease Due Diligence Cost pa</t>
  </si>
  <si>
    <t>hSystemsLeaseDueDilLaborCostCM</t>
  </si>
  <si>
    <t>hSystems SMCS Lease Due Diligence Cost pa</t>
  </si>
  <si>
    <t>hSystemsLeaseDueDilLaborCostSMCS</t>
  </si>
  <si>
    <t>hSystems O1 Lease Due Diligence Cost pa</t>
  </si>
  <si>
    <t>hSystemsLeaseDueDilLaborCostO1</t>
  </si>
  <si>
    <t>hSystems O2 Lease Due Diligence Cost pa</t>
  </si>
  <si>
    <t>hSystemsLeaseDueDilLaborCostO2</t>
  </si>
  <si>
    <t>hSystems Lease Due Diligence Total Cost pa</t>
  </si>
  <si>
    <t>hSystemsLeaseDueDilLaborCostTotal</t>
  </si>
  <si>
    <t>hSystems HM Lease Due Diligence FTEs</t>
  </si>
  <si>
    <t>hSystemsLeaseDueDilFTEsHM</t>
  </si>
  <si>
    <t>hSystems LM Lease Due Diligence FTEs</t>
  </si>
  <si>
    <t>hSystemsLeaseDueDilFTEsLM</t>
  </si>
  <si>
    <t>hSystems ENG Lease Due Diligence FTEs</t>
  </si>
  <si>
    <t>hSystemsLeaseDueDilFTEsENG</t>
  </si>
  <si>
    <t>hSystems PLG Lease Due Diligence FTEs</t>
  </si>
  <si>
    <t>hSystemsLeaseDueDilFTEsPLG</t>
  </si>
  <si>
    <t>hSystems CRT Lease Due Diligence FTEs</t>
  </si>
  <si>
    <t>hSystemsLeaseDueDilFTEsCRT</t>
  </si>
  <si>
    <t>hSystems SCL Lease Due Diligence FTEs</t>
  </si>
  <si>
    <t>hSystemsLeaseDueDilFTEsSCL</t>
  </si>
  <si>
    <t>hSystems QSC Lease Due Diligence FTEs</t>
  </si>
  <si>
    <t>hSystemsLeaseDueDilFTEsQSC</t>
  </si>
  <si>
    <t>hSystems EM Lease Due Diligence FTEs</t>
  </si>
  <si>
    <t>hSystemsLeaseDueDilFTEsEM</t>
  </si>
  <si>
    <t>hSystems CM Lease Due Diligence FTEs</t>
  </si>
  <si>
    <t>hSystemsLeaseDueDilFTEsCM</t>
  </si>
  <si>
    <t>hSystems SMCS Lease Due Diligence FTEs</t>
  </si>
  <si>
    <t>hSystemsLeaseDueDilFTEsSMCS</t>
  </si>
  <si>
    <t>hSystems O1 Lease Due Diligence FTEs</t>
  </si>
  <si>
    <t>hSystemsLeaseDueDilFTEsO1</t>
  </si>
  <si>
    <t>hSystems O2 Lease Due Diligence FTEs</t>
  </si>
  <si>
    <t>hSystemsLeaseDueDilFTEsO2</t>
  </si>
  <si>
    <t>hSystems Lease Due Diligence Total FTEs</t>
  </si>
  <si>
    <t>hSystemsLeaseDueDilTotalFTEs</t>
  </si>
  <si>
    <t>eSystems HM Labor Hours per Due Diligence</t>
  </si>
  <si>
    <t>eSystemsLeaseDueDilLaborHrsHM</t>
  </si>
  <si>
    <t>eSystems LM Labor Hours per Due Diligence</t>
  </si>
  <si>
    <t>eSystemsLeaseDueDilLaborHrsLM</t>
  </si>
  <si>
    <t>eSystems ENG Labor Hours per Due Diligence</t>
  </si>
  <si>
    <t>eSystemsLeaseDueDilLaborHrsENG</t>
  </si>
  <si>
    <t>eSystems PLG Labor Hours per Due Diligence</t>
  </si>
  <si>
    <t>eSystemsLeaseDueDilLaborHrsPLG</t>
  </si>
  <si>
    <t>eSystems CRT Labor Hours per Due Diligence</t>
  </si>
  <si>
    <t>eSystemsLeaseDueDilLaborHrsCRT</t>
  </si>
  <si>
    <t>eSystems SCL Labor Hours per Due Diligence</t>
  </si>
  <si>
    <t>eSystemsLeaseDueDilLaborHrsSCL</t>
  </si>
  <si>
    <t>eSystems QSC Labor Hours per Due Diligence</t>
  </si>
  <si>
    <t>eSystemsLeaseDueDilLaborHrsQSC</t>
  </si>
  <si>
    <t>eSystems EM Labor Hours per Due Diligence</t>
  </si>
  <si>
    <t>eSystemsLeaseDueDilLaborHrsEM</t>
  </si>
  <si>
    <t>eSystems CM Labor Hours per Due Diligence</t>
  </si>
  <si>
    <t>eSystemsLeaseDueDilLaborHrsCM</t>
  </si>
  <si>
    <t>eSystems SMCS Labor Hours per Due Diligence</t>
  </si>
  <si>
    <t>eSystemsLeaseDueDilLaborHrsSMCS</t>
  </si>
  <si>
    <t>eSystems O1 Labor Hours per Due Diligence</t>
  </si>
  <si>
    <t>eSystemsLeaseDueDilLaborHrsO1</t>
  </si>
  <si>
    <t>eSystems O2 Labor Hours per Due Diligence</t>
  </si>
  <si>
    <t>eSystemsLeaseDueDilLaborHrsO2</t>
  </si>
  <si>
    <t>eSystems HM Lease Due Diligence Cost pa</t>
  </si>
  <si>
    <t>eSystemsLeaseDueDilLaborCostHM</t>
  </si>
  <si>
    <t>eSystems LM Lease Due Diligence Cost pa</t>
  </si>
  <si>
    <t>eSystemsLeaseDueDilLaborCostLM</t>
  </si>
  <si>
    <t>eSystems ENG Lease Due Diligence Cost pa</t>
  </si>
  <si>
    <t>eSystemsLeaseDueDilLaborCostENG</t>
  </si>
  <si>
    <t>eSystems PLG Lease Due Diligence Cost pa</t>
  </si>
  <si>
    <t>eSystemsLeaseDueDilLaborCostPLG</t>
  </si>
  <si>
    <t>eSystems CRT Lease Due Diligence Cost pa</t>
  </si>
  <si>
    <t>eSystemsLeaseDueDilLaborCostCRT</t>
  </si>
  <si>
    <t>eSystems SCL Lease Due Diligence Cost pa</t>
  </si>
  <si>
    <t>eSystemsLeaseDueDilLaborCostSCL</t>
  </si>
  <si>
    <t>eSystems QSC Lease Due Diligence Cost pa</t>
  </si>
  <si>
    <t>eSystemsLeaseDueDilLaborCostQSC</t>
  </si>
  <si>
    <t>eSystems EM Lease Due Diligence Cost pa</t>
  </si>
  <si>
    <t>eSystemsLeaseDueDilLaborCostEM</t>
  </si>
  <si>
    <t>eSystems CM Lease Due Diligence Cost pa</t>
  </si>
  <si>
    <t>eSystemsLeaseDueDilLaborCostCM</t>
  </si>
  <si>
    <t>eSystems SMCS Lease Due Diligence Cost pa</t>
  </si>
  <si>
    <t>eSystemsLeaseDueDilLaborCostSMCS</t>
  </si>
  <si>
    <t>eSystems O1 Lease Due Diligence Cost pa</t>
  </si>
  <si>
    <t>eSystemsLeaseDueDilLaborCostO1</t>
  </si>
  <si>
    <t>eSystems O2 Lease Due Diligence Cost pa</t>
  </si>
  <si>
    <t>eSystemsLeaseDueDilLaborCostO2</t>
  </si>
  <si>
    <t>eSystems Lease Due Diligence Total Cost pa</t>
  </si>
  <si>
    <t>eSystemsLeaseDueDilLaborCostTotal</t>
  </si>
  <si>
    <t>eSystems HM Lease Due Diligence FTEs</t>
  </si>
  <si>
    <t>eSystemsLeaseDueDilFTEsHM</t>
  </si>
  <si>
    <t>eSystems LM Lease Due Diligence FTEs</t>
  </si>
  <si>
    <t>eSystemsLeaseDueDilFTEsLM</t>
  </si>
  <si>
    <t>eSystems ENG Lease Due Diligence FTEs</t>
  </si>
  <si>
    <t>eSystemsLeaseDueDilFTEsENG</t>
  </si>
  <si>
    <t>eSystems PLG Lease Due Diligence FTEs</t>
  </si>
  <si>
    <t>eSystemsLeaseDueDilFTEsPLG</t>
  </si>
  <si>
    <t>eSystems CRT Lease Due Diligence FTEs</t>
  </si>
  <si>
    <t>eSystemsLeaseDueDilFTEsCRT</t>
  </si>
  <si>
    <t>eSystems SCL Lease Due Diligence FTEs</t>
  </si>
  <si>
    <t>eSystemsLeaseDueDilFTEsSCL</t>
  </si>
  <si>
    <t>eSystems QSC Lease Due Diligence FTEs</t>
  </si>
  <si>
    <t>eSystemsLeaseDueDilFTEsQSC</t>
  </si>
  <si>
    <t>eSystems EM Lease Due Diligence FTEs</t>
  </si>
  <si>
    <t>eSystemsLeaseDueDilFTEsEM</t>
  </si>
  <si>
    <t>eSystems CM Lease Due Diligence FTEs</t>
  </si>
  <si>
    <t>eSystemsLeaseDueDilFTEsCM</t>
  </si>
  <si>
    <t>eSystems SMCS Lease Due Diligence FTEs</t>
  </si>
  <si>
    <t>eSystemsLeaseDueDilFTEsSMCS</t>
  </si>
  <si>
    <t>eSystems O1 Lease Due Diligence FTEs</t>
  </si>
  <si>
    <t>eSystemsLeaseDueDilFTEsO1</t>
  </si>
  <si>
    <t>eSystems O2 Lease Due Diligence FTEs</t>
  </si>
  <si>
    <t>eSystemsLeaseDueDilFTEsO2</t>
  </si>
  <si>
    <t>eSystems Lease Due Diligence Total FTEs</t>
  </si>
  <si>
    <t>eSystemsLeaseDueDilTotalFTEs</t>
  </si>
  <si>
    <t>pSystems HM Labor Hours Printing &amp; Collation</t>
  </si>
  <si>
    <t>pSystems LM Labor Hours Printing &amp; Collation</t>
  </si>
  <si>
    <t>pSystems ENG Labor Hours Printing &amp; Collation</t>
  </si>
  <si>
    <t>pSystems PLG Labor Hours Printing &amp; Collation</t>
  </si>
  <si>
    <t>pSystems CRT Labor Hours Printing &amp; Collation</t>
  </si>
  <si>
    <t>pSystems SCL Labor Hours Printing &amp; Collation</t>
  </si>
  <si>
    <t>pSystems QSC Labor Hours Printing &amp; Collation</t>
  </si>
  <si>
    <t>pSystems EM Labor Hours Printing &amp; Collation</t>
  </si>
  <si>
    <t>pSystems CM Labor Hours Printing &amp; Collation</t>
  </si>
  <si>
    <t>pSystems SMCS Labor Hours Printing &amp; Collation</t>
  </si>
  <si>
    <t>pSystems O1 Labor Hours Printing &amp; Collation</t>
  </si>
  <si>
    <t>pSystems O2 Labor Hours Printing &amp; Collation</t>
  </si>
  <si>
    <t>pSystems HM Lease Printing &amp; Collation Cost pa</t>
  </si>
  <si>
    <t>pSystems LM Lease Printing &amp; Collation Cost pa</t>
  </si>
  <si>
    <t>pSystems ENG Lease Printing &amp; Collation Cost pa</t>
  </si>
  <si>
    <t>pSystems PLG Lease Printing &amp; Collation Cost pa</t>
  </si>
  <si>
    <t>pSystems CRT Lease Printing &amp; Collation Cost pa</t>
  </si>
  <si>
    <t>pSystems SCL Lease Printing &amp; Collation Cost pa</t>
  </si>
  <si>
    <t>pSystems QSC Lease Printing &amp; Collation Cost pa</t>
  </si>
  <si>
    <t>pSystems EM Lease Printing &amp; Collation Cost pa</t>
  </si>
  <si>
    <t>pSystems CM Lease Printing &amp; Collation Cost pa</t>
  </si>
  <si>
    <t>pSystems SMCS Lease Printing &amp; Collation Cost pa</t>
  </si>
  <si>
    <t>pSystems O1 Lease Printing &amp; Collation Cost pa</t>
  </si>
  <si>
    <t>pSystems O2 Lease Printing &amp; Collation Cost pa</t>
  </si>
  <si>
    <t>pSystems Lease Printing &amp; Collation Total Cost pa</t>
  </si>
  <si>
    <t>pSystems HM Lease Printing &amp; Collation FTEs</t>
  </si>
  <si>
    <t>pSystems LM Lease Printing &amp; Collation FTEs</t>
  </si>
  <si>
    <t>pSystems ENG Lease Printing &amp; Collation FTEs</t>
  </si>
  <si>
    <t>pSystems PLG Lease Printing &amp; Collation FTEs</t>
  </si>
  <si>
    <t>pSystems CRT Lease Printing &amp; Collation FTEs</t>
  </si>
  <si>
    <t>pSystems SCL Lease Printing &amp; Collation FTEs</t>
  </si>
  <si>
    <t>pSystems QSC Lease Printing &amp; Collation FTEs</t>
  </si>
  <si>
    <t>pSystems EM Lease Printing &amp; Collation FTEs</t>
  </si>
  <si>
    <t>pSystems CM Lease Printing &amp; Collation FTEs</t>
  </si>
  <si>
    <t>pSystems SMCS Lease Printing &amp; Collation FTEs</t>
  </si>
  <si>
    <t>pSystems O1 Lease Printing &amp; Collation FTEs</t>
  </si>
  <si>
    <t>pSystems O2 Lease Printing &amp; Collation FTEs</t>
  </si>
  <si>
    <t>pSystems Lease Printing &amp; Collation Total FTEs</t>
  </si>
  <si>
    <t>pSystemsLeaseReturnPrintCollLaborCostHM</t>
  </si>
  <si>
    <t>pSystemsLeaseReturnPrintCollLaborCostLM</t>
  </si>
  <si>
    <t>pSystemsLeaseReturnPrintCollLaborCostENG</t>
  </si>
  <si>
    <t>pSystemsLeaseReturnPrintCollLaborCostPLG</t>
  </si>
  <si>
    <t>pSystemsLeaseReturnPrintCollLaborCostCRT</t>
  </si>
  <si>
    <t>pSystemsLeaseReturnPrintCollLaborCostSCL</t>
  </si>
  <si>
    <t>pSystemsLeaseReturnPrintCollLaborCostQSC</t>
  </si>
  <si>
    <t>pSystemsLeaseReturnPrintCollLaborCostEM</t>
  </si>
  <si>
    <t>pSystemsLeaseReturnPrintCollLaborCostCM</t>
  </si>
  <si>
    <t>pSystemsLeaseReturnPrintCollLaborCostSMCS</t>
  </si>
  <si>
    <t>pSystemsLeaseReturnPrintCollLaborCostO1</t>
  </si>
  <si>
    <t>pSystemsLeaseReturnPrintCollLaborCostO2</t>
  </si>
  <si>
    <t>pSystemsLeaseReturnPrintCollFTEsHM</t>
  </si>
  <si>
    <t>pSystemsLeaseReturnPrintCollFTEsLM</t>
  </si>
  <si>
    <t>pSystemsLeaseReturnPrintCollFTEsENG</t>
  </si>
  <si>
    <t>pSystemsLeaseReturnPrintCollFTEsPLG</t>
  </si>
  <si>
    <t>pSystemsLeaseReturnPrintCollFTEsCRT</t>
  </si>
  <si>
    <t>pSystemsLeaseReturnPrintCollFTEsSCL</t>
  </si>
  <si>
    <t>pSystemsLeaseReturnPrintCollFTEsQSC</t>
  </si>
  <si>
    <t>pSystemsLeaseReturnPrintCollFTEsEM</t>
  </si>
  <si>
    <t>pSystemsLeaseReturnPrintCollFTEsCM</t>
  </si>
  <si>
    <t>pSystemsLeaseReturnPrintCollFTEsSMCS</t>
  </si>
  <si>
    <t>pSystemsLeaseReturnPrintCollFTEsO1</t>
  </si>
  <si>
    <t>pSystemsLeaseReturnPrintCollFTEsO2</t>
  </si>
  <si>
    <t>pSystemsLeaseReturnPrintCollTotalFTEs</t>
  </si>
  <si>
    <t>pSystemsLeaseReturnPrintCollLaborHrsHM</t>
  </si>
  <si>
    <t>pSystemsLeaseReturnPrintCollLaborHrsLM</t>
  </si>
  <si>
    <t>pSystemsLeaseReturnPrintCollLaborHrsENG</t>
  </si>
  <si>
    <t>pSystemsLeaseReturnPrintCollLaborHrsPLG</t>
  </si>
  <si>
    <t>pSystemsLeaseReturnPrintCollLaborHrsCRT</t>
  </si>
  <si>
    <t>pSystemsLeaseReturnPrintCollLaborHrsQSC</t>
  </si>
  <si>
    <t>pSystemsLeaseReturnPrintCollLaborHrsEM</t>
  </si>
  <si>
    <t>pSystemsLeaseReturnPrintCollLaborHrsCM</t>
  </si>
  <si>
    <t>pSystemsLeaseReturnPrintCollLaborHrsSMCS</t>
  </si>
  <si>
    <t>pSystemsLeaseReturnPrintCollLaborHrsO1</t>
  </si>
  <si>
    <t>pSystemsLeaseReturnPrintCollLaborHrsO2</t>
  </si>
  <si>
    <t>pSystemsLeasePaperPrintPA</t>
  </si>
  <si>
    <t>hSystemsLeasePaperPrintPA</t>
  </si>
  <si>
    <t>eSystemsLeasePaperPrintPA</t>
  </si>
  <si>
    <t>hSystems HM Labor Hours Printing &amp; Collation</t>
  </si>
  <si>
    <t>hSystemsLeaseReturnPrintCollLaborHrsHM</t>
  </si>
  <si>
    <t>hSystems LM Labor Hours Printing &amp; Collation</t>
  </si>
  <si>
    <t>hSystemsLeaseReturnPrintCollLaborHrsLM</t>
  </si>
  <si>
    <t>hSystems ENG Labor Hours Printing &amp; Collation</t>
  </si>
  <si>
    <t>hSystemsLeaseReturnPrintCollLaborHrsENG</t>
  </si>
  <si>
    <t>hSystems PLG Labor Hours Printing &amp; Collation</t>
  </si>
  <si>
    <t>hSystemsLeaseReturnPrintCollLaborHrsPLG</t>
  </si>
  <si>
    <t>hSystems CRT Labor Hours Printing &amp; Collation</t>
  </si>
  <si>
    <t>hSystemsLeaseReturnPrintCollLaborHrsCRT</t>
  </si>
  <si>
    <t>hSystems SCL Labor Hours Printing &amp; Collation</t>
  </si>
  <si>
    <t>hSystems QSC Labor Hours Printing &amp; Collation</t>
  </si>
  <si>
    <t>hSystemsLeaseReturnPrintCollLaborHrsQSC</t>
  </si>
  <si>
    <t>hSystems EM Labor Hours Printing &amp; Collation</t>
  </si>
  <si>
    <t>hSystemsLeaseReturnPrintCollLaborHrsEM</t>
  </si>
  <si>
    <t>hSystems CM Labor Hours Printing &amp; Collation</t>
  </si>
  <si>
    <t>hSystemsLeaseReturnPrintCollLaborHrsCM</t>
  </si>
  <si>
    <t>hSystems SMCS Labor Hours Printing &amp; Collation</t>
  </si>
  <si>
    <t>hSystemsLeaseReturnPrintCollLaborHrsSMCS</t>
  </si>
  <si>
    <t>hSystems O1 Labor Hours Printing &amp; Collation</t>
  </si>
  <si>
    <t>hSystemsLeaseReturnPrintCollLaborHrsO1</t>
  </si>
  <si>
    <t>hSystems O2 Labor Hours Printing &amp; Collation</t>
  </si>
  <si>
    <t>hSystemsLeaseReturnPrintCollLaborHrsO2</t>
  </si>
  <si>
    <t>hSystems HM Lease Printing &amp; Collation Cost pa</t>
  </si>
  <si>
    <t>hSystemsLeaseReturnPrintCollLaborCostHM</t>
  </si>
  <si>
    <t>hSystems LM Lease Printing &amp; Collation Cost pa</t>
  </si>
  <si>
    <t>hSystemsLeaseReturnPrintCollLaborCostLM</t>
  </si>
  <si>
    <t>hSystems ENG Lease Printing &amp; Collation Cost pa</t>
  </si>
  <si>
    <t>hSystemsLeaseReturnPrintCollLaborCostENG</t>
  </si>
  <si>
    <t>hSystems PLG Lease Printing &amp; Collation Cost pa</t>
  </si>
  <si>
    <t>hSystemsLeaseReturnPrintCollLaborCostPLG</t>
  </si>
  <si>
    <t>hSystems CRT Lease Printing &amp; Collation Cost pa</t>
  </si>
  <si>
    <t>hSystemsLeaseReturnPrintCollLaborCostCRT</t>
  </si>
  <si>
    <t>hSystems SCL Lease Printing &amp; Collation Cost pa</t>
  </si>
  <si>
    <t>hSystemsLeaseReturnPrintCollLaborCostSCL</t>
  </si>
  <si>
    <t>hSystems QSC Lease Printing &amp; Collation Cost pa</t>
  </si>
  <si>
    <t>hSystemsLeaseReturnPrintCollLaborCostQSC</t>
  </si>
  <si>
    <t>hSystems EM Lease Printing &amp; Collation Cost pa</t>
  </si>
  <si>
    <t>hSystemsLeaseReturnPrintCollLaborCostEM</t>
  </si>
  <si>
    <t>hSystems CM Lease Printing &amp; Collation Cost pa</t>
  </si>
  <si>
    <t>hSystemsLeaseReturnPrintCollLaborCostCM</t>
  </si>
  <si>
    <t>hSystems SMCS Lease Printing &amp; Collation Cost pa</t>
  </si>
  <si>
    <t>hSystemsLeaseReturnPrintCollLaborCostSMCS</t>
  </si>
  <si>
    <t>hSystems O1 Lease Printing &amp; Collation Cost pa</t>
  </si>
  <si>
    <t>hSystemsLeaseReturnPrintCollLaborCostO1</t>
  </si>
  <si>
    <t>hSystems O2 Lease Printing &amp; Collation Cost pa</t>
  </si>
  <si>
    <t>hSystemsLeaseReturnPrintCollLaborCostO2</t>
  </si>
  <si>
    <t>hSystems Lease Printing &amp; Collation Total Cost pa</t>
  </si>
  <si>
    <t>hSystems HM Lease Printing &amp; Collation FTEs</t>
  </si>
  <si>
    <t>hSystemsLeaseReturnPrintCollFTEsHM</t>
  </si>
  <si>
    <t>hSystems LM Lease Printing &amp; Collation FTEs</t>
  </si>
  <si>
    <t>hSystemsLeaseReturnPrintCollFTEsLM</t>
  </si>
  <si>
    <t>hSystems ENG Lease Printing &amp; Collation FTEs</t>
  </si>
  <si>
    <t>hSystemsLeaseReturnPrintCollFTEsENG</t>
  </si>
  <si>
    <t>hSystems PLG Lease Printing &amp; Collation FTEs</t>
  </si>
  <si>
    <t>hSystemsLeaseReturnPrintCollFTEsPLG</t>
  </si>
  <si>
    <t>hSystems CRT Lease Printing &amp; Collation FTEs</t>
  </si>
  <si>
    <t>hSystemsLeaseReturnPrintCollFTEsCRT</t>
  </si>
  <si>
    <t>hSystems SCL Lease Printing &amp; Collation FTEs</t>
  </si>
  <si>
    <t>hSystemsLeaseReturnPrintCollFTEsSCL</t>
  </si>
  <si>
    <t>hSystems QSC Lease Printing &amp; Collation FTEs</t>
  </si>
  <si>
    <t>hSystemsLeaseReturnPrintCollFTEsQSC</t>
  </si>
  <si>
    <t>hSystems EM Lease Printing &amp; Collation FTEs</t>
  </si>
  <si>
    <t>hSystemsLeaseReturnPrintCollFTEsEM</t>
  </si>
  <si>
    <t>hSystems CM Lease Printing &amp; Collation FTEs</t>
  </si>
  <si>
    <t>hSystemsLeaseReturnPrintCollFTEsCM</t>
  </si>
  <si>
    <t>hSystems SMCS Lease Printing &amp; Collation FTEs</t>
  </si>
  <si>
    <t>hSystemsLeaseReturnPrintCollFTEsSMCS</t>
  </si>
  <si>
    <t>hSystems O1 Lease Printing &amp; Collation FTEs</t>
  </si>
  <si>
    <t>hSystemsLeaseReturnPrintCollFTEsO1</t>
  </si>
  <si>
    <t>hSystems O2 Lease Printing &amp; Collation FTEs</t>
  </si>
  <si>
    <t>hSystemsLeaseReturnPrintCollFTEsO2</t>
  </si>
  <si>
    <t>hSystems Lease Printing &amp; Collation Total FTEs</t>
  </si>
  <si>
    <t>hSystemsLeaseReturnPrintCollTotalFTEs</t>
  </si>
  <si>
    <t>eSystems HM Labor Hours Printing &amp; Collation</t>
  </si>
  <si>
    <t>eSystemsLeaseReturnPrintCollLaborHrsHM</t>
  </si>
  <si>
    <t>eSystems LM Labor Hours Printing &amp; Collation</t>
  </si>
  <si>
    <t>eSystemsLeaseReturnPrintCollLaborHrsLM</t>
  </si>
  <si>
    <t>eSystems ENG Labor Hours Printing &amp; Collation</t>
  </si>
  <si>
    <t>eSystemsLeaseReturnPrintCollLaborHrsENG</t>
  </si>
  <si>
    <t>eSystems PLG Labor Hours Printing &amp; Collation</t>
  </si>
  <si>
    <t>eSystemsLeaseReturnPrintCollLaborHrsPLG</t>
  </si>
  <si>
    <t>eSystems CRT Labor Hours Printing &amp; Collation</t>
  </si>
  <si>
    <t>eSystemsLeaseReturnPrintCollLaborHrsCRT</t>
  </si>
  <si>
    <t>eSystems SCL Labor Hours Printing &amp; Collation</t>
  </si>
  <si>
    <t>eSystems QSC Labor Hours Printing &amp; Collation</t>
  </si>
  <si>
    <t>eSystemsLeaseReturnPrintCollLaborHrsQSC</t>
  </si>
  <si>
    <t>eSystems EM Labor Hours Printing &amp; Collation</t>
  </si>
  <si>
    <t>eSystemsLeaseReturnPrintCollLaborHrsEM</t>
  </si>
  <si>
    <t>eSystems CM Labor Hours Printing &amp; Collation</t>
  </si>
  <si>
    <t>eSystemsLeaseReturnPrintCollLaborHrsCM</t>
  </si>
  <si>
    <t>eSystems SMCS Labor Hours Printing &amp; Collation</t>
  </si>
  <si>
    <t>eSystemsLeaseReturnPrintCollLaborHrsSMCS</t>
  </si>
  <si>
    <t>eSystems O1 Labor Hours Printing &amp; Collation</t>
  </si>
  <si>
    <t>eSystemsLeaseReturnPrintCollLaborHrsO1</t>
  </si>
  <si>
    <t>eSystems O2 Labor Hours Printing &amp; Collation</t>
  </si>
  <si>
    <t>eSystemsLeaseReturnPrintCollLaborHrsO2</t>
  </si>
  <si>
    <t>eSystems HM Lease Printing &amp; Collation Cost pa</t>
  </si>
  <si>
    <t>eSystemsLeaseReturnPrintCollLaborCostHM</t>
  </si>
  <si>
    <t>eSystems LM Lease Printing &amp; Collation Cost pa</t>
  </si>
  <si>
    <t>eSystemsLeaseReturnPrintCollLaborCostLM</t>
  </si>
  <si>
    <t>eSystems ENG Lease Printing &amp; Collation Cost pa</t>
  </si>
  <si>
    <t>eSystemsLeaseReturnPrintCollLaborCostENG</t>
  </si>
  <si>
    <t>eSystems PLG Lease Printing &amp; Collation Cost pa</t>
  </si>
  <si>
    <t>eSystemsLeaseReturnPrintCollLaborCostPLG</t>
  </si>
  <si>
    <t>eSystems CRT Lease Printing &amp; Collation Cost pa</t>
  </si>
  <si>
    <t>eSystemsLeaseReturnPrintCollLaborCostCRT</t>
  </si>
  <si>
    <t>eSystems SCL Lease Printing &amp; Collation Cost pa</t>
  </si>
  <si>
    <t>eSystemsLeaseReturnPrintCollLaborCostSCL</t>
  </si>
  <si>
    <t>eSystems QSC Lease Printing &amp; Collation Cost pa</t>
  </si>
  <si>
    <t>eSystemsLeaseReturnPrintCollLaborCostQSC</t>
  </si>
  <si>
    <t>eSystems EM Lease Printing &amp; Collation Cost pa</t>
  </si>
  <si>
    <t>eSystemsLeaseReturnPrintCollLaborCostEM</t>
  </si>
  <si>
    <t>eSystems CM Lease Printing &amp; Collation Cost pa</t>
  </si>
  <si>
    <t>eSystemsLeaseReturnPrintCollLaborCostCM</t>
  </si>
  <si>
    <t>eSystems SMCS Lease Printing &amp; Collation Cost pa</t>
  </si>
  <si>
    <t>eSystemsLeaseReturnPrintCollLaborCostSMCS</t>
  </si>
  <si>
    <t>eSystems O1 Lease Printing &amp; Collation Cost pa</t>
  </si>
  <si>
    <t>eSystemsLeaseReturnPrintCollLaborCostO1</t>
  </si>
  <si>
    <t>eSystems O2 Lease Printing &amp; Collation Cost pa</t>
  </si>
  <si>
    <t>eSystemsLeaseReturnPrintCollLaborCostO2</t>
  </si>
  <si>
    <t>eSystems Lease Printing &amp; Collation Total Cost pa</t>
  </si>
  <si>
    <t>eSystems HM Lease Printing &amp; Collation FTEs</t>
  </si>
  <si>
    <t>eSystemsLeaseReturnPrintCollFTEsHM</t>
  </si>
  <si>
    <t>eSystems LM Lease Printing &amp; Collation FTEs</t>
  </si>
  <si>
    <t>eSystemsLeaseReturnPrintCollFTEsLM</t>
  </si>
  <si>
    <t>eSystems ENG Lease Printing &amp; Collation FTEs</t>
  </si>
  <si>
    <t>eSystemsLeaseReturnPrintCollFTEsENG</t>
  </si>
  <si>
    <t>eSystems PLG Lease Printing &amp; Collation FTEs</t>
  </si>
  <si>
    <t>eSystemsLeaseReturnPrintCollFTEsPLG</t>
  </si>
  <si>
    <t>eSystems CRT Lease Printing &amp; Collation FTEs</t>
  </si>
  <si>
    <t>eSystemsLeaseReturnPrintCollFTEsCRT</t>
  </si>
  <si>
    <t>eSystems SCL Lease Printing &amp; Collation FTEs</t>
  </si>
  <si>
    <t>eSystemsLeaseReturnPrintCollFTEsSCL</t>
  </si>
  <si>
    <t>eSystems QSC Lease Printing &amp; Collation FTEs</t>
  </si>
  <si>
    <t>eSystemsLeaseReturnPrintCollFTEsQSC</t>
  </si>
  <si>
    <t>eSystems EM Lease Printing &amp; Collation FTEs</t>
  </si>
  <si>
    <t>eSystemsLeaseReturnPrintCollFTEsEM</t>
  </si>
  <si>
    <t>eSystems CM Lease Printing &amp; Collation FTEs</t>
  </si>
  <si>
    <t>eSystemsLeaseReturnPrintCollFTEsCM</t>
  </si>
  <si>
    <t>eSystems SMCS Lease Printing &amp; Collation FTEs</t>
  </si>
  <si>
    <t>eSystemsLeaseReturnPrintCollFTEsSMCS</t>
  </si>
  <si>
    <t>eSystems O1 Lease Printing &amp; Collation FTEs</t>
  </si>
  <si>
    <t>eSystemsLeaseReturnPrintCollFTEsO1</t>
  </si>
  <si>
    <t>eSystems O2 Lease Printing &amp; Collation FTEs</t>
  </si>
  <si>
    <t>eSystemsLeaseReturnPrintCollFTEsO2</t>
  </si>
  <si>
    <t>eSystems Lease Printing &amp; Collation Total FTEs</t>
  </si>
  <si>
    <t>eSystemsLeaseReturnPrintCollTotalFTEs</t>
  </si>
  <si>
    <t>pSystemsLeaseLaborCostTotalpa</t>
  </si>
  <si>
    <t>hSystemsLeaseLaborCostTotalpa</t>
  </si>
  <si>
    <t>eSystemsLeaseLaborCostTotalpa</t>
  </si>
  <si>
    <t>pSystemsLeaseLaborCostTotalpa_CFS</t>
  </si>
  <si>
    <t>pSystemsLeaseHostLaborCostTotal_CFS</t>
  </si>
  <si>
    <t>pSystemsLeaseDisputedRecordLaborCostTotal_CFS</t>
  </si>
  <si>
    <t>pSystemsLeaseRecordSearchLaborCostTotal_CFS</t>
  </si>
  <si>
    <t>pSystemsLeaseDueDilLaborCostTotal_CFS</t>
  </si>
  <si>
    <t>pSystemsLeaseReturnPaperPrintCost_CFS</t>
  </si>
  <si>
    <t>pSystemsLeaseReturnPrintCollLaborCostTotal_CFS</t>
  </si>
  <si>
    <t>hSystemsLeaseLaborCostTotalpa_CFS</t>
  </si>
  <si>
    <t>hSystemsLeaseHostLaborCostTotal_CFS</t>
  </si>
  <si>
    <t>hSystemsLeaseDisputedRecordLaborCostTotal_CFS</t>
  </si>
  <si>
    <t>hSystemsLeaseRecordSearchLaborCostTotal_CFS</t>
  </si>
  <si>
    <t>hSystemsLeaseDueDilLaborCostTotal_CFS</t>
  </si>
  <si>
    <t>hSystemsLeaseReturnPaperPrintCost_CFS</t>
  </si>
  <si>
    <t>hSystemsLeaseReturnPrintCollLaborCostTotal_CFS</t>
  </si>
  <si>
    <t>eSystemsLeaseLaborCostTotalpa_CFS</t>
  </si>
  <si>
    <t>eSystemsLeaseHostLaborCostTotal_CFS</t>
  </si>
  <si>
    <t>eSystemsLeaseDisputedRecordLaborCostTotal_CFS</t>
  </si>
  <si>
    <t>eSystemsLeaseRecordSearchLaborCostTotal_CFS</t>
  </si>
  <si>
    <t>eSystemsLeaseDueDilLaborCostTotal_CFS</t>
  </si>
  <si>
    <t>eSystemsLeaseReturnPaperPrintCost_CFS</t>
  </si>
  <si>
    <t>eSystemsLeaseReturnPrintCollLaborCostTotal_CFS</t>
  </si>
  <si>
    <t>pSystemsLeaseLessor E215:N216VisitTotalFTEs+O181</t>
  </si>
  <si>
    <t>pSystemsLeaseLessorVisitTotalFTEs</t>
  </si>
  <si>
    <t>hSystemsLeaseLessorVisitTotalFTEs</t>
  </si>
  <si>
    <t>eSystemsLeaseLessorVisitFTEsHM</t>
  </si>
  <si>
    <t>eSystemsLeaseLessorVisitFTEsLM</t>
  </si>
  <si>
    <t>eSystemsLeaseLessorVisitFTEsENG</t>
  </si>
  <si>
    <t>eSystemsLeaseLessorVisitFTEsPLG</t>
  </si>
  <si>
    <t>eSystemsLeaseLessorVisitFTEsCRT</t>
  </si>
  <si>
    <t>eSystemsLeaseLessorVisitFTEsSCL</t>
  </si>
  <si>
    <t>eSystemsLeaseLessorVisitFTEsQSC</t>
  </si>
  <si>
    <t>eSystemsLeaseLessorVisitFTEsEM</t>
  </si>
  <si>
    <t>eSystemsLeaseLessorVisitFTEsCM</t>
  </si>
  <si>
    <t>eSystemsLeaseLessorVisitFTEsSMCS</t>
  </si>
  <si>
    <t>eSystemsLeaseLessorVisitFTEsO1</t>
  </si>
  <si>
    <t>eSystemsLeaseLessorVisitFTEsO2</t>
  </si>
  <si>
    <t>eSystemsLeaseLessorVisitTotalFTEs</t>
  </si>
  <si>
    <t>hSystemsLeaseLessorVisitFTEsHM</t>
  </si>
  <si>
    <t>hSystemsLeaseLessorVisitFTEsLM</t>
  </si>
  <si>
    <t>hSystemsLeaseLessorVisitFTEsENG</t>
  </si>
  <si>
    <t>hSystemsLeaseLessorVisitFTEsPLG</t>
  </si>
  <si>
    <t>hSystemsLeaseLessorVisitFTEsCRT</t>
  </si>
  <si>
    <t>hSystemsLeaseLessorVisitFTEsSCL</t>
  </si>
  <si>
    <t>hSystemsLeaseLessorVisitFTEsQSC</t>
  </si>
  <si>
    <t>hSystemsLeaseLessorVisitFTEsEM</t>
  </si>
  <si>
    <t>hSystemsLeaseLessorVisitFTEsCM</t>
  </si>
  <si>
    <t>hSystemsLeaseLessorVisitFTEsSMCS</t>
  </si>
  <si>
    <t>hSystemsLeaseLessorVisitFTEsO1</t>
  </si>
  <si>
    <t>hSystemsLeaseLessorVisitFTEsO2</t>
  </si>
  <si>
    <t>pSystemsLeaseLessorVisitFTEsHM</t>
  </si>
  <si>
    <t>pSystemsLeaseLessorVisitFTEsLM</t>
  </si>
  <si>
    <t>pSystemsLeaseLessorVisitFTEsENG</t>
  </si>
  <si>
    <t>pSystemsLeaseLessorVisitFTEsPLG</t>
  </si>
  <si>
    <t>pSystemsLeaseLessorVisitFTEsCRT</t>
  </si>
  <si>
    <t>pSystemsLeaseLessorVisitFTEsSCL</t>
  </si>
  <si>
    <t>pSystemsLeaseLessorVisitFTEsQSC</t>
  </si>
  <si>
    <t>pSystemsLeaseLessorVisitFTEsEM</t>
  </si>
  <si>
    <t>pSystemsLeaseLessorVisitFTEsCM</t>
  </si>
  <si>
    <t>pSystemsLeaseLessorVisitFTEsSMCS</t>
  </si>
  <si>
    <t>pSystemsLeaseLessorVisitFTEsO1</t>
  </si>
  <si>
    <t>pSystemsLeaseLessorVisitFTEsO2</t>
  </si>
  <si>
    <t>pSystemsCostWarrantyTotal</t>
  </si>
  <si>
    <t>hSystemsCostWarrantyTotal</t>
  </si>
  <si>
    <t>eSystemsCostWarrantyTotal</t>
  </si>
  <si>
    <t>pSystemsCostsWarrantyTotal_CFS</t>
  </si>
  <si>
    <t>hSystemsCostsWarrantyTotal_CFS</t>
  </si>
  <si>
    <t>eSystemsCostsWarrantyTotal_CFS</t>
  </si>
  <si>
    <t>pSystems Claim SCL Labour Hours pa</t>
  </si>
  <si>
    <t>pSystems Warranty SCL FTEs Required pa</t>
  </si>
  <si>
    <t>pSystems Warranty SCL Labor Cost pa</t>
  </si>
  <si>
    <t>Avg Labor Hours SCL per Claim</t>
  </si>
  <si>
    <t>hSystems Claim SCL Labour Hours pa</t>
  </si>
  <si>
    <t>hSystems Warranty SCL FTEs Required pa</t>
  </si>
  <si>
    <t>hSystems Warranty SCL Labor Cost pa</t>
  </si>
  <si>
    <t>eSystems Claim SCL Labour Hours pa</t>
  </si>
  <si>
    <t>eSystems Warranty SCL FTEs Required pa</t>
  </si>
  <si>
    <t>eSystems Warranty SCL Labor Cost pa</t>
  </si>
  <si>
    <t>pSystemsFTE_ENG</t>
  </si>
  <si>
    <t>pSystemsFTE_PLG</t>
  </si>
  <si>
    <t>pSystemsFTE_CRT</t>
  </si>
  <si>
    <t>pSystemsFTE_EM</t>
  </si>
  <si>
    <t>pSystemsFTE_CM</t>
  </si>
  <si>
    <t>pSystemsFTE_SMCS</t>
  </si>
  <si>
    <t>pSystems HM FTEs</t>
  </si>
  <si>
    <t>pSystems LM FTEs</t>
  </si>
  <si>
    <t>pSystems ENG FTEs</t>
  </si>
  <si>
    <t>pSystems PLG FTEs</t>
  </si>
  <si>
    <t>pSystems CRT FTEs</t>
  </si>
  <si>
    <t>pSystems SCL FTEs</t>
  </si>
  <si>
    <t>pSystems QSC FTEs</t>
  </si>
  <si>
    <t>pSystems EM FTEs</t>
  </si>
  <si>
    <t>pSystems CM FTEs</t>
  </si>
  <si>
    <t>pSystems SMCS FTEs</t>
  </si>
  <si>
    <t>pSystems O1 FTEs</t>
  </si>
  <si>
    <t>pSystems O2 FTEs</t>
  </si>
  <si>
    <t>AnnualBurdenedSalaryENG</t>
  </si>
  <si>
    <t>AnnualBurdenedSalaryPLG</t>
  </si>
  <si>
    <t>AnnualBurdenedSalaryLM</t>
  </si>
  <si>
    <t>AnnualBurdenedSalaryHM</t>
  </si>
  <si>
    <t>AnnualBurdenedSalaryCRT</t>
  </si>
  <si>
    <t>AnnualBurdenedSalarySCL</t>
  </si>
  <si>
    <t>AnnualBurdenedSalaryQSC</t>
  </si>
  <si>
    <t>AnnualBurdenedSalaryEM</t>
  </si>
  <si>
    <t>AnnualBurdenedSalaryCM</t>
  </si>
  <si>
    <t>AnnualBurdenedSalarySMCS</t>
  </si>
  <si>
    <t>AnnualBurdenedSalaryO1</t>
  </si>
  <si>
    <t>AnnualBurdenedSalaryO2</t>
  </si>
  <si>
    <t>pSystems Annual Burdened FTE Cost HM</t>
  </si>
  <si>
    <t>pSystemsFTECostAnnualBurdenedHM</t>
  </si>
  <si>
    <t>pSystems Annual Burdened FTE Cost LM</t>
  </si>
  <si>
    <t>pSystemsFTECostAnnualBurdenedLM</t>
  </si>
  <si>
    <t>pSystems Annual Burdened FTE Cost ENG</t>
  </si>
  <si>
    <t>pSystemsFTECostAnnualBurdenedENG</t>
  </si>
  <si>
    <t>pSystems Annual Burdened FTE Cost PLG</t>
  </si>
  <si>
    <t>pSystemsFTECostAnnualBurdenedPLG</t>
  </si>
  <si>
    <t>pSystems Annual Burdened FTE Cost CRT</t>
  </si>
  <si>
    <t>pSystemsFTECostAnnualBurdenedCRT</t>
  </si>
  <si>
    <t>pSystems Annual Burdened FTE Cost QSC</t>
  </si>
  <si>
    <t>pSystemsFTECostAnnualBurdenedQSC</t>
  </si>
  <si>
    <t>pSystems Annual Burdened FTE Cost EM</t>
  </si>
  <si>
    <t>pSystemsFTECostAnnualBurdenedEM</t>
  </si>
  <si>
    <t>pSystems Annual Burdened FTE Cost CM</t>
  </si>
  <si>
    <t>pSystemsFTECostAnnualBurdenedCM</t>
  </si>
  <si>
    <t>pSystems Annual Burdened FTE Cost SMCS</t>
  </si>
  <si>
    <t>pSystemsFTECostAnnualBurdenedSMCS</t>
  </si>
  <si>
    <t>pSystems Annual Burdened FTE Cost O1</t>
  </si>
  <si>
    <t>pSystemsFTECostAnnualBurdenedO1</t>
  </si>
  <si>
    <t>pSystems Annual Burdened FTE Cost O2</t>
  </si>
  <si>
    <t>pSystemsFTECostAnnualBurdenedO2</t>
  </si>
  <si>
    <t>hSystemsFTEPercentReductionMostLikelyHM</t>
  </si>
  <si>
    <t>hSystemsFTEPercentReductionWorstCaseHM</t>
  </si>
  <si>
    <t>hSystemsFTECalcResultWorstCaseHM</t>
  </si>
  <si>
    <t>hSystemsFTECalcResultMostLikelyHM</t>
  </si>
  <si>
    <t>hSystemsFTECalcResultBestCaseHM</t>
  </si>
  <si>
    <t>hSystemsFTEPercentReductionBestCaseHM</t>
  </si>
  <si>
    <t xml:space="preserve">hSystems HM FTE % Reduction - Worst Case </t>
  </si>
  <si>
    <t xml:space="preserve">hSystems HM FTE % Reduction - Most Likely </t>
  </si>
  <si>
    <t xml:space="preserve">hSystems HM FTE % Reduction - Best Case </t>
  </si>
  <si>
    <t>hSystems HM FTE Calc - Worst Case</t>
  </si>
  <si>
    <t>hSystems HM FTE Calc - Best Case</t>
  </si>
  <si>
    <t>hSystems HM FTE Labor Cost - Worst Case</t>
  </si>
  <si>
    <t>hSystems HM FTE Labor Cost - Best Case</t>
  </si>
  <si>
    <t>hSystems HM FTE Labor Cost - Most Likley</t>
  </si>
  <si>
    <t>hSystems HM FTE Calc - Most Likley</t>
  </si>
  <si>
    <t>hSystemsFTELaborCostWorstCaseHM</t>
  </si>
  <si>
    <t>hSystemsFTELaborCostMostLikelyHM</t>
  </si>
  <si>
    <t>hSystemsFTEMostLikelyBestCaseHM</t>
  </si>
  <si>
    <t>System Efficiencies - pSystems to hSystems - % Change FTEs &amp; Cost</t>
  </si>
  <si>
    <t xml:space="preserve">hSystems LM FTE % Reduction - Worst Case </t>
  </si>
  <si>
    <t>hSystemsFTEPercentReductionWorstCaseLM</t>
  </si>
  <si>
    <t xml:space="preserve">hSystems LM FTE % Reduction - Most Likely </t>
  </si>
  <si>
    <t>hSystemsFTEPercentReductionMostLikelyLM</t>
  </si>
  <si>
    <t xml:space="preserve">hSystems LM FTE % Reduction - Best Case </t>
  </si>
  <si>
    <t>hSystemsFTEPercentReductionBestCaseLM</t>
  </si>
  <si>
    <t>hSystems LM FTE Calc - Worst Case</t>
  </si>
  <si>
    <t>hSystemsFTECalcResultWorstCaseLM</t>
  </si>
  <si>
    <t>hSystems LM FTE Calc - Most Likley</t>
  </si>
  <si>
    <t>hSystemsFTECalcResultMostLikelyLM</t>
  </si>
  <si>
    <t>hSystems LM FTE Calc - Best Case</t>
  </si>
  <si>
    <t>hSystemsFTECalcResultBestCaseLM</t>
  </si>
  <si>
    <t>hSystems LM FTE Labor Cost - Worst Case</t>
  </si>
  <si>
    <t>hSystemsFTELaborCostWorstCaseLM</t>
  </si>
  <si>
    <t>hSystems LM FTE Labor Cost - Most Likley</t>
  </si>
  <si>
    <t>hSystemsFTELaborCostMostLikelyLM</t>
  </si>
  <si>
    <t>hSystems LM FTE Labor Cost - Best Case</t>
  </si>
  <si>
    <t>hSystemsFTEMostLikelyBestCaseLM</t>
  </si>
  <si>
    <t xml:space="preserve">hSystems ENG FTE % Reduction - Worst Case </t>
  </si>
  <si>
    <t>hSystemsFTEPercentReductionWorstCaseENG</t>
  </si>
  <si>
    <t xml:space="preserve">hSystems ENG FTE % Reduction - Most Likely </t>
  </si>
  <si>
    <t>hSystemsFTEPercentReductionMostLikelyENG</t>
  </si>
  <si>
    <t xml:space="preserve">hSystems ENG FTE % Reduction - Best Case </t>
  </si>
  <si>
    <t>hSystemsFTEPercentReductionBestCaseENG</t>
  </si>
  <si>
    <t>hSystems ENG FTE Calc - Worst Case</t>
  </si>
  <si>
    <t>hSystemsFTECalcResultWorstCaseENG</t>
  </si>
  <si>
    <t>hSystems ENG FTE Calc - Most Likley</t>
  </si>
  <si>
    <t>hSystemsFTECalcResultMostLikelyENG</t>
  </si>
  <si>
    <t>hSystems ENG FTE Calc - Best Case</t>
  </si>
  <si>
    <t>hSystemsFTECalcResultBestCaseENG</t>
  </si>
  <si>
    <t>hSystems ENG FTE Labor Cost - Worst Case</t>
  </si>
  <si>
    <t>hSystemsFTELaborCostWorstCaseENG</t>
  </si>
  <si>
    <t>hSystems ENG FTE Labor Cost - Most Likley</t>
  </si>
  <si>
    <t>hSystemsFTELaborCostMostLikelyENG</t>
  </si>
  <si>
    <t>hSystems ENG FTE Labor Cost - Best Case</t>
  </si>
  <si>
    <t>hSystemsFTEMostLikelyBestCaseENG</t>
  </si>
  <si>
    <t xml:space="preserve">hSystems PLG FTE % Reduction - Worst Case </t>
  </si>
  <si>
    <t>hSystemsFTEPercentReductionWorstCasePLG</t>
  </si>
  <si>
    <t xml:space="preserve">hSystems PLG FTE % Reduction - Most Likely </t>
  </si>
  <si>
    <t>hSystemsFTEPercentReductionMostLikelyPLG</t>
  </si>
  <si>
    <t xml:space="preserve">hSystems PLG FTE % Reduction - Best Case </t>
  </si>
  <si>
    <t>hSystemsFTEPercentReductionBestCasePLG</t>
  </si>
  <si>
    <t>hSystems PLG FTE Calc - Worst Case</t>
  </si>
  <si>
    <t>hSystemsFTECalcResultWorstCasePLG</t>
  </si>
  <si>
    <t>hSystems PLG FTE Calc - Most Likley</t>
  </si>
  <si>
    <t>hSystemsFTECalcResultMostLikelyPLG</t>
  </si>
  <si>
    <t>hSystems PLG FTE Calc - Best Case</t>
  </si>
  <si>
    <t>hSystemsFTECalcResultBestCasePLG</t>
  </si>
  <si>
    <t>hSystems PLG FTE Labor Cost - Worst Case</t>
  </si>
  <si>
    <t>hSystemsFTELaborCostWorstCasePLG</t>
  </si>
  <si>
    <t>hSystems PLG FTE Labor Cost - Most Likley</t>
  </si>
  <si>
    <t>hSystemsFTELaborCostMostLikelyPLG</t>
  </si>
  <si>
    <t>hSystems PLG FTE Labor Cost - Best Case</t>
  </si>
  <si>
    <t>hSystemsFTEMostLikelyBestCasePLG</t>
  </si>
  <si>
    <t xml:space="preserve">hSystems CRT FTE % Reduction - Worst Case </t>
  </si>
  <si>
    <t>hSystemsFTEPercentReductionWorstCaseCRT</t>
  </si>
  <si>
    <t xml:space="preserve">hSystems CRT FTE % Reduction - Most Likely </t>
  </si>
  <si>
    <t>hSystemsFTEPercentReductionMostLikelyCRT</t>
  </si>
  <si>
    <t xml:space="preserve">hSystems CRT FTE % Reduction - Best Case </t>
  </si>
  <si>
    <t>hSystemsFTEPercentReductionBestCaseCRT</t>
  </si>
  <si>
    <t>hSystems CRT FTE Calc - Worst Case</t>
  </si>
  <si>
    <t>hSystemsFTECalcResultWorstCaseCRT</t>
  </si>
  <si>
    <t>hSystems CRT FTE Calc - Most Likley</t>
  </si>
  <si>
    <t>hSystemsFTECalcResultMostLikelyCRT</t>
  </si>
  <si>
    <t>hSystems CRT FTE Calc - Best Case</t>
  </si>
  <si>
    <t>hSystemsFTECalcResultBestCaseCRT</t>
  </si>
  <si>
    <t>hSystems CRT FTE Labor Cost - Worst Case</t>
  </si>
  <si>
    <t>hSystemsFTELaborCostWorstCaseCRT</t>
  </si>
  <si>
    <t>hSystems CRT FTE Labor Cost - Most Likley</t>
  </si>
  <si>
    <t>hSystemsFTELaborCostMostLikelyCRT</t>
  </si>
  <si>
    <t>hSystems CRT FTE Labor Cost - Best Case</t>
  </si>
  <si>
    <t>hSystemsFTEMostLikelyBestCaseCRT</t>
  </si>
  <si>
    <t xml:space="preserve">hSystems SCL FTE % Reduction - Worst Case </t>
  </si>
  <si>
    <t>hSystemsFTEPercentReductionWorstCaseSCL</t>
  </si>
  <si>
    <t xml:space="preserve">hSystems SCL FTE % Reduction - Most Likely </t>
  </si>
  <si>
    <t>hSystemsFTEPercentReductionMostLikelySCL</t>
  </si>
  <si>
    <t xml:space="preserve">hSystems SCL FTE % Reduction - Best Case </t>
  </si>
  <si>
    <t>hSystemsFTEPercentReductionBestCaseSCL</t>
  </si>
  <si>
    <t>hSystems SCL FTE Calc - Worst Case</t>
  </si>
  <si>
    <t>hSystemsFTECalcResultWorstCaseSCL</t>
  </si>
  <si>
    <t>hSystems SCL FTE Calc - Most Likley</t>
  </si>
  <si>
    <t>hSystemsFTECalcResultMostLikelySCL</t>
  </si>
  <si>
    <t>hSystems SCL FTE Calc - Best Case</t>
  </si>
  <si>
    <t>hSystemsFTECalcResultBestCaseSCL</t>
  </si>
  <si>
    <t>hSystems SCL FTE Labor Cost - Worst Case</t>
  </si>
  <si>
    <t>hSystemsFTELaborCostWorstCaseSCL</t>
  </si>
  <si>
    <t>hSystems SCL FTE Labor Cost - Most Likley</t>
  </si>
  <si>
    <t>hSystemsFTELaborCostMostLikelySCL</t>
  </si>
  <si>
    <t>hSystems SCL FTE Labor Cost - Best Case</t>
  </si>
  <si>
    <t>hSystemsFTEMostLikelyBestCaseSCL</t>
  </si>
  <si>
    <t xml:space="preserve">hSystems QSC FTE % Reduction - Worst Case </t>
  </si>
  <si>
    <t>hSystemsFTEPercentReductionWorstCaseQSC</t>
  </si>
  <si>
    <t xml:space="preserve">hSystems QSC FTE % Reduction - Most Likely </t>
  </si>
  <si>
    <t>hSystemsFTEPercentReductionMostLikelyQSC</t>
  </si>
  <si>
    <t xml:space="preserve">hSystems QSC FTE % Reduction - Best Case </t>
  </si>
  <si>
    <t>hSystemsFTEPercentReductionBestCaseQSC</t>
  </si>
  <si>
    <t>hSystems QSC FTE Calc - Worst Case</t>
  </si>
  <si>
    <t>hSystemsFTECalcResultWorstCaseQSC</t>
  </si>
  <si>
    <t>hSystems QSC FTE Calc - Most Likley</t>
  </si>
  <si>
    <t>hSystemsFTECalcResultMostLikelyQSC</t>
  </si>
  <si>
    <t>hSystems QSC FTE Calc - Best Case</t>
  </si>
  <si>
    <t>hSystemsFTECalcResultBestCaseQSC</t>
  </si>
  <si>
    <t>hSystems QSC FTE Labor Cost - Worst Case</t>
  </si>
  <si>
    <t>hSystemsFTELaborCostWorstCaseQSC</t>
  </si>
  <si>
    <t>hSystems QSC FTE Labor Cost - Most Likley</t>
  </si>
  <si>
    <t>hSystemsFTELaborCostMostLikelyQSC</t>
  </si>
  <si>
    <t>hSystems QSC FTE Labor Cost - Best Case</t>
  </si>
  <si>
    <t>hSystemsFTEMostLikelyBestCaseQSC</t>
  </si>
  <si>
    <t xml:space="preserve">hSystems EM FTE % Reduction - Worst Case </t>
  </si>
  <si>
    <t>hSystemsFTEPercentReductionWorstCaseEM</t>
  </si>
  <si>
    <t xml:space="preserve">hSystems EM FTE % Reduction - Most Likely </t>
  </si>
  <si>
    <t>hSystemsFTEPercentReductionMostLikelyEM</t>
  </si>
  <si>
    <t xml:space="preserve">hSystems EM FTE % Reduction - Best Case </t>
  </si>
  <si>
    <t>hSystemsFTEPercentReductionBestCaseEM</t>
  </si>
  <si>
    <t>hSystems EM FTE Calc - Worst Case</t>
  </si>
  <si>
    <t>hSystemsFTECalcResultWorstCaseEM</t>
  </si>
  <si>
    <t>hSystems EM FTE Calc - Most Likley</t>
  </si>
  <si>
    <t>hSystemsFTECalcResultMostLikelyEM</t>
  </si>
  <si>
    <t>hSystems EM FTE Calc - Best Case</t>
  </si>
  <si>
    <t>hSystemsFTECalcResultBestCaseEM</t>
  </si>
  <si>
    <t>hSystems EM FTE Labor Cost - Worst Case</t>
  </si>
  <si>
    <t>hSystemsFTELaborCostWorstCaseEM</t>
  </si>
  <si>
    <t>hSystems EM FTE Labor Cost - Most Likley</t>
  </si>
  <si>
    <t>hSystemsFTELaborCostMostLikelyEM</t>
  </si>
  <si>
    <t>hSystems EM FTE Labor Cost - Best Case</t>
  </si>
  <si>
    <t>hSystemsFTEMostLikelyBestCaseEM</t>
  </si>
  <si>
    <t xml:space="preserve">hSystems CM FTE % Reduction - Worst Case </t>
  </si>
  <si>
    <t>hSystemsFTEPercentReductionWorstCaseCM</t>
  </si>
  <si>
    <t xml:space="preserve">hSystems CM FTE % Reduction - Most Likely </t>
  </si>
  <si>
    <t>hSystemsFTEPercentReductionMostLikelyCM</t>
  </si>
  <si>
    <t xml:space="preserve">hSystems CM FTE % Reduction - Best Case </t>
  </si>
  <si>
    <t>hSystemsFTEPercentReductionBestCaseCM</t>
  </si>
  <si>
    <t>hSystems CM FTE Calc - Worst Case</t>
  </si>
  <si>
    <t>hSystemsFTECalcResultWorstCaseCM</t>
  </si>
  <si>
    <t>hSystems CM FTE Calc - Most Likley</t>
  </si>
  <si>
    <t>hSystemsFTECalcResultMostLikelyCM</t>
  </si>
  <si>
    <t>hSystems CM FTE Calc - Best Case</t>
  </si>
  <si>
    <t>hSystemsFTECalcResultBestCaseCM</t>
  </si>
  <si>
    <t>hSystems CM FTE Labor Cost - Worst Case</t>
  </si>
  <si>
    <t>hSystemsFTELaborCostWorstCaseCM</t>
  </si>
  <si>
    <t>hSystems CM FTE Labor Cost - Most Likley</t>
  </si>
  <si>
    <t>hSystemsFTELaborCostMostLikelyCM</t>
  </si>
  <si>
    <t>hSystems CM FTE Labor Cost - Best Case</t>
  </si>
  <si>
    <t>hSystemsFTEMostLikelyBestCaseCM</t>
  </si>
  <si>
    <t xml:space="preserve">hSystems SMCS FTE % Reduction - Worst Case </t>
  </si>
  <si>
    <t>hSystemsFTEPercentReductionWorstCaseSMCS</t>
  </si>
  <si>
    <t xml:space="preserve">hSystems SMCS FTE % Reduction - Most Likely </t>
  </si>
  <si>
    <t>hSystemsFTEPercentReductionMostLikelySMCS</t>
  </si>
  <si>
    <t xml:space="preserve">hSystems SMCS FTE % Reduction - Best Case </t>
  </si>
  <si>
    <t>hSystemsFTEPercentReductionBestCaseSMCS</t>
  </si>
  <si>
    <t>hSystems SMCS FTE Calc - Worst Case</t>
  </si>
  <si>
    <t>hSystemsFTECalcResultWorstCaseSMCS</t>
  </si>
  <si>
    <t>hSystems SMCS FTE Calc - Most Likley</t>
  </si>
  <si>
    <t>hSystemsFTECalcResultMostLikelySMCS</t>
  </si>
  <si>
    <t>hSystems SMCS FTE Calc - Best Case</t>
  </si>
  <si>
    <t>hSystemsFTECalcResultBestCaseSMCS</t>
  </si>
  <si>
    <t>hSystems SMCS FTE Labor Cost - Worst Case</t>
  </si>
  <si>
    <t>hSystemsFTELaborCostWorstCaseSMCS</t>
  </si>
  <si>
    <t>hSystems SMCS FTE Labor Cost - Most Likley</t>
  </si>
  <si>
    <t>hSystemsFTELaborCostMostLikelySMCS</t>
  </si>
  <si>
    <t>hSystems SMCS FTE Labor Cost - Best Case</t>
  </si>
  <si>
    <t>hSystemsFTEMostLikelyBestCaseSMCS</t>
  </si>
  <si>
    <t xml:space="preserve">hSystems O1 FTE % Reduction - Worst Case </t>
  </si>
  <si>
    <t>hSystemsFTEPercentReductionWorstCaseO1</t>
  </si>
  <si>
    <t xml:space="preserve">hSystems O1 FTE % Reduction - Most Likely </t>
  </si>
  <si>
    <t>hSystemsFTEPercentReductionMostLikelyO1</t>
  </si>
  <si>
    <t xml:space="preserve">hSystems O1 FTE % Reduction - Best Case </t>
  </si>
  <si>
    <t>hSystemsFTEPercentReductionBestCaseO1</t>
  </si>
  <si>
    <t>hSystems O1 FTE Calc - Worst Case</t>
  </si>
  <si>
    <t>hSystemsFTECalcResultWorstCaseO1</t>
  </si>
  <si>
    <t>hSystems O1 FTE Calc - Most Likley</t>
  </si>
  <si>
    <t>hSystemsFTECalcResultMostLikelyO1</t>
  </si>
  <si>
    <t>hSystems O1 FTE Calc - Best Case</t>
  </si>
  <si>
    <t>hSystemsFTECalcResultBestCaseO1</t>
  </si>
  <si>
    <t>hSystems O1 FTE Labor Cost - Worst Case</t>
  </si>
  <si>
    <t>hSystemsFTELaborCostWorstCaseO1</t>
  </si>
  <si>
    <t>hSystems O1 FTE Labor Cost - Most Likley</t>
  </si>
  <si>
    <t>hSystemsFTELaborCostMostLikelyO1</t>
  </si>
  <si>
    <t>hSystems O1 FTE Labor Cost - Best Case</t>
  </si>
  <si>
    <t>hSystemsFTEMostLikelyBestCaseO1</t>
  </si>
  <si>
    <t xml:space="preserve">hSystems O2 FTE % Reduction - Worst Case </t>
  </si>
  <si>
    <t>hSystemsFTEPercentReductionWorstCaseO2</t>
  </si>
  <si>
    <t xml:space="preserve">hSystems O2 FTE % Reduction - Most Likely </t>
  </si>
  <si>
    <t>hSystemsFTEPercentReductionMostLikelyO2</t>
  </si>
  <si>
    <t xml:space="preserve">hSystems O2 FTE % Reduction - Best Case </t>
  </si>
  <si>
    <t>hSystemsFTEPercentReductionBestCaseO2</t>
  </si>
  <si>
    <t>hSystems O2 FTE Calc - Worst Case</t>
  </si>
  <si>
    <t>hSystemsFTECalcResultWorstCaseO2</t>
  </si>
  <si>
    <t>hSystems O2 FTE Calc - Most Likley</t>
  </si>
  <si>
    <t>hSystemsFTECalcResultMostLikelyO2</t>
  </si>
  <si>
    <t>hSystems O2 FTE Calc - Best Case</t>
  </si>
  <si>
    <t>hSystemsFTECalcResultBestCaseO2</t>
  </si>
  <si>
    <t>hSystems O2 FTE Labor Cost - Worst Case</t>
  </si>
  <si>
    <t>hSystemsFTELaborCostWorstCaseO2</t>
  </si>
  <si>
    <t>hSystems O2 FTE Labor Cost - Most Likley</t>
  </si>
  <si>
    <t>hSystemsFTELaborCostMostLikelyO2</t>
  </si>
  <si>
    <t>hSystems O2 FTE Labor Cost - Best Case</t>
  </si>
  <si>
    <t>hSystemsFTEMostLikelyBestCaseO2</t>
  </si>
  <si>
    <t>pSystems Total FTEs</t>
  </si>
  <si>
    <t>pSystemsFTE_Total</t>
  </si>
  <si>
    <t>pSystems Annual Burdened FTE Cost Total</t>
  </si>
  <si>
    <t>pSystemsFTECostAnnualBurdenedTotal</t>
  </si>
  <si>
    <t>hSystems Total FTEs Worst Case</t>
  </si>
  <si>
    <t>hSystems Total FTEs Most Likely</t>
  </si>
  <si>
    <t>hSystems Total FTEs Best Case</t>
  </si>
  <si>
    <t>pSystems Annual Burdened FTE Cost SCL</t>
  </si>
  <si>
    <t>pSystemsFTECostAnnualBurdenedSCL</t>
  </si>
  <si>
    <t>hSystems Total FTE Labor Cost Worst Case</t>
  </si>
  <si>
    <t>hSystems Total FTE Labor Cost Most Likely</t>
  </si>
  <si>
    <t>hSystems Total FTE Labor Cost Best Case</t>
  </si>
  <si>
    <t>hSystemsFTELaborCostWorstCaseTotal</t>
  </si>
  <si>
    <t>hSystemsFTELaborCostMostLikelyTotal</t>
  </si>
  <si>
    <t>hSystemsFTECalcResultWorstCaseTotal</t>
  </si>
  <si>
    <t>hSystemsFTECalcResultBestCaseTotal</t>
  </si>
  <si>
    <t>hSystemsFTECalcResultMostLikelyTotal</t>
  </si>
  <si>
    <t>hSystemsFTELaborCostBestCaseTotal</t>
  </si>
  <si>
    <t xml:space="preserve">eSystems HM FTE % Reduction - Worst Case </t>
  </si>
  <si>
    <t>eSystemsFTEPercentReductionWorstCaseHM</t>
  </si>
  <si>
    <t xml:space="preserve">eSystems HM FTE % Reduction - Most Likely </t>
  </si>
  <si>
    <t>eSystemsFTEPercentReductionMostLikelyHM</t>
  </si>
  <si>
    <t xml:space="preserve">eSystems HM FTE % Reduction - Best Case </t>
  </si>
  <si>
    <t>eSystemsFTEPercentReductionBestCaseHM</t>
  </si>
  <si>
    <t>eSystems HM FTE Calc - Worst Case</t>
  </si>
  <si>
    <t>eSystemsFTECalcResultWorstCaseHM</t>
  </si>
  <si>
    <t>eSystems HM FTE Calc - Most Likley</t>
  </si>
  <si>
    <t>eSystemsFTECalcResultMostLikelyHM</t>
  </si>
  <si>
    <t>eSystems HM FTE Calc - Best Case</t>
  </si>
  <si>
    <t>eSystemsFTECalcResultBestCaseHM</t>
  </si>
  <si>
    <t>eSystems HM FTE Labor Cost - Worst Case</t>
  </si>
  <si>
    <t>eSystemsFTELaborCostWorstCaseHM</t>
  </si>
  <si>
    <t>eSystems HM FTE Labor Cost - Most Likley</t>
  </si>
  <si>
    <t>eSystemsFTELaborCostMostLikelyHM</t>
  </si>
  <si>
    <t>eSystems HM FTE Labor Cost - Best Case</t>
  </si>
  <si>
    <t>eSystemsFTEMostLikelyBestCaseHM</t>
  </si>
  <si>
    <t xml:space="preserve">eSystems LM FTE % Reduction - Worst Case </t>
  </si>
  <si>
    <t>eSystemsFTEPercentReductionWorstCaseLM</t>
  </si>
  <si>
    <t xml:space="preserve">eSystems LM FTE % Reduction - Most Likely </t>
  </si>
  <si>
    <t>eSystemsFTEPercentReductionMostLikelyLM</t>
  </si>
  <si>
    <t xml:space="preserve">eSystems LM FTE % Reduction - Best Case </t>
  </si>
  <si>
    <t>eSystemsFTEPercentReductionBestCaseLM</t>
  </si>
  <si>
    <t>eSystems LM FTE Calc - Worst Case</t>
  </si>
  <si>
    <t>eSystemsFTECalcResultWorstCaseLM</t>
  </si>
  <si>
    <t>eSystems LM FTE Calc - Most Likley</t>
  </si>
  <si>
    <t>eSystemsFTECalcResultMostLikelyLM</t>
  </si>
  <si>
    <t>eSystems LM FTE Calc - Best Case</t>
  </si>
  <si>
    <t>eSystemsFTECalcResultBestCaseLM</t>
  </si>
  <si>
    <t>eSystems LM FTE Labor Cost - Worst Case</t>
  </si>
  <si>
    <t>eSystemsFTELaborCostWorstCaseLM</t>
  </si>
  <si>
    <t>eSystems LM FTE Labor Cost - Most Likley</t>
  </si>
  <si>
    <t>eSystemsFTELaborCostMostLikelyLM</t>
  </si>
  <si>
    <t>eSystems LM FTE Labor Cost - Best Case</t>
  </si>
  <si>
    <t>eSystemsFTEMostLikelyBestCaseLM</t>
  </si>
  <si>
    <t xml:space="preserve">eSystems ENG FTE % Reduction - Worst Case </t>
  </si>
  <si>
    <t>eSystemsFTEPercentReductionWorstCaseENG</t>
  </si>
  <si>
    <t xml:space="preserve">eSystems ENG FTE % Reduction - Most Likely </t>
  </si>
  <si>
    <t>eSystemsFTEPercentReductionMostLikelyENG</t>
  </si>
  <si>
    <t xml:space="preserve">eSystems ENG FTE % Reduction - Best Case </t>
  </si>
  <si>
    <t>eSystemsFTEPercentReductionBestCaseENG</t>
  </si>
  <si>
    <t>eSystems ENG FTE Calc - Worst Case</t>
  </si>
  <si>
    <t>eSystemsFTECalcResultWorstCaseENG</t>
  </si>
  <si>
    <t>eSystems ENG FTE Calc - Most Likley</t>
  </si>
  <si>
    <t>eSystemsFTECalcResultMostLikelyENG</t>
  </si>
  <si>
    <t>eSystems ENG FTE Calc - Best Case</t>
  </si>
  <si>
    <t>eSystemsFTECalcResultBestCaseENG</t>
  </si>
  <si>
    <t>eSystems ENG FTE Labor Cost - Worst Case</t>
  </si>
  <si>
    <t>eSystemsFTELaborCostWorstCaseENG</t>
  </si>
  <si>
    <t>eSystems ENG FTE Labor Cost - Most Likley</t>
  </si>
  <si>
    <t>eSystemsFTELaborCostMostLikelyENG</t>
  </si>
  <si>
    <t>eSystems ENG FTE Labor Cost - Best Case</t>
  </si>
  <si>
    <t>eSystemsFTEMostLikelyBestCaseENG</t>
  </si>
  <si>
    <t xml:space="preserve">eSystems PLG FTE % Reduction - Worst Case </t>
  </si>
  <si>
    <t>eSystemsFTEPercentReductionWorstCasePLG</t>
  </si>
  <si>
    <t xml:space="preserve">eSystems PLG FTE % Reduction - Most Likely </t>
  </si>
  <si>
    <t>eSystemsFTEPercentReductionMostLikelyPLG</t>
  </si>
  <si>
    <t xml:space="preserve">eSystems PLG FTE % Reduction - Best Case </t>
  </si>
  <si>
    <t>eSystemsFTEPercentReductionBestCasePLG</t>
  </si>
  <si>
    <t>eSystems PLG FTE Calc - Worst Case</t>
  </si>
  <si>
    <t>eSystemsFTECalcResultWorstCasePLG</t>
  </si>
  <si>
    <t>eSystems PLG FTE Calc - Most Likley</t>
  </si>
  <si>
    <t>eSystemsFTECalcResultMostLikelyPLG</t>
  </si>
  <si>
    <t>eSystems PLG FTE Calc - Best Case</t>
  </si>
  <si>
    <t>eSystemsFTECalcResultBestCasePLG</t>
  </si>
  <si>
    <t>eSystems PLG FTE Labor Cost - Worst Case</t>
  </si>
  <si>
    <t>eSystemsFTELaborCostWorstCasePLG</t>
  </si>
  <si>
    <t>eSystems PLG FTE Labor Cost - Most Likley</t>
  </si>
  <si>
    <t>eSystemsFTELaborCostMostLikelyPLG</t>
  </si>
  <si>
    <t>eSystems PLG FTE Labor Cost - Best Case</t>
  </si>
  <si>
    <t>eSystemsFTEMostLikelyBestCasePLG</t>
  </si>
  <si>
    <t xml:space="preserve">eSystems CRT FTE % Reduction - Worst Case </t>
  </si>
  <si>
    <t>eSystemsFTEPercentReductionWorstCaseCRT</t>
  </si>
  <si>
    <t xml:space="preserve">eSystems CRT FTE % Reduction - Most Likely </t>
  </si>
  <si>
    <t>eSystemsFTEPercentReductionMostLikelyCRT</t>
  </si>
  <si>
    <t xml:space="preserve">eSystems CRT FTE % Reduction - Best Case </t>
  </si>
  <si>
    <t>eSystemsFTEPercentReductionBestCaseCRT</t>
  </si>
  <si>
    <t>eSystems CRT FTE Calc - Worst Case</t>
  </si>
  <si>
    <t>eSystemsFTECalcResultWorstCaseCRT</t>
  </si>
  <si>
    <t>eSystems CRT FTE Calc - Most Likley</t>
  </si>
  <si>
    <t>eSystemsFTECalcResultMostLikelyCRT</t>
  </si>
  <si>
    <t>eSystems CRT FTE Calc - Best Case</t>
  </si>
  <si>
    <t>eSystemsFTECalcResultBestCaseCRT</t>
  </si>
  <si>
    <t>eSystems CRT FTE Labor Cost - Worst Case</t>
  </si>
  <si>
    <t>eSystemsFTELaborCostWorstCaseCRT</t>
  </si>
  <si>
    <t>eSystems CRT FTE Labor Cost - Most Likley</t>
  </si>
  <si>
    <t>eSystemsFTELaborCostMostLikelyCRT</t>
  </si>
  <si>
    <t>eSystems CRT FTE Labor Cost - Best Case</t>
  </si>
  <si>
    <t>eSystemsFTEMostLikelyBestCaseCRT</t>
  </si>
  <si>
    <t xml:space="preserve">eSystems SCL FTE % Reduction - Worst Case </t>
  </si>
  <si>
    <t>eSystemsFTEPercentReductionWorstCaseSCL</t>
  </si>
  <si>
    <t xml:space="preserve">eSystems SCL FTE % Reduction - Most Likely </t>
  </si>
  <si>
    <t>eSystemsFTEPercentReductionMostLikelySCL</t>
  </si>
  <si>
    <t xml:space="preserve">eSystems SCL FTE % Reduction - Best Case </t>
  </si>
  <si>
    <t>eSystemsFTEPercentReductionBestCaseSCL</t>
  </si>
  <si>
    <t>eSystems SCL FTE Calc - Worst Case</t>
  </si>
  <si>
    <t>eSystemsFTECalcResultWorstCaseSCL</t>
  </si>
  <si>
    <t>eSystems SCL FTE Calc - Most Likley</t>
  </si>
  <si>
    <t>eSystemsFTECalcResultMostLikelySCL</t>
  </si>
  <si>
    <t>eSystems SCL FTE Calc - Best Case</t>
  </si>
  <si>
    <t>eSystemsFTECalcResultBestCaseSCL</t>
  </si>
  <si>
    <t>eSystems SCL FTE Labor Cost - Worst Case</t>
  </si>
  <si>
    <t>eSystemsFTELaborCostWorstCaseSCL</t>
  </si>
  <si>
    <t>eSystems SCL FTE Labor Cost - Most Likley</t>
  </si>
  <si>
    <t>eSystemsFTELaborCostMostLikelySCL</t>
  </si>
  <si>
    <t>eSystems SCL FTE Labor Cost - Best Case</t>
  </si>
  <si>
    <t>eSystemsFTEMostLikelyBestCaseSCL</t>
  </si>
  <si>
    <t xml:space="preserve">eSystems QSC FTE % Reduction - Worst Case </t>
  </si>
  <si>
    <t>eSystemsFTEPercentReductionWorstCaseQSC</t>
  </si>
  <si>
    <t xml:space="preserve">eSystems QSC FTE % Reduction - Most Likely </t>
  </si>
  <si>
    <t>eSystemsFTEPercentReductionMostLikelyQSC</t>
  </si>
  <si>
    <t xml:space="preserve">eSystems QSC FTE % Reduction - Best Case </t>
  </si>
  <si>
    <t>eSystemsFTEPercentReductionBestCaseQSC</t>
  </si>
  <si>
    <t>eSystems QSC FTE Calc - Worst Case</t>
  </si>
  <si>
    <t>eSystemsFTECalcResultWorstCaseQSC</t>
  </si>
  <si>
    <t>eSystems QSC FTE Calc - Most Likley</t>
  </si>
  <si>
    <t>eSystemsFTECalcResultMostLikelyQSC</t>
  </si>
  <si>
    <t>eSystems QSC FTE Calc - Best Case</t>
  </si>
  <si>
    <t>eSystemsFTECalcResultBestCaseQSC</t>
  </si>
  <si>
    <t>eSystems QSC FTE Labor Cost - Worst Case</t>
  </si>
  <si>
    <t>eSystemsFTELaborCostWorstCaseQSC</t>
  </si>
  <si>
    <t>eSystems QSC FTE Labor Cost - Most Likley</t>
  </si>
  <si>
    <t>eSystemsFTELaborCostMostLikelyQSC</t>
  </si>
  <si>
    <t>eSystems QSC FTE Labor Cost - Best Case</t>
  </si>
  <si>
    <t>eSystemsFTEMostLikelyBestCaseQSC</t>
  </si>
  <si>
    <t xml:space="preserve">eSystems EM FTE % Reduction - Worst Case </t>
  </si>
  <si>
    <t>eSystemsFTEPercentReductionWorstCaseEM</t>
  </si>
  <si>
    <t xml:space="preserve">eSystems EM FTE % Reduction - Most Likely </t>
  </si>
  <si>
    <t>eSystemsFTEPercentReductionMostLikelyEM</t>
  </si>
  <si>
    <t xml:space="preserve">eSystems EM FTE % Reduction - Best Case </t>
  </si>
  <si>
    <t>eSystemsFTEPercentReductionBestCaseEM</t>
  </si>
  <si>
    <t>eSystems EM FTE Calc - Worst Case</t>
  </si>
  <si>
    <t>eSystemsFTECalcResultWorstCaseEM</t>
  </si>
  <si>
    <t>eSystems EM FTE Calc - Most Likley</t>
  </si>
  <si>
    <t>eSystemsFTECalcResultMostLikelyEM</t>
  </si>
  <si>
    <t>eSystems EM FTE Calc - Best Case</t>
  </si>
  <si>
    <t>eSystemsFTECalcResultBestCaseEM</t>
  </si>
  <si>
    <t>eSystems EM FTE Labor Cost - Worst Case</t>
  </si>
  <si>
    <t>eSystemsFTELaborCostWorstCaseEM</t>
  </si>
  <si>
    <t>eSystems EM FTE Labor Cost - Most Likley</t>
  </si>
  <si>
    <t>eSystemsFTELaborCostMostLikelyEM</t>
  </si>
  <si>
    <t>eSystems EM FTE Labor Cost - Best Case</t>
  </si>
  <si>
    <t>eSystemsFTEMostLikelyBestCaseEM</t>
  </si>
  <si>
    <t xml:space="preserve">eSystems CM FTE % Reduction - Worst Case </t>
  </si>
  <si>
    <t>eSystemsFTEPercentReductionWorstCaseCM</t>
  </si>
  <si>
    <t xml:space="preserve">eSystems CM FTE % Reduction - Most Likely </t>
  </si>
  <si>
    <t>eSystemsFTEPercentReductionMostLikelyCM</t>
  </si>
  <si>
    <t xml:space="preserve">eSystems CM FTE % Reduction - Best Case </t>
  </si>
  <si>
    <t>eSystemsFTEPercentReductionBestCaseCM</t>
  </si>
  <si>
    <t>eSystems CM FTE Calc - Worst Case</t>
  </si>
  <si>
    <t>eSystemsFTECalcResultWorstCaseCM</t>
  </si>
  <si>
    <t>eSystems CM FTE Calc - Most Likley</t>
  </si>
  <si>
    <t>eSystemsFTECalcResultMostLikelyCM</t>
  </si>
  <si>
    <t>eSystems CM FTE Calc - Best Case</t>
  </si>
  <si>
    <t>eSystemsFTECalcResultBestCaseCM</t>
  </si>
  <si>
    <t>eSystems CM FTE Labor Cost - Worst Case</t>
  </si>
  <si>
    <t>eSystemsFTELaborCostWorstCaseCM</t>
  </si>
  <si>
    <t>eSystems CM FTE Labor Cost - Most Likley</t>
  </si>
  <si>
    <t>eSystemsFTELaborCostMostLikelyCM</t>
  </si>
  <si>
    <t>eSystems CM FTE Labor Cost - Best Case</t>
  </si>
  <si>
    <t>eSystemsFTEMostLikelyBestCaseCM</t>
  </si>
  <si>
    <t xml:space="preserve">eSystems SMCS FTE % Reduction - Worst Case </t>
  </si>
  <si>
    <t>eSystemsFTEPercentReductionWorstCaseSMCS</t>
  </si>
  <si>
    <t xml:space="preserve">eSystems SMCS FTE % Reduction - Most Likely </t>
  </si>
  <si>
    <t>eSystemsFTEPercentReductionMostLikelySMCS</t>
  </si>
  <si>
    <t xml:space="preserve">eSystems SMCS FTE % Reduction - Best Case </t>
  </si>
  <si>
    <t>eSystemsFTEPercentReductionBestCaseSMCS</t>
  </si>
  <si>
    <t>eSystems SMCS FTE Calc - Worst Case</t>
  </si>
  <si>
    <t>eSystemsFTECalcResultWorstCaseSMCS</t>
  </si>
  <si>
    <t>eSystems SMCS FTE Calc - Most Likley</t>
  </si>
  <si>
    <t>eSystemsFTECalcResultMostLikelySMCS</t>
  </si>
  <si>
    <t>eSystems SMCS FTE Calc - Best Case</t>
  </si>
  <si>
    <t>eSystemsFTECalcResultBestCaseSMCS</t>
  </si>
  <si>
    <t>eSystems SMCS FTE Labor Cost - Worst Case</t>
  </si>
  <si>
    <t>eSystemsFTELaborCostWorstCaseSMCS</t>
  </si>
  <si>
    <t>eSystems SMCS FTE Labor Cost - Most Likley</t>
  </si>
  <si>
    <t>eSystemsFTELaborCostMostLikelySMCS</t>
  </si>
  <si>
    <t>eSystems SMCS FTE Labor Cost - Best Case</t>
  </si>
  <si>
    <t>eSystemsFTEMostLikelyBestCaseSMCS</t>
  </si>
  <si>
    <t xml:space="preserve">eSystems O1 FTE % Reduction - Worst Case </t>
  </si>
  <si>
    <t>eSystemsFTEPercentReductionWorstCaseO1</t>
  </si>
  <si>
    <t xml:space="preserve">eSystems O1 FTE % Reduction - Most Likely </t>
  </si>
  <si>
    <t>eSystemsFTEPercentReductionMostLikelyO1</t>
  </si>
  <si>
    <t xml:space="preserve">eSystems O1 FTE % Reduction - Best Case </t>
  </si>
  <si>
    <t>eSystemsFTEPercentReductionBestCaseO1</t>
  </si>
  <si>
    <t>eSystems O1 FTE Calc - Worst Case</t>
  </si>
  <si>
    <t>eSystemsFTECalcResultWorstCaseO1</t>
  </si>
  <si>
    <t>eSystems O1 FTE Calc - Most Likley</t>
  </si>
  <si>
    <t>eSystemsFTECalcResultMostLikelyO1</t>
  </si>
  <si>
    <t>eSystems O1 FTE Calc - Best Case</t>
  </si>
  <si>
    <t>eSystemsFTECalcResultBestCaseO1</t>
  </si>
  <si>
    <t>eSystems O1 FTE Labor Cost - Worst Case</t>
  </si>
  <si>
    <t>eSystemsFTELaborCostWorstCaseO1</t>
  </si>
  <si>
    <t>eSystems O1 FTE Labor Cost - Most Likley</t>
  </si>
  <si>
    <t>eSystemsFTELaborCostMostLikelyO1</t>
  </si>
  <si>
    <t>eSystems O1 FTE Labor Cost - Best Case</t>
  </si>
  <si>
    <t>eSystemsFTEMostLikelyBestCaseO1</t>
  </si>
  <si>
    <t xml:space="preserve">eSystems O2 FTE % Reduction - Worst Case </t>
  </si>
  <si>
    <t>eSystemsFTEPercentReductionWorstCaseO2</t>
  </si>
  <si>
    <t xml:space="preserve">eSystems O2 FTE % Reduction - Most Likely </t>
  </si>
  <si>
    <t>eSystemsFTEPercentReductionMostLikelyO2</t>
  </si>
  <si>
    <t xml:space="preserve">eSystems O2 FTE % Reduction - Best Case </t>
  </si>
  <si>
    <t>eSystemsFTEPercentReductionBestCaseO2</t>
  </si>
  <si>
    <t>eSystems O2 FTE Calc - Worst Case</t>
  </si>
  <si>
    <t>eSystemsFTECalcResultWorstCaseO2</t>
  </si>
  <si>
    <t>eSystems O2 FTE Calc - Most Likley</t>
  </si>
  <si>
    <t>eSystemsFTECalcResultMostLikelyO2</t>
  </si>
  <si>
    <t>eSystems O2 FTE Calc - Best Case</t>
  </si>
  <si>
    <t>eSystemsFTECalcResultBestCaseO2</t>
  </si>
  <si>
    <t>eSystems O2 FTE Labor Cost - Worst Case</t>
  </si>
  <si>
    <t>eSystemsFTELaborCostWorstCaseO2</t>
  </si>
  <si>
    <t>eSystems O2 FTE Labor Cost - Most Likley</t>
  </si>
  <si>
    <t>eSystemsFTELaborCostMostLikelyO2</t>
  </si>
  <si>
    <t>eSystems O2 FTE Labor Cost - Best Case</t>
  </si>
  <si>
    <t>eSystemsFTEMostLikelyBestCaseO2</t>
  </si>
  <si>
    <t>eSystems Total FTEs Worst Case</t>
  </si>
  <si>
    <t>eSystemsFTECalcResultWorstCaseTotal</t>
  </si>
  <si>
    <t>eSystems Total FTEs Most Likely</t>
  </si>
  <si>
    <t>eSystemsFTECalcResultMostLikelyTotal</t>
  </si>
  <si>
    <t>eSystems Total FTEs Best Case</t>
  </si>
  <si>
    <t>eSystemsFTECalcResultBestCaseTotal</t>
  </si>
  <si>
    <t>eSystems Total FTE Labor Cost Worst Case</t>
  </si>
  <si>
    <t>eSystemsFTELaborCostWorstCaseTotal</t>
  </si>
  <si>
    <t>eSystems Total FTE Labor Cost Most Likely</t>
  </si>
  <si>
    <t>eSystemsFTELaborCostMostLikelyTotal</t>
  </si>
  <si>
    <t>eSystems Total FTE Labor Cost Best Case</t>
  </si>
  <si>
    <t>eSystemsFTELaborCostBestCaseTotal</t>
  </si>
  <si>
    <t>pSystemsFTECostAnnualBurdenedTotal_CFS</t>
  </si>
  <si>
    <t>hSystemsFTELaborCostWorstCase_CFS</t>
  </si>
  <si>
    <t>hSystemsFTELaborCostBestCase_CFS</t>
  </si>
  <si>
    <t>hSystemsFTELaborCostMostLikely_CFS</t>
  </si>
  <si>
    <t>eSystemsFTELaborCostWorstCase_CFS</t>
  </si>
  <si>
    <t>eSystemsFTELaborCostMostLikely_CFS</t>
  </si>
  <si>
    <t>eSystemsFTELaborCostBestCase_CFS</t>
  </si>
  <si>
    <t>pSystemsFTE_Total_CFS</t>
  </si>
  <si>
    <t>hSystemsFTEWorstCase_Total_CFS</t>
  </si>
  <si>
    <t>hSystemsFTEMostLikely_Total_CFS</t>
  </si>
  <si>
    <t>hSystemsFTEBestCase_Total_CFS</t>
  </si>
  <si>
    <t>eSystemsFTEWorstCase_Total_CFS</t>
  </si>
  <si>
    <t>eSystemsFTEMostLikely_Total_CFS</t>
  </si>
  <si>
    <t>eSystemsFTEBestCase_Total_CFS</t>
  </si>
  <si>
    <t>pSystemsLeaseReturnTotalFTEs_OutputSummary</t>
  </si>
  <si>
    <t>pSystemsLeaseLessorVisitTotalFTEs_OutputSummary</t>
  </si>
  <si>
    <t>pSystemsLeaseDisputedRecordTotalFTEs_OutputSummary</t>
  </si>
  <si>
    <t>pSystemsLeaseRecordSearchTotalFTEs_OutputSummary</t>
  </si>
  <si>
    <t>pSystems Lease Due Dilligence Total FTEs</t>
  </si>
  <si>
    <t>pSystemsLeaseDueDilTotalFTEs_OutputSummary</t>
  </si>
  <si>
    <t>pSystems Lease Return Print &amp; Collate TotalFTEs</t>
  </si>
  <si>
    <t>pSystemsLeaseReturnPrintCollTotalFTEs_OutputSummary</t>
  </si>
  <si>
    <t>pSystemsLeaseRelatedTotalFTEs_OutputSummary</t>
  </si>
  <si>
    <t>pSystems Lease Related FTEs TOTAL</t>
  </si>
  <si>
    <t>hSystemsLeaseReturnTotalFTEs_OutputSummary</t>
  </si>
  <si>
    <t>hSystemsLeaseLessorVisitTotalFTEs_OutputSummary</t>
  </si>
  <si>
    <t>hSystemsLeaseDisputedRecordTotalFTEs_OutputSummary</t>
  </si>
  <si>
    <t>hSystemsLeaseDueDilTotalFTEs_OutputSummary</t>
  </si>
  <si>
    <t>hSystems Lease Due Dilligence Total FTEs</t>
  </si>
  <si>
    <t>hSystemsLeaseReturnPrintCollTotalFTEs_OutputSummary</t>
  </si>
  <si>
    <t>hSystems Lease Return Print &amp; Collate TotalFTEs</t>
  </si>
  <si>
    <t>hSystemsLeaseRecordSearchTotalFTEs_OutputSummary</t>
  </si>
  <si>
    <t>hSystems Lease Related FTEs TOTAL</t>
  </si>
  <si>
    <t>hSystemsLeaseRelatedTotalFTEs_OutputSummary</t>
  </si>
  <si>
    <t>eSystemsLeaseReturnTotalFTEs_OutputSummary</t>
  </si>
  <si>
    <t>eSystemsLeaseLessorVisitTotalFTEs_OutputSummary</t>
  </si>
  <si>
    <t>eSystemsLeaseDisputedRecordTotalFTEs_OutputSummary</t>
  </si>
  <si>
    <t>eSystemsLeaseDueDilTotalFTEs_OutputSummary</t>
  </si>
  <si>
    <t>eSystems Lease Due Dilligence Total FTEs</t>
  </si>
  <si>
    <t>eSystemsLeaseReturnPrintCollTotalFTEs_OutputSummary</t>
  </si>
  <si>
    <t>eSystems Lease Return Print &amp; Collate TotalFTEs</t>
  </si>
  <si>
    <t>eSystemsLeaseRecordSearchTotalFTEs_OutputSummary</t>
  </si>
  <si>
    <t>eSystems Lease Related FTEs TOTAL</t>
  </si>
  <si>
    <t>eSystemsLeaseRelatedTotalFTEs_OutputSummary</t>
  </si>
  <si>
    <t>pSystemsTrainingFTEsLM</t>
  </si>
  <si>
    <t>pSystemsTrainingCostLM</t>
  </si>
  <si>
    <t>pSystemsTrainingFTEsHM</t>
  </si>
  <si>
    <t>pSystemsTrainingCostHM</t>
  </si>
  <si>
    <t>pSystems Training Costs - ENG</t>
  </si>
  <si>
    <t>pSystemsTrainingFTEsENG</t>
  </si>
  <si>
    <t>pSystemsTrainingCostENG</t>
  </si>
  <si>
    <t xml:space="preserve">% of Total ENG FTEs requiring training pa </t>
  </si>
  <si>
    <t xml:space="preserve">% of Total PLG FTEs requiring training pa </t>
  </si>
  <si>
    <t>pSystems Training Costs -  PLG</t>
  </si>
  <si>
    <t>pSystemsTrainingFTEsPLG</t>
  </si>
  <si>
    <t>pSystemsTrainingCostPLG</t>
  </si>
  <si>
    <t xml:space="preserve">% of Total CRT FTEs requiring training pa </t>
  </si>
  <si>
    <t>pSystems Training Costs -  CRT</t>
  </si>
  <si>
    <t>pSystemsTrainingFTEsCRT</t>
  </si>
  <si>
    <t>pSystemsTrainingCostCRT</t>
  </si>
  <si>
    <t>pSystemsTrainingFTEsSCL</t>
  </si>
  <si>
    <t>pSystemsTrainingCostSCL</t>
  </si>
  <si>
    <t>pSystems Training Costs - SCL</t>
  </si>
  <si>
    <t>pSystemsTrainingFTEsQSC</t>
  </si>
  <si>
    <t>pSystemsTrainingCostQSC</t>
  </si>
  <si>
    <t xml:space="preserve">% of Total QSC FTEs requiring training pa </t>
  </si>
  <si>
    <t>pSystems Training Costs - QSC</t>
  </si>
  <si>
    <t>pSystemsTrainingFTEsEM</t>
  </si>
  <si>
    <t>pSystemsTrainingCostEM</t>
  </si>
  <si>
    <t xml:space="preserve">% of Total EM FTEs requiring training pa </t>
  </si>
  <si>
    <t>pSystems Training Costs -  EM</t>
  </si>
  <si>
    <t>pSystemsTrainingFTEsCM</t>
  </si>
  <si>
    <t>pSystemsTrainingCostCM</t>
  </si>
  <si>
    <t xml:space="preserve">% of Total CM FTEs requiring training pa </t>
  </si>
  <si>
    <t>pSystems Training Costs -  CM</t>
  </si>
  <si>
    <t>pSystemsTrainingFTEsSMCS</t>
  </si>
  <si>
    <t>pSystemsTrainingCostSMCS</t>
  </si>
  <si>
    <t xml:space="preserve">% of Total SMCS FTEs requiring training pa </t>
  </si>
  <si>
    <t>pSystems Training Costs - SMCS</t>
  </si>
  <si>
    <t>pSystemsTrainingFTEsO1</t>
  </si>
  <si>
    <t>pSystemsTrainingCostO1</t>
  </si>
  <si>
    <t xml:space="preserve">% of Total O1FTEs requiring training pa </t>
  </si>
  <si>
    <t>pSystems Training Costs -  O1</t>
  </si>
  <si>
    <t>pSystemsTrainingFTEsO2</t>
  </si>
  <si>
    <t>pSystems Training Costs -  O2</t>
  </si>
  <si>
    <t>pSystemsTrainingCostO2</t>
  </si>
  <si>
    <t xml:space="preserve">% of Total O2 FTEs requiring training pa </t>
  </si>
  <si>
    <t>pSystemsTrainingCostPerFTE_PLG</t>
  </si>
  <si>
    <t>pSystemsTrainingCostPerFTE_ENG</t>
  </si>
  <si>
    <t>pSystemsTrainingCostPerFTE_HM</t>
  </si>
  <si>
    <t>pSystemsTrainingCostPerFTE_LM</t>
  </si>
  <si>
    <t>pSystemsTrainingCostPerFTE_SCL</t>
  </si>
  <si>
    <t>pSystemsTrainingCostPerFTE_CRT</t>
  </si>
  <si>
    <t>pSystemsTrainingCostPerFTE_QSC</t>
  </si>
  <si>
    <t>pSystemsTrainingCostPerFTE_EM</t>
  </si>
  <si>
    <t>pSystemsTrainingCostPerFTE_CM</t>
  </si>
  <si>
    <t>pSystemsTrainingCostPerFTE_SMCS</t>
  </si>
  <si>
    <t>pSystemsTrainingCostPerFTE_O1</t>
  </si>
  <si>
    <t>pSystemsTrainingCostPerFTE_O2</t>
  </si>
  <si>
    <t>hSystemsTrainingCostPerFTE_LM</t>
  </si>
  <si>
    <t>hSystemsTrainingCostPerFTE_HM</t>
  </si>
  <si>
    <t>hSystemsTrainingCostPerFTE_ENG</t>
  </si>
  <si>
    <t>hSystemsTrainingCostPerFTE_PLG</t>
  </si>
  <si>
    <t>hSystemsTrainingCostPerFTE_CRT</t>
  </si>
  <si>
    <t>hSystemsTrainingCostPerFTE_SCL</t>
  </si>
  <si>
    <t>hSystemsTrainingCostPerFTE_QSC</t>
  </si>
  <si>
    <t>hSystemsTrainingCostPerFTE_EM</t>
  </si>
  <si>
    <t>hSystemsTrainingCostPerFTE_CM</t>
  </si>
  <si>
    <t>hSystemsTrainingCostPerFTE_SMCS</t>
  </si>
  <si>
    <t>hSystemsTrainingCostPerFTE_O1</t>
  </si>
  <si>
    <t>hSystemsTrainingCostPerFTE_O2</t>
  </si>
  <si>
    <t>Worst Case FTEs Trained LM</t>
  </si>
  <si>
    <t>Most Likely FTEs Trained LM</t>
  </si>
  <si>
    <t>Best Case FTEs Trained LM</t>
  </si>
  <si>
    <t>hSystemsTrainingPercentFTEsLM</t>
  </si>
  <si>
    <t>hSystemsTrainingFTEsWorstCaseLM</t>
  </si>
  <si>
    <t>hSystemsTrainingFTEsMostLikelyLM</t>
  </si>
  <si>
    <t>hSystemsTrainingFTEsBestCaseLM</t>
  </si>
  <si>
    <t>hSystems Training Costs - Worst Case LM</t>
  </si>
  <si>
    <t>hSystemsTrainingCostWorstCaseLM</t>
  </si>
  <si>
    <t>hSystems Training Costs - Most Likely LM</t>
  </si>
  <si>
    <t>hSystems Training Costs - Best Case LM</t>
  </si>
  <si>
    <t>hSystemsTrainingCostMostLikelyLM</t>
  </si>
  <si>
    <t>hSystemsTrainingCostBestCaseLM</t>
  </si>
  <si>
    <t>hSystemsTrainingPercentFTEsHM</t>
  </si>
  <si>
    <t>Worst Case FTEs Trained HM</t>
  </si>
  <si>
    <t>hSystemsTrainingFTEsWorstCaseHM</t>
  </si>
  <si>
    <t>Most Likely FTEs Trained HM</t>
  </si>
  <si>
    <t>hSystemsTrainingFTEsMostLikelyHM</t>
  </si>
  <si>
    <t>Best Case FTEs Trained HM</t>
  </si>
  <si>
    <t>hSystemsTrainingFTEsBestCaseHM</t>
  </si>
  <si>
    <t>hSystems Training Costs - Worst Case HM</t>
  </si>
  <si>
    <t>hSystemsTrainingCostWorstCaseHM</t>
  </si>
  <si>
    <t>hSystems Training Costs - Most Likely HM</t>
  </si>
  <si>
    <t>hSystemsTrainingCostMostLikelyHM</t>
  </si>
  <si>
    <t>hSystems Training Costs - Best Case HM</t>
  </si>
  <si>
    <t>hSystemsTrainingCostBestCaseHM</t>
  </si>
  <si>
    <t>hSystemsTrainingPercentFTEsENG</t>
  </si>
  <si>
    <t>Worst Case FTEs Trained ENG</t>
  </si>
  <si>
    <t>hSystemsTrainingFTEsWorstCaseENG</t>
  </si>
  <si>
    <t>Most Likely FTEs Trained ENG</t>
  </si>
  <si>
    <t>hSystemsTrainingFTEsMostLikelyENG</t>
  </si>
  <si>
    <t>Best Case FTEs Trained ENG</t>
  </si>
  <si>
    <t>hSystemsTrainingFTEsBestCaseENG</t>
  </si>
  <si>
    <t>hSystems Training Costs - Worst Case ENG</t>
  </si>
  <si>
    <t>hSystemsTrainingCostWorstCaseENG</t>
  </si>
  <si>
    <t>hSystems Training Costs - Most Likely ENG</t>
  </si>
  <si>
    <t>hSystemsTrainingCostMostLikelyENG</t>
  </si>
  <si>
    <t>hSystems Training Costs - Best Case ENG</t>
  </si>
  <si>
    <t>hSystemsTrainingCostBestCaseENG</t>
  </si>
  <si>
    <t>hSystemsTrainingPercentFTEsPLG</t>
  </si>
  <si>
    <t>Worst Case FTEs Trained PLG</t>
  </si>
  <si>
    <t>hSystemsTrainingFTEsWorstCasePLG</t>
  </si>
  <si>
    <t>Most Likely FTEs Trained PLG</t>
  </si>
  <si>
    <t>hSystemsTrainingFTEsMostLikelyPLG</t>
  </si>
  <si>
    <t>Best Case FTEs Trained PLG</t>
  </si>
  <si>
    <t>hSystemsTrainingFTEsBestCasePLG</t>
  </si>
  <si>
    <t>hSystems Training Costs - Worst Case PLG</t>
  </si>
  <si>
    <t>hSystemsTrainingCostWorstCasePLG</t>
  </si>
  <si>
    <t>hSystems Training Costs - Most Likely PLG</t>
  </si>
  <si>
    <t>hSystemsTrainingCostMostLikelyPLG</t>
  </si>
  <si>
    <t>hSystems Training Costs - Best Case PLG</t>
  </si>
  <si>
    <t>hSystemsTrainingCostBestCasePLG</t>
  </si>
  <si>
    <t>hSystemsTrainingPercentFTEsCRT</t>
  </si>
  <si>
    <t>Worst Case FTEs Trained CRT</t>
  </si>
  <si>
    <t>hSystemsTrainingFTEsWorstCaseCRT</t>
  </si>
  <si>
    <t>Most Likely FTEs Trained CRT</t>
  </si>
  <si>
    <t>hSystemsTrainingFTEsMostLikelyCRT</t>
  </si>
  <si>
    <t>Best Case FTEs Trained CRT</t>
  </si>
  <si>
    <t>hSystemsTrainingFTEsBestCaseCRT</t>
  </si>
  <si>
    <t>hSystems Training Costs - Worst Case CRT</t>
  </si>
  <si>
    <t>hSystemsTrainingCostWorstCaseCRT</t>
  </si>
  <si>
    <t>hSystems Training Costs - Most Likely CRT</t>
  </si>
  <si>
    <t>hSystemsTrainingCostMostLikelyCRT</t>
  </si>
  <si>
    <t>hSystems Training Costs - Best Case CRT</t>
  </si>
  <si>
    <t>hSystemsTrainingCostBestCaseCRT</t>
  </si>
  <si>
    <t>hSystemsTrainingPercentFTEsSCL</t>
  </si>
  <si>
    <t>Worst Case FTEs Trained SCL</t>
  </si>
  <si>
    <t>hSystemsTrainingFTEsWorstCaseSCL</t>
  </si>
  <si>
    <t>Most Likely FTEs Trained SCL</t>
  </si>
  <si>
    <t>hSystemsTrainingFTEsMostLikelySCL</t>
  </si>
  <si>
    <t>Best Case FTEs Trained SCL</t>
  </si>
  <si>
    <t>hSystemsTrainingFTEsBestCaseSCL</t>
  </si>
  <si>
    <t>hSystems Training Costs - Worst Case SCL</t>
  </si>
  <si>
    <t>hSystemsTrainingCostWorstCaseSCL</t>
  </si>
  <si>
    <t>hSystems Training Costs - Most Likely SCL</t>
  </si>
  <si>
    <t>hSystemsTrainingCostMostLikelySCL</t>
  </si>
  <si>
    <t>hSystems Training Costs - Best Case SCL</t>
  </si>
  <si>
    <t>hSystemsTrainingCostBestCaseSCL</t>
  </si>
  <si>
    <t>hSystemsTrainingPercentFTEsQSC</t>
  </si>
  <si>
    <t>Worst Case FTEs Trained QSC</t>
  </si>
  <si>
    <t>hSystemsTrainingFTEsWorstCaseQSC</t>
  </si>
  <si>
    <t>Most Likely FTEs Trained QSC</t>
  </si>
  <si>
    <t>hSystemsTrainingFTEsMostLikelyQSC</t>
  </si>
  <si>
    <t>Best Case FTEs Trained QSC</t>
  </si>
  <si>
    <t>hSystemsTrainingFTEsBestCaseQSC</t>
  </si>
  <si>
    <t>hSystems Training Costs - Worst Case QSC</t>
  </si>
  <si>
    <t>hSystemsTrainingCostWorstCaseQSC</t>
  </si>
  <si>
    <t>hSystems Training Costs - Most Likely QSC</t>
  </si>
  <si>
    <t>hSystemsTrainingCostMostLikelyQSC</t>
  </si>
  <si>
    <t>hSystems Training Costs - Best Case QSC</t>
  </si>
  <si>
    <t>hSystemsTrainingCostBestCaseQSC</t>
  </si>
  <si>
    <t>hSystemsTrainingPercentFTEsEM</t>
  </si>
  <si>
    <t>Worst Case FTEs Trained EM</t>
  </si>
  <si>
    <t>hSystemsTrainingFTEsWorstCaseEM</t>
  </si>
  <si>
    <t>Most Likely FTEs Trained EM</t>
  </si>
  <si>
    <t>hSystemsTrainingFTEsMostLikelyEM</t>
  </si>
  <si>
    <t>Best Case FTEs Trained EM</t>
  </si>
  <si>
    <t>hSystemsTrainingFTEsBestCaseEM</t>
  </si>
  <si>
    <t>hSystems Training Costs - Worst Case EM</t>
  </si>
  <si>
    <t>hSystemsTrainingCostWorstCaseEM</t>
  </si>
  <si>
    <t>hSystems Training Costs - Most Likely EM</t>
  </si>
  <si>
    <t>hSystemsTrainingCostMostLikelyEM</t>
  </si>
  <si>
    <t>hSystems Training Costs - Best Case EM</t>
  </si>
  <si>
    <t>hSystemsTrainingCostBestCaseEM</t>
  </si>
  <si>
    <t>hSystemsTrainingPercentFTEsCM</t>
  </si>
  <si>
    <t>Worst Case FTEs Trained CM</t>
  </si>
  <si>
    <t>hSystemsTrainingFTEsWorstCaseCM</t>
  </si>
  <si>
    <t>Most Likely FTEs Trained CM</t>
  </si>
  <si>
    <t>hSystemsTrainingFTEsMostLikelyCM</t>
  </si>
  <si>
    <t>Best Case FTEs Trained CM</t>
  </si>
  <si>
    <t>hSystemsTrainingFTEsBestCaseCM</t>
  </si>
  <si>
    <t>hSystems Training Costs - Worst Case CM</t>
  </si>
  <si>
    <t>hSystemsTrainingCostWorstCaseCM</t>
  </si>
  <si>
    <t>hSystems Training Costs - Most Likely CM</t>
  </si>
  <si>
    <t>hSystemsTrainingCostMostLikelyCM</t>
  </si>
  <si>
    <t>hSystems Training Costs - Best Case CM</t>
  </si>
  <si>
    <t>hSystemsTrainingCostBestCaseCM</t>
  </si>
  <si>
    <t>hSystemsTrainingPercentFTEsSMCS</t>
  </si>
  <si>
    <t>Worst Case FTEs Trained SMCS</t>
  </si>
  <si>
    <t>hSystemsTrainingFTEsWorstCaseSMCS</t>
  </si>
  <si>
    <t>Most Likely FTEs Trained SMCS</t>
  </si>
  <si>
    <t>hSystemsTrainingFTEsMostLikelySMCS</t>
  </si>
  <si>
    <t>Best Case FTEs Trained SMCS</t>
  </si>
  <si>
    <t>hSystemsTrainingFTEsBestCaseSMCS</t>
  </si>
  <si>
    <t>hSystems Training Costs - Worst Case SMCS</t>
  </si>
  <si>
    <t>hSystemsTrainingCostWorstCaseSMCS</t>
  </si>
  <si>
    <t>hSystems Training Costs - Most Likely SMCS</t>
  </si>
  <si>
    <t>hSystemsTrainingCostMostLikelySMCS</t>
  </si>
  <si>
    <t>hSystems Training Costs - Best Case SMCS</t>
  </si>
  <si>
    <t>hSystemsTrainingCostBestCaseSMCS</t>
  </si>
  <si>
    <t xml:space="preserve">% of Total O1 FTEs requiring training pa </t>
  </si>
  <si>
    <t>hSystemsTrainingPercentFTEsO1</t>
  </si>
  <si>
    <t>Worst Case FTEs Trained O1</t>
  </si>
  <si>
    <t>hSystemsTrainingFTEsWorstCaseO1</t>
  </si>
  <si>
    <t>Most Likely FTEs Trained O1</t>
  </si>
  <si>
    <t>hSystemsTrainingFTEsMostLikelyO1</t>
  </si>
  <si>
    <t>Best Case FTEs Trained O1</t>
  </si>
  <si>
    <t>hSystemsTrainingFTEsBestCaseO1</t>
  </si>
  <si>
    <t>hSystems Training Costs - Worst Case O1</t>
  </si>
  <si>
    <t>hSystemsTrainingCostWorstCaseO1</t>
  </si>
  <si>
    <t>hSystems Training Costs - Most Likely O1</t>
  </si>
  <si>
    <t>hSystemsTrainingCostMostLikelyO1</t>
  </si>
  <si>
    <t>hSystems Training Costs - Best Case O1</t>
  </si>
  <si>
    <t>hSystemsTrainingCostBestCaseO1</t>
  </si>
  <si>
    <t>hSystemsTrainingPercentFTEsO2</t>
  </si>
  <si>
    <t>Worst Case FTEs Trained O2</t>
  </si>
  <si>
    <t>hSystemsTrainingFTEsWorstCaseO2</t>
  </si>
  <si>
    <t>Most Likely FTEs Trained O2</t>
  </si>
  <si>
    <t>hSystemsTrainingFTEsMostLikelyO2</t>
  </si>
  <si>
    <t>Best Case FTEs Trained O2</t>
  </si>
  <si>
    <t>hSystemsTrainingFTEsBestCaseO2</t>
  </si>
  <si>
    <t>hSystems Training Costs - Worst Case O2</t>
  </si>
  <si>
    <t>hSystemsTrainingCostWorstCaseO2</t>
  </si>
  <si>
    <t>hSystems Training Costs - Most Likely O2</t>
  </si>
  <si>
    <t>hSystemsTrainingCostMostLikelyO2</t>
  </si>
  <si>
    <t>hSystems Training Costs - Best Case O2</t>
  </si>
  <si>
    <t>hSystemsTrainingCostBestCaseO2</t>
  </si>
  <si>
    <t>eSystemsTrainingCostPerFTE_LM</t>
  </si>
  <si>
    <t>eSystemsTrainingPercentFTEsLM</t>
  </si>
  <si>
    <t>eSystemsTrainingFTEsWorstCaseLM</t>
  </si>
  <si>
    <t>eSystemsTrainingFTEsMostLikelyLM</t>
  </si>
  <si>
    <t>eSystemsTrainingFTEsBestCaseLM</t>
  </si>
  <si>
    <t>eSystems Training Costs - Worst Case LM</t>
  </si>
  <si>
    <t>eSystemsTrainingCostWorstCaseLM</t>
  </si>
  <si>
    <t>eSystems Training Costs - Most Likely LM</t>
  </si>
  <si>
    <t>eSystemsTrainingCostMostLikelyLM</t>
  </si>
  <si>
    <t>eSystems Training Costs - Best Case LM</t>
  </si>
  <si>
    <t>eSystemsTrainingCostBestCaseLM</t>
  </si>
  <si>
    <t>eSystemsTrainingCostPerFTE_HM</t>
  </si>
  <si>
    <t>eSystemsTrainingPercentFTEsHM</t>
  </si>
  <si>
    <t>eSystemsTrainingFTEsWorstCaseHM</t>
  </si>
  <si>
    <t>eSystemsTrainingFTEsMostLikelyHM</t>
  </si>
  <si>
    <t>eSystemsTrainingFTEsBestCaseHM</t>
  </si>
  <si>
    <t>eSystems Training Costs - Worst Case HM</t>
  </si>
  <si>
    <t>eSystemsTrainingCostWorstCaseHM</t>
  </si>
  <si>
    <t>eSystems Training Costs - Most Likely HM</t>
  </si>
  <si>
    <t>eSystemsTrainingCostMostLikelyHM</t>
  </si>
  <si>
    <t>eSystems Training Costs - Best Case HM</t>
  </si>
  <si>
    <t>eSystemsTrainingCostBestCaseHM</t>
  </si>
  <si>
    <t>eSystemsTrainingCostPerFTE_ENG</t>
  </si>
  <si>
    <t>eSystemsTrainingPercentFTEsENG</t>
  </si>
  <si>
    <t>eSystemsTrainingFTEsWorstCaseENG</t>
  </si>
  <si>
    <t>eSystemsTrainingFTEsMostLikelyENG</t>
  </si>
  <si>
    <t>eSystemsTrainingFTEsBestCaseENG</t>
  </si>
  <si>
    <t>eSystems Training Costs - Worst Case ENG</t>
  </si>
  <si>
    <t>eSystemsTrainingCostWorstCaseENG</t>
  </si>
  <si>
    <t>eSystems Training Costs - Most Likely ENG</t>
  </si>
  <si>
    <t>eSystemsTrainingCostMostLikelyENG</t>
  </si>
  <si>
    <t>eSystems Training Costs - Best Case ENG</t>
  </si>
  <si>
    <t>eSystemsTrainingCostBestCaseENG</t>
  </si>
  <si>
    <t>eSystemsTrainingCostPerFTE_PLG</t>
  </si>
  <si>
    <t>eSystemsTrainingPercentFTEsPLG</t>
  </si>
  <si>
    <t>eSystemsTrainingFTEsWorstCasePLG</t>
  </si>
  <si>
    <t>eSystemsTrainingFTEsMostLikelyPLG</t>
  </si>
  <si>
    <t>eSystemsTrainingFTEsBestCasePLG</t>
  </si>
  <si>
    <t>eSystems Training Costs - Worst Case PLG</t>
  </si>
  <si>
    <t>eSystemsTrainingCostWorstCasePLG</t>
  </si>
  <si>
    <t>eSystems Training Costs - Most Likely PLG</t>
  </si>
  <si>
    <t>eSystemsTrainingCostMostLikelyPLG</t>
  </si>
  <si>
    <t>eSystems Training Costs - Best Case PLG</t>
  </si>
  <si>
    <t>eSystemsTrainingCostBestCasePLG</t>
  </si>
  <si>
    <t>eSystemsTrainingCostPerFTE_CRT</t>
  </si>
  <si>
    <t>eSystemsTrainingPercentFTEsCRT</t>
  </si>
  <si>
    <t>eSystemsTrainingFTEsWorstCaseCRT</t>
  </si>
  <si>
    <t>eSystemsTrainingFTEsMostLikelyCRT</t>
  </si>
  <si>
    <t>eSystemsTrainingFTEsBestCaseCRT</t>
  </si>
  <si>
    <t>eSystems Training Costs - Worst Case CRT</t>
  </si>
  <si>
    <t>eSystemsTrainingCostWorstCaseCRT</t>
  </si>
  <si>
    <t>eSystems Training Costs - Most Likely CRT</t>
  </si>
  <si>
    <t>eSystemsTrainingCostMostLikelyCRT</t>
  </si>
  <si>
    <t>eSystems Training Costs - Best Case CRT</t>
  </si>
  <si>
    <t>eSystemsTrainingCostBestCaseCRT</t>
  </si>
  <si>
    <t>eSystemsTrainingCostPerFTE_SCL</t>
  </si>
  <si>
    <t>eSystemsTrainingPercentFTEsSCL</t>
  </si>
  <si>
    <t>eSystemsTrainingFTEsWorstCaseSCL</t>
  </si>
  <si>
    <t>eSystemsTrainingFTEsMostLikelySCL</t>
  </si>
  <si>
    <t>eSystemsTrainingFTEsBestCaseSCL</t>
  </si>
  <si>
    <t>eSystems Training Costs - Worst Case SCL</t>
  </si>
  <si>
    <t>eSystemsTrainingCostWorstCaseSCL</t>
  </si>
  <si>
    <t>eSystems Training Costs - Most Likely SCL</t>
  </si>
  <si>
    <t>eSystemsTrainingCostMostLikelySCL</t>
  </si>
  <si>
    <t>eSystems Training Costs - Best Case SCL</t>
  </si>
  <si>
    <t>eSystemsTrainingCostBestCaseSCL</t>
  </si>
  <si>
    <t>eSystemsTrainingCostPerFTE_QSC</t>
  </si>
  <si>
    <t>eSystemsTrainingPercentFTEsQSC</t>
  </si>
  <si>
    <t>eSystemsTrainingFTEsWorstCaseQSC</t>
  </si>
  <si>
    <t>eSystemsTrainingFTEsMostLikelyQSC</t>
  </si>
  <si>
    <t>eSystemsTrainingFTEsBestCaseQSC</t>
  </si>
  <si>
    <t>eSystems Training Costs - Worst Case QSC</t>
  </si>
  <si>
    <t>eSystemsTrainingCostWorstCaseQSC</t>
  </si>
  <si>
    <t>eSystems Training Costs - Most Likely QSC</t>
  </si>
  <si>
    <t>eSystemsTrainingCostMostLikelyQSC</t>
  </si>
  <si>
    <t>eSystems Training Costs - Best Case QSC</t>
  </si>
  <si>
    <t>eSystemsTrainingCostBestCaseQSC</t>
  </si>
  <si>
    <t>eSystemsTrainingCostPerFTE_EM</t>
  </si>
  <si>
    <t>eSystemsTrainingPercentFTEsEM</t>
  </si>
  <si>
    <t>eSystemsTrainingFTEsWorstCaseEM</t>
  </si>
  <si>
    <t>eSystemsTrainingFTEsMostLikelyEM</t>
  </si>
  <si>
    <t>eSystemsTrainingFTEsBestCaseEM</t>
  </si>
  <si>
    <t>eSystems Training Costs - Worst Case EM</t>
  </si>
  <si>
    <t>eSystemsTrainingCostWorstCaseEM</t>
  </si>
  <si>
    <t>eSystems Training Costs - Most Likely EM</t>
  </si>
  <si>
    <t>eSystemsTrainingCostMostLikelyEM</t>
  </si>
  <si>
    <t>eSystems Training Costs - Best Case EM</t>
  </si>
  <si>
    <t>eSystemsTrainingCostBestCaseEM</t>
  </si>
  <si>
    <t>eSystemsTrainingCostPerFTE_CM</t>
  </si>
  <si>
    <t>eSystemsTrainingPercentFTEsCM</t>
  </si>
  <si>
    <t>eSystemsTrainingFTEsWorstCaseCM</t>
  </si>
  <si>
    <t>eSystemsTrainingFTEsMostLikelyCM</t>
  </si>
  <si>
    <t>eSystemsTrainingFTEsBestCaseCM</t>
  </si>
  <si>
    <t>eSystems Training Costs - Worst Case CM</t>
  </si>
  <si>
    <t>eSystemsTrainingCostWorstCaseCM</t>
  </si>
  <si>
    <t>eSystems Training Costs - Most Likely CM</t>
  </si>
  <si>
    <t>eSystemsTrainingCostMostLikelyCM</t>
  </si>
  <si>
    <t>eSystems Training Costs - Best Case CM</t>
  </si>
  <si>
    <t>eSystemsTrainingCostBestCaseCM</t>
  </si>
  <si>
    <t>eSystemsTrainingCostPerFTE_SMCS</t>
  </si>
  <si>
    <t>eSystemsTrainingPercentFTEsSMCS</t>
  </si>
  <si>
    <t>eSystemsTrainingFTEsWorstCaseSMCS</t>
  </si>
  <si>
    <t>eSystemsTrainingFTEsMostLikelySMCS</t>
  </si>
  <si>
    <t>eSystemsTrainingFTEsBestCaseSMCS</t>
  </si>
  <si>
    <t>eSystems Training Costs - Worst Case SMCS</t>
  </si>
  <si>
    <t>eSystemsTrainingCostWorstCaseSMCS</t>
  </si>
  <si>
    <t>eSystems Training Costs - Most Likely SMCS</t>
  </si>
  <si>
    <t>eSystemsTrainingCostMostLikelySMCS</t>
  </si>
  <si>
    <t>eSystems Training Costs - Best Case SMCS</t>
  </si>
  <si>
    <t>eSystemsTrainingCostBestCaseSMCS</t>
  </si>
  <si>
    <t>eSystemsTrainingCostPerFTE_O1</t>
  </si>
  <si>
    <t>eSystemsTrainingPercentFTEsO1</t>
  </si>
  <si>
    <t>eSystemsTrainingFTEsWorstCaseO1</t>
  </si>
  <si>
    <t>eSystemsTrainingFTEsMostLikelyO1</t>
  </si>
  <si>
    <t>eSystemsTrainingFTEsBestCaseO1</t>
  </si>
  <si>
    <t>eSystems Training Costs - Worst Case O1</t>
  </si>
  <si>
    <t>eSystemsTrainingCostWorstCaseO1</t>
  </si>
  <si>
    <t>eSystems Training Costs - Most Likely O1</t>
  </si>
  <si>
    <t>eSystemsTrainingCostMostLikelyO1</t>
  </si>
  <si>
    <t>eSystems Training Costs - Best Case O1</t>
  </si>
  <si>
    <t>eSystemsTrainingCostBestCaseO1</t>
  </si>
  <si>
    <t>eSystemsTrainingCostPerFTE_O2</t>
  </si>
  <si>
    <t>eSystemsTrainingPercentFTEsO2</t>
  </si>
  <si>
    <t>eSystemsTrainingFTEsWorstCaseO2</t>
  </si>
  <si>
    <t>eSystemsTrainingFTEsMostLikelyO2</t>
  </si>
  <si>
    <t>eSystemsTrainingFTEsBestCaseO2</t>
  </si>
  <si>
    <t>eSystems Training Costs - Worst Case O2</t>
  </si>
  <si>
    <t>eSystemsTrainingCostWorstCaseO2</t>
  </si>
  <si>
    <t>eSystems Training Costs - Most Likely O2</t>
  </si>
  <si>
    <t>eSystemsTrainingCostMostLikelyO2</t>
  </si>
  <si>
    <t>eSystems Training Costs - Best Case O2</t>
  </si>
  <si>
    <t>eSystemsTrainingCostBestCaseO2</t>
  </si>
  <si>
    <t>hSystemsCost_TrgTotalWorstCase_CFS</t>
  </si>
  <si>
    <t>hSystemsCost_TrgTotalMostLikely_CFS</t>
  </si>
  <si>
    <t>hSystemsCost_TrgTotalBestCase_CFS</t>
  </si>
  <si>
    <t>eSystemsCost_TrgTotalWorstCase_CFS</t>
  </si>
  <si>
    <t>eSystemsCost_TrgTotalMostLikely_CFS</t>
  </si>
  <si>
    <t>eSystemsCost_TrgTotalBestCase_CFS</t>
  </si>
  <si>
    <t>pSystemsCostIT_CodeA_Operating</t>
  </si>
  <si>
    <t>pSystemsCostIT_CodeA_Licence</t>
  </si>
  <si>
    <t>pSystemsCostIT_CodeA_Software</t>
  </si>
  <si>
    <t>pSystemsCostIT_CodeA_Upgrade</t>
  </si>
  <si>
    <t>pSystemsCostIT_CodeA_Customization</t>
  </si>
  <si>
    <t>pSystemsCostIT_CodeA_Total</t>
  </si>
  <si>
    <t>pSystemsCostIT_CodeB_Operating</t>
  </si>
  <si>
    <t>pSystemsCostIT_CodeB_Licence</t>
  </si>
  <si>
    <t>pSystemsCostIT_CodeB_Software</t>
  </si>
  <si>
    <t>pSystemsCostIT_CodeB_Upgrade</t>
  </si>
  <si>
    <t>pSystemsCostIT_CodeB_Customization</t>
  </si>
  <si>
    <t>pSystemsCostIT_CodeB_Total</t>
  </si>
  <si>
    <t>pSystemsCostIT_CodeC_Operating</t>
  </si>
  <si>
    <t>pSystemsCostIT_CodeC_Licence</t>
  </si>
  <si>
    <t>pSystemsCostIT_CodeC_Software</t>
  </si>
  <si>
    <t>pSystemsCostIT_CodeC_Upgrade</t>
  </si>
  <si>
    <t>pSystemsCostIT_CodeC_Customization</t>
  </si>
  <si>
    <t>pSystemsCostIT_CodeC_Total</t>
  </si>
  <si>
    <t>pSystemsCostIT_CodeD_Operating</t>
  </si>
  <si>
    <t>pSystemsCostIT_CodeD_Licence</t>
  </si>
  <si>
    <t>pSystemsCostIT_CodeD_Software</t>
  </si>
  <si>
    <t>pSystemsCostIT_CodeD_Upgrade</t>
  </si>
  <si>
    <t>pSystemsCostIT_CodeD_Customization</t>
  </si>
  <si>
    <t>pSystemsCostIT_CodeD_Total</t>
  </si>
  <si>
    <t>pSystemsCostIT_CodeE_Operating</t>
  </si>
  <si>
    <t>pSystemsCostIT_CodeE_Licence</t>
  </si>
  <si>
    <t>pSystemsCostIT_CodeE_Software</t>
  </si>
  <si>
    <t>pSystemsCostIT_CodeE_Upgrade</t>
  </si>
  <si>
    <t>pSystemsCostIT_CodeE_Customization</t>
  </si>
  <si>
    <t>pSystemsCostIT_CodeE_Total</t>
  </si>
  <si>
    <t>pSystemsCostIT_CodeF_Operating</t>
  </si>
  <si>
    <t>pSystemsCostIT_CodeF_Licence</t>
  </si>
  <si>
    <t>pSystemsCostIT_CodeF_Software</t>
  </si>
  <si>
    <t>pSystemsCostIT_CodeF_Upgrade</t>
  </si>
  <si>
    <t>pSystemsCostIT_CodeF_Customization</t>
  </si>
  <si>
    <t>pSystemsCostIT_CodeF_Total</t>
  </si>
  <si>
    <t>pSystemsCostIT_CodeG_Operating</t>
  </si>
  <si>
    <t>pSystemsCostIT_CodeG_Licence</t>
  </si>
  <si>
    <t>pSystemsCostIT_CodeG_Software</t>
  </si>
  <si>
    <t>pSystemsCostIT_CodeG_Upgrade</t>
  </si>
  <si>
    <t>pSystemsCostIT_CodeG_Customization</t>
  </si>
  <si>
    <t>pSystemsCostIT_CodeG_Total</t>
  </si>
  <si>
    <t>hSystemsCostIT_CodeA_Operating</t>
  </si>
  <si>
    <t>hSystemsCostIT_CodeA_Licence</t>
  </si>
  <si>
    <t>hSystemsCostIT_CodeA_Software</t>
  </si>
  <si>
    <t>hSystemsCostIT_CodeA_Upgrade</t>
  </si>
  <si>
    <t>hSystemsCostIT_CodeA_Customization</t>
  </si>
  <si>
    <t>hSystemsCostIT_CodeA_Total</t>
  </si>
  <si>
    <t>hSystemsCostIT_CodeB_Operating</t>
  </si>
  <si>
    <t>hSystemsCostIT_CodeB_Licence</t>
  </si>
  <si>
    <t>hSystemsCostIT_CodeB_Software</t>
  </si>
  <si>
    <t>hSystemsCostIT_CodeB_Upgrade</t>
  </si>
  <si>
    <t>hSystemsCostIT_CodeB_Customization</t>
  </si>
  <si>
    <t>hSystemsCostIT_CodeB_Total</t>
  </si>
  <si>
    <t>hSystemsCostIT_CodeC_Operating</t>
  </si>
  <si>
    <t>hSystemsCostIT_CodeC_Licence</t>
  </si>
  <si>
    <t>hSystemsCostIT_CodeC_Software</t>
  </si>
  <si>
    <t>hSystemsCostIT_CodeC_Upgrade</t>
  </si>
  <si>
    <t>hSystemsCostIT_CodeC_Customization</t>
  </si>
  <si>
    <t>hSystemsCostIT_CodeC_Total</t>
  </si>
  <si>
    <t>hSystemsCostIT_CodeD_Operating</t>
  </si>
  <si>
    <t>hSystemsCostIT_CodeD_Licence</t>
  </si>
  <si>
    <t>hSystemsCostIT_CodeD_Software</t>
  </si>
  <si>
    <t>hSystemsCostIT_CodeD_Upgrade</t>
  </si>
  <si>
    <t>hSystemsCostIT_CodeD_Customization</t>
  </si>
  <si>
    <t>hSystemsCostIT_CodeD_Total</t>
  </si>
  <si>
    <t>hSystemsCostIT_CodeE_Operating</t>
  </si>
  <si>
    <t>hSystemsCostIT_CodeE_Licence</t>
  </si>
  <si>
    <t>hSystemsCostIT_CodeE_Software</t>
  </si>
  <si>
    <t>hSystemsCostIT_CodeE_Upgrade</t>
  </si>
  <si>
    <t>hSystemsCostIT_CodeE_Customization</t>
  </si>
  <si>
    <t>hSystemsCostIT_CodeE_Total</t>
  </si>
  <si>
    <t>hSystemsCostIT_CodeF_Operating</t>
  </si>
  <si>
    <t>hSystemsCostIT_CodeF_Licence</t>
  </si>
  <si>
    <t>hSystemsCostIT_CodeF_Software</t>
  </si>
  <si>
    <t>hSystemsCostIT_CodeF_Upgrade</t>
  </si>
  <si>
    <t>hSystemsCostIT_CodeF_Customization</t>
  </si>
  <si>
    <t>hSystemsCostIT_CodeF_Total</t>
  </si>
  <si>
    <t>hSystemsCostIT_CodeG_Operating</t>
  </si>
  <si>
    <t>hSystemsCostIT_CodeG_Licence</t>
  </si>
  <si>
    <t>hSystemsCostIT_CodeG_Software</t>
  </si>
  <si>
    <t>hSystemsCostIT_CodeG_Upgrade</t>
  </si>
  <si>
    <t>hSystemsCostIT_CodeG_Customization</t>
  </si>
  <si>
    <t>hSystemsCostIT_CodeG_Total</t>
  </si>
  <si>
    <t>eSystemsCostIT_CodeA_Operating</t>
  </si>
  <si>
    <t>eSystemsCostIT_CodeA_Licence</t>
  </si>
  <si>
    <t>eSystemsCostIT_CodeA_Software</t>
  </si>
  <si>
    <t>eSystemsCostIT_CodeA_Upgrade</t>
  </si>
  <si>
    <t>eSystemsCostIT_CodeA_Customization</t>
  </si>
  <si>
    <t>eSystemsCostIT_CodeA_Total</t>
  </si>
  <si>
    <t>eSystemsCostIT_CodeB_Operating</t>
  </si>
  <si>
    <t>eSystemsCostIT_CodeB_Licence</t>
  </si>
  <si>
    <t>eSystemsCostIT_CodeB_Software</t>
  </si>
  <si>
    <t>eSystemsCostIT_CodeB_Upgrade</t>
  </si>
  <si>
    <t>eSystemsCostIT_CodeB_Customization</t>
  </si>
  <si>
    <t>eSystemsCostIT_CodeB_Total</t>
  </si>
  <si>
    <t>eSystemsCostIT_CodeC_Operating</t>
  </si>
  <si>
    <t>eSystemsCostIT_CodeC_Licence</t>
  </si>
  <si>
    <t>eSystemsCostIT_CodeC_Software</t>
  </si>
  <si>
    <t>eSystemsCostIT_CodeC_Upgrade</t>
  </si>
  <si>
    <t>eSystemsCostIT_CodeC_Customization</t>
  </si>
  <si>
    <t>eSystemsCostIT_CodeC_Total</t>
  </si>
  <si>
    <t>eSystemsCostIT_CodeD_Operating</t>
  </si>
  <si>
    <t>eSystemsCostIT_CodeD_Licence</t>
  </si>
  <si>
    <t>eSystemsCostIT_CodeD_Software</t>
  </si>
  <si>
    <t>eSystemsCostIT_CodeD_Upgrade</t>
  </si>
  <si>
    <t>eSystemsCostIT_CodeD_Customization</t>
  </si>
  <si>
    <t>eSystemsCostIT_CodeD_Total</t>
  </si>
  <si>
    <t>eSystemsCostIT_CodeE_Operating</t>
  </si>
  <si>
    <t>eSystemsCostIT_CodeE_Licence</t>
  </si>
  <si>
    <t>eSystemsCostIT_CodeE_Software</t>
  </si>
  <si>
    <t>eSystemsCostIT_CodeE_Upgrade</t>
  </si>
  <si>
    <t>eSystemsCostIT_CodeE_Customization</t>
  </si>
  <si>
    <t>eSystemsCostIT_CodeE_Total</t>
  </si>
  <si>
    <t>eSystemsCostIT_CodeF_Operating</t>
  </si>
  <si>
    <t>eSystemsCostIT_CodeF_Licence</t>
  </si>
  <si>
    <t>eSystemsCostIT_CodeF_Software</t>
  </si>
  <si>
    <t>eSystemsCostIT_CodeF_Upgrade</t>
  </si>
  <si>
    <t>eSystemsCostIT_CodeF_Customization</t>
  </si>
  <si>
    <t>eSystemsCostIT_CodeF_Total</t>
  </si>
  <si>
    <t>eSystemsCostIT_CodeG_Operating</t>
  </si>
  <si>
    <t>eSystemsCostIT_CodeG_Licence</t>
  </si>
  <si>
    <t>eSystemsCostIT_CodeG_Software</t>
  </si>
  <si>
    <t>eSystemsCostIT_CodeG_Upgrade</t>
  </si>
  <si>
    <t>eSystemsCostIT_CodeG_Customization</t>
  </si>
  <si>
    <t>eSystemsCostIT_CodeG_Total</t>
  </si>
  <si>
    <t>hSystems TOTAL Archive &amp;Retrieval Cost pa</t>
  </si>
  <si>
    <t>pSystems TOTAL Archive &amp; Retrieval Cost pa</t>
  </si>
  <si>
    <t>eSystems TOTAL Archive &amp; Retrieval Cost pa</t>
  </si>
  <si>
    <t>pSystemsRecordsPaperArchive_CFS</t>
  </si>
  <si>
    <t>hSystemsRecordsPaperArchive_CFS</t>
  </si>
  <si>
    <t>eSystemsRecordsPaperArchive_CFS</t>
  </si>
  <si>
    <t>pSystem Induced Labor Costs</t>
  </si>
  <si>
    <t>Scenario 1: Paper-Based (pSystems) Lessee Cost Summary</t>
  </si>
  <si>
    <t>Scenario 2: Hybrid (hSystems) Lessee Cost Summary</t>
  </si>
  <si>
    <t>Scenario 3: Paperless (eSystems) Lessee Cost Summary</t>
  </si>
  <si>
    <t>pSystems Labor Cost - Warranty Related</t>
  </si>
  <si>
    <t>hSystems Labor Cost - Warranty Related</t>
  </si>
  <si>
    <t>eSystems Labor Cost - Warranty Related</t>
  </si>
  <si>
    <t>pSystem Induced Labor Costs - Total</t>
  </si>
  <si>
    <t>hSystem Induced Labor Costs</t>
  </si>
  <si>
    <t>hSystem Induced Labor Costs - Total</t>
  </si>
  <si>
    <t>pSystems Cost of Labor - Net of Induced Labor Costs</t>
  </si>
  <si>
    <t>pSystems Induced Records Costs</t>
  </si>
  <si>
    <t>pSystems Induced Records Costs - Total</t>
  </si>
  <si>
    <t>pSystems Induced Training Costs</t>
  </si>
  <si>
    <t>pSystems Induced Training Cost - Total</t>
  </si>
  <si>
    <t>pSystems Induced IT Costs</t>
  </si>
  <si>
    <t>pSystems Induced IT Costs - Total</t>
  </si>
  <si>
    <t>pSystems Induced Costs Cumulative Cash Flow</t>
  </si>
  <si>
    <t>pSystems (Paper)</t>
  </si>
  <si>
    <t>hSystems (Hybrid)</t>
  </si>
  <si>
    <t>eSystems (Paperless)</t>
  </si>
  <si>
    <t>hSystems Cost of Labor - Worst Case Total</t>
  </si>
  <si>
    <t>hSystems Cost of Labor - Net of Induced Labor Costs</t>
  </si>
  <si>
    <t>hSystem Induced Records Costs</t>
  </si>
  <si>
    <t>hSystems Induced Records Costs - Total</t>
  </si>
  <si>
    <t>eSystems Induced Records Costs - Total</t>
  </si>
  <si>
    <t>hSystems Induced Training Costs</t>
  </si>
  <si>
    <t>hSystems Induced Training Cost - Worst Case</t>
  </si>
  <si>
    <t>hSystems Induced IT Costs</t>
  </si>
  <si>
    <t>hSystems Induced IT Costs - Total</t>
  </si>
  <si>
    <t>eSystems Induced IT Costs - Total</t>
  </si>
  <si>
    <t>hSystems Total Induced Costs</t>
  </si>
  <si>
    <t>pSystems Total Induced Costs</t>
  </si>
  <si>
    <t>hSystems Induced Costs Cumulative Cash Flow</t>
  </si>
  <si>
    <t>hSystems Cost of Labor - Most Likely Total</t>
  </si>
  <si>
    <t>hSystems Cost of Labor - Best Case Total</t>
  </si>
  <si>
    <t>hSystem Total Cost of Labor</t>
  </si>
  <si>
    <t>Most Likely Net of Induced Labor Costs</t>
  </si>
  <si>
    <t>Best Case Net of Induced Labor Costs</t>
  </si>
  <si>
    <t>Worst Case Net of Induced Labor Costs</t>
  </si>
  <si>
    <t>hSystems Induced Training Cost - Most Likely</t>
  </si>
  <si>
    <t>hSystems Induced Training Cost - Best Case</t>
  </si>
  <si>
    <t>eSystem Total Cost of Labor</t>
  </si>
  <si>
    <t>eSystems Cost of Labor - Net of Induced Labor Costs</t>
  </si>
  <si>
    <t>eSystem Induced Labor Costs</t>
  </si>
  <si>
    <t>eSystem Induced Labor Costs - Total</t>
  </si>
  <si>
    <t>eSystem Induced Records Costs</t>
  </si>
  <si>
    <t>eSystems Induced Training Costs</t>
  </si>
  <si>
    <t>eSystems Induced IT Costs</t>
  </si>
  <si>
    <t>eSystems Total Induced Costs</t>
  </si>
  <si>
    <t>eSystems Induced Costs Cumulative Cash Flow</t>
  </si>
  <si>
    <t>pSystems to hSystems &amp; eSystems FTE Reduction Summaries For Output Graphs</t>
  </si>
  <si>
    <t>pSystems FTEs - Total</t>
  </si>
  <si>
    <t>hSystems FTEs - Total</t>
  </si>
  <si>
    <t>eSystems FTEs - Total</t>
  </si>
  <si>
    <t>pSystems Induced Archiving &amp; Retrieval Costs</t>
  </si>
  <si>
    <t>pSystem Induced Costs - Archiving &amp; Retrieval</t>
  </si>
  <si>
    <t>hSystem Induced Costs - Archiving &amp; Retrieval</t>
  </si>
  <si>
    <t>eSystem Induced Costs - Archiving &amp; Retrieval</t>
  </si>
  <si>
    <t>hSystems Induced Archiving &amp; Retrieval Costs</t>
  </si>
  <si>
    <t>eSystems Induced Archiving &amp; Retrieval Costs</t>
  </si>
  <si>
    <t>pSystems Induced FTEs - Total</t>
  </si>
  <si>
    <t>hSystems Induced FTEs - Total</t>
  </si>
  <si>
    <t>eSystems Induced FTEs - Total</t>
  </si>
  <si>
    <t>hSystems Induced FTEs Total</t>
  </si>
  <si>
    <t>eSystems Induced FTEs Total</t>
  </si>
  <si>
    <t>pSystems Induced FTEs Total (Base Case)</t>
  </si>
  <si>
    <t>pSystems Labor - Total</t>
  </si>
  <si>
    <t>pSystems Cost of Labor - Base Case</t>
  </si>
  <si>
    <t>hSystems Labor - Total</t>
  </si>
  <si>
    <t>eSystems Labor - Total</t>
  </si>
  <si>
    <t>eSystems Cost of Labor - Worst Case Total</t>
  </si>
  <si>
    <t>eSystems Cost of Labor - Most Likely Total</t>
  </si>
  <si>
    <t>eSystems Cost of Labor - Best Case Total</t>
  </si>
  <si>
    <t>pSystems Legacy Record Shred rate pa (assumes CAA/Lessor Approval)</t>
  </si>
  <si>
    <t>hSystems Legacy Record Shred rate pa (assumes CAA/Lessor Approval)</t>
  </si>
  <si>
    <t>eSystems Legacy Record Shred rate pa (assumes CAA/Lessor Approval)</t>
  </si>
  <si>
    <t>Purchasing Cost/unit</t>
  </si>
  <si>
    <t>MFD Value</t>
  </si>
  <si>
    <r>
      <rPr>
        <b/>
        <sz val="10"/>
        <color theme="3"/>
        <rFont val="Arial"/>
        <family val="2"/>
      </rPr>
      <t>Leasing Cost Calculations</t>
    </r>
    <r>
      <rPr>
        <sz val="10"/>
        <color theme="3"/>
        <rFont val="Arial"/>
        <family val="2"/>
      </rPr>
      <t xml:space="preserve">
In this Template it is assumed that MFD's are leased. 
The leasing cost is calculated at a rate per $1000 of the MFD value. You may have alterrnative means of calculating MFD cost - if so, adjust the methodology to suit. 
</t>
    </r>
    <r>
      <rPr>
        <b/>
        <sz val="10"/>
        <color theme="3"/>
        <rFont val="Arial"/>
        <family val="2"/>
      </rPr>
      <t>Note:</t>
    </r>
    <r>
      <rPr>
        <sz val="10"/>
        <color theme="3"/>
        <rFont val="Arial"/>
        <family val="2"/>
      </rPr>
      <t xml:space="preserve"> The Leasing Rate is  escalated from Year 2 onwards per the inflation rate entered in the 'Inputs_Setup' tab.</t>
    </r>
  </si>
  <si>
    <r>
      <rPr>
        <b/>
        <sz val="10"/>
        <color theme="3"/>
        <rFont val="Arial"/>
        <family val="2"/>
      </rPr>
      <t>Total Office Leasing Costs pa</t>
    </r>
    <r>
      <rPr>
        <sz val="10"/>
        <color theme="3"/>
        <rFont val="Arial"/>
        <family val="2"/>
      </rPr>
      <t xml:space="preserve">
These are the totals for pSystems, hSystems, &amp; eSystems as calculated in this sheet</t>
    </r>
  </si>
  <si>
    <r>
      <rPr>
        <b/>
        <sz val="10"/>
        <color theme="3"/>
        <rFont val="Arial"/>
        <family val="2"/>
      </rPr>
      <t>Paper Records Generated</t>
    </r>
    <r>
      <rPr>
        <sz val="10"/>
        <color theme="3"/>
        <rFont val="Arial"/>
        <family val="2"/>
      </rPr>
      <t xml:space="preserve">
No data entry required as these numbers are derived the 'Inputs_RecordsGeneration' tab</t>
    </r>
  </si>
  <si>
    <r>
      <rPr>
        <b/>
        <sz val="10"/>
        <color theme="3"/>
        <rFont val="Arial"/>
        <family val="2"/>
      </rPr>
      <t xml:space="preserve">Paper 'Book' Purchase Cost
</t>
    </r>
    <r>
      <rPr>
        <sz val="10"/>
        <color theme="3"/>
        <rFont val="Arial"/>
        <family val="2"/>
      </rPr>
      <t>This category is for the purchasing of paper-based books such as TechLogs etc. Provision is made in the Template for up to 7 types of paper-based books. Enter the names of the paper-based books that you use and the purchase cost per unit.</t>
    </r>
  </si>
  <si>
    <r>
      <t xml:space="preserve">
</t>
    </r>
    <r>
      <rPr>
        <b/>
        <sz val="10"/>
        <color theme="3"/>
        <rFont val="Arial"/>
        <family val="2"/>
      </rPr>
      <t xml:space="preserve">'Book' Usage and Cost pa calculations
</t>
    </r>
    <r>
      <rPr>
        <sz val="10"/>
        <color theme="3"/>
        <rFont val="Arial"/>
        <family val="2"/>
      </rPr>
      <t xml:space="preserve">The cost per annum of paper-based books is calculated for each of pSystems, hSystems, and eSystems.
For 'operational' types of books (TechLog, Cabin Log, IFE Log) enter the usage per aircraft per month. This is multiplied by the Total Fleet Size (from 'Inputs_FleetMix' tab) and then by the purchasing cost per unit as entered above in this sheet.
In this example template, it is assumed that for eSystems that you have paper-based books in the first year but going forward that this is reduced to zero.
If you have partial implementation of eSystems then enter as appropriate. For example you may predominantly have either pSystems or hSystems but have introduced eTechLog. If this is the case then enter 0 'Technical Log Usage per Aircraft per month'
</t>
    </r>
    <r>
      <rPr>
        <b/>
        <sz val="10"/>
        <color theme="3"/>
        <rFont val="Arial"/>
        <family val="2"/>
      </rPr>
      <t xml:space="preserve">Note: </t>
    </r>
    <r>
      <rPr>
        <sz val="10"/>
        <color theme="3"/>
        <rFont val="Arial"/>
        <family val="2"/>
      </rPr>
      <t>All costs are escalated from Year 2 onwards per the inflation rate entered in the 'Inputs_Setup' tab</t>
    </r>
  </si>
  <si>
    <r>
      <rPr>
        <b/>
        <sz val="10"/>
        <color theme="3"/>
        <rFont val="Arial"/>
        <family val="2"/>
      </rPr>
      <t xml:space="preserve">Total Fleet Records Generated by Department
</t>
    </r>
    <r>
      <rPr>
        <sz val="10"/>
        <color theme="3"/>
        <rFont val="Arial"/>
        <family val="2"/>
      </rPr>
      <t xml:space="preserve">These are the totals by department for the entire fleet as derived from above in this sheet and then summed to provide the </t>
    </r>
    <r>
      <rPr>
        <b/>
        <sz val="10"/>
        <color theme="3"/>
        <rFont val="Arial"/>
        <family val="2"/>
      </rPr>
      <t>Total FLEET Records Generated pa</t>
    </r>
  </si>
  <si>
    <r>
      <rPr>
        <b/>
        <sz val="10"/>
        <color theme="3"/>
        <rFont val="Arial"/>
        <family val="2"/>
      </rPr>
      <t xml:space="preserve">Maintenance &amp; Engineering Location Inputs
</t>
    </r>
    <r>
      <rPr>
        <sz val="10"/>
        <color theme="3"/>
        <rFont val="Arial"/>
        <family val="2"/>
      </rPr>
      <t xml:space="preserve">Input your Business Unit locations which are then used in calculations of subsequent sheets.
With large bases such as LHR or JFK etc, you may need to add multiple locations just for that base which reflect for example, the numbers of terminals operated from, or hangar clusters used for maintenance. 
If you change the location name to reflect your own business then you need to change the assigned name for the cell ranges. 
Eg: If you change "Other Department 1 Location" (Cell D31) to Management Locations", then you will need to change the range name 'LocO1' to 'LocManagement' in  Excel's Name Manager function
</t>
    </r>
    <r>
      <rPr>
        <sz val="10"/>
        <color rgb="FFC00000"/>
        <rFont val="Arial"/>
        <family val="2"/>
      </rPr>
      <t>See 'Name Manager Guidance' Tab for detail on naming rationale and on how to change names.</t>
    </r>
  </si>
  <si>
    <t>Excel Name Manager Guidance</t>
  </si>
  <si>
    <t>Rationale for cell names in this Template</t>
  </si>
  <si>
    <t>How to change cell names</t>
  </si>
  <si>
    <t>Changing Loc01 to LocManagement</t>
  </si>
  <si>
    <t>9) To check, Click Cell E33 again and drag to Cell N33 and drag across this cell range to highlight and release and you will see the cell name displayed on top left of your screen has changed from 'Loc01' to 'Loc Management'</t>
  </si>
  <si>
    <r>
      <t xml:space="preserve">
</t>
    </r>
    <r>
      <rPr>
        <b/>
        <sz val="12"/>
        <color rgb="FFFF0000"/>
        <rFont val="Arial"/>
        <family val="2"/>
      </rPr>
      <t>CAUTION</t>
    </r>
    <r>
      <rPr>
        <b/>
        <sz val="12"/>
        <rFont val="Arial"/>
        <family val="2"/>
      </rPr>
      <t xml:space="preserve">: </t>
    </r>
    <r>
      <rPr>
        <sz val="12"/>
        <rFont val="Arial"/>
        <family val="2"/>
      </rPr>
      <t xml:space="preserve">If possible, utilize the cell naming used in this Template as it you will save many hours of work in updating all the names within the Template. </t>
    </r>
    <r>
      <rPr>
        <i/>
        <sz val="12"/>
        <rFont val="Arial"/>
        <family val="2"/>
      </rPr>
      <t>(As a suggestion, you coulld map this Template's names to you own organization's terminology via a cross-reference matrix)</t>
    </r>
    <r>
      <rPr>
        <sz val="10"/>
        <rFont val="Arial"/>
        <family val="2"/>
      </rPr>
      <t xml:space="preserve">
However, if you do want to change cells names and are not familiar with the excel 'Name Manager' function then the notes below will guide you through the process.
</t>
    </r>
    <r>
      <rPr>
        <b/>
        <sz val="10"/>
        <rFont val="Arial"/>
        <family val="2"/>
      </rPr>
      <t xml:space="preserve">Example: 
</t>
    </r>
    <r>
      <rPr>
        <sz val="10"/>
        <rFont val="Arial"/>
        <family val="2"/>
      </rPr>
      <t xml:space="preserve">1) This Template 'Inputs_M&amp;ELocations' sheet has named cell ranges
2) There are two spare locations currrently named Loc01 and Loc02.
3) Cell Range E33 to N33 is currently named 'LocO1'. Click  Cell E33 and drag to Cell N33 across this cell range to highlight and release and you will see the cell name displayed on top left of your screen - see screen print here.
4) The Green Bolded name in Cell O31 is for your information only so that you can quickly identify your cell or range names - see screen print here
5) Assume you want to change the name Loc01 to LocManagement
</t>
    </r>
  </si>
  <si>
    <r>
      <rPr>
        <b/>
        <sz val="10"/>
        <color theme="3"/>
        <rFont val="Arial"/>
        <family val="2"/>
      </rPr>
      <t xml:space="preserve">Key
</t>
    </r>
    <r>
      <rPr>
        <sz val="10"/>
        <color theme="3"/>
        <rFont val="Arial"/>
        <family val="2"/>
      </rPr>
      <t>The colors in this Key are used throughout this model. 
Comments (Red corner cells) are provided throughout which provide more detail as required.</t>
    </r>
  </si>
  <si>
    <r>
      <rPr>
        <b/>
        <sz val="10"/>
        <color theme="3"/>
        <rFont val="Arial"/>
        <family val="2"/>
      </rPr>
      <t xml:space="preserve">Currency Symbols
</t>
    </r>
    <r>
      <rPr>
        <sz val="10"/>
        <color theme="3"/>
        <rFont val="Arial"/>
        <family val="2"/>
      </rPr>
      <t>Currency Symbols and Units (1s or 1000s) are derived from cell D33 and D35 inputs</t>
    </r>
  </si>
  <si>
    <r>
      <rPr>
        <b/>
        <sz val="10"/>
        <color theme="3"/>
        <rFont val="Arial"/>
        <family val="2"/>
      </rPr>
      <t xml:space="preserve">Your Organization
</t>
    </r>
    <r>
      <rPr>
        <sz val="10"/>
        <color theme="3"/>
        <rFont val="Arial"/>
        <family val="2"/>
      </rPr>
      <t>Enter your Company/Organization's name - This will auto-paste to the top of each sheet.</t>
    </r>
  </si>
  <si>
    <r>
      <rPr>
        <b/>
        <sz val="10"/>
        <color theme="3"/>
        <rFont val="Arial"/>
        <family val="2"/>
      </rPr>
      <t xml:space="preserve">Your Business Case Title
</t>
    </r>
    <r>
      <rPr>
        <sz val="10"/>
        <color theme="3"/>
        <rFont val="Arial"/>
        <family val="2"/>
      </rPr>
      <t>Enter Business Case Subject - This will auto-paste to top row of each sheet</t>
    </r>
  </si>
  <si>
    <r>
      <rPr>
        <b/>
        <sz val="10"/>
        <color theme="3"/>
        <rFont val="Arial"/>
        <family val="2"/>
      </rPr>
      <t xml:space="preserve">Financial Inputs
</t>
    </r>
    <r>
      <rPr>
        <sz val="10"/>
        <color theme="3"/>
        <rFont val="Arial"/>
        <family val="2"/>
      </rPr>
      <t xml:space="preserve">These are variable inputs that can be changed. Any changes will vary derived results throughout the workbook. 
The $ currency symbol is used in each of the tables throughout this model. To change to another default symbol ( €, ¥, £. etc), you need to do so within your computer settings. For guidance on how to do this, do a web search of </t>
    </r>
    <r>
      <rPr>
        <i/>
        <sz val="10"/>
        <color theme="3"/>
        <rFont val="Arial"/>
        <family val="2"/>
      </rPr>
      <t>"how to change default currency symbols in excel".</t>
    </r>
    <r>
      <rPr>
        <sz val="10"/>
        <color theme="3"/>
        <rFont val="Arial"/>
        <family val="2"/>
      </rPr>
      <t xml:space="preserve">
The inputs for Office Space will vary the derived results used in the "Costs_RecordsOther" tab</t>
    </r>
  </si>
  <si>
    <r>
      <rPr>
        <b/>
        <sz val="10"/>
        <color theme="3"/>
        <rFont val="Arial"/>
        <family val="2"/>
      </rPr>
      <t xml:space="preserve">Analysis period
</t>
    </r>
    <r>
      <rPr>
        <sz val="10"/>
        <color theme="3"/>
        <rFont val="Arial"/>
        <family val="2"/>
      </rPr>
      <t>Provision is made in the Template for an analysis period of up to 10 years
Enter the required Analysis Period in years. 
Enter the Analysis Period start date.
Experiment by changing these values and based on your entries, see derived changes to the Analysis Period Summary
Your required analysis period will then be populated into the analysis period of each applicable sheet</t>
    </r>
  </si>
  <si>
    <t xml:space="preserve">Business Units (BUs) in Analysis                          </t>
  </si>
  <si>
    <r>
      <rPr>
        <b/>
        <sz val="10"/>
        <color theme="3"/>
        <rFont val="Arial"/>
        <family val="2"/>
      </rPr>
      <t xml:space="preserve">Typical Business Units
</t>
    </r>
    <r>
      <rPr>
        <sz val="10"/>
        <color theme="3"/>
        <rFont val="Arial"/>
        <family val="2"/>
      </rPr>
      <t>If you change the names of these business units then you need to change names within Name Manager (see 'Excel Name Manager Guidance' tab and note caution within). 
If you outsource HM, EM, CM, etc, you may consider data entry for these business units as zeros</t>
    </r>
  </si>
  <si>
    <r>
      <rPr>
        <b/>
        <sz val="10"/>
        <color theme="3"/>
        <rFont val="Arial"/>
        <family val="2"/>
      </rPr>
      <t xml:space="preserve">Version Control and Revision Date
</t>
    </r>
    <r>
      <rPr>
        <sz val="10"/>
        <color theme="3"/>
        <rFont val="Arial"/>
        <family val="2"/>
      </rPr>
      <t>These fields used for version control. The inputs are displayed at the top of each sheet in the model.</t>
    </r>
  </si>
  <si>
    <r>
      <rPr>
        <b/>
        <sz val="10"/>
        <color theme="3"/>
        <rFont val="Arial"/>
        <family val="2"/>
      </rPr>
      <t xml:space="preserve">Paper Records Generated
</t>
    </r>
    <r>
      <rPr>
        <sz val="10"/>
        <color theme="3"/>
        <rFont val="Arial"/>
        <family val="2"/>
      </rPr>
      <t xml:space="preserve">
No data entry required on this sheet as these numbers are derived the 'Inputs_RecordsGeneration' tab</t>
    </r>
  </si>
  <si>
    <t>Retrieval cost per event</t>
  </si>
  <si>
    <r>
      <rPr>
        <b/>
        <sz val="10"/>
        <color theme="3"/>
        <rFont val="Arial"/>
        <family val="2"/>
      </rPr>
      <t xml:space="preserve">Scenario Names - </t>
    </r>
    <r>
      <rPr>
        <b/>
        <i/>
        <sz val="10"/>
        <color rgb="FFFF0000"/>
        <rFont val="Arial"/>
        <family val="2"/>
      </rPr>
      <t>do not change these names</t>
    </r>
    <r>
      <rPr>
        <b/>
        <sz val="10"/>
        <color theme="3"/>
        <rFont val="Arial"/>
        <family val="2"/>
      </rPr>
      <t xml:space="preserve">
</t>
    </r>
    <r>
      <rPr>
        <sz val="10"/>
        <color theme="3"/>
        <rFont val="Arial"/>
        <family val="2"/>
      </rPr>
      <t>The Scenarios here and are used throughout the Template.
pSystems = Paper-Based Systems
hSystems = Hybrid Systems - those which are in transition to Paperless Systems. For example an organisation is digitizing paper via document management systems
eSystems = Paperless Systems (eBusiness)</t>
    </r>
  </si>
  <si>
    <t>Rework Summaries For Cash Flow Tabs</t>
  </si>
  <si>
    <t>Fleet Records Rework Hours pa Calculations</t>
  </si>
  <si>
    <r>
      <rPr>
        <b/>
        <sz val="10"/>
        <color theme="3"/>
        <rFont val="Arial"/>
        <family val="2"/>
      </rPr>
      <t xml:space="preserve">Paid Hour Calculations
</t>
    </r>
    <r>
      <rPr>
        <sz val="10"/>
        <color theme="3"/>
        <rFont val="Arial"/>
        <family val="2"/>
      </rPr>
      <t xml:space="preserve">Enter normal hours per FTE. The 2080 in this example  is comprised of 40hrs pw x 52wks pa. Adjust for each Business Unit (BU) in your analysis. Eg; the standard working week may vary between 35 and 40 hrs pw.
Enter average overtime pa per FTE per BU
</t>
    </r>
    <r>
      <rPr>
        <b/>
        <i/>
        <sz val="10"/>
        <color theme="3"/>
        <rFont val="Arial"/>
        <family val="2"/>
      </rPr>
      <t xml:space="preserve">Definition FTE: </t>
    </r>
    <r>
      <rPr>
        <i/>
        <sz val="10"/>
        <color theme="3"/>
        <rFont val="Arial"/>
        <family val="2"/>
      </rPr>
      <t>A Full-time Equivalent or FTE is the hours worked by one employee on a full-time basis. The concept is used to convert the hours worked by several part-time employees into the hours worked by full-time employees. On an annual basis, an FTE is considered to be 2,080 hours, which is calculated as: 8 hours per day.</t>
    </r>
  </si>
  <si>
    <t>pSystems Induced Labor Cost - Records Rework</t>
  </si>
  <si>
    <t>hSystems Induced Labor Cost - Records Rework</t>
  </si>
  <si>
    <t>eSystems Induced Labor Cost - Records Rework</t>
  </si>
  <si>
    <r>
      <rPr>
        <b/>
        <sz val="10"/>
        <color theme="3"/>
        <rFont val="Arial"/>
        <family val="2"/>
      </rPr>
      <t xml:space="preserve">Rework FTE Summaries for Output Graphs
</t>
    </r>
    <r>
      <rPr>
        <sz val="10"/>
        <color theme="3"/>
        <rFont val="Arial"/>
        <family val="2"/>
      </rPr>
      <t>These FTE summaries are taken from above and are used in the 'FTE Summary' tab to then generate FTE output graphs</t>
    </r>
  </si>
  <si>
    <r>
      <t xml:space="preserve">Forecast Lease Returns pa
</t>
    </r>
    <r>
      <rPr>
        <sz val="10"/>
        <color theme="3"/>
        <rFont val="Arial"/>
        <family val="2"/>
      </rPr>
      <t>Enter the forescast lease returns for each year of the analysis period</t>
    </r>
  </si>
  <si>
    <r>
      <t xml:space="preserve">Hosting &amp; Escorting </t>
    </r>
    <r>
      <rPr>
        <b/>
        <i/>
        <sz val="12"/>
        <color theme="0"/>
        <rFont val="Arial"/>
        <family val="2"/>
      </rPr>
      <t xml:space="preserve">of Lessor Representatives (Records Inspections &amp; Audits) </t>
    </r>
    <r>
      <rPr>
        <b/>
        <sz val="12"/>
        <color theme="0"/>
        <rFont val="Arial"/>
        <family val="2"/>
      </rPr>
      <t xml:space="preserve">- Lessee Labor Cost </t>
    </r>
  </si>
  <si>
    <t>Lease Return Record Printing, Collation, Lessee Labor Cost &amp; FTE Calculations</t>
  </si>
  <si>
    <r>
      <t xml:space="preserve">Lease Return FTEs
</t>
    </r>
    <r>
      <rPr>
        <sz val="10"/>
        <color theme="3"/>
        <rFont val="Arial"/>
        <family val="2"/>
      </rPr>
      <t>This calculates the number of FTEs required to support the lease return effort pa</t>
    </r>
    <r>
      <rPr>
        <b/>
        <sz val="10"/>
        <color theme="3"/>
        <rFont val="Arial"/>
        <family val="2"/>
      </rPr>
      <t xml:space="preserve">
</t>
    </r>
    <r>
      <rPr>
        <sz val="10"/>
        <color theme="3"/>
        <rFont val="Arial"/>
        <family val="2"/>
      </rPr>
      <t>The typical formula of how calculated across all Business Units in each of pSystems, hSystems and eSystems is:</t>
    </r>
    <r>
      <rPr>
        <b/>
        <sz val="10"/>
        <color theme="3"/>
        <rFont val="Arial"/>
        <family val="2"/>
      </rPr>
      <t xml:space="preserve">
</t>
    </r>
    <r>
      <rPr>
        <sz val="10"/>
        <color theme="5" tint="-0.249977111117893"/>
        <rFont val="Arial"/>
        <family val="2"/>
      </rPr>
      <t>=(pSystemsLeaseLaborHrsLM/pSystemsTouchHourspaLM)*LeaseReturnForecast</t>
    </r>
  </si>
  <si>
    <r>
      <rPr>
        <b/>
        <sz val="10"/>
        <color theme="3"/>
        <rFont val="Arial"/>
        <family val="2"/>
      </rPr>
      <t xml:space="preserve">
Hosting &amp; Escorting - Lessee Labor Cost Calculations</t>
    </r>
    <r>
      <rPr>
        <sz val="10"/>
        <color theme="3"/>
        <rFont val="Arial"/>
        <family val="2"/>
      </rPr>
      <t xml:space="preserve">
This category is for calculating  the cost of the labor effort required to support each lessor visit</t>
    </r>
  </si>
  <si>
    <r>
      <t xml:space="preserve">
</t>
    </r>
    <r>
      <rPr>
        <b/>
        <sz val="10"/>
        <color theme="3"/>
        <rFont val="Arial"/>
        <family val="2"/>
      </rPr>
      <t>Forecast Lessor Visits pa</t>
    </r>
    <r>
      <rPr>
        <sz val="10"/>
        <color theme="3"/>
        <rFont val="Arial"/>
        <family val="2"/>
      </rPr>
      <t xml:space="preserve">
Enter the forecast Lessor Visits for each year of the analysis period for each of pSystems, hSystems, and eSystems. 
The number of required lessor visits should reduce as you move  from pSystems through hSystems to eSystems and you may choose to assume a % reduction for comparing scenarios.</t>
    </r>
  </si>
  <si>
    <r>
      <rPr>
        <b/>
        <sz val="10"/>
        <color theme="3"/>
        <rFont val="Arial"/>
        <family val="2"/>
      </rPr>
      <t>Visit Cost pa (based on Touch Hour Rate)</t>
    </r>
    <r>
      <rPr>
        <sz val="10"/>
        <color theme="3"/>
        <rFont val="Arial"/>
        <family val="2"/>
      </rPr>
      <t xml:space="preserve">
This calculates the 'Lease Lessor Vist Labor Cost pa' 
The typical formula of how calculated across all Business Units in each of pSystems, hSystems and eSystems is: </t>
    </r>
    <r>
      <rPr>
        <sz val="10"/>
        <color theme="5" tint="-0.249977111117893"/>
        <rFont val="Arial"/>
        <family val="2"/>
      </rPr>
      <t>=(pSystemsTouchRateHourENG*pSystemsLeaseHostLaborHrsENG*pSystemsLessorVisitForecast)*(1+Inflation)</t>
    </r>
    <r>
      <rPr>
        <sz val="10"/>
        <color theme="3"/>
        <rFont val="Arial"/>
        <family val="2"/>
      </rPr>
      <t xml:space="preserve">
This cost is adjusted year on year per the inflation rate entered in the 'Inputs_Setup' tab</t>
    </r>
  </si>
  <si>
    <r>
      <t xml:space="preserve">Lease Return Labor Cost pa (based on Touch Hour Rate)
</t>
    </r>
    <r>
      <rPr>
        <sz val="10"/>
        <color theme="3"/>
        <rFont val="Arial"/>
        <family val="2"/>
      </rPr>
      <t>This calculates the 'Lease Return Labor Cost pa' 
The typical formula of how calculated across all Business Units in each of pSystems, hSystems and eSystems is:</t>
    </r>
    <r>
      <rPr>
        <sz val="10"/>
        <color theme="5" tint="-0.249977111117893"/>
        <rFont val="Arial"/>
        <family val="2"/>
      </rPr>
      <t xml:space="preserve"> =(pSystemsTouchRateHourHM*pSystemsLeaseLaborHrsHM*LeaseReturnForecast)*(1+Inflation)^2
</t>
    </r>
    <r>
      <rPr>
        <sz val="10"/>
        <color theme="3"/>
        <rFont val="Arial"/>
        <family val="2"/>
      </rPr>
      <t>This cost is adjusted year on year per the inflation rate entered in the 'Inputs_Setup' tab</t>
    </r>
    <r>
      <rPr>
        <b/>
        <sz val="10"/>
        <color theme="3"/>
        <rFont val="Arial"/>
        <family val="2"/>
      </rPr>
      <t xml:space="preserve">
</t>
    </r>
    <r>
      <rPr>
        <sz val="10"/>
        <color theme="3"/>
        <rFont val="Arial"/>
        <family val="2"/>
      </rPr>
      <t xml:space="preserve">
</t>
    </r>
  </si>
  <si>
    <r>
      <rPr>
        <b/>
        <sz val="10"/>
        <color theme="3"/>
        <rFont val="Arial"/>
        <family val="2"/>
      </rPr>
      <t>Lease Lessor Visit FTEs</t>
    </r>
    <r>
      <rPr>
        <sz val="10"/>
        <color theme="3"/>
        <rFont val="Arial"/>
        <family val="2"/>
      </rPr>
      <t xml:space="preserve">
This calculates the number of FTEs required to support theLessor Visit effort pa
The typical formula of how calculated across all Business Units in each of pSystems, hSystems and eSystems is:
</t>
    </r>
    <r>
      <rPr>
        <sz val="9"/>
        <color theme="5" tint="-0.249977111117893"/>
        <rFont val="Arial"/>
        <family val="2"/>
      </rPr>
      <t>=(pSystemsLeaseHostLaborHrsLM/pSystemsTouchHourspaLM)*pSystemsLessorVisitForecast</t>
    </r>
  </si>
  <si>
    <r>
      <rPr>
        <b/>
        <sz val="10"/>
        <color theme="3"/>
        <rFont val="Arial"/>
        <family val="2"/>
      </rPr>
      <t>Forecast Disputed Records pa</t>
    </r>
    <r>
      <rPr>
        <sz val="10"/>
        <color theme="3"/>
        <rFont val="Arial"/>
        <family val="2"/>
      </rPr>
      <t xml:space="preserve">
Enter the estimated lease returns for each year of the analysis period</t>
    </r>
  </si>
  <si>
    <t>Disputed Record Resolution - Lessee Labor Cost Calculations</t>
  </si>
  <si>
    <r>
      <rPr>
        <b/>
        <sz val="10"/>
        <color theme="3"/>
        <rFont val="Arial"/>
        <family val="2"/>
      </rPr>
      <t>Disputed Record Resolution - Lessee Labor Cost Calculations</t>
    </r>
    <r>
      <rPr>
        <sz val="10"/>
        <color theme="3"/>
        <rFont val="Arial"/>
        <family val="2"/>
      </rPr>
      <t xml:space="preserve">
This category is for calculating the cost of the labor effort required to reconcile disputed records</t>
    </r>
  </si>
  <si>
    <r>
      <rPr>
        <b/>
        <sz val="10"/>
        <rFont val="Arial"/>
        <family val="2"/>
      </rPr>
      <t xml:space="preserve">Disputed Record  Cost pa (based on Touch Hour Rate)
</t>
    </r>
    <r>
      <rPr>
        <sz val="10"/>
        <rFont val="Arial"/>
        <family val="2"/>
      </rPr>
      <t xml:space="preserve">
This calculates the 'Lease Disputed Record Total Cost pa' 
The typical formula of how calculated across all Business Units in each of pSystems, hSystems and eSystems is: </t>
    </r>
    <r>
      <rPr>
        <sz val="10"/>
        <color theme="5" tint="-0.249977111117893"/>
        <rFont val="Arial"/>
        <family val="2"/>
      </rPr>
      <t>=(pSystemsTouchRateHourENG*pSystemsLeaseDisputedRecordLaborHrsENG*pSystemsLeaseDisputeRecordsForecast)*(1+Inflation)</t>
    </r>
    <r>
      <rPr>
        <sz val="10"/>
        <rFont val="Arial"/>
        <family val="2"/>
      </rPr>
      <t xml:space="preserve">
This cost is adjusted year on year per the inflation rate entered in the 'Inputs_Setup' tab</t>
    </r>
  </si>
  <si>
    <r>
      <rPr>
        <b/>
        <sz val="10"/>
        <rFont val="Arial"/>
        <family val="2"/>
      </rPr>
      <t>Disputed Record FTEs</t>
    </r>
    <r>
      <rPr>
        <sz val="10"/>
        <rFont val="Arial"/>
        <family val="2"/>
      </rPr>
      <t xml:space="preserve">
This calculates the number of FTEs required to support the lease disputed record effort pa
The typical formula of how calculated across all Business Units in each of pSystems, hSystems and eSystems is:
</t>
    </r>
    <r>
      <rPr>
        <sz val="10"/>
        <color theme="5" tint="-0.249977111117893"/>
        <rFont val="Arial"/>
        <family val="2"/>
      </rPr>
      <t>=(pSystemsLeaseLaborHrsCRT/pSystemsTouchHourspaCRT)*LeaseReturnForecast</t>
    </r>
  </si>
  <si>
    <t>Lease Record Search Times - Lessee Labor Cost Calculations</t>
  </si>
  <si>
    <r>
      <rPr>
        <b/>
        <sz val="10"/>
        <color theme="3"/>
        <rFont val="Arial"/>
        <family val="2"/>
      </rPr>
      <t>Lease Record Search Times - Lessee Labor Cost Calculations</t>
    </r>
    <r>
      <rPr>
        <sz val="10"/>
        <color theme="3"/>
        <rFont val="Arial"/>
        <family val="2"/>
      </rPr>
      <t xml:space="preserve">
This category is for calculating the cost of the labor effort required to support Lease Record Searches</t>
    </r>
  </si>
  <si>
    <r>
      <rPr>
        <b/>
        <sz val="10"/>
        <color theme="3"/>
        <rFont val="Arial"/>
        <family val="2"/>
      </rPr>
      <t>Forecast Record Searches pa</t>
    </r>
    <r>
      <rPr>
        <sz val="10"/>
        <color theme="3"/>
        <rFont val="Arial"/>
        <family val="2"/>
      </rPr>
      <t xml:space="preserve">
Enter the estimated record searches for each year of the analysis period</t>
    </r>
  </si>
  <si>
    <r>
      <rPr>
        <b/>
        <sz val="10"/>
        <color theme="3"/>
        <rFont val="Arial"/>
        <family val="2"/>
      </rPr>
      <t xml:space="preserve">
Lessee Labor Hours per Visit</t>
    </r>
    <r>
      <rPr>
        <sz val="10"/>
        <color theme="3"/>
        <rFont val="Arial"/>
        <family val="2"/>
      </rPr>
      <t xml:space="preserve">
Enter the actual/assumed average time in hours or part thereof per department for each of pSystems, hSystems, and eSystems across the analysis period.
</t>
    </r>
    <r>
      <rPr>
        <b/>
        <sz val="10"/>
        <color theme="5" tint="-0.249977111117893"/>
        <rFont val="Arial"/>
        <family val="2"/>
      </rPr>
      <t>NOTE</t>
    </r>
    <r>
      <rPr>
        <sz val="10"/>
        <color theme="3"/>
        <rFont val="Arial"/>
        <family val="2"/>
      </rPr>
      <t xml:space="preserve">: If not whole hours, be sure to enter decimals and </t>
    </r>
    <r>
      <rPr>
        <sz val="10"/>
        <color theme="5" tint="-0.249977111117893"/>
        <rFont val="Arial"/>
        <family val="2"/>
      </rPr>
      <t>NOT</t>
    </r>
    <r>
      <rPr>
        <sz val="10"/>
        <color theme="3"/>
        <rFont val="Arial"/>
        <family val="2"/>
      </rPr>
      <t xml:space="preserve"> hours and minutes.
 ie; For one hour and 15 minutes, enter 1.25 </t>
    </r>
    <r>
      <rPr>
        <sz val="10"/>
        <color theme="5" tint="-0.249977111117893"/>
        <rFont val="Arial"/>
        <family val="2"/>
      </rPr>
      <t>NOT</t>
    </r>
    <r>
      <rPr>
        <sz val="10"/>
        <color theme="3"/>
        <rFont val="Arial"/>
        <family val="2"/>
      </rPr>
      <t xml:space="preserve"> 1.15. For 30 minutes enter 0.50 </t>
    </r>
    <r>
      <rPr>
        <sz val="10"/>
        <color theme="5" tint="-0.249977111117893"/>
        <rFont val="Arial"/>
        <family val="2"/>
      </rPr>
      <t>NOT</t>
    </r>
    <r>
      <rPr>
        <sz val="10"/>
        <color theme="3"/>
        <rFont val="Arial"/>
        <family val="2"/>
      </rPr>
      <t xml:space="preserve"> .30, etc</t>
    </r>
  </si>
  <si>
    <r>
      <rPr>
        <b/>
        <sz val="10"/>
        <color theme="3"/>
        <rFont val="Arial"/>
        <family val="2"/>
      </rPr>
      <t>Record Search Labor Cost pa (based on Touch Hour Rate)</t>
    </r>
    <r>
      <rPr>
        <sz val="10"/>
        <color theme="3"/>
        <rFont val="Arial"/>
        <family val="2"/>
      </rPr>
      <t xml:space="preserve">
This calculates the 'Record Search Labor Cost pa' 
The typical formula of how calculated across all Business Units in each of pSystems, hSystems and eSystems is: </t>
    </r>
    <r>
      <rPr>
        <sz val="10"/>
        <color theme="5" tint="-0.249977111117893"/>
        <rFont val="Arial"/>
        <family val="2"/>
      </rPr>
      <t>=(pSystemsTouchRateHourCRT*pSystemsLeaseRecordSearchLaborHrsCRT*pSystemsLeaseRecordsSearchForecast)*(1+Inflation)</t>
    </r>
    <r>
      <rPr>
        <sz val="10"/>
        <color theme="3"/>
        <rFont val="Arial"/>
        <family val="2"/>
      </rPr>
      <t xml:space="preserve">
This cost is adjusted year on year per the inflation rate entered in the 'Inputs_Setup' tab</t>
    </r>
  </si>
  <si>
    <r>
      <t xml:space="preserve">
</t>
    </r>
    <r>
      <rPr>
        <b/>
        <sz val="10"/>
        <color theme="3"/>
        <rFont val="Arial"/>
        <family val="2"/>
      </rPr>
      <t>Lessee Labor Hours per Disputed Record</t>
    </r>
    <r>
      <rPr>
        <sz val="10"/>
        <color theme="3"/>
        <rFont val="Arial"/>
        <family val="2"/>
      </rPr>
      <t xml:space="preserve">
Enter the actual/assumed average time in hours or part thereof per department for each of pSystems, hSystems, and eSystems across the analysis period.
It is assumed that the hours will reduce from pSystems to hSystems, and further still from hSystems to eSystems.
</t>
    </r>
    <r>
      <rPr>
        <b/>
        <sz val="10"/>
        <color theme="5" tint="-0.249977111117893"/>
        <rFont val="Arial"/>
        <family val="2"/>
      </rPr>
      <t>NOTE</t>
    </r>
    <r>
      <rPr>
        <sz val="10"/>
        <color theme="3"/>
        <rFont val="Arial"/>
        <family val="2"/>
      </rPr>
      <t xml:space="preserve">: If not whole hours, be sure to enter decimals and </t>
    </r>
    <r>
      <rPr>
        <sz val="10"/>
        <color theme="5" tint="-0.249977111117893"/>
        <rFont val="Arial"/>
        <family val="2"/>
      </rPr>
      <t>NOT</t>
    </r>
    <r>
      <rPr>
        <sz val="10"/>
        <color theme="3"/>
        <rFont val="Arial"/>
        <family val="2"/>
      </rPr>
      <t xml:space="preserve"> hours and minutes.
 ie; For one hour and 15 minutes, enter 1.25 </t>
    </r>
    <r>
      <rPr>
        <sz val="10"/>
        <color theme="5" tint="-0.249977111117893"/>
        <rFont val="Arial"/>
        <family val="2"/>
      </rPr>
      <t>NOT</t>
    </r>
    <r>
      <rPr>
        <sz val="10"/>
        <color theme="3"/>
        <rFont val="Arial"/>
        <family val="2"/>
      </rPr>
      <t xml:space="preserve"> 1.15. For 30 minutes enter 0.50 </t>
    </r>
    <r>
      <rPr>
        <sz val="10"/>
        <color theme="5" tint="-0.249977111117893"/>
        <rFont val="Arial"/>
        <family val="2"/>
      </rPr>
      <t>NOT</t>
    </r>
    <r>
      <rPr>
        <sz val="10"/>
        <color theme="3"/>
        <rFont val="Arial"/>
        <family val="2"/>
      </rPr>
      <t xml:space="preserve"> .30, etc</t>
    </r>
  </si>
  <si>
    <r>
      <rPr>
        <b/>
        <sz val="10"/>
        <color theme="3"/>
        <rFont val="Arial"/>
        <family val="2"/>
      </rPr>
      <t>Lessee Labor Hours per Record Search</t>
    </r>
    <r>
      <rPr>
        <sz val="10"/>
        <color theme="3"/>
        <rFont val="Arial"/>
        <family val="2"/>
      </rPr>
      <t xml:space="preserve">
Enter the estimated average labor hours per lease return for each Business Unit over the analysis period for pSystems, hSystems and eSystems
Enter the actual/assumed average time in hours or part thereof per department for each of pSystems, hSystems, and eSystems across the analysis period.
It is assumed that the hours will reduce from pSystems to hSystems, and further still from hSystems to eSystems.
</t>
    </r>
    <r>
      <rPr>
        <b/>
        <sz val="10"/>
        <color theme="5" tint="-0.249977111117893"/>
        <rFont val="Arial"/>
        <family val="2"/>
      </rPr>
      <t>NOTE</t>
    </r>
    <r>
      <rPr>
        <sz val="10"/>
        <color theme="3"/>
        <rFont val="Arial"/>
        <family val="2"/>
      </rPr>
      <t xml:space="preserve">: If not whole hours, be sure to enter decimals and </t>
    </r>
    <r>
      <rPr>
        <sz val="10"/>
        <color theme="5" tint="-0.249977111117893"/>
        <rFont val="Arial"/>
        <family val="2"/>
      </rPr>
      <t>NOT</t>
    </r>
    <r>
      <rPr>
        <sz val="10"/>
        <color theme="3"/>
        <rFont val="Arial"/>
        <family val="2"/>
      </rPr>
      <t xml:space="preserve"> hours and minutes.
 ie; For one hour and 15 minutes, enter 1.25 </t>
    </r>
    <r>
      <rPr>
        <sz val="10"/>
        <color theme="5" tint="-0.249977111117893"/>
        <rFont val="Arial"/>
        <family val="2"/>
      </rPr>
      <t>NOT</t>
    </r>
    <r>
      <rPr>
        <sz val="10"/>
        <color theme="3"/>
        <rFont val="Arial"/>
        <family val="2"/>
      </rPr>
      <t xml:space="preserve"> 1.15. For 30 minutes enter 0.50 </t>
    </r>
    <r>
      <rPr>
        <sz val="10"/>
        <color theme="5" tint="-0.249977111117893"/>
        <rFont val="Arial"/>
        <family val="2"/>
      </rPr>
      <t>NOT</t>
    </r>
    <r>
      <rPr>
        <sz val="10"/>
        <color theme="3"/>
        <rFont val="Arial"/>
        <family val="2"/>
      </rPr>
      <t xml:space="preserve"> .30, etc</t>
    </r>
  </si>
  <si>
    <r>
      <rPr>
        <b/>
        <sz val="10"/>
        <color theme="3"/>
        <rFont val="Arial"/>
        <family val="2"/>
      </rPr>
      <t>Record Search FTEs</t>
    </r>
    <r>
      <rPr>
        <sz val="10"/>
        <color theme="3"/>
        <rFont val="Arial"/>
        <family val="2"/>
      </rPr>
      <t xml:space="preserve">
This calculates the number of FTEs required to support the Record Search effort pa
The typical formula of how calculated across all Business Units in each of pSystems, hSystems and eSystems is:
</t>
    </r>
    <r>
      <rPr>
        <sz val="10"/>
        <color theme="5" tint="-0.249977111117893"/>
        <rFont val="Arial"/>
        <family val="2"/>
      </rPr>
      <t>=(pSystemsLeaseRecordSearchLaborHrsCRT/pSystemsTouchHourspaCRT)*pSystemsLeaseRecordsSearchForecast</t>
    </r>
  </si>
  <si>
    <r>
      <rPr>
        <b/>
        <sz val="10"/>
        <color theme="3"/>
        <rFont val="Arial"/>
        <family val="2"/>
      </rPr>
      <t>Forecast Lease Due Diligence Events pa</t>
    </r>
    <r>
      <rPr>
        <sz val="10"/>
        <color theme="3"/>
        <rFont val="Arial"/>
        <family val="2"/>
      </rPr>
      <t xml:space="preserve">
Enter the estimated due diligence events for each year of the analysis period</t>
    </r>
  </si>
  <si>
    <r>
      <rPr>
        <b/>
        <sz val="10"/>
        <color theme="3"/>
        <rFont val="Arial"/>
        <family val="2"/>
      </rPr>
      <t>Lease Due Diligence Times - Lessee Labor Cost Calculations</t>
    </r>
    <r>
      <rPr>
        <sz val="10"/>
        <color theme="3"/>
        <rFont val="Arial"/>
        <family val="2"/>
      </rPr>
      <t xml:space="preserve">
This category is for calculating the cost of the labor effort required to support Lease Due Diligence Activity prior to taking delivery of a leased aircraft. ie; conducting due diligence of records of previous operator, or in supporting due diligence activities of next operator</t>
    </r>
  </si>
  <si>
    <r>
      <rPr>
        <b/>
        <sz val="10"/>
        <color theme="3"/>
        <rFont val="Arial"/>
        <family val="2"/>
      </rPr>
      <t>Lessee Labor Hours per Due Diligence Event</t>
    </r>
    <r>
      <rPr>
        <sz val="10"/>
        <color theme="3"/>
        <rFont val="Arial"/>
        <family val="2"/>
      </rPr>
      <t xml:space="preserve">
Enter the estimated average labor hours per lease return for each Business Unit over the analysis period for pSystems, hSystems and eSystems
Enter the actual/assumed average time in hours or part thereof per department for each of pSystems, hSystems, and eSystems across the analysis period.
It is assumed that the hours will reduce from pSystems to hSystems, and further still from hSystems to eSystems.
</t>
    </r>
    <r>
      <rPr>
        <b/>
        <sz val="10"/>
        <color theme="5" tint="-0.249977111117893"/>
        <rFont val="Arial"/>
        <family val="2"/>
      </rPr>
      <t>NOTE</t>
    </r>
    <r>
      <rPr>
        <sz val="10"/>
        <color theme="3"/>
        <rFont val="Arial"/>
        <family val="2"/>
      </rPr>
      <t xml:space="preserve">: If not whole hours, be sure to enter decimals and </t>
    </r>
    <r>
      <rPr>
        <b/>
        <sz val="10"/>
        <color theme="5" tint="-0.249977111117893"/>
        <rFont val="Arial"/>
        <family val="2"/>
      </rPr>
      <t>NOT</t>
    </r>
    <r>
      <rPr>
        <sz val="10"/>
        <color theme="3"/>
        <rFont val="Arial"/>
        <family val="2"/>
      </rPr>
      <t xml:space="preserve"> hours and minutes.
 ie; For one hour and 15 minutes, enter 1.25 </t>
    </r>
    <r>
      <rPr>
        <b/>
        <sz val="10"/>
        <color theme="5" tint="-0.249977111117893"/>
        <rFont val="Arial"/>
        <family val="2"/>
      </rPr>
      <t>NOT</t>
    </r>
    <r>
      <rPr>
        <sz val="10"/>
        <color theme="3"/>
        <rFont val="Arial"/>
        <family val="2"/>
      </rPr>
      <t xml:space="preserve"> 1.15. For 30 minutes enter 0.50 </t>
    </r>
    <r>
      <rPr>
        <b/>
        <sz val="10"/>
        <color theme="5" tint="-0.249977111117893"/>
        <rFont val="Arial"/>
        <family val="2"/>
      </rPr>
      <t>NOT</t>
    </r>
    <r>
      <rPr>
        <sz val="10"/>
        <color theme="3"/>
        <rFont val="Arial"/>
        <family val="2"/>
      </rPr>
      <t xml:space="preserve"> .30, etc</t>
    </r>
  </si>
  <si>
    <r>
      <rPr>
        <b/>
        <sz val="10"/>
        <color theme="3"/>
        <rFont val="Arial"/>
        <family val="2"/>
      </rPr>
      <t>Due Diligence Labor Cost pa (based on Touch Hour Rate)</t>
    </r>
    <r>
      <rPr>
        <sz val="10"/>
        <color theme="3"/>
        <rFont val="Arial"/>
        <family val="2"/>
      </rPr>
      <t xml:space="preserve">
This calculates the 'Record Search Labor Cost pa' 
The typical formula of how calculated across all Business Units in each of pSystems, hSystems and eSystems is: </t>
    </r>
    <r>
      <rPr>
        <sz val="10"/>
        <color theme="5" tint="-0.249977111117893"/>
        <rFont val="Arial"/>
        <family val="2"/>
      </rPr>
      <t>=(pSystemsTouchRateHourENG*pSystemsLeaseDueDilLaborHrsENG*pSystemsLeaseDueDilEventForecast)*(1+Inflation)^2</t>
    </r>
    <r>
      <rPr>
        <sz val="10"/>
        <color theme="3"/>
        <rFont val="Arial"/>
        <family val="2"/>
      </rPr>
      <t xml:space="preserve">
This cost is adjusted year on year per the inflation rate entered in the 'Inputs_Setup' tab</t>
    </r>
  </si>
  <si>
    <r>
      <rPr>
        <b/>
        <sz val="10"/>
        <color theme="3"/>
        <rFont val="Arial"/>
        <family val="2"/>
      </rPr>
      <t>Due Diligence FTEs</t>
    </r>
    <r>
      <rPr>
        <sz val="10"/>
        <color theme="3"/>
        <rFont val="Arial"/>
        <family val="2"/>
      </rPr>
      <t xml:space="preserve">
This calculates the number of FTEs required to support the Record Search effort pa
The typical formula of how calculated across all Business Units in each of pSystems, hSystems and eSystems is:
</t>
    </r>
    <r>
      <rPr>
        <sz val="10"/>
        <color theme="5" tint="-0.249977111117893"/>
        <rFont val="Arial"/>
        <family val="2"/>
      </rPr>
      <t>=(pSystemsLeaseDueDilLaborHrsQSC/pSystemsTouchHourspaQSC)*pSystemsLeaseDueDilEventForecast</t>
    </r>
  </si>
  <si>
    <r>
      <rPr>
        <b/>
        <sz val="10"/>
        <color theme="3"/>
        <rFont val="Arial"/>
        <family val="2"/>
      </rPr>
      <t xml:space="preserve">Lease Return Record Printing, Collation, Lessee Labor Cost &amp; FTE Calculations
</t>
    </r>
    <r>
      <rPr>
        <sz val="10"/>
        <color theme="3"/>
        <rFont val="Arial"/>
        <family val="2"/>
      </rPr>
      <t>This category is for when printing and collation of records is required when returning aircraft to the lessor at end of lease.</t>
    </r>
  </si>
  <si>
    <r>
      <rPr>
        <b/>
        <sz val="10"/>
        <color theme="3"/>
        <rFont val="Arial"/>
        <family val="2"/>
      </rPr>
      <t>Average Paper Records Printed per Lease Return</t>
    </r>
    <r>
      <rPr>
        <sz val="10"/>
        <color theme="3"/>
        <rFont val="Arial"/>
        <family val="2"/>
      </rPr>
      <t xml:space="preserve">
Enter the estimated average number of paper records required per lease return for each of pSystems, hSystems. This is then calculated against the 'Forecast Lease Returns' to arrive at the printing required pa. The typical formula used is:</t>
    </r>
    <r>
      <rPr>
        <sz val="10"/>
        <color theme="5" tint="-0.249977111117893"/>
        <rFont val="Arial"/>
        <family val="2"/>
      </rPr>
      <t xml:space="preserve"> =LeaseReturnForecast*hSystemsLeasePaperPrint
</t>
    </r>
    <r>
      <rPr>
        <b/>
        <sz val="10"/>
        <color theme="5" tint="-0.249977111117893"/>
        <rFont val="Arial"/>
        <family val="2"/>
      </rPr>
      <t xml:space="preserve">Note: </t>
    </r>
    <r>
      <rPr>
        <sz val="10"/>
        <color theme="3"/>
        <rFont val="Arial"/>
        <family val="2"/>
      </rPr>
      <t>It is recognized that the print requirements will vary by aircraft type, size, and age. ie, A widebody could generate more records than a narrowbody. This template takes a simplified average approach and the variation aircraft is not calculated. You may wish to adjust the template to be aircraft type specific.</t>
    </r>
  </si>
  <si>
    <r>
      <rPr>
        <b/>
        <sz val="10"/>
        <color theme="3"/>
        <rFont val="Arial"/>
        <family val="2"/>
      </rPr>
      <t xml:space="preserve">Lease Paper Records Print Cost
</t>
    </r>
    <r>
      <rPr>
        <sz val="10"/>
        <color theme="3"/>
        <rFont val="Arial"/>
        <family val="2"/>
      </rPr>
      <t>The 'Print Cost per Record' is from that entered at the top of this sheet (</t>
    </r>
    <r>
      <rPr>
        <sz val="10"/>
        <color theme="5" tint="-0.249977111117893"/>
        <rFont val="Arial"/>
        <family val="2"/>
      </rPr>
      <t>=CostperCopy</t>
    </r>
    <r>
      <rPr>
        <sz val="10"/>
        <color theme="3"/>
        <rFont val="Arial"/>
        <family val="2"/>
      </rPr>
      <t>) and is then calculated with the Paper Print pa to arrive at the Paper Print Cost pa for each of pSystems, hSystems, and eSystems.
The typical formula used is:</t>
    </r>
    <r>
      <rPr>
        <sz val="10"/>
        <color theme="5" tint="-0.249977111117893"/>
        <rFont val="Arial"/>
        <family val="2"/>
      </rPr>
      <t xml:space="preserve"> =SUM(CostperCopy*eSystemsLeasePaperPrintPA)*(1+Inflation)
</t>
    </r>
    <r>
      <rPr>
        <sz val="10"/>
        <color rgb="FF002060"/>
        <rFont val="Arial"/>
        <family val="2"/>
      </rPr>
      <t>This cost is adjusted year on year per the inflation rate entered in the 'Inputs_Setup' tab</t>
    </r>
  </si>
  <si>
    <r>
      <rPr>
        <b/>
        <sz val="10"/>
        <color theme="3"/>
        <rFont val="Arial"/>
        <family val="2"/>
      </rPr>
      <t>Record Printing &amp; Collation Labor Hours</t>
    </r>
    <r>
      <rPr>
        <sz val="10"/>
        <color theme="3"/>
        <rFont val="Arial"/>
        <family val="2"/>
      </rPr>
      <t xml:space="preserve">
Enter the estimated average labor hours for printing &amp; collation of records per lease return for each Business Unit over the analysis period for pSystems, hSystems and eSystems
Enter the actual/assumed average time in hours or part thereof per department for each of pSystems, hSystems, and eSystems across the analysis period.
It is assumed that the hours will reduce from pSystems to hSystems, and further still from hSystems to eSystems.
</t>
    </r>
    <r>
      <rPr>
        <b/>
        <sz val="10"/>
        <color theme="5" tint="-0.249977111117893"/>
        <rFont val="Arial"/>
        <family val="2"/>
      </rPr>
      <t>NOTE</t>
    </r>
    <r>
      <rPr>
        <sz val="10"/>
        <color theme="3"/>
        <rFont val="Arial"/>
        <family val="2"/>
      </rPr>
      <t xml:space="preserve">: If not whole hours, be sure to enter decimals and </t>
    </r>
    <r>
      <rPr>
        <sz val="10"/>
        <color theme="5" tint="-0.249977111117893"/>
        <rFont val="Arial"/>
        <family val="2"/>
      </rPr>
      <t>NOT</t>
    </r>
    <r>
      <rPr>
        <sz val="10"/>
        <color theme="3"/>
        <rFont val="Arial"/>
        <family val="2"/>
      </rPr>
      <t xml:space="preserve"> hours and minutes.
 ie; For one hour and 15 minutes, enter 1.25 </t>
    </r>
    <r>
      <rPr>
        <sz val="10"/>
        <color theme="5" tint="-0.249977111117893"/>
        <rFont val="Arial"/>
        <family val="2"/>
      </rPr>
      <t>NOT</t>
    </r>
    <r>
      <rPr>
        <sz val="10"/>
        <color theme="3"/>
        <rFont val="Arial"/>
        <family val="2"/>
      </rPr>
      <t xml:space="preserve"> 1.15. For 30 minutes enter 0.50 </t>
    </r>
    <r>
      <rPr>
        <sz val="10"/>
        <color theme="5" tint="-0.249977111117893"/>
        <rFont val="Arial"/>
        <family val="2"/>
      </rPr>
      <t>NOT</t>
    </r>
    <r>
      <rPr>
        <sz val="10"/>
        <color theme="3"/>
        <rFont val="Arial"/>
        <family val="2"/>
      </rPr>
      <t xml:space="preserve"> .30, etc</t>
    </r>
  </si>
  <si>
    <r>
      <rPr>
        <b/>
        <sz val="10"/>
        <color theme="3"/>
        <rFont val="Arial"/>
        <family val="2"/>
      </rPr>
      <t>Lease Printing &amp; Collation Labor Cost pa (based on Touch Hour Rate</t>
    </r>
    <r>
      <rPr>
        <sz val="10"/>
        <color theme="3"/>
        <rFont val="Arial"/>
        <family val="2"/>
      </rPr>
      <t xml:space="preserve">
This calculates the Lease Printing &amp; Collation Labor Cost pa' 
The typical formula of how calculated across all Business Units in each of pSystems, hSystems and eSystems is: </t>
    </r>
    <r>
      <rPr>
        <sz val="10"/>
        <color theme="5" tint="-0.249977111117893"/>
        <rFont val="Arial"/>
        <family val="2"/>
      </rPr>
      <t>=(pSystemsTouchRateHourCRT*pSystemsLeaseReturnPrintCollLaborHrsCRT*LeaseReturnForecast)*(1+Inflation)^2</t>
    </r>
    <r>
      <rPr>
        <sz val="10"/>
        <color theme="3"/>
        <rFont val="Arial"/>
        <family val="2"/>
      </rPr>
      <t xml:space="preserve">
This cost is adjusted year on year per the inflation rate entered in the 'Inputs_Setup' tab</t>
    </r>
  </si>
  <si>
    <r>
      <t xml:space="preserve">Lease Printing &amp; Collation FTEs
This calculates the number of FTEs required to support the Lease Printing &amp; Collation effort pa
The typical formula of how calculated across all Business Units in each of pSystems, hSystems and eSystems is:
</t>
    </r>
    <r>
      <rPr>
        <sz val="10"/>
        <color theme="5" tint="-0.249977111117893"/>
        <rFont val="Arial"/>
        <family val="2"/>
      </rPr>
      <t>=(pSystemsLeaseReturnPrintCollLaborHrsCRT/pSystemsTouchHourspaCRT)*LeaseReturnForecast</t>
    </r>
  </si>
  <si>
    <t>Lessee Related Cost Summaries For Cash Flow Tabs</t>
  </si>
  <si>
    <t>pSystems Induced Cost - Lessee Related</t>
  </si>
  <si>
    <t>hSystems Induced Cost - Lessee Related</t>
  </si>
  <si>
    <t>eSystems Induced Cost - Lessee Related</t>
  </si>
  <si>
    <r>
      <rPr>
        <b/>
        <sz val="10"/>
        <color theme="3"/>
        <rFont val="Arial"/>
        <family val="2"/>
      </rPr>
      <t>Lease Related FTE Summaries For Output Graphs</t>
    </r>
    <r>
      <rPr>
        <sz val="10"/>
        <color theme="3"/>
        <rFont val="Arial"/>
        <family val="2"/>
      </rPr>
      <t xml:space="preserve">
These FTE summaries are taken from above and are used in the 'FTE Summary' tab to then generate FTE output graphs</t>
    </r>
  </si>
  <si>
    <r>
      <t xml:space="preserve">Click + symbol </t>
    </r>
    <r>
      <rPr>
        <sz val="12"/>
        <color theme="3"/>
        <rFont val="Arial"/>
        <family val="2"/>
      </rPr>
      <t>in left margin to expand rows</t>
    </r>
    <r>
      <rPr>
        <b/>
        <sz val="12"/>
        <color theme="3"/>
        <rFont val="Arial"/>
        <family val="2"/>
      </rPr>
      <t xml:space="preserve">
</t>
    </r>
    <r>
      <rPr>
        <sz val="12"/>
        <color theme="3"/>
        <rFont val="Arial"/>
        <family val="2"/>
      </rPr>
      <t>or if expanded</t>
    </r>
    <r>
      <rPr>
        <b/>
        <sz val="12"/>
        <color theme="3"/>
        <rFont val="Arial"/>
        <family val="2"/>
      </rPr>
      <t xml:space="preserve">
Click - symbol</t>
    </r>
    <r>
      <rPr>
        <sz val="12"/>
        <color theme="3"/>
        <rFont val="Arial"/>
        <family val="2"/>
      </rPr>
      <t xml:space="preserve"> in left margin to contract rows</t>
    </r>
  </si>
  <si>
    <t>The Range Name (Bold Green Column O) includes the row description in Column D. The reason for this is so that the description is easily copied across into the Cash Flow tabs.
Note use of 'Induced' terminology</t>
  </si>
  <si>
    <r>
      <rPr>
        <b/>
        <sz val="10"/>
        <color theme="3"/>
        <rFont val="Arial"/>
        <family val="2"/>
      </rPr>
      <t>Lessee Related Cost Summaries For Cash Flow Tabs</t>
    </r>
    <r>
      <rPr>
        <sz val="10"/>
        <color theme="3"/>
        <rFont val="Arial"/>
        <family val="2"/>
      </rPr>
      <t xml:space="preserve">
The numbers are linked to the results calculated from the inputs above.</t>
    </r>
  </si>
  <si>
    <t>End of Sheet</t>
  </si>
  <si>
    <t>Warranty Related FTE Summaries For Output Graphs</t>
  </si>
  <si>
    <r>
      <rPr>
        <b/>
        <sz val="10"/>
        <color theme="3"/>
        <rFont val="Arial"/>
        <family val="2"/>
      </rPr>
      <t>Warranty Related Cost Summaries For Cash Flow Tabs</t>
    </r>
    <r>
      <rPr>
        <sz val="10"/>
        <color theme="3"/>
        <rFont val="Arial"/>
        <family val="2"/>
      </rPr>
      <t xml:space="preserve">
The numbers are linked to the results calculated from the inputs above.</t>
    </r>
  </si>
  <si>
    <t>Warranty Related Cost Summaries For Cash Flow Tabs</t>
  </si>
  <si>
    <r>
      <rPr>
        <b/>
        <sz val="10"/>
        <color theme="3"/>
        <rFont val="Arial"/>
        <family val="2"/>
      </rPr>
      <t>Warranty Related FTE Summaries For Output Graphs</t>
    </r>
    <r>
      <rPr>
        <sz val="10"/>
        <color theme="3"/>
        <rFont val="Arial"/>
        <family val="2"/>
      </rPr>
      <t xml:space="preserve">
These FTE summaries are taken from above and are used in the 'FTE Summary' tab to then generate FTE output graphs</t>
    </r>
  </si>
  <si>
    <r>
      <t xml:space="preserve">Warranty - Lessee Labor Cost Calculations
</t>
    </r>
    <r>
      <rPr>
        <sz val="10"/>
        <color theme="3"/>
        <rFont val="Arial"/>
        <family val="2"/>
      </rPr>
      <t>This category is for calculating the cost of the labor effort required to support each Warranty activity</t>
    </r>
  </si>
  <si>
    <r>
      <t xml:space="preserve">Lease Returns - Lessee Labor Cost Calculations
</t>
    </r>
    <r>
      <rPr>
        <sz val="10"/>
        <color theme="3"/>
        <rFont val="Arial"/>
        <family val="2"/>
      </rPr>
      <t xml:space="preserve">This category is for calculating the cost of the labor effort required to support each lease return
It is built from a </t>
    </r>
    <r>
      <rPr>
        <b/>
        <sz val="10"/>
        <color theme="5" tint="-0.249977111117893"/>
        <rFont val="Arial"/>
        <family val="2"/>
      </rPr>
      <t>Lessee</t>
    </r>
    <r>
      <rPr>
        <sz val="10"/>
        <color theme="3"/>
        <rFont val="Arial"/>
        <family val="2"/>
      </rPr>
      <t xml:space="preserve"> perspective and is used to calculate the labor cost associated with lease related activities such as; Lease Returns, Lessor Visits, Audits, etc.</t>
    </r>
  </si>
  <si>
    <r>
      <rPr>
        <b/>
        <sz val="10"/>
        <color theme="3"/>
        <rFont val="Arial"/>
        <family val="2"/>
      </rPr>
      <t>Warranty Labor Cost Calculations</t>
    </r>
    <r>
      <rPr>
        <sz val="10"/>
        <color theme="3"/>
        <rFont val="Arial"/>
        <family val="2"/>
      </rPr>
      <t xml:space="preserve">
For each of pSystems, hSystems, &amp; eSystems:
1) Enter the estimated warranty claims per aircraft pa. This is multiplied by fleet size as derived from 'Fleet &amp; Records Input' tab.
2) Enter the average labor hours per claim which is used to calculate the labor hours pa. This number is then used to calculate the number of warranty FTEs required and the Warranty Labor Cost pa. The labor costs are indexed against the inflation rate (derived from 'Setup' tab) from  Year Two onwards.
As you move from pSystems through hSystems to eSystems, the number of warranty claims may increase as you have better access to relevant data. With this, the number of labor hours should reduce for each claim and you may choose to assume a % changes in claims and labour hours for comparing scenarios.
</t>
    </r>
    <r>
      <rPr>
        <b/>
        <sz val="10"/>
        <color theme="5" tint="-0.249977111117893"/>
        <rFont val="Arial"/>
        <family val="2"/>
      </rPr>
      <t>NOTES</t>
    </r>
    <r>
      <rPr>
        <b/>
        <sz val="10"/>
        <color rgb="FFFF0000"/>
        <rFont val="Arial"/>
        <family val="2"/>
      </rPr>
      <t>:</t>
    </r>
    <r>
      <rPr>
        <sz val="10"/>
        <color theme="3"/>
        <rFont val="Arial"/>
        <family val="2"/>
      </rPr>
      <t xml:space="preserve"> 
1) Costs and FTEs based on rates and hours for SCL
2) Warranty activities can be quite complex and will vary between organizations as determined by their contractual arrangements. This model calculates the labor effort required for warranty related claims and from that, the number of FTEs required for warranty activity. 
3) Warranty related activities can include;
* Claim Preparation
* Claim Follow-ups
* Claim Disputes
* Record Loss
* etc
4) This template </t>
    </r>
    <r>
      <rPr>
        <b/>
        <sz val="10"/>
        <color theme="5" tint="-0.249977111117893"/>
        <rFont val="Arial"/>
        <family val="2"/>
      </rPr>
      <t>does not</t>
    </r>
    <r>
      <rPr>
        <sz val="10"/>
        <color theme="3"/>
        <rFont val="Arial"/>
        <family val="2"/>
      </rPr>
      <t xml:space="preserve"> quantify the successful warranty recoveries from the claims made. You may wish to quantify recoveries in your business case.</t>
    </r>
  </si>
  <si>
    <t>IT Requirements - Cost Calculations</t>
  </si>
  <si>
    <r>
      <t xml:space="preserve">IT Requirements - Cost Calculations
</t>
    </r>
    <r>
      <rPr>
        <sz val="10"/>
        <color theme="3"/>
        <rFont val="Arial"/>
        <family val="2"/>
      </rPr>
      <t>This category is for calculating the cost of the IT systems required to support each of pSystems, hSystems, &amp; eSystems
Due to the wide variation and usage of available IT systems, the end-user needs to research their own needs and to populate this sheet based on their own analysis</t>
    </r>
  </si>
  <si>
    <t>IT System Name Inputs</t>
  </si>
  <si>
    <r>
      <t xml:space="preserve">IT System Name Inputs
</t>
    </r>
    <r>
      <rPr>
        <sz val="10"/>
        <color theme="3"/>
        <rFont val="Arial"/>
        <family val="2"/>
      </rPr>
      <t xml:space="preserve">The purpose of this area is for you to enter IT System names applicable to your analysis.
Provision is made in this Template for up to seven different IT systems. </t>
    </r>
  </si>
  <si>
    <r>
      <rPr>
        <b/>
        <sz val="10"/>
        <color theme="3"/>
        <rFont val="Arial"/>
        <family val="2"/>
      </rPr>
      <t>IT System Codes</t>
    </r>
    <r>
      <rPr>
        <sz val="10"/>
        <color theme="3"/>
        <rFont val="Arial"/>
        <family val="2"/>
      </rPr>
      <t xml:space="preserve">
Sample names are provided within the Example Template. Enter your own IT system names that you want to consider within your analysis</t>
    </r>
  </si>
  <si>
    <t>IT System Cost Calculations</t>
  </si>
  <si>
    <r>
      <rPr>
        <b/>
        <sz val="10"/>
        <color theme="3"/>
        <rFont val="Arial"/>
        <family val="2"/>
      </rPr>
      <t xml:space="preserve">
IT System Cost Calculations</t>
    </r>
    <r>
      <rPr>
        <sz val="10"/>
        <color theme="3"/>
        <rFont val="Arial"/>
        <family val="2"/>
      </rPr>
      <t xml:space="preserve">
This category is for calculating the costs of  each IT System. Note that the IT System names for each code will change according to your IT System Name Inputs above</t>
    </r>
  </si>
  <si>
    <r>
      <rPr>
        <b/>
        <sz val="10"/>
        <color theme="3"/>
        <rFont val="Arial"/>
        <family val="2"/>
      </rPr>
      <t xml:space="preserve">
IT Requirements
</t>
    </r>
    <r>
      <rPr>
        <sz val="10"/>
        <color theme="3"/>
        <rFont val="Arial"/>
        <family val="2"/>
      </rPr>
      <t xml:space="preserve">Through your own analysis of required IT systems, enter your pSystems, hSystems, &amp; eSystems assumptions/estimates over the analysis period for each of the following categories;
* Annual Operating Costs
* Annual Licence Costs
* Annual Software Costs
* Annual Upgrade Costs
* Annual Customization Costs
</t>
    </r>
    <r>
      <rPr>
        <b/>
        <sz val="10"/>
        <color theme="3"/>
        <rFont val="Arial"/>
        <family val="2"/>
      </rPr>
      <t>Note:</t>
    </r>
    <r>
      <rPr>
        <sz val="10"/>
        <color theme="3"/>
        <rFont val="Arial"/>
        <family val="2"/>
      </rPr>
      <t xml:space="preserve"> The total cost per system is adjusted year on year per the inflation rate entered in the 'Inputs_Setup' tab
See typical formula:</t>
    </r>
    <r>
      <rPr>
        <sz val="10"/>
        <color theme="5" tint="-0.249977111117893"/>
        <rFont val="Arial"/>
        <family val="2"/>
      </rPr>
      <t xml:space="preserve"> =SUM(G39:G43)*(1+Inflation)^2</t>
    </r>
  </si>
  <si>
    <r>
      <rPr>
        <b/>
        <sz val="10"/>
        <color theme="3"/>
        <rFont val="Arial"/>
        <family val="2"/>
      </rPr>
      <t>IT Related Cost Summaries For Cash Flow Tabs</t>
    </r>
    <r>
      <rPr>
        <sz val="10"/>
        <color theme="3"/>
        <rFont val="Arial"/>
        <family val="2"/>
      </rPr>
      <t xml:space="preserve">
The numbers are linked to the results calculated from the inputs above.</t>
    </r>
  </si>
  <si>
    <t>IT Related Cost Summaries For Cash Flow Tabs</t>
  </si>
  <si>
    <t>Note use of 'Induced' terminology</t>
  </si>
  <si>
    <t>Systems Training Requirements Costs</t>
  </si>
  <si>
    <r>
      <t>Systems Training Requirements Costs</t>
    </r>
    <r>
      <rPr>
        <sz val="10"/>
        <color theme="3"/>
        <rFont val="Arial"/>
        <family val="2"/>
      </rPr>
      <t xml:space="preserve">
This category is for calculating the cost of required to support each of pSystems, hSystems, &amp; eSystems
Note: This is the training required to support the applicable system only</t>
    </r>
    <r>
      <rPr>
        <b/>
        <sz val="10"/>
        <color theme="3"/>
        <rFont val="Arial"/>
        <family val="2"/>
      </rPr>
      <t xml:space="preserve"> </t>
    </r>
    <r>
      <rPr>
        <sz val="10"/>
        <color theme="3"/>
        <rFont val="Arial"/>
        <family val="2"/>
      </rPr>
      <t>(ie: pSystems, hSystems, or eSystems)</t>
    </r>
  </si>
  <si>
    <t>Training Requirements Cost Calculations</t>
  </si>
  <si>
    <t>Training Related Cost Summaries For Cash Flow Tabs</t>
  </si>
  <si>
    <r>
      <rPr>
        <b/>
        <sz val="10"/>
        <color theme="3"/>
        <rFont val="Arial"/>
        <family val="2"/>
      </rPr>
      <t>Training Related Cost Summaries For Cash Flow Tabs</t>
    </r>
    <r>
      <rPr>
        <sz val="10"/>
        <color theme="3"/>
        <rFont val="Arial"/>
        <family val="2"/>
      </rPr>
      <t xml:space="preserve">
The numbers are linked to the results calculated from the inputs above.</t>
    </r>
  </si>
  <si>
    <t>eSystems Induced Training Cost - Worst Case</t>
  </si>
  <si>
    <t>eSystems Induced Training Cost - Most Likely</t>
  </si>
  <si>
    <t>eSystems Induced Training Cost - Best Case</t>
  </si>
  <si>
    <r>
      <rPr>
        <b/>
        <sz val="10"/>
        <color theme="3"/>
        <rFont val="Arial"/>
        <family val="2"/>
      </rPr>
      <t xml:space="preserve">
Training Cost per FTE</t>
    </r>
    <r>
      <rPr>
        <sz val="10"/>
        <color theme="3"/>
        <rFont val="Arial"/>
        <family val="2"/>
      </rPr>
      <t xml:space="preserve">
Enter the estimated/average training cost per FTE for each of the business units for each of pSystems, hSystems, &amp; eSystems.
</t>
    </r>
    <r>
      <rPr>
        <b/>
        <sz val="10"/>
        <color theme="3"/>
        <rFont val="Arial"/>
        <family val="2"/>
      </rPr>
      <t>% of Total FTEs requiring training pa</t>
    </r>
    <r>
      <rPr>
        <sz val="10"/>
        <color theme="3"/>
        <rFont val="Arial"/>
        <family val="2"/>
      </rPr>
      <t xml:space="preserve"> 
Enter the % total of FTEs requiring training for each business unit for each year of the analysis
</t>
    </r>
    <r>
      <rPr>
        <b/>
        <sz val="10"/>
        <color theme="3"/>
        <rFont val="Arial"/>
        <family val="2"/>
      </rPr>
      <t xml:space="preserve">Number Trained
</t>
    </r>
    <r>
      <rPr>
        <sz val="10"/>
        <color theme="3"/>
        <rFont val="Arial"/>
        <family val="2"/>
      </rPr>
      <t xml:space="preserve">This is calculated by applying the % entered above by the Business Unit FTEs (FTEs from 'FTE&amp;SystemsEfficiencies' tab)
</t>
    </r>
    <r>
      <rPr>
        <b/>
        <sz val="10"/>
        <color theme="3"/>
        <rFont val="Arial"/>
        <family val="2"/>
      </rPr>
      <t xml:space="preserve">Notes:
</t>
    </r>
    <r>
      <rPr>
        <sz val="10"/>
        <color theme="3"/>
        <rFont val="Arial"/>
        <family val="2"/>
      </rPr>
      <t xml:space="preserve">1) For pSystems the requirements may only need to be for year-on-year continuation training so as to ensure competency is maintained. Accordingly, and average training % may be low - in this example Template, 10% has been entered.
2) If you are implementing either hSystems or eSystems, then the % requirement may be very high for some business units in the first year, and subsequently dropping back to a continuation % in following years
3) You will see for hSystems and eSystems, the training requirement scenarios of 'Worst Case, Most Likely &amp; Best Case' have been introduced. These scenarios are calculated from and explained in the 'FTE&amp;SystemEfficiencies' tab.
4) You may choose to vary the year-on-year percentages based on assumptions around systems upgrades and/or new employee training
</t>
    </r>
  </si>
  <si>
    <r>
      <t xml:space="preserve">Training Requirements Cost Calculations
</t>
    </r>
    <r>
      <rPr>
        <sz val="10"/>
        <color theme="3"/>
        <rFont val="Arial"/>
        <family val="2"/>
      </rPr>
      <t>These calculations are in relation to training required for people to be competent users of either pSystems, hSystems, or eSystems.</t>
    </r>
  </si>
  <si>
    <r>
      <t>FTE &amp; System Labor Efficiencies</t>
    </r>
    <r>
      <rPr>
        <sz val="10"/>
        <color theme="3"/>
        <rFont val="Arial"/>
        <family val="2"/>
      </rPr>
      <t xml:space="preserve">
This category is used to enter FTE numbers by Business Units, and to Estimate/assume the "System Labor Efficiency" impact On FTE numbers and cost.
Given the variation in organizational structures, their systems and processes etc. This template only provides a basic methodology for quantifying the system efficiency impacts on labor costs.
In this sheet, you need to make your own assumptions for; Worst Case, Most Likely, &amp; Best Case FTE impacts</t>
    </r>
  </si>
  <si>
    <t>pSystems - Used as Baseline</t>
  </si>
  <si>
    <r>
      <rPr>
        <b/>
        <sz val="10"/>
        <color theme="3"/>
        <rFont val="Arial"/>
        <family val="2"/>
      </rPr>
      <t xml:space="preserve">
pSystems FTE Numbers
</t>
    </r>
    <r>
      <rPr>
        <sz val="10"/>
        <color theme="3"/>
        <rFont val="Arial"/>
        <family val="2"/>
      </rPr>
      <t xml:space="preserve">Enter current and forecast labor numbers of FTEs by Business Unit over the analysis period
</t>
    </r>
    <r>
      <rPr>
        <b/>
        <sz val="10"/>
        <color theme="3"/>
        <rFont val="Arial"/>
        <family val="2"/>
      </rPr>
      <t xml:space="preserve">pSystems Annual Burdened FTE Cost
</t>
    </r>
    <r>
      <rPr>
        <sz val="10"/>
        <color theme="3"/>
        <rFont val="Arial"/>
        <family val="2"/>
      </rPr>
      <t xml:space="preserve">This is calculated by taking the FTE numbers entered above and applying them against the 'Annual Burdened Salary (Derived from 'Inputs_Salary' tab) by Business Unit. 
A typical formula for this calculation is: 
</t>
    </r>
    <r>
      <rPr>
        <sz val="10"/>
        <color theme="5" tint="-0.249977111117893"/>
        <rFont val="Arial"/>
        <family val="2"/>
      </rPr>
      <t xml:space="preserve">=(AnnualBurdenedSalaryHM*pSystemsFTE_HM)*(1+Inflation)^4
Note: </t>
    </r>
    <r>
      <rPr>
        <sz val="10"/>
        <color theme="3"/>
        <rFont val="Arial"/>
        <family val="2"/>
      </rPr>
      <t>Adjusted by inflation rate throughout the analysis period</t>
    </r>
  </si>
  <si>
    <r>
      <t>pSystems - Used as Baseline</t>
    </r>
    <r>
      <rPr>
        <sz val="10"/>
        <color theme="3"/>
        <rFont val="Arial"/>
        <family val="2"/>
      </rPr>
      <t xml:space="preserve">
pSystems is assumed to be the baseline in this Template. However, if you are advanced on your PAO:TO journey, you may choose to use hSystems as your baseline.</t>
    </r>
  </si>
  <si>
    <r>
      <t>hSystems % Reduction of FTEs &amp; Labor Cost from pSystems</t>
    </r>
    <r>
      <rPr>
        <sz val="10"/>
        <color theme="3"/>
        <rFont val="Arial"/>
        <family val="2"/>
      </rPr>
      <t xml:space="preserve">
This is a quasi method of estimating System efficiencies. This area is used to enter the estimated/assumed % Reduction of FTEs and to calculate the resultant labor cost reduction for Worst Case, Most Likely, or Best Case scenarios.</t>
    </r>
  </si>
  <si>
    <r>
      <t>eSystems % Reduction of FTEs &amp; Labor Cost from pSystems</t>
    </r>
    <r>
      <rPr>
        <sz val="10"/>
        <color theme="3"/>
        <rFont val="Arial"/>
        <family val="2"/>
      </rPr>
      <t xml:space="preserve">
This is a quasi method of estimating System efficiencies. This area is used to enter the estimated/assumed % Reduction of FTEs and to calculate the resultant labor cost reduction for Worst Case, Most Likely, or Best Case scenarios.</t>
    </r>
  </si>
  <si>
    <r>
      <t xml:space="preserve">
</t>
    </r>
    <r>
      <rPr>
        <b/>
        <sz val="10"/>
        <color theme="3"/>
        <rFont val="Arial"/>
        <family val="2"/>
      </rPr>
      <t xml:space="preserve">System Efficiencies - pSystems to eSystems - % Change FTEs &amp; Cost
</t>
    </r>
    <r>
      <rPr>
        <sz val="10"/>
        <color theme="3"/>
        <rFont val="Arial"/>
        <family val="2"/>
      </rPr>
      <t xml:space="preserve">
pSystems is assumed to be the FTE Baseline. Enter the assumed/estimated % FTE reduction for hSystems by department for each of Worst Case, Most Likely, and Best Case. The % entered calculates against the Baseline FTE numbers in pSystems
In this example template, Worst Case is assumed to be 0%, or no FTE efficiency gains when moving from pSystems to hSystems. Most Likely and Best Case scenarios allow for some sensitivity within your analysis.
The percentages will probably vary by department and should improve year-on-year throughout the analysis period as more e-Business systems are introduced such as; eSignature, eTechLog etc</t>
    </r>
  </si>
  <si>
    <r>
      <t xml:space="preserve">
</t>
    </r>
    <r>
      <rPr>
        <b/>
        <sz val="10"/>
        <color theme="3"/>
        <rFont val="Arial"/>
        <family val="2"/>
      </rPr>
      <t>System Efficiencies - pSystems to hSystems - % Change FTEs &amp; Cost</t>
    </r>
    <r>
      <rPr>
        <sz val="10"/>
        <color theme="3"/>
        <rFont val="Arial"/>
        <family val="2"/>
      </rPr>
      <t xml:space="preserve">
pSystems is assumed to be the FTE Baseline. Enter the assumed/estimated % FTE reduction for hSystems by department for each of Worst Case, Most Likely, and Best Case. The % entered calculates against the Baseline FTE numbers in pSystems
In this example template, Worst Case is assumed to be 0%, or no FTE efficiency gains when moving from pSystems to hSystems. Most Likely and Best Case scenarios allow for some sensitivity within your analysis.
The percentages will probably vary by department. eg: 
In some some Business Units such as Line Maintenance (LM), the percentages may be low as they may still need to sign paper Task Cards, Tech Logs etc, and to then scan and fax to some central point for data entry into the IT system
In other Business Units, the percentages may be higher, particulalry as records are further digitized each year and the manual burden decreases.</t>
    </r>
  </si>
  <si>
    <t>FTE &amp; Systems Efficiencies Labor Cost Summaries For Cash Flow Tabs</t>
  </si>
  <si>
    <r>
      <rPr>
        <b/>
        <sz val="10"/>
        <color theme="3"/>
        <rFont val="Arial"/>
        <family val="2"/>
      </rPr>
      <t>FTE &amp; Systems Efficiencies Labor Cost Summaries For Cash Flow Tabs</t>
    </r>
    <r>
      <rPr>
        <sz val="10"/>
        <color theme="3"/>
        <rFont val="Arial"/>
        <family val="2"/>
      </rPr>
      <t xml:space="preserve">
The numbers are linked to the results calculated from the inputs above.</t>
    </r>
  </si>
  <si>
    <t>hSystems FTEs - Worst Case</t>
  </si>
  <si>
    <t>pSystems FTEs - Base Case</t>
  </si>
  <si>
    <t>hSystems FTEs - Best Case</t>
  </si>
  <si>
    <t>hSystems FTEs - Most Likely</t>
  </si>
  <si>
    <t>eSystems FTEs - Worst Case</t>
  </si>
  <si>
    <t>eSystems FTEs - Best Case</t>
  </si>
  <si>
    <t>eSystems FTEs - Most Likely</t>
  </si>
  <si>
    <r>
      <rPr>
        <b/>
        <sz val="10"/>
        <color theme="3"/>
        <rFont val="Arial"/>
        <family val="2"/>
      </rPr>
      <t>pSystems to hSystems &amp; eSystems FTE Reduction Summaries For Output Graphs</t>
    </r>
    <r>
      <rPr>
        <sz val="10"/>
        <color theme="3"/>
        <rFont val="Arial"/>
        <family val="2"/>
      </rPr>
      <t xml:space="preserve">
The numbers are linked to the results calculated from the inputs above.</t>
    </r>
  </si>
  <si>
    <t>Labor Costs - Record Error Reworks</t>
  </si>
  <si>
    <r>
      <t xml:space="preserve">Labor Costs - Record Error Reworks
</t>
    </r>
    <r>
      <rPr>
        <sz val="10"/>
        <color theme="3"/>
        <rFont val="Arial"/>
        <family val="2"/>
      </rPr>
      <t xml:space="preserve">This sheet is used to calculate the labor effort and associated cost with rectifying transactional errors which can lead to non-compliances.
</t>
    </r>
    <r>
      <rPr>
        <b/>
        <sz val="10"/>
        <color theme="5" tint="-0.249977111117893"/>
        <rFont val="Arial"/>
        <family val="2"/>
      </rPr>
      <t>Caution</t>
    </r>
    <r>
      <rPr>
        <sz val="10"/>
        <color theme="3"/>
        <rFont val="Arial"/>
        <family val="2"/>
      </rPr>
      <t>: Only paper transactional errors are considered within this Template. You may need to do further analysis if you need to consider electronic systems transactional errors.</t>
    </r>
  </si>
  <si>
    <r>
      <rPr>
        <b/>
        <sz val="10"/>
        <color theme="3"/>
        <rFont val="Arial"/>
        <family val="2"/>
      </rPr>
      <t xml:space="preserve">Required Error Rework Calculations
</t>
    </r>
    <r>
      <rPr>
        <sz val="10"/>
        <color theme="3"/>
        <rFont val="Arial"/>
        <family val="2"/>
      </rPr>
      <t xml:space="preserve">
This number is calculated by multiplying the 'Business Unit Paper Error %' from above with the total paper records generated by department (from 'Inputs_RecordsGeneration' tab) to arrive at the total number of records requiring rework by department.</t>
    </r>
  </si>
  <si>
    <t>Paper Records  Error Rates</t>
  </si>
  <si>
    <r>
      <t xml:space="preserve">
</t>
    </r>
    <r>
      <rPr>
        <b/>
        <sz val="10"/>
        <color theme="3"/>
        <rFont val="Arial"/>
        <family val="2"/>
      </rPr>
      <t>Average Error Rates</t>
    </r>
    <r>
      <rPr>
        <sz val="10"/>
        <color theme="3"/>
        <rFont val="Arial"/>
        <family val="2"/>
      </rPr>
      <t xml:space="preserve">
Input the estimated/assumed % error rates by department according to your own data and/or assumptions for pSystems, hSystems, and eSystems.
In this example Template, it is assumed that the error rates will reduce from pSystems to hSystems, and further still from hSystems to eSystems.
</t>
    </r>
  </si>
  <si>
    <r>
      <rPr>
        <b/>
        <sz val="10"/>
        <color theme="3"/>
        <rFont val="Arial"/>
        <family val="2"/>
      </rPr>
      <t xml:space="preserve">
Average Rework Time per Record (Hours)</t>
    </r>
    <r>
      <rPr>
        <sz val="10"/>
        <color theme="3"/>
        <rFont val="Arial"/>
        <family val="2"/>
      </rPr>
      <t xml:space="preserve">
Enter the actual/assumed average time</t>
    </r>
    <r>
      <rPr>
        <sz val="10"/>
        <color theme="5" tint="-0.249977111117893"/>
        <rFont val="Arial"/>
        <family val="2"/>
      </rPr>
      <t xml:space="preserve"> in hours</t>
    </r>
    <r>
      <rPr>
        <sz val="10"/>
        <color theme="3"/>
        <rFont val="Arial"/>
        <family val="2"/>
      </rPr>
      <t xml:space="preserve"> or part thereof per department required to rework each record for each of pSystems, hSystems, and eSystems across the analysis period.
</t>
    </r>
    <r>
      <rPr>
        <b/>
        <sz val="10"/>
        <color theme="5" tint="-0.249977111117893"/>
        <rFont val="Arial"/>
        <family val="2"/>
      </rPr>
      <t>NOTE</t>
    </r>
    <r>
      <rPr>
        <sz val="10"/>
        <color theme="3"/>
        <rFont val="Arial"/>
        <family val="2"/>
      </rPr>
      <t xml:space="preserve">: If not whole hours, be sure to enter decimals and NOT hours and minutes.
 ie; For one hour and 15 minutes, enter 1.25 NOT 1.15. For 30 minutes enter 0.50 NOT .30, etc
</t>
    </r>
    <r>
      <rPr>
        <b/>
        <sz val="10"/>
        <color theme="3"/>
        <rFont val="Arial"/>
        <family val="2"/>
      </rPr>
      <t>Average Rework Time Hours pa</t>
    </r>
    <r>
      <rPr>
        <sz val="10"/>
        <color theme="3"/>
        <rFont val="Arial"/>
        <family val="2"/>
      </rPr>
      <t xml:space="preserve">
This number is calculated by multiplying the required error reworks pa with the Average Rework Time per Record
</t>
    </r>
  </si>
  <si>
    <r>
      <t xml:space="preserve">
Rework Cost pa (Based on Touch Hour Rate)
</t>
    </r>
    <r>
      <rPr>
        <sz val="10"/>
        <color theme="3"/>
        <rFont val="Arial"/>
        <family val="2"/>
      </rPr>
      <t>The Touch Hour Rate as calculated by department in the 'Inputs_Salaries' tab is applied against the Rework Hours pa calculated above for each of pSystems, hSystems and eSystems</t>
    </r>
    <r>
      <rPr>
        <b/>
        <sz val="10"/>
        <color theme="3"/>
        <rFont val="Arial"/>
        <family val="2"/>
      </rPr>
      <t xml:space="preserve">.
</t>
    </r>
    <r>
      <rPr>
        <sz val="10"/>
        <color theme="3"/>
        <rFont val="Arial"/>
        <family val="2"/>
      </rPr>
      <t>This Rework Cost Cost is adjusted year on year per the inflation rate entered in the 'Inputs_Setup' tab.</t>
    </r>
  </si>
  <si>
    <r>
      <rPr>
        <b/>
        <sz val="10"/>
        <color theme="3"/>
        <rFont val="Arial"/>
        <family val="2"/>
      </rPr>
      <t>Paper Record Error Rates</t>
    </r>
    <r>
      <rPr>
        <sz val="10"/>
        <color theme="3"/>
        <rFont val="Arial"/>
        <family val="2"/>
      </rPr>
      <t xml:space="preserve">
Purpose - For input of % Error Rates and Calculation of Reworks pa. This will vary by department and will change with strategies/tactics employed to reduce the rates. </t>
    </r>
  </si>
  <si>
    <r>
      <rPr>
        <b/>
        <sz val="10"/>
        <color theme="3"/>
        <rFont val="Arial"/>
        <family val="2"/>
      </rPr>
      <t>Fleet Records Rework Hours pa Calculations</t>
    </r>
    <r>
      <rPr>
        <sz val="10"/>
        <color theme="3"/>
        <rFont val="Arial"/>
        <family val="2"/>
      </rPr>
      <t xml:space="preserve">
Purpose - To calculate the labor effort required to rework records so that the associated labor cost and FTE numbers can be calculated by department.</t>
    </r>
  </si>
  <si>
    <r>
      <rPr>
        <b/>
        <sz val="10"/>
        <color theme="3"/>
        <rFont val="Arial"/>
        <family val="2"/>
      </rPr>
      <t xml:space="preserve">FTEs required for Rework Related Activity
</t>
    </r>
    <r>
      <rPr>
        <sz val="10"/>
        <color theme="3"/>
        <rFont val="Arial"/>
        <family val="2"/>
      </rPr>
      <t>Purpose - To calculate the number of Full Time Equivalent (FTE) employees required for rework activity.</t>
    </r>
  </si>
  <si>
    <r>
      <t xml:space="preserve">
</t>
    </r>
    <r>
      <rPr>
        <b/>
        <sz val="10"/>
        <color theme="3"/>
        <rFont val="Arial"/>
        <family val="2"/>
      </rPr>
      <t xml:space="preserve">Rework FTEs
</t>
    </r>
    <r>
      <rPr>
        <sz val="10"/>
        <color theme="3"/>
        <rFont val="Arial"/>
        <family val="2"/>
      </rPr>
      <t xml:space="preserve">The numbers here are calculated by dividing the Business Unit 'Rework Hours pa' with either pSystems, hSystems, or eSystems Business Unit 'Touch Hours pa'
The 'Touch Hours pa' are calculated in the 'Inputs_Salaries' tab
These business unit results are then totaled for each of the systems.
</t>
    </r>
    <r>
      <rPr>
        <b/>
        <sz val="10"/>
        <color theme="3"/>
        <rFont val="Arial"/>
        <family val="2"/>
      </rPr>
      <t xml:space="preserve">Note: 
</t>
    </r>
    <r>
      <rPr>
        <sz val="10"/>
        <color theme="3"/>
        <rFont val="Arial"/>
        <family val="2"/>
      </rPr>
      <t>In this example Template, the numbers of FTEs for Rework activity for pSystems are quite confronting (41). If the numbers in your Working Template seem high, go back and review/validate your input assumptions and if changes are made then this number will also change.</t>
    </r>
  </si>
  <si>
    <t>Fleet Records Rework Labor Cost pa Calculations</t>
  </si>
  <si>
    <r>
      <rPr>
        <b/>
        <sz val="10"/>
        <color theme="3"/>
        <rFont val="Arial"/>
        <family val="2"/>
      </rPr>
      <t xml:space="preserve">Fleet Records Rework Labor Cost pa Calculations
</t>
    </r>
    <r>
      <rPr>
        <sz val="10"/>
        <color theme="3"/>
        <rFont val="Arial"/>
        <family val="2"/>
      </rPr>
      <t>Purpose - To take the Rework Hours per Business Unit as calculated above and to calculate the associated labor cost.</t>
    </r>
  </si>
  <si>
    <r>
      <rPr>
        <b/>
        <sz val="10"/>
        <color theme="3"/>
        <rFont val="Arial"/>
        <family val="2"/>
      </rPr>
      <t>Rework Summaries For Cash Flow Tabs</t>
    </r>
    <r>
      <rPr>
        <sz val="10"/>
        <color theme="3"/>
        <rFont val="Arial"/>
        <family val="2"/>
      </rPr>
      <t xml:space="preserve">
The numbers are linked to the results calculated from the inputs above.</t>
    </r>
  </si>
  <si>
    <t>Archive Storage Costs Calculations</t>
  </si>
  <si>
    <r>
      <rPr>
        <b/>
        <sz val="10"/>
        <color theme="3"/>
        <rFont val="Arial"/>
        <family val="2"/>
      </rPr>
      <t xml:space="preserve">Archive Storage Costs Calculations
</t>
    </r>
    <r>
      <rPr>
        <sz val="10"/>
        <color theme="3"/>
        <rFont val="Arial"/>
        <family val="2"/>
      </rPr>
      <t>Purpose - To calculate the cost of archiving of records</t>
    </r>
  </si>
  <si>
    <r>
      <rPr>
        <b/>
        <sz val="10"/>
        <color theme="3"/>
        <rFont val="Arial"/>
        <family val="2"/>
      </rPr>
      <t xml:space="preserve">
Legacy Archived Records @ Year 1</t>
    </r>
    <r>
      <rPr>
        <sz val="10"/>
        <color theme="3"/>
        <rFont val="Arial"/>
        <family val="2"/>
      </rPr>
      <t xml:space="preserve">
Enter the current number of records that are in archive storage. This sets the baseline for these calculations.
</t>
    </r>
    <r>
      <rPr>
        <b/>
        <sz val="10"/>
        <color theme="3"/>
        <rFont val="Arial"/>
        <family val="2"/>
      </rPr>
      <t>Legacy Records Shred Rate</t>
    </r>
    <r>
      <rPr>
        <sz val="10"/>
        <color theme="3"/>
        <rFont val="Arial"/>
        <family val="2"/>
      </rPr>
      <t xml:space="preserve">
As you move into either hSystems or eSystems, there is potential to shred/destroy records that are now in a digital or electronic format. You would potentially require both regulatory and lessor approval to do so.
</t>
    </r>
    <r>
      <rPr>
        <b/>
        <sz val="10"/>
        <color theme="3"/>
        <rFont val="Arial"/>
        <family val="2"/>
      </rPr>
      <t xml:space="preserve">Records Archived Cumulative Gross
</t>
    </r>
    <r>
      <rPr>
        <sz val="10"/>
        <color theme="3"/>
        <rFont val="Arial"/>
        <family val="2"/>
      </rPr>
      <t>The number is calculated by taking the</t>
    </r>
    <r>
      <rPr>
        <b/>
        <sz val="10"/>
        <color theme="3"/>
        <rFont val="Arial"/>
        <family val="2"/>
      </rPr>
      <t xml:space="preserve"> </t>
    </r>
    <r>
      <rPr>
        <sz val="10"/>
        <color theme="3"/>
        <rFont val="Arial"/>
        <family val="2"/>
      </rPr>
      <t xml:space="preserve">'Legacy Archived Records @ Year 1 and cumulatively adding the records archived each year over the analysis period. </t>
    </r>
    <r>
      <rPr>
        <i/>
        <sz val="10"/>
        <color theme="5" tint="-0.249977111117893"/>
        <rFont val="Arial"/>
        <family val="2"/>
      </rPr>
      <t xml:space="preserve">
</t>
    </r>
    <r>
      <rPr>
        <sz val="10"/>
        <color theme="3"/>
        <rFont val="Arial"/>
        <family val="2"/>
      </rPr>
      <t xml:space="preserve">
</t>
    </r>
    <r>
      <rPr>
        <b/>
        <sz val="10"/>
        <color theme="3"/>
        <rFont val="Arial"/>
        <family val="2"/>
      </rPr>
      <t>Records Shredded @ 1 yr post Aircraft Disposal</t>
    </r>
    <r>
      <rPr>
        <sz val="10"/>
        <color theme="3"/>
        <rFont val="Arial"/>
        <family val="2"/>
      </rPr>
      <t xml:space="preserve">
This assumes that @ 1 yr post aircraft disposal, that the legacy records for the aircraft disposed of can be destroyed. </t>
    </r>
    <r>
      <rPr>
        <b/>
        <sz val="10"/>
        <color theme="3"/>
        <rFont val="Arial"/>
        <family val="2"/>
      </rPr>
      <t xml:space="preserve">Note: </t>
    </r>
    <r>
      <rPr>
        <sz val="10"/>
        <color theme="3"/>
        <rFont val="Arial"/>
        <family val="2"/>
      </rPr>
      <t xml:space="preserve">The 1 year period may vary by CAA so you need to check your own regulations for retention of records requirement post disposal). 
</t>
    </r>
    <r>
      <rPr>
        <b/>
        <sz val="10"/>
        <color theme="3"/>
        <rFont val="Arial"/>
        <family val="2"/>
      </rPr>
      <t xml:space="preserve">Records Archived Shredded Annually with CAA approval of digital systems
</t>
    </r>
    <r>
      <rPr>
        <sz val="10"/>
        <color theme="3"/>
        <rFont val="Arial"/>
        <family val="2"/>
      </rPr>
      <t xml:space="preserve">As you move into hSystems or eSystems, with your CAA and Lessor approval you may be able to shred records for in-service aircraft after a period of time. This template takes the 'Legacy Records Shred Rate' percentage entered above and applies it to the previous year's 'Records Archived Cumulative Gross".
It is assumed in this example Template, that the shred rate for pSystems is 0% across the analysis period. It is also assumed that the shred rate for hSystems and eSystems will progressively increase over time.
</t>
    </r>
    <r>
      <rPr>
        <b/>
        <sz val="10"/>
        <color theme="3"/>
        <rFont val="Arial"/>
        <family val="2"/>
      </rPr>
      <t>Records Cumulative Archived Net</t>
    </r>
    <r>
      <rPr>
        <sz val="10"/>
        <color theme="3"/>
        <rFont val="Arial"/>
        <family val="2"/>
      </rPr>
      <t xml:space="preserve">
This is the cumulative total of archived records, net of those shredded @ 1 year post disposal, and those shredded with the implementation of hSystems or eSystems.
</t>
    </r>
    <r>
      <rPr>
        <b/>
        <sz val="10"/>
        <color theme="3"/>
        <rFont val="Arial"/>
        <family val="2"/>
      </rPr>
      <t xml:space="preserve">Records per Archive Box
</t>
    </r>
    <r>
      <rPr>
        <sz val="10"/>
        <color theme="3"/>
        <rFont val="Arial"/>
        <family val="2"/>
      </rPr>
      <t xml:space="preserve">Archive boxes (or other containers) generally hold a certain number of records. Enter the number of records per box for your archiving system. This is then used to calculate the number of boxes stored pa for each of the systems
</t>
    </r>
    <r>
      <rPr>
        <b/>
        <sz val="10"/>
        <color theme="3"/>
        <rFont val="Arial"/>
        <family val="2"/>
      </rPr>
      <t xml:space="preserve">Annual Storage Cost per Box
</t>
    </r>
    <r>
      <rPr>
        <sz val="10"/>
        <color theme="3"/>
        <rFont val="Arial"/>
        <family val="2"/>
      </rPr>
      <t>Enter the storage cost per box for your archiving system. This annual storage cost is adjusted year on year per the inflation rate entered in the 'Inputs_Setup' tab.
This is then multiplied by the number of boxes stored pa to calculate the 'Storage Cost pa' for each of the systems</t>
    </r>
  </si>
  <si>
    <r>
      <rPr>
        <b/>
        <sz val="10"/>
        <color theme="3"/>
        <rFont val="Arial"/>
        <family val="2"/>
      </rPr>
      <t xml:space="preserve">Archive Retrieval Costs pa
</t>
    </r>
    <r>
      <rPr>
        <sz val="10"/>
        <color theme="3"/>
        <rFont val="Arial"/>
        <family val="2"/>
      </rPr>
      <t>Purpose - To calculate the cost of retrieval of archived records</t>
    </r>
  </si>
  <si>
    <r>
      <t xml:space="preserve">Enter the 'Retrieval cost per event'. This cost per event is adjusted year on year per the inflation rate entered in the 'Inputs_Setup' tab.
Enter the estimated retrieval events per annum across the analysis period and this is then used to calculate the 'Archive retrieval Cost pa' for each of the systems.
</t>
    </r>
    <r>
      <rPr>
        <b/>
        <sz val="10"/>
        <color theme="3"/>
        <rFont val="Arial"/>
        <family val="2"/>
      </rPr>
      <t xml:space="preserve">Note: </t>
    </r>
    <r>
      <rPr>
        <sz val="10"/>
        <color theme="3"/>
        <rFont val="Arial"/>
        <family val="2"/>
      </rPr>
      <t>In this Example Template, it is assumed that as digitised and electronic records become more available with the implmentation of hSystems and eSystems, that the retrieval events will reduce significantly over time</t>
    </r>
  </si>
  <si>
    <r>
      <rPr>
        <b/>
        <sz val="10"/>
        <color theme="3"/>
        <rFont val="Arial"/>
        <family val="2"/>
      </rPr>
      <t xml:space="preserve">Costs Total - Archive Storage &amp; Retrieval
</t>
    </r>
    <r>
      <rPr>
        <sz val="10"/>
        <color theme="3"/>
        <rFont val="Arial"/>
        <family val="2"/>
      </rPr>
      <t>This sums the total cost of archiving and retrieval for each of the Systems</t>
    </r>
  </si>
  <si>
    <t>Archive &amp; Retrieval Summaries For Cash Flow Tabs</t>
  </si>
  <si>
    <r>
      <rPr>
        <b/>
        <sz val="10"/>
        <color theme="3"/>
        <rFont val="Arial"/>
        <family val="2"/>
      </rPr>
      <t xml:space="preserve">Archive Summaries for Cash Flow Tabs
</t>
    </r>
    <r>
      <rPr>
        <sz val="10"/>
        <color theme="3"/>
        <rFont val="Arial"/>
        <family val="2"/>
      </rPr>
      <t xml:space="preserve">The "Cost Summary for Cash Flow Tabs" here are consistent throughout this workbook.
The numbers are linked to the results calculated from the inputs above. 
The Range Name (Bold Green Column O) includes the row description in Column D. The reason for this is so that the description is easily copied across into the Cash Flow tabs.
The term </t>
    </r>
    <r>
      <rPr>
        <b/>
        <sz val="10"/>
        <color theme="3"/>
        <rFont val="Arial"/>
        <family val="2"/>
      </rPr>
      <t>Induced</t>
    </r>
    <r>
      <rPr>
        <sz val="10"/>
        <color theme="3"/>
        <rFont val="Arial"/>
        <family val="2"/>
      </rPr>
      <t xml:space="preserve"> is used here &amp; is further used throughout this Template workbook. It is used to identify the costs associated with operating in either pSystems, hSystems, or eSystems. ie: the resourcing (people, infrastructure, processes) necessary to support the system being used.</t>
    </r>
  </si>
  <si>
    <r>
      <rPr>
        <b/>
        <sz val="10"/>
        <color theme="3"/>
        <rFont val="Arial"/>
        <family val="2"/>
      </rPr>
      <t>Archive &amp; Retrieval Summaries For Cash Flow Tabs</t>
    </r>
    <r>
      <rPr>
        <sz val="10"/>
        <color theme="3"/>
        <rFont val="Arial"/>
        <family val="2"/>
      </rPr>
      <t xml:space="preserve">
The numbers are linked to the results calculated from the inputs above.</t>
    </r>
  </si>
  <si>
    <r>
      <rPr>
        <b/>
        <sz val="10"/>
        <color theme="3"/>
        <rFont val="Arial"/>
        <family val="2"/>
      </rPr>
      <t xml:space="preserve">Paper Records Processing Cost - Outsourced
</t>
    </r>
    <r>
      <rPr>
        <sz val="10"/>
        <color theme="3"/>
        <rFont val="Arial"/>
        <family val="2"/>
      </rPr>
      <t xml:space="preserve">Purpose - To calculate the outsourced cost of archiving of records
Only use this category if you outsource the processing of records once they are generated. Depending on your outsourcing contract, you may not incur costs in the other categories on this sheet. </t>
    </r>
  </si>
  <si>
    <r>
      <rPr>
        <b/>
        <sz val="10"/>
        <color theme="3"/>
        <rFont val="Arial"/>
        <family val="2"/>
      </rPr>
      <t>Outsourced Process Cost per Record (cents)</t>
    </r>
    <r>
      <rPr>
        <sz val="10"/>
        <color theme="3"/>
        <rFont val="Arial"/>
        <family val="2"/>
      </rPr>
      <t xml:space="preserve">
Enter your processing cost which is escalated from Year 2 onwards per the inflation rate entered in the 'Inputs_Setup' Tab 
This is calculated against the Total Paper Records for pSystems, hSystems, and eSystems to arrive at the Processing Cost pa.</t>
    </r>
  </si>
  <si>
    <r>
      <rPr>
        <b/>
        <sz val="10"/>
        <color theme="3"/>
        <rFont val="Arial"/>
        <family val="2"/>
      </rPr>
      <t xml:space="preserve">Copy Paper - Purchase Cost
</t>
    </r>
    <r>
      <rPr>
        <sz val="10"/>
        <color theme="3"/>
        <rFont val="Arial"/>
        <family val="2"/>
      </rPr>
      <t>Purpose - To calculate the purchase cost of copy paper</t>
    </r>
  </si>
  <si>
    <r>
      <rPr>
        <b/>
        <sz val="10"/>
        <color theme="3"/>
        <rFont val="Arial"/>
        <family val="2"/>
      </rPr>
      <t xml:space="preserve">Purchasing Cost / sheet
</t>
    </r>
    <r>
      <rPr>
        <sz val="10"/>
        <color theme="3"/>
        <rFont val="Arial"/>
        <family val="2"/>
      </rPr>
      <t xml:space="preserve">
Enter your purchasing cost which is escalated in this model from Year 2 onwards per the inflation rate entered in the Setup tab.
This is calculated against the Total Paper Records for pSystems, hSystems, and eSystems to arrive at the Purchasing Cost pa.</t>
    </r>
  </si>
  <si>
    <r>
      <rPr>
        <b/>
        <sz val="10"/>
        <color theme="3"/>
        <rFont val="Arial"/>
        <family val="2"/>
      </rPr>
      <t xml:space="preserve">Paper 'Book' Purchase Cost
</t>
    </r>
    <r>
      <rPr>
        <sz val="10"/>
        <color theme="3"/>
        <rFont val="Arial"/>
        <family val="2"/>
      </rPr>
      <t>Purpose - To calculate the purchase cost of paper 'books' such as paper Tech Logs, Cabin Logs, etc</t>
    </r>
  </si>
  <si>
    <r>
      <rPr>
        <b/>
        <sz val="10"/>
        <color theme="3"/>
        <rFont val="Arial"/>
        <family val="2"/>
      </rPr>
      <t xml:space="preserve">Multi-Function Device (MFD) Requirements &amp; Cost
</t>
    </r>
    <r>
      <rPr>
        <sz val="10"/>
        <color theme="3"/>
        <rFont val="Arial"/>
        <family val="2"/>
      </rPr>
      <t>Purpose - To calculate the requirements &amp; cost of MFDs
Devices such as printers, scanners and facsimile machines are required for the management of paper records. Often the costs associated with these are not considered in the development of busiiness case costs.
In this Template, calculations are based on Mutli-Function Devices (MFDs) that are typical in most work-place environments</t>
    </r>
  </si>
  <si>
    <r>
      <rPr>
        <b/>
        <sz val="10"/>
        <color theme="3"/>
        <rFont val="Arial"/>
        <family val="2"/>
      </rPr>
      <t xml:space="preserve">
Numbers of MFDs Required
</t>
    </r>
    <r>
      <rPr>
        <sz val="10"/>
        <color theme="3"/>
        <rFont val="Arial"/>
        <family val="2"/>
      </rPr>
      <t xml:space="preserve">
To calculate the MFD numbers and costs, enter the number of MFDs required for each department per location for pSystems, hSystems, and eSystems. The totals are calculated using the inputs from the 'Inputs_M&amp;E Locations' tab.</t>
    </r>
  </si>
  <si>
    <r>
      <rPr>
        <b/>
        <sz val="10"/>
        <color theme="3"/>
        <rFont val="Arial"/>
        <family val="2"/>
      </rPr>
      <t xml:space="preserve">MFD Leasing Cost Calculations
</t>
    </r>
    <r>
      <rPr>
        <sz val="10"/>
        <color theme="3"/>
        <rFont val="Arial"/>
        <family val="2"/>
      </rPr>
      <t>Purpose - To calculate the leasing costs of MFDs</t>
    </r>
  </si>
  <si>
    <r>
      <rPr>
        <b/>
        <sz val="10"/>
        <color theme="3"/>
        <rFont val="Arial"/>
        <family val="2"/>
      </rPr>
      <t xml:space="preserve">
Total MFD Cost Calculations
</t>
    </r>
    <r>
      <rPr>
        <sz val="10"/>
        <color theme="3"/>
        <rFont val="Arial"/>
        <family val="2"/>
      </rPr>
      <t>MFD Costs totals are calculated from above data in this sheet for pSystems, hSystems, &amp; eSystems</t>
    </r>
  </si>
  <si>
    <r>
      <rPr>
        <b/>
        <sz val="10"/>
        <color theme="3"/>
        <rFont val="Arial"/>
        <family val="2"/>
      </rPr>
      <t xml:space="preserve">MFD Printing Cost Calculations
</t>
    </r>
    <r>
      <rPr>
        <sz val="10"/>
        <color theme="3"/>
        <rFont val="Arial"/>
        <family val="2"/>
      </rPr>
      <t>Purpose - To calculate the MFD cost of printing each record</t>
    </r>
  </si>
  <si>
    <r>
      <rPr>
        <b/>
        <sz val="10"/>
        <color theme="3"/>
        <rFont val="Arial"/>
        <family val="2"/>
      </rPr>
      <t xml:space="preserve">
Cost per Copy</t>
    </r>
    <r>
      <rPr>
        <sz val="10"/>
        <color theme="3"/>
        <rFont val="Arial"/>
        <family val="2"/>
      </rPr>
      <t xml:space="preserve">
Enter your cost per copy (obtain from your MFD contract). This considers the MFD consumables which in this Template, are based on the cost per copy for printing an A4 sheet through a printer at 5% coverage - a typical measurem for most brands of printer.  
Black &amp; white calculations are used in this Template. If color MFDs are used then you will need to adjust the Template as the the cost will be higher to include the color consumables such as; color toners, transfer belts, fuser units, etc.
The calculated cost per copy is based on high yield consumables only. 
</t>
    </r>
    <r>
      <rPr>
        <b/>
        <sz val="10"/>
        <color theme="3"/>
        <rFont val="Arial"/>
        <family val="2"/>
      </rPr>
      <t>Notes:</t>
    </r>
    <r>
      <rPr>
        <sz val="10"/>
        <color theme="3"/>
        <rFont val="Arial"/>
        <family val="2"/>
      </rPr>
      <t xml:space="preserve"> 
1) The Cost per Copy is  escalated from Year 2 onwards per the inflation rate entered in the 'Inputs_Setup' tab.
2) This is a guide only and each organization must use it's own assessments for each individual printer.</t>
    </r>
  </si>
  <si>
    <r>
      <rPr>
        <b/>
        <sz val="10"/>
        <color theme="3"/>
        <rFont val="Arial"/>
        <family val="2"/>
      </rPr>
      <t xml:space="preserve">
Print Room &amp; Paper Storage Area Required
</t>
    </r>
    <r>
      <rPr>
        <sz val="10"/>
        <color theme="3"/>
        <rFont val="Arial"/>
        <family val="2"/>
      </rPr>
      <t>Enter the 'Print Room Area Required'</t>
    </r>
    <r>
      <rPr>
        <b/>
        <sz val="10"/>
        <color theme="3"/>
        <rFont val="Arial"/>
        <family val="2"/>
      </rPr>
      <t xml:space="preserve">
</t>
    </r>
    <r>
      <rPr>
        <sz val="10"/>
        <color theme="3"/>
        <rFont val="Arial"/>
        <family val="2"/>
      </rPr>
      <t>Enter print rooms required per location and the total will be calculated from the locations entered in the M&amp;E Locations tab. With 'Print room Area Required',  the 'Total Office Space - Print Room' is calculated.
As you move to either hSystems or eSystems, it may be possible to relinquish print rooms and the associated office space rental cost. 
Alternatively, if these areas are put to other uses, you may assign the costs to those uses and still claim the cost savings calculated within this template</t>
    </r>
  </si>
  <si>
    <r>
      <rPr>
        <b/>
        <sz val="10"/>
        <color theme="3"/>
        <rFont val="Arial"/>
        <family val="2"/>
      </rPr>
      <t xml:space="preserve">Print Rooms &amp; Paper Storage Requirements
</t>
    </r>
    <r>
      <rPr>
        <sz val="10"/>
        <color theme="3"/>
        <rFont val="Arial"/>
        <family val="2"/>
      </rPr>
      <t>Purpose - To calculate the office space requirements for print rooms and paper storage</t>
    </r>
  </si>
  <si>
    <r>
      <rPr>
        <b/>
        <sz val="10"/>
        <color theme="3"/>
        <rFont val="Arial"/>
        <family val="2"/>
      </rPr>
      <t xml:space="preserve">Filing Cabinet Area Requirements
</t>
    </r>
    <r>
      <rPr>
        <sz val="10"/>
        <color theme="3"/>
        <rFont val="Arial"/>
        <family val="2"/>
      </rPr>
      <t xml:space="preserve">Purpose - To calculate the office space requirements for filing cabinets
</t>
    </r>
  </si>
  <si>
    <r>
      <rPr>
        <b/>
        <sz val="10"/>
        <color theme="3"/>
        <rFont val="Arial"/>
        <family val="2"/>
      </rPr>
      <t xml:space="preserve">
Filing Cabinet Area Required</t>
    </r>
    <r>
      <rPr>
        <sz val="10"/>
        <color theme="3"/>
        <rFont val="Arial"/>
        <family val="2"/>
      </rPr>
      <t xml:space="preserve">
Office space may be required for filing cabinets. Enter filing cabinets required per location and the total will be calculated from the locations entered in the M&amp;E Locations tab.
As you move to either hSystems or eSystems, it may be possible to relinquish filing cabinets and the associated office space rental cost. 
Alternatively, if these areas are put to other uses, you may assign the costs to those uses and still claim the cost savings calculated within this template</t>
    </r>
  </si>
  <si>
    <r>
      <rPr>
        <b/>
        <sz val="10"/>
        <color theme="3"/>
        <rFont val="Arial"/>
        <family val="2"/>
      </rPr>
      <t xml:space="preserve">Compactus Unit Area Requirements
</t>
    </r>
    <r>
      <rPr>
        <sz val="10"/>
        <color theme="3"/>
        <rFont val="Arial"/>
        <family val="2"/>
      </rPr>
      <t xml:space="preserve">Purpose - To calculate the office space requirements for compactus units
</t>
    </r>
  </si>
  <si>
    <r>
      <rPr>
        <b/>
        <sz val="10"/>
        <color theme="3"/>
        <rFont val="Arial"/>
        <family val="2"/>
      </rPr>
      <t xml:space="preserve">
Compactus Unit Area Required</t>
    </r>
    <r>
      <rPr>
        <sz val="10"/>
        <color theme="3"/>
        <rFont val="Arial"/>
        <family val="2"/>
      </rPr>
      <t xml:space="preserve">
Office space may be required for compactus units. Enter units required per location and the total will be calculated from the locations entered in the M&amp;E Locations tab.
As you move to from pSystems to either hSystems or eSystems, it may be possible to relinquish compactus units and the associated office space rental cost. 
Alternatively, if these areas are put to other uses, you may assign the costs to those uses and still claim the cost savings calculated within this template.
For clarity on the meaning of a Compactus Unit - see image below.
</t>
    </r>
  </si>
  <si>
    <t>Total Office Space Areas  &amp; Leasing Costs</t>
  </si>
  <si>
    <r>
      <rPr>
        <b/>
        <sz val="10"/>
        <color theme="3"/>
        <rFont val="Arial"/>
        <family val="2"/>
      </rPr>
      <t xml:space="preserve">Total Office Space Areas  &amp; Leasing Costs
</t>
    </r>
    <r>
      <rPr>
        <sz val="10"/>
        <color theme="3"/>
        <rFont val="Arial"/>
        <family val="2"/>
      </rPr>
      <t>Purpose - To calculate the total office space required and leasing cost pa</t>
    </r>
  </si>
  <si>
    <r>
      <rPr>
        <b/>
        <sz val="10"/>
        <color theme="3"/>
        <rFont val="Arial"/>
        <family val="2"/>
      </rPr>
      <t>Total Office Space</t>
    </r>
    <r>
      <rPr>
        <sz val="10"/>
        <color theme="3"/>
        <rFont val="Arial"/>
        <family val="2"/>
      </rPr>
      <t xml:space="preserve">
This is calculated from the inputs within this sheet for print rooms, filing cabinets, and compactus units</t>
    </r>
  </si>
  <si>
    <t xml:space="preserve">Total Office Space </t>
  </si>
  <si>
    <r>
      <rPr>
        <b/>
        <sz val="10"/>
        <color theme="3"/>
        <rFont val="Arial"/>
        <family val="2"/>
      </rPr>
      <t>Office Space Leasing Unit Cost pa</t>
    </r>
    <r>
      <rPr>
        <sz val="10"/>
        <color theme="3"/>
        <rFont val="Arial"/>
        <family val="2"/>
      </rPr>
      <t xml:space="preserve">
</t>
    </r>
    <r>
      <rPr>
        <b/>
        <sz val="10"/>
        <color theme="3"/>
        <rFont val="Arial"/>
        <family val="2"/>
      </rPr>
      <t xml:space="preserve">Note: </t>
    </r>
    <r>
      <rPr>
        <sz val="10"/>
        <color theme="3"/>
        <rFont val="Arial"/>
        <family val="2"/>
      </rPr>
      <t>The cost in Year 1 is derived from the unit cost entered in the 'Inputs_Setup' tab and is then escalated from Year 2 onwards per the inflation rate.</t>
    </r>
  </si>
  <si>
    <t>Costs - Records (Non Labor) Summaries For Cash Flow Tabs</t>
  </si>
  <si>
    <r>
      <rPr>
        <b/>
        <sz val="10"/>
        <color theme="3"/>
        <rFont val="Arial"/>
        <family val="2"/>
      </rPr>
      <t>Costs - Records (Non Labor) Summaries For Cash Flow Tabs</t>
    </r>
    <r>
      <rPr>
        <sz val="10"/>
        <color theme="3"/>
        <rFont val="Arial"/>
        <family val="2"/>
      </rPr>
      <t xml:space="preserve">
The numbers are linked to the results calculated from the inputs above.</t>
    </r>
  </si>
  <si>
    <r>
      <rPr>
        <b/>
        <sz val="10"/>
        <color theme="3"/>
        <rFont val="Arial"/>
        <family val="2"/>
      </rPr>
      <t xml:space="preserve">
Summaries for Cash Flow Tabs</t>
    </r>
    <r>
      <rPr>
        <sz val="10"/>
        <color theme="3"/>
        <rFont val="Arial"/>
        <family val="2"/>
      </rPr>
      <t xml:space="preserve">
The "Cost Summary for Cash Flow Tabs" here are consistent throughout this workbook.
The numbers are linked to the results calculated from the inputs above. 
The Range Name (Bold Green Column O) includes the row description in Column D. The reason for this is so that the description is easily copied across into the Cash Flow tabs.
The term </t>
    </r>
    <r>
      <rPr>
        <b/>
        <sz val="10"/>
        <color theme="3"/>
        <rFont val="Arial"/>
        <family val="2"/>
      </rPr>
      <t>Induced</t>
    </r>
    <r>
      <rPr>
        <sz val="10"/>
        <color theme="3"/>
        <rFont val="Arial"/>
        <family val="2"/>
      </rPr>
      <t xml:space="preserve"> is used here &amp; is further used throughout this Template workbook. It is used to identify the costs associated with operating in either pSystems, hSystems, or eSystems. ie: the resourcing (people, infrastructure, processes) necessary to support the system being used.</t>
    </r>
  </si>
  <si>
    <r>
      <t xml:space="preserve">Records Generation Input
</t>
    </r>
    <r>
      <rPr>
        <sz val="10"/>
        <color theme="3"/>
        <rFont val="Arial"/>
        <family val="2"/>
      </rPr>
      <t>Purpose - this sheet is used to:
1) Calculate the total records that are generated pa by each department for each aircraft type, and,
2) Calculate the paper records that are generated based on your % assumptions per department across the analysis period for</t>
    </r>
  </si>
  <si>
    <r>
      <t xml:space="preserve">
</t>
    </r>
    <r>
      <rPr>
        <b/>
        <sz val="10"/>
        <color theme="3"/>
        <rFont val="Arial"/>
        <family val="2"/>
      </rPr>
      <t xml:space="preserve">
Fleet Type Records Generated pa
</t>
    </r>
    <r>
      <rPr>
        <sz val="10"/>
        <color theme="3"/>
        <rFont val="Arial"/>
        <family val="2"/>
      </rPr>
      <t xml:space="preserve">The fleet types in this sheet are derived from the 'Inputs_FleetMix' tab where you enter your own fleet types
</t>
    </r>
    <r>
      <rPr>
        <b/>
        <sz val="10"/>
        <color theme="3"/>
        <rFont val="Arial"/>
        <family val="2"/>
      </rPr>
      <t xml:space="preserve">Heavy Maintenance:
</t>
    </r>
    <r>
      <rPr>
        <sz val="10"/>
        <color theme="3"/>
        <rFont val="Arial"/>
        <family val="2"/>
      </rPr>
      <t xml:space="preserve">The method in this model, is for heavy maintenance records to be annualized for each aircraft. To do this, enter your Heavy Maintenance Cycle for the aircraft type. Ie: the equivalent of a full D1 Check cycle which typically ranges between 8 and 12 years depending on your maintenance program.
Rename the event types in Column D according to your maintenance program. ie; "Event 1" may be a "Check C1" etc.
Enter the approximate number of records generated for each event over the Heavy Maintenance Cycle.
These event records are:
a) Summed to derive the "per Total over Cycle" 
b) Divided by the number of years entered into the maintenance cycle, and multiplied by the fleet size to derive "Records Generated for xxx Fleet pa"
</t>
    </r>
    <r>
      <rPr>
        <b/>
        <sz val="10"/>
        <color theme="3"/>
        <rFont val="Arial"/>
        <family val="2"/>
      </rPr>
      <t xml:space="preserve">Remaining Departments </t>
    </r>
    <r>
      <rPr>
        <sz val="10"/>
        <color theme="3"/>
        <rFont val="Arial"/>
        <family val="2"/>
      </rPr>
      <t xml:space="preserve">(Line Mtce etc):
Enter the average number of records generated by EACH aircraft per annum. This is multiplied by the fleet size to derive the FLEET Records per annum for each department.
You may have other departments that generate records. Re-name Other1 and Other 2 as you require
</t>
    </r>
    <r>
      <rPr>
        <b/>
        <sz val="10"/>
        <color theme="3"/>
        <rFont val="Arial"/>
        <family val="2"/>
      </rPr>
      <t xml:space="preserve">Total FLEET Records Generated pa
</t>
    </r>
    <r>
      <rPr>
        <sz val="10"/>
        <color theme="3"/>
        <rFont val="Arial"/>
        <family val="2"/>
      </rPr>
      <t xml:space="preserve">The total records for each fleet type are summed to arrive at the "Total FLEET Records Generated pa)
</t>
    </r>
    <r>
      <rPr>
        <b/>
        <sz val="10"/>
        <color theme="3"/>
        <rFont val="Arial"/>
        <family val="2"/>
      </rPr>
      <t>Repeat</t>
    </r>
    <r>
      <rPr>
        <sz val="10"/>
        <color theme="3"/>
        <rFont val="Arial"/>
        <family val="2"/>
      </rPr>
      <t xml:space="preserve"> entry of your data for each of your fleet types 
</t>
    </r>
    <r>
      <rPr>
        <sz val="10"/>
        <color theme="5" tint="-0.249977111117893"/>
        <rFont val="Arial"/>
        <family val="2"/>
      </rPr>
      <t>CAUTION</t>
    </r>
    <r>
      <rPr>
        <sz val="10"/>
        <color rgb="FFFF0000"/>
        <rFont val="Arial"/>
        <family val="2"/>
      </rPr>
      <t>:</t>
    </r>
    <r>
      <rPr>
        <sz val="10"/>
        <color theme="3"/>
        <rFont val="Arial"/>
        <family val="2"/>
      </rPr>
      <t xml:space="preserve"> Do not duplicate records recorded in other areas
</t>
    </r>
  </si>
  <si>
    <t>Paper Records as a Percentage of Total Records</t>
  </si>
  <si>
    <r>
      <t xml:space="preserve">
</t>
    </r>
    <r>
      <rPr>
        <b/>
        <sz val="10"/>
        <color theme="3"/>
        <rFont val="Arial"/>
        <family val="2"/>
      </rPr>
      <t xml:space="preserve">Paper Records as a Percentage of Total Records
</t>
    </r>
    <r>
      <rPr>
        <sz val="10"/>
        <color theme="3"/>
        <rFont val="Arial"/>
        <family val="2"/>
      </rPr>
      <t>Now that the total number of records has been generated, the model then calculates the amount of paper records generated by each system.
For each of pSystems, hSystems, and eSystems, enter the % of paper that is generated by each department. 
This will calculate the '</t>
    </r>
    <r>
      <rPr>
        <b/>
        <sz val="10"/>
        <color theme="3"/>
        <rFont val="Arial"/>
        <family val="2"/>
      </rPr>
      <t>Paper Records Generated'</t>
    </r>
    <r>
      <rPr>
        <sz val="10"/>
        <color theme="3"/>
        <rFont val="Arial"/>
        <family val="2"/>
      </rPr>
      <t xml:space="preserve"> by each system (pSystem, hSystem, or eSystem) per annum.
For Paper-Based Systems (pSystems), the % of paper is probably close to 100% so the total paper records calculated will equal the total records generated.
For Hybrid Systems (hSystems), you are moving into digital records but still maintain many paper records, so your average % of paper  will be less than 100%. 
In this example workbook, this % is shown as 100% in year 1 and then reducing year-on-year as more records are digitized or become electronic - however it is assumed that this % will plateau at some stage - in this example @ 40% from year 4 onwards.
For Paperless Systems (eSystems) this example shows 100% at year 1 during implementation following which you consider yourself to be paperless. But over the first few years of implementation there may still be some paper. Examples may include 8130s or Form 1s, or perhaps paper-based backups to electronic systems.
The total paper generated is used within subsequent tabs in this model</t>
    </r>
  </si>
  <si>
    <r>
      <rPr>
        <b/>
        <sz val="10"/>
        <color theme="3"/>
        <rFont val="Arial"/>
        <family val="2"/>
      </rPr>
      <t>Percentage of Total Records</t>
    </r>
    <r>
      <rPr>
        <sz val="10"/>
        <color theme="3"/>
        <rFont val="Arial"/>
        <family val="2"/>
      </rPr>
      <t xml:space="preserve">
Purpose - To calculate the Paper Records generated as a percentage of Total Records</t>
    </r>
  </si>
  <si>
    <r>
      <rPr>
        <b/>
        <sz val="10"/>
        <color theme="3"/>
        <rFont val="Arial"/>
        <family val="2"/>
      </rPr>
      <t>Records Generated by Department</t>
    </r>
    <r>
      <rPr>
        <sz val="10"/>
        <color theme="3"/>
        <rFont val="Arial"/>
        <family val="2"/>
      </rPr>
      <t xml:space="preserve">
Purpose - To sum Fleet Total Records per department</t>
    </r>
  </si>
  <si>
    <r>
      <rPr>
        <b/>
        <sz val="10"/>
        <color theme="3"/>
        <rFont val="Arial"/>
        <family val="2"/>
      </rPr>
      <t>Fleet Mix Input
I</t>
    </r>
    <r>
      <rPr>
        <sz val="10"/>
        <color theme="3"/>
        <rFont val="Arial"/>
        <family val="2"/>
      </rPr>
      <t xml:space="preserve">nput your own current and forecast fleet types and fleet numbers over the analysis period. 
Provision is made for up to 15 types of aircraft.
These types and numbers are linked to other parts of this workbook. 
</t>
    </r>
    <r>
      <rPr>
        <b/>
        <sz val="10"/>
        <color theme="3"/>
        <rFont val="Arial"/>
        <family val="2"/>
      </rPr>
      <t xml:space="preserve">Note: </t>
    </r>
    <r>
      <rPr>
        <sz val="10"/>
        <color theme="3"/>
        <rFont val="Arial"/>
        <family val="2"/>
      </rPr>
      <t xml:space="preserve">FleetType and FleetSize cell names are used in range and cell naming formulae within this model. 
eg: </t>
    </r>
    <r>
      <rPr>
        <b/>
        <sz val="10"/>
        <color rgb="FF009900"/>
        <rFont val="Arial"/>
        <family val="2"/>
      </rPr>
      <t xml:space="preserve">FleetTypeA, FleetSize_A, </t>
    </r>
    <r>
      <rPr>
        <sz val="10"/>
        <color theme="3"/>
        <rFont val="Arial"/>
        <family val="2"/>
      </rPr>
      <t>etc.</t>
    </r>
  </si>
  <si>
    <r>
      <t xml:space="preserve">pSystems Cost of Labor - Base Case
</t>
    </r>
    <r>
      <rPr>
        <sz val="10"/>
        <color theme="3"/>
        <rFont val="Arial"/>
        <family val="2"/>
      </rPr>
      <t xml:space="preserve">The total cost of labor - Derived from 'FTE &amp; Systems Efficiencies Labor Cost Summaries For Cash Flow Tabs'.
</t>
    </r>
    <r>
      <rPr>
        <b/>
        <sz val="10"/>
        <color theme="3"/>
        <rFont val="Arial"/>
        <family val="2"/>
      </rPr>
      <t>Net of Induced Labor Costs</t>
    </r>
    <r>
      <rPr>
        <sz val="10"/>
        <color theme="3"/>
        <rFont val="Arial"/>
        <family val="2"/>
      </rPr>
      <t xml:space="preserve">
the induced labor costs (below in this sheet) are backed out of the total Cost of Labor so that they can be analysed separately as required</t>
    </r>
  </si>
  <si>
    <r>
      <t xml:space="preserve">
Induced; Labor Costs, Records Costs, Archiving &amp; Retrieval Costs, Training Costs, &amp; IT Costs.
</t>
    </r>
    <r>
      <rPr>
        <sz val="10"/>
        <color theme="3"/>
        <rFont val="Arial"/>
        <family val="2"/>
      </rPr>
      <t>These are derived from the summaries within this Template</t>
    </r>
    <r>
      <rPr>
        <b/>
        <sz val="10"/>
        <color theme="3"/>
        <rFont val="Arial"/>
        <family val="2"/>
      </rPr>
      <t xml:space="preserve">
</t>
    </r>
    <r>
      <rPr>
        <sz val="10"/>
        <color theme="3"/>
        <rFont val="Arial"/>
        <family val="2"/>
      </rPr>
      <t xml:space="preserve">
The term Induced is used to identify the costs associated with operating in either pSystems, hSystems, or eSystems. ie: the resourcing (people, infrastructure, processes) necessary to support the system being used.
The summaries here are totaled both year-on-year and also cumulatively throughout the analysis period
</t>
    </r>
  </si>
  <si>
    <t xml:space="preserve"> </t>
  </si>
  <si>
    <r>
      <t xml:space="preserve">hSystems Cost of Labor
</t>
    </r>
    <r>
      <rPr>
        <sz val="12"/>
        <color theme="3"/>
        <rFont val="Arial"/>
        <family val="2"/>
      </rPr>
      <t>The total cost of labor - Derived from 'FTE &amp; Systems Efficiencies Labor Cost Summaries For Cash Flow Tabs'.</t>
    </r>
    <r>
      <rPr>
        <b/>
        <sz val="12"/>
        <color theme="3"/>
        <rFont val="Arial"/>
        <family val="2"/>
      </rPr>
      <t xml:space="preserve">
Net of Induced Labor Costs
</t>
    </r>
    <r>
      <rPr>
        <sz val="12"/>
        <color theme="3"/>
        <rFont val="Arial"/>
        <family val="2"/>
      </rPr>
      <t>The induced labor costs (below in this sheet) are backed out of the total Cost of Labor so that they can be analysed separately as required
Note the use of "Worst Case, Most Likely, &amp; Best Case" scenarios</t>
    </r>
  </si>
  <si>
    <r>
      <rPr>
        <b/>
        <sz val="12"/>
        <color theme="3"/>
        <rFont val="Arial"/>
        <family val="2"/>
      </rPr>
      <t xml:space="preserve">
Induced; Labor Costs, Records Costs, Archiving &amp; Retrieval Costs, Training Costs, &amp; IT Costs.</t>
    </r>
    <r>
      <rPr>
        <sz val="12"/>
        <color theme="3"/>
        <rFont val="Arial"/>
        <family val="2"/>
      </rPr>
      <t xml:space="preserve">
These are derived from the summaries within this Template
The term Induced is used to identify the costs associated with operating in either pSystems, hSystems, or eSystems. ie: the resourcing (people, infrastructure, processes) necessary to support the system being used.
The summaries here are totaled both year-on-year and also cumulatively throughout the analysis period for Worst Case, Most Likely &amp; Best Case</t>
    </r>
  </si>
  <si>
    <r>
      <t xml:space="preserve">eSystems Cost of Labor
</t>
    </r>
    <r>
      <rPr>
        <sz val="12"/>
        <color theme="3"/>
        <rFont val="Arial"/>
        <family val="2"/>
      </rPr>
      <t>The total cost of labor - Derived from 'FTE &amp; Systems Efficiencies Labor Cost Summaries For Cash Flow Tabs'.</t>
    </r>
    <r>
      <rPr>
        <b/>
        <sz val="12"/>
        <color theme="3"/>
        <rFont val="Arial"/>
        <family val="2"/>
      </rPr>
      <t xml:space="preserve">
Net of Induced Labor Costs
</t>
    </r>
    <r>
      <rPr>
        <sz val="12"/>
        <color theme="3"/>
        <rFont val="Arial"/>
        <family val="2"/>
      </rPr>
      <t>The induced labor costs (below in this sheet) are backed out of the total Cost of Labor so that they can be analysed separately as required
Note the use of "Worst Case, Most Likely, &amp; Best Case" scenarios</t>
    </r>
  </si>
  <si>
    <r>
      <t xml:space="preserve">Induced; Labor Costs, Records Costs, Archiving &amp; Retrieval Costs, Training Costs, &amp; IT Costs.
</t>
    </r>
    <r>
      <rPr>
        <sz val="12"/>
        <color theme="3"/>
        <rFont val="Arial"/>
        <family val="2"/>
      </rPr>
      <t>These are derived from the summaries within this Template
The term Induced is used to identify the costs associated with operating in either pSystems, hSystems, or eSystems. ie: the resourcing (people, infrastructure, processes) necessary to support the system being used.
The summaries here are totaled both year-on-year and also cumulatively throughout the analysis period for Worst Case, Most Likely &amp; Best Case</t>
    </r>
  </si>
  <si>
    <t>Total Labor Costs &amp; Comparison Graphs</t>
  </si>
  <si>
    <t>Range/Cell Name</t>
  </si>
  <si>
    <t>pSystemsInducedLaborCostTotal</t>
  </si>
  <si>
    <t>pSystemsInducedTrainingCostTotal</t>
  </si>
  <si>
    <t>pSystemsInducedITCostTotal</t>
  </si>
  <si>
    <t>pSystemsInducedCostTotalGrand</t>
  </si>
  <si>
    <t>pSystemsInducedCostTotalCumGrand</t>
  </si>
  <si>
    <t>hSystemsInducedLaborCostTotal</t>
  </si>
  <si>
    <t>hSystemsInducedTotalCostWCTotalGrand</t>
  </si>
  <si>
    <t>hSystemsInducedTotalCostMLTotalgrand</t>
  </si>
  <si>
    <t>hSystemsInducedTotalCostBCTotalGrand</t>
  </si>
  <si>
    <t>hSystemsInducedTotalCostWCTotalCumGrand</t>
  </si>
  <si>
    <t>hSystemsInducedTotalCostMLTotalCumgrand</t>
  </si>
  <si>
    <t>hSystemsInducedTotalCostBCTotalCumGrand</t>
  </si>
  <si>
    <t>hSystems Worst Case Total Induced Costs</t>
  </si>
  <si>
    <t>hSystems Most Likely Total Induced Costs</t>
  </si>
  <si>
    <t>hSystems Best Case Total Induced Costs</t>
  </si>
  <si>
    <t>hSystems Worst Case Induced Costs Cumulative Cash Flow</t>
  </si>
  <si>
    <t>hSystems Most Likely Induced Costs Cumulative Cash Flow</t>
  </si>
  <si>
    <t>hSystems Best Case Induced Costs Cumulative Cash Flow</t>
  </si>
  <si>
    <t>eSystems Worst Case Total Induced Costs</t>
  </si>
  <si>
    <t>eSystems Most Likely Total Induced Costs</t>
  </si>
  <si>
    <t>eSystems Best Case Total Induced Costs</t>
  </si>
  <si>
    <t>eSystems Worst Case Induced Costs Cumulative Cash Flow</t>
  </si>
  <si>
    <t>eSystems Most Likely Induced Costs Cumulative Cash Flow</t>
  </si>
  <si>
    <t>eSystems Best Case Induced Costs Cumulative Cash Flow</t>
  </si>
  <si>
    <t>eSystemsInducedTotalCostWCTotalGrand</t>
  </si>
  <si>
    <t>eSystemsInducedTotalCostMLTotalgrand</t>
  </si>
  <si>
    <t>eSystemsInducedTotalCostBCTotalGrand</t>
  </si>
  <si>
    <t>eSystemsInducedTotalCostWCTotalCumGrand</t>
  </si>
  <si>
    <t>eSystemsInducedTotalCostMLTotalCumgrand</t>
  </si>
  <si>
    <t>eSystemsInducedTotalCostBCTotalCumGrand</t>
  </si>
  <si>
    <t>eSystemsInducedLaborCostTotal</t>
  </si>
  <si>
    <t>Total "Induced" Costs &amp; Comparison Graphs</t>
  </si>
  <si>
    <r>
      <t xml:space="preserve">Total Labor Costs
</t>
    </r>
    <r>
      <rPr>
        <sz val="10"/>
        <color theme="3"/>
        <rFont val="Arial"/>
        <family val="2"/>
      </rPr>
      <t>These graphs are provided as samples for use in your business case as required. Adapt the graphs to suit your own needs</t>
    </r>
  </si>
  <si>
    <r>
      <t xml:space="preserve">Total Induced Costs &amp; Comparison Graphs
</t>
    </r>
    <r>
      <rPr>
        <sz val="10"/>
        <color theme="3"/>
        <rFont val="Arial"/>
        <family val="2"/>
      </rPr>
      <t>These graphs are provided as samples for use in your business case as required. Adapt the graphs to suit your own needs</t>
    </r>
  </si>
  <si>
    <t>Induced Labor Costs - Total</t>
  </si>
  <si>
    <t>Induced Records Costs - Total</t>
  </si>
  <si>
    <t>Induced Archiving Costs - Total</t>
  </si>
  <si>
    <t>Induced IT Costs - Total</t>
  </si>
  <si>
    <t>Induced Training Costs - Total</t>
  </si>
  <si>
    <t>Induced Costs - Grand Totals</t>
  </si>
  <si>
    <t>Induced Costs - Cumulative Grand Totals</t>
  </si>
  <si>
    <t>Total FTEs &amp; Comparison Graphs</t>
  </si>
  <si>
    <t>Total 'Induced' FTEs &amp; Comparison Graphs</t>
  </si>
  <si>
    <r>
      <t xml:space="preserve">Total FTEs &amp; Comparison Graphs
</t>
    </r>
    <r>
      <rPr>
        <sz val="10"/>
        <color theme="3"/>
        <rFont val="Arial"/>
        <family val="2"/>
      </rPr>
      <t>These graphs are provided as samples for use in your business case as required. Adapt the graphs to suit your own needs</t>
    </r>
  </si>
  <si>
    <r>
      <t xml:space="preserve">Total 'Induced' FTEs &amp; Comparison Graphs
</t>
    </r>
    <r>
      <rPr>
        <sz val="10"/>
        <color theme="3"/>
        <rFont val="Arial"/>
        <family val="2"/>
      </rPr>
      <t>These graphs are provided as samples for use in your business case as required. Adapt the graphs to suit your own needs</t>
    </r>
  </si>
  <si>
    <r>
      <t xml:space="preserve">
</t>
    </r>
    <r>
      <rPr>
        <sz val="10"/>
        <color theme="3"/>
        <rFont val="Arial"/>
        <family val="2"/>
      </rPr>
      <t xml:space="preserve">
</t>
    </r>
    <r>
      <rPr>
        <b/>
        <sz val="10"/>
        <color theme="3"/>
        <rFont val="Arial"/>
        <family val="2"/>
      </rPr>
      <t xml:space="preserve">Lessee Labor Hours per Return
</t>
    </r>
    <r>
      <rPr>
        <sz val="10"/>
        <color theme="3"/>
        <rFont val="Arial"/>
        <family val="2"/>
      </rPr>
      <t xml:space="preserve">Enter the actual/assumed average time in hours or part thereof per department for each of pSystems, hSystems, and eSystems across the analysis period.
Labor hours will vary by Business Unit. In pSystems for example; ENG, PLG, CRT &amp; QSC may be engaged for months in preparing the Aircraft Records and Documentation required for return per contract. HM and LM may be engaged in changing components out to meet lease return conditions. 
You need to make your own estimates/assumptions across all Business Units
It is assumed that the hours will reduce from pSystems to hSystems, and further still from hSystems to eSystems.
</t>
    </r>
    <r>
      <rPr>
        <b/>
        <sz val="10"/>
        <color theme="5" tint="-0.249977111117893"/>
        <rFont val="Arial"/>
        <family val="2"/>
      </rPr>
      <t>NOTE</t>
    </r>
    <r>
      <rPr>
        <sz val="10"/>
        <color theme="3"/>
        <rFont val="Arial"/>
        <family val="2"/>
      </rPr>
      <t xml:space="preserve">: If not whole hours, be sure to enter decimals and </t>
    </r>
    <r>
      <rPr>
        <sz val="10"/>
        <color theme="5" tint="-0.249977111117893"/>
        <rFont val="Arial"/>
        <family val="2"/>
      </rPr>
      <t>NOT</t>
    </r>
    <r>
      <rPr>
        <sz val="10"/>
        <color theme="3"/>
        <rFont val="Arial"/>
        <family val="2"/>
      </rPr>
      <t xml:space="preserve"> hours and minutes.
 ie; For one hour and 15 minutes, enter 1.25 </t>
    </r>
    <r>
      <rPr>
        <sz val="10"/>
        <color theme="5" tint="-0.249977111117893"/>
        <rFont val="Arial"/>
        <family val="2"/>
      </rPr>
      <t>NOT</t>
    </r>
    <r>
      <rPr>
        <sz val="10"/>
        <color theme="3"/>
        <rFont val="Arial"/>
        <family val="2"/>
      </rPr>
      <t xml:space="preserve"> 1.15. For 30 minutes enter 0.50 </t>
    </r>
    <r>
      <rPr>
        <sz val="10"/>
        <color theme="5" tint="-0.249977111117893"/>
        <rFont val="Arial"/>
        <family val="2"/>
      </rPr>
      <t>NOT</t>
    </r>
    <r>
      <rPr>
        <sz val="10"/>
        <color theme="3"/>
        <rFont val="Arial"/>
        <family val="2"/>
      </rPr>
      <t xml:space="preserve"> .30, etc
</t>
    </r>
    <r>
      <rPr>
        <b/>
        <sz val="10"/>
        <color theme="3"/>
        <rFont val="Arial"/>
        <family val="2"/>
      </rPr>
      <t xml:space="preserve">
</t>
    </r>
    <r>
      <rPr>
        <sz val="10"/>
        <color theme="3"/>
        <rFont val="Arial"/>
        <family val="2"/>
      </rPr>
      <t xml:space="preserve">
</t>
    </r>
  </si>
  <si>
    <r>
      <rPr>
        <b/>
        <sz val="10"/>
        <color rgb="FFC00000"/>
        <rFont val="Arial"/>
        <family val="2"/>
      </rPr>
      <t xml:space="preserve">Note:
</t>
    </r>
    <r>
      <rPr>
        <sz val="10"/>
        <color rgb="FFC00000"/>
        <rFont val="Arial"/>
        <family val="2"/>
      </rPr>
      <t xml:space="preserve">Column A throughout this </t>
    </r>
    <r>
      <rPr>
        <b/>
        <sz val="10"/>
        <color rgb="FFC00000"/>
        <rFont val="Arial"/>
        <family val="2"/>
      </rPr>
      <t>"example"</t>
    </r>
    <r>
      <rPr>
        <sz val="10"/>
        <color rgb="FFC00000"/>
        <rFont val="Arial"/>
        <family val="2"/>
      </rPr>
      <t xml:space="preserve"> Template provides explanatory information.
You may choose to delete this column in your working template</t>
    </r>
  </si>
  <si>
    <r>
      <rPr>
        <b/>
        <sz val="12"/>
        <color rgb="FFC00000"/>
        <rFont val="Arial"/>
        <family val="2"/>
      </rPr>
      <t xml:space="preserve">Note
</t>
    </r>
    <r>
      <rPr>
        <sz val="12"/>
        <color rgb="FFC00000"/>
        <rFont val="Arial"/>
        <family val="2"/>
      </rPr>
      <t xml:space="preserve">Column A throughout this </t>
    </r>
    <r>
      <rPr>
        <b/>
        <sz val="12"/>
        <color rgb="FFC00000"/>
        <rFont val="Arial"/>
        <family val="2"/>
      </rPr>
      <t>"example"</t>
    </r>
    <r>
      <rPr>
        <sz val="12"/>
        <color rgb="FFC00000"/>
        <rFont val="Arial"/>
        <family val="2"/>
      </rPr>
      <t xml:space="preserve"> Template provides explanatory information.
You may choose to delete this column in your working template</t>
    </r>
  </si>
  <si>
    <t>Costs - IT Requirements</t>
  </si>
  <si>
    <t>Costs - Warranty Labor</t>
  </si>
  <si>
    <t>Costs - Lessee Labor Cost</t>
  </si>
  <si>
    <t>Costs - Records (non labor)</t>
  </si>
  <si>
    <t>Outputs - System Cost Comparison Graphs</t>
  </si>
  <si>
    <t>Outputs - FTE Comparison Graphs</t>
  </si>
  <si>
    <t>IATA Disclaimer Notice</t>
  </si>
  <si>
    <r>
      <rPr>
        <b/>
        <sz val="10"/>
        <color theme="3"/>
        <rFont val="Arial"/>
        <family val="2"/>
      </rPr>
      <t>IATA Disclaimer Notice</t>
    </r>
    <r>
      <rPr>
        <sz val="10"/>
        <color theme="3"/>
        <rFont val="Arial"/>
        <family val="2"/>
      </rPr>
      <t xml:space="preserve">
Ensure you Read &amp; Understand this notice prior to using this Template for any purposes</t>
    </r>
  </si>
  <si>
    <t xml:space="preserve"> Yellow: Information &amp; Derived Results (locked)</t>
  </si>
  <si>
    <t>User Guide</t>
  </si>
  <si>
    <r>
      <rPr>
        <b/>
        <sz val="10"/>
        <color theme="3"/>
        <rFont val="Arial"/>
        <family val="2"/>
      </rPr>
      <t xml:space="preserve">Total Available Productive Hours Calculations
</t>
    </r>
    <r>
      <rPr>
        <sz val="10"/>
        <color theme="3"/>
        <rFont val="Arial"/>
        <family val="2"/>
      </rPr>
      <t>Enter "authorized absences" in hours pa. Some typical categories are shown however you can change these according to your own environment.
The "Total Available Productive Hours pa" is calculated by subtracting the authorized absences from the "Total Paid Hrs per FTE pa"</t>
    </r>
  </si>
  <si>
    <r>
      <t xml:space="preserve">
</t>
    </r>
    <r>
      <rPr>
        <b/>
        <sz val="10"/>
        <color theme="3"/>
        <rFont val="Arial"/>
        <family val="2"/>
      </rPr>
      <t>Labor Utilization Rates</t>
    </r>
    <r>
      <rPr>
        <sz val="10"/>
        <color theme="3"/>
        <rFont val="Arial"/>
        <family val="2"/>
      </rPr>
      <t xml:space="preserve">
People are generally not 100% productive. For example, in a typical 8 hour working day, what percentage of that is actually producing value-add work? Factors such as meal times, standing &amp; waiting, socialization etc need to be considered and this can be done via inputting utilization percentages. These will vary considerably between organizations and between their departments. It is assumed within this example Template that when moving from pSystems through to eSystems that efficiencies, and hence productive utilization rates will improve. Enter your assumed utilization rate percentages by Business Unit.
</t>
    </r>
    <r>
      <rPr>
        <b/>
        <sz val="10"/>
        <color theme="3"/>
        <rFont val="Arial"/>
        <family val="2"/>
      </rPr>
      <t>Touch Hours per FTE Calculations</t>
    </r>
    <r>
      <rPr>
        <sz val="10"/>
        <color theme="3"/>
        <rFont val="Arial"/>
        <family val="2"/>
      </rPr>
      <t xml:space="preserve">
'Labor Touch Hours pa are calculated' by multiplying the 'Total Available Productive Hrs pa' by the 'xSystems Utilization Rate'
</t>
    </r>
    <r>
      <rPr>
        <b/>
        <sz val="10"/>
        <color theme="3"/>
        <rFont val="Arial"/>
        <family val="2"/>
      </rPr>
      <t xml:space="preserve">Burdened Salary Calculations
</t>
    </r>
    <r>
      <rPr>
        <sz val="10"/>
        <color theme="3"/>
        <rFont val="Arial"/>
        <family val="2"/>
      </rPr>
      <t xml:space="preserve">Enter average base annual salaries per FTE. A Base Hourly rate  is then calculated by dividing the salaries entered by the normal paid hours per FTE pa (2080 in this example).
Enter the average % rate at which you pay overtime. This may vary from 0% through to 100% depending on your organization and affected BU. The overtime paid is added to the "Annual Base Salary" to arrive at the "Total Direct Salary"
Enter the average labor overhead rate for each BU. The definition of the overhead rate may vary by organization but typically is the total of indirect costs divided by the total of direct labor costs as a %. This is then used to calculate the "Annual Burdened Salary"
</t>
    </r>
    <r>
      <rPr>
        <b/>
        <sz val="10"/>
        <color theme="3"/>
        <rFont val="Arial"/>
        <family val="2"/>
      </rPr>
      <t xml:space="preserve">Touch Hour rate Calculations
</t>
    </r>
    <r>
      <rPr>
        <sz val="10"/>
        <color theme="3"/>
        <rFont val="Arial"/>
        <family val="2"/>
      </rPr>
      <t>The 'Touch Hour Rates' are then calculated by dividing the "Annual Burdened Salary" by each of the  "xSystems Touch Hrs pa"</t>
    </r>
  </si>
  <si>
    <t>Initial Release November 2018</t>
  </si>
  <si>
    <t>IATA PAO:TO Business Case Support Template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</si>
</sst>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_(&quot;$&quot;* \(#,##0.00\);_(&quot;$&quot;* &quot;-&quot;??_);_(@_)"/>
    <numFmt numFmtId="43" formatCode="_(* #,##0.00_);_(* \(#,##0.00\);_(* &quot;-&quot;??_);_(@_)"/>
    <numFmt numFmtId="164" formatCode="_-* #,##0.00_-;\-* #,##0.00_-;_-* &quot;-&quot;??_-;_-@_-"/>
    <numFmt numFmtId="165" formatCode="0.0%"/>
    <numFmt numFmtId="166" formatCode="##,###,##0.0;\(##,###,##0.0\)"/>
    <numFmt numFmtId="167" formatCode="#,##0.0"/>
    <numFmt numFmtId="168" formatCode="d\ mmm"/>
    <numFmt numFmtId="169" formatCode="yyyy"/>
    <numFmt numFmtId="170" formatCode="[$-409]d\-mmm\-yy;@"/>
    <numFmt numFmtId="171" formatCode="0.0000_);\(0.0000\)"/>
    <numFmt numFmtId="172" formatCode="_(&quot;$&quot;* #,##0_);_(&quot;$&quot;* \(#,##0\);_(&quot;$&quot;* &quot;-&quot;??_);_(@_)"/>
    <numFmt numFmtId="173" formatCode="#,##0_ ;\-#,##0\ "/>
    <numFmt numFmtId="174" formatCode="##,###,##0;\(##,###,##0\)"/>
    <numFmt numFmtId="175" formatCode="_-&quot;$&quot;* #,##0_-;\-&quot;$&quot;* #,##0_-;_-&quot;$&quot;* &quot;-&quot;??_-;_-@_-"/>
    <numFmt numFmtId="176" formatCode="[$-C09]d\ mmmm\ yyyy;@"/>
    <numFmt numFmtId="177" formatCode="_(&quot;$&quot;* #,##0.000_);_(&quot;$&quot;* \(#,##0.000\);_(&quot;$&quot;* &quot;-&quot;??_);_(@_)"/>
    <numFmt numFmtId="178" formatCode="0.000"/>
    <numFmt numFmtId="179" formatCode="_-&quot;$&quot;* #,##0_-;\-&quot;$&quot;* #,##0_-;_-&quot;$&quot;* &quot;-&quot;?_-;_-@_-"/>
    <numFmt numFmtId="180" formatCode="#,##0.0;\-#,##0.0"/>
    <numFmt numFmtId="181" formatCode="&quot;$&quot;#,##0"/>
  </numFmts>
  <fonts count="123" x14ac:knownFonts="1">
    <font>
      <sz val="10"/>
      <name val="Arial"/>
    </font>
    <font>
      <sz val="10"/>
      <name val="Arial"/>
      <family val="2"/>
    </font>
    <font>
      <sz val="8"/>
      <name val="Arial"/>
      <family val="2"/>
    </font>
    <font>
      <sz val="10"/>
      <name val="Arial"/>
      <family val="2"/>
    </font>
    <font>
      <b/>
      <sz val="10"/>
      <color indexed="8"/>
      <name val="Arial"/>
      <family val="2"/>
    </font>
    <font>
      <sz val="10"/>
      <color indexed="8"/>
      <name val="Arial"/>
      <family val="2"/>
    </font>
    <font>
      <b/>
      <sz val="10"/>
      <name val="Arial"/>
      <family val="2"/>
    </font>
    <font>
      <sz val="10"/>
      <color indexed="53"/>
      <name val="Arial"/>
      <family val="2"/>
    </font>
    <font>
      <i/>
      <sz val="10"/>
      <name val="Arial"/>
      <family val="2"/>
    </font>
    <font>
      <b/>
      <sz val="10"/>
      <color indexed="17"/>
      <name val="Arial"/>
      <family val="2"/>
    </font>
    <font>
      <sz val="9"/>
      <name val="Arial"/>
      <family val="2"/>
    </font>
    <font>
      <i/>
      <sz val="10"/>
      <color indexed="8"/>
      <name val="Arial"/>
      <family val="2"/>
    </font>
    <font>
      <b/>
      <sz val="10"/>
      <color indexed="17"/>
      <name val="Arial"/>
      <family val="2"/>
    </font>
    <font>
      <b/>
      <sz val="10"/>
      <color theme="1"/>
      <name val="Arial"/>
      <family val="2"/>
    </font>
    <font>
      <u/>
      <sz val="10"/>
      <color theme="11"/>
      <name val="Arial"/>
      <family val="2"/>
    </font>
    <font>
      <sz val="10"/>
      <color theme="1"/>
      <name val="Arial"/>
      <family val="2"/>
    </font>
    <font>
      <sz val="10"/>
      <color rgb="FFFF0000"/>
      <name val="Arial"/>
      <family val="2"/>
    </font>
    <font>
      <b/>
      <sz val="10"/>
      <color rgb="FFFF0000"/>
      <name val="Arial"/>
      <family val="2"/>
    </font>
    <font>
      <b/>
      <sz val="10"/>
      <color rgb="FF009900"/>
      <name val="Arial"/>
      <family val="2"/>
    </font>
    <font>
      <b/>
      <sz val="12"/>
      <color theme="3"/>
      <name val="Arial"/>
      <family val="2"/>
    </font>
    <font>
      <b/>
      <sz val="20"/>
      <name val="Arial"/>
      <family val="2"/>
    </font>
    <font>
      <b/>
      <sz val="16"/>
      <color theme="3"/>
      <name val="Arial"/>
      <family val="2"/>
    </font>
    <font>
      <b/>
      <sz val="20"/>
      <color theme="0"/>
      <name val="Arial"/>
      <family val="2"/>
    </font>
    <font>
      <b/>
      <sz val="10"/>
      <color theme="3"/>
      <name val="Arial"/>
      <family val="2"/>
    </font>
    <font>
      <b/>
      <sz val="12"/>
      <name val="Arial"/>
      <family val="2"/>
    </font>
    <font>
      <sz val="12"/>
      <name val="Arial"/>
      <family val="2"/>
    </font>
    <font>
      <sz val="11"/>
      <color rgb="FF006100"/>
      <name val="Calibri"/>
      <family val="2"/>
      <scheme val="minor"/>
    </font>
    <font>
      <sz val="16"/>
      <name val="Arial"/>
      <family val="2"/>
    </font>
    <font>
      <sz val="11"/>
      <name val="Arial"/>
      <family val="2"/>
    </font>
    <font>
      <b/>
      <sz val="14"/>
      <color indexed="8"/>
      <name val="Arial"/>
      <family val="2"/>
    </font>
    <font>
      <sz val="11"/>
      <color rgb="FF9C5700"/>
      <name val="Calibri"/>
      <family val="2"/>
      <scheme val="minor"/>
    </font>
    <font>
      <sz val="11"/>
      <color rgb="FF9C0006"/>
      <name val="Calibri"/>
      <family val="2"/>
      <scheme val="minor"/>
    </font>
    <font>
      <sz val="11"/>
      <color theme="0"/>
      <name val="Calibri"/>
      <family val="2"/>
      <scheme val="minor"/>
    </font>
    <font>
      <sz val="28"/>
      <name val="Arial"/>
      <family val="2"/>
    </font>
    <font>
      <sz val="28"/>
      <color theme="0"/>
      <name val="Calibri"/>
      <family val="2"/>
      <scheme val="minor"/>
    </font>
    <font>
      <b/>
      <sz val="12"/>
      <color indexed="8"/>
      <name val="Arial"/>
      <family val="2"/>
    </font>
    <font>
      <b/>
      <sz val="16"/>
      <color theme="5" tint="-0.249977111117893"/>
      <name val="Arial"/>
      <family val="2"/>
    </font>
    <font>
      <b/>
      <sz val="20"/>
      <color theme="1" tint="0.34998626667073579"/>
      <name val="Arial"/>
      <family val="2"/>
    </font>
    <font>
      <sz val="10"/>
      <color theme="1" tint="0.34998626667073579"/>
      <name val="Arial"/>
      <family val="2"/>
    </font>
    <font>
      <sz val="9"/>
      <color theme="0"/>
      <name val="Calibri"/>
      <family val="2"/>
      <scheme val="minor"/>
    </font>
    <font>
      <b/>
      <sz val="16"/>
      <color theme="1" tint="0.34998626667073579"/>
      <name val="Arial"/>
      <family val="2"/>
    </font>
    <font>
      <b/>
      <sz val="14"/>
      <color theme="1" tint="0.34998626667073579"/>
      <name val="Arial"/>
      <family val="2"/>
    </font>
    <font>
      <b/>
      <sz val="8"/>
      <color rgb="FFFF0000"/>
      <name val="Arial"/>
      <family val="2"/>
    </font>
    <font>
      <sz val="10"/>
      <color theme="3"/>
      <name val="Arial"/>
      <family val="2"/>
    </font>
    <font>
      <b/>
      <sz val="16"/>
      <color rgb="FFFF0000"/>
      <name val="Arial"/>
      <family val="2"/>
    </font>
    <font>
      <b/>
      <sz val="10"/>
      <color theme="5" tint="-0.249977111117893"/>
      <name val="Arial"/>
      <family val="2"/>
    </font>
    <font>
      <b/>
      <sz val="10"/>
      <color theme="1" tint="0.34998626667073579"/>
      <name val="Arial"/>
      <family val="2"/>
    </font>
    <font>
      <sz val="11"/>
      <color rgb="FFC00000"/>
      <name val="Arial"/>
      <family val="2"/>
    </font>
    <font>
      <b/>
      <sz val="12"/>
      <color theme="5" tint="-0.249977111117893"/>
      <name val="Arial"/>
      <family val="2"/>
    </font>
    <font>
      <b/>
      <i/>
      <sz val="10"/>
      <color rgb="FFC00000"/>
      <name val="Arial"/>
      <family val="2"/>
    </font>
    <font>
      <b/>
      <sz val="16"/>
      <color theme="0"/>
      <name val="Arial"/>
      <family val="2"/>
    </font>
    <font>
      <sz val="9"/>
      <color indexed="81"/>
      <name val="Tahoma"/>
      <family val="2"/>
    </font>
    <font>
      <b/>
      <sz val="9"/>
      <color indexed="81"/>
      <name val="Tahoma"/>
      <family val="2"/>
    </font>
    <font>
      <sz val="10"/>
      <color theme="0"/>
      <name val="Calibri"/>
      <family val="2"/>
      <scheme val="minor"/>
    </font>
    <font>
      <b/>
      <sz val="12"/>
      <color rgb="FFC00000"/>
      <name val="Arial"/>
      <family val="2"/>
    </font>
    <font>
      <b/>
      <sz val="12"/>
      <color rgb="FF002060"/>
      <name val="Arial"/>
      <family val="2"/>
    </font>
    <font>
      <b/>
      <sz val="10"/>
      <color rgb="FF002060"/>
      <name val="Arial"/>
      <family val="2"/>
    </font>
    <font>
      <sz val="10"/>
      <color rgb="FF002060"/>
      <name val="Arial"/>
      <family val="2"/>
    </font>
    <font>
      <sz val="9"/>
      <color rgb="FF002060"/>
      <name val="Arial"/>
      <family val="2"/>
    </font>
    <font>
      <b/>
      <sz val="12"/>
      <color rgb="FF0070C0"/>
      <name val="Arial"/>
      <family val="2"/>
    </font>
    <font>
      <b/>
      <i/>
      <sz val="12"/>
      <color indexed="8"/>
      <name val="Arial"/>
      <family val="2"/>
    </font>
    <font>
      <b/>
      <sz val="16"/>
      <color rgb="FF0070C0"/>
      <name val="Arial"/>
      <family val="2"/>
    </font>
    <font>
      <b/>
      <sz val="10"/>
      <color rgb="FF0070C0"/>
      <name val="Arial"/>
      <family val="2"/>
    </font>
    <font>
      <sz val="10"/>
      <color rgb="FF0070C0"/>
      <name val="Arial"/>
      <family val="2"/>
    </font>
    <font>
      <u/>
      <sz val="10"/>
      <name val="Arial"/>
      <family val="2"/>
    </font>
    <font>
      <b/>
      <sz val="12"/>
      <color indexed="17"/>
      <name val="Arial"/>
      <family val="2"/>
    </font>
    <font>
      <b/>
      <sz val="12"/>
      <color theme="1" tint="0.34998626667073579"/>
      <name val="Arial"/>
      <family val="2"/>
    </font>
    <font>
      <b/>
      <sz val="12"/>
      <color rgb="FFFF0000"/>
      <name val="Arial"/>
      <family val="2"/>
    </font>
    <font>
      <i/>
      <sz val="10"/>
      <color theme="3"/>
      <name val="Arial"/>
      <family val="2"/>
    </font>
    <font>
      <sz val="12"/>
      <color rgb="FFC00000"/>
      <name val="Arial"/>
      <family val="2"/>
    </font>
    <font>
      <b/>
      <sz val="18"/>
      <color theme="1" tint="0.34998626667073579"/>
      <name val="Arial"/>
      <family val="2"/>
    </font>
    <font>
      <sz val="10"/>
      <color rgb="FFC00000"/>
      <name val="Arial"/>
      <family val="2"/>
    </font>
    <font>
      <b/>
      <sz val="10"/>
      <color rgb="FFC00000"/>
      <name val="Arial"/>
      <family val="2"/>
    </font>
    <font>
      <b/>
      <sz val="10"/>
      <color theme="0"/>
      <name val="Arial"/>
      <family val="2"/>
    </font>
    <font>
      <b/>
      <sz val="36"/>
      <color theme="3"/>
      <name val="Arial"/>
      <family val="2"/>
    </font>
    <font>
      <b/>
      <i/>
      <sz val="10"/>
      <color indexed="8"/>
      <name val="Arial"/>
      <family val="2"/>
    </font>
    <font>
      <i/>
      <sz val="9"/>
      <name val="Arial"/>
      <family val="2"/>
    </font>
    <font>
      <i/>
      <sz val="8"/>
      <name val="Arial"/>
      <family val="2"/>
    </font>
    <font>
      <sz val="12"/>
      <color rgb="FF006100"/>
      <name val="Calibri"/>
      <family val="2"/>
      <scheme val="minor"/>
    </font>
    <font>
      <b/>
      <sz val="12"/>
      <color rgb="FF009900"/>
      <name val="Arial"/>
      <family val="2"/>
    </font>
    <font>
      <b/>
      <sz val="16"/>
      <color theme="1" tint="0.499984740745262"/>
      <name val="Arial"/>
      <family val="2"/>
    </font>
    <font>
      <sz val="12"/>
      <color theme="5" tint="-0.249977111117893"/>
      <name val="Arial"/>
      <family val="2"/>
    </font>
    <font>
      <b/>
      <sz val="16"/>
      <color rgb="FFC00000"/>
      <name val="Arial"/>
      <family val="2"/>
    </font>
    <font>
      <b/>
      <i/>
      <sz val="10"/>
      <color theme="3"/>
      <name val="Arial"/>
      <family val="2"/>
    </font>
    <font>
      <b/>
      <sz val="8"/>
      <name val="Arial"/>
      <family val="2"/>
    </font>
    <font>
      <b/>
      <sz val="8"/>
      <color theme="1" tint="0.14999847407452621"/>
      <name val="Arial"/>
      <family val="2"/>
    </font>
    <font>
      <b/>
      <sz val="8"/>
      <color rgb="FF0070C0"/>
      <name val="Arial"/>
      <family val="2"/>
    </font>
    <font>
      <b/>
      <sz val="8"/>
      <color theme="5" tint="-0.249977111117893"/>
      <name val="Arial"/>
      <family val="2"/>
    </font>
    <font>
      <b/>
      <sz val="8"/>
      <color indexed="17"/>
      <name val="Arial"/>
      <family val="2"/>
    </font>
    <font>
      <sz val="8"/>
      <color theme="1"/>
      <name val="Arial"/>
      <family val="2"/>
    </font>
    <font>
      <b/>
      <sz val="8"/>
      <color rgb="FF008000"/>
      <name val="Arial"/>
      <family val="2"/>
    </font>
    <font>
      <b/>
      <sz val="8"/>
      <color rgb="FF009900"/>
      <name val="Arial"/>
      <family val="2"/>
    </font>
    <font>
      <sz val="8"/>
      <color theme="3"/>
      <name val="Arial"/>
      <family val="2"/>
    </font>
    <font>
      <b/>
      <i/>
      <sz val="8"/>
      <color rgb="FF7030A0"/>
      <name val="Arial"/>
      <family val="2"/>
    </font>
    <font>
      <b/>
      <sz val="10"/>
      <color theme="1" tint="0.249977111117893"/>
      <name val="Arial"/>
      <family val="2"/>
    </font>
    <font>
      <b/>
      <sz val="12"/>
      <color theme="1" tint="0.499984740745262"/>
      <name val="Arial"/>
      <family val="2"/>
    </font>
    <font>
      <b/>
      <sz val="11"/>
      <color indexed="8"/>
      <name val="Arial"/>
      <family val="2"/>
    </font>
    <font>
      <b/>
      <sz val="11"/>
      <color rgb="FF0070C0"/>
      <name val="Arial"/>
      <family val="2"/>
    </font>
    <font>
      <b/>
      <sz val="11"/>
      <color theme="5" tint="-0.249977111117893"/>
      <name val="Arial"/>
      <family val="2"/>
    </font>
    <font>
      <sz val="10"/>
      <color theme="1" tint="0.249977111117893"/>
      <name val="Arial"/>
      <family val="2"/>
    </font>
    <font>
      <sz val="10"/>
      <color indexed="17"/>
      <name val="Arial"/>
      <family val="2"/>
    </font>
    <font>
      <sz val="10"/>
      <color rgb="FF009900"/>
      <name val="Arial"/>
      <family val="2"/>
    </font>
    <font>
      <sz val="10"/>
      <color rgb="FF006100"/>
      <name val="Calibri"/>
      <family val="2"/>
      <scheme val="minor"/>
    </font>
    <font>
      <sz val="10"/>
      <color theme="5" tint="-0.249977111117893"/>
      <name val="Arial"/>
      <family val="2"/>
    </font>
    <font>
      <b/>
      <sz val="12"/>
      <color theme="1" tint="0.14999847407452621"/>
      <name val="Arial"/>
      <family val="2"/>
    </font>
    <font>
      <b/>
      <sz val="10"/>
      <color theme="1" tint="0.14999847407452621"/>
      <name val="Arial"/>
      <family val="2"/>
    </font>
    <font>
      <b/>
      <sz val="10"/>
      <color rgb="FF00B050"/>
      <name val="Arial"/>
      <family val="2"/>
    </font>
    <font>
      <b/>
      <i/>
      <sz val="10"/>
      <name val="Arial"/>
      <family val="2"/>
    </font>
    <font>
      <b/>
      <sz val="10"/>
      <color theme="1" tint="0.499984740745262"/>
      <name val="Arial"/>
      <family val="2"/>
    </font>
    <font>
      <sz val="10"/>
      <name val="Calibri"/>
      <family val="2"/>
      <scheme val="minor"/>
    </font>
    <font>
      <b/>
      <sz val="12"/>
      <color theme="0"/>
      <name val="Arial"/>
      <family val="2"/>
    </font>
    <font>
      <i/>
      <sz val="12"/>
      <name val="Arial"/>
      <family val="2"/>
    </font>
    <font>
      <b/>
      <i/>
      <sz val="10"/>
      <color rgb="FFFF0000"/>
      <name val="Arial"/>
      <family val="2"/>
    </font>
    <font>
      <i/>
      <sz val="10"/>
      <color theme="5" tint="-0.249977111117893"/>
      <name val="Arial"/>
      <family val="2"/>
    </font>
    <font>
      <b/>
      <i/>
      <sz val="12"/>
      <color theme="0"/>
      <name val="Arial"/>
      <family val="2"/>
    </font>
    <font>
      <b/>
      <sz val="11"/>
      <color theme="1" tint="0.34998626667073579"/>
      <name val="Arial"/>
      <family val="2"/>
    </font>
    <font>
      <sz val="9"/>
      <color theme="5" tint="-0.249977111117893"/>
      <name val="Arial"/>
      <family val="2"/>
    </font>
    <font>
      <sz val="12"/>
      <color indexed="8"/>
      <name val="Arial"/>
      <family val="2"/>
    </font>
    <font>
      <sz val="12"/>
      <color theme="3"/>
      <name val="Arial"/>
      <family val="2"/>
    </font>
    <font>
      <b/>
      <sz val="11"/>
      <color theme="0"/>
      <name val="Arial"/>
      <family val="2"/>
    </font>
    <font>
      <b/>
      <sz val="10"/>
      <color rgb="FF008000"/>
      <name val="Arial"/>
      <family val="2"/>
    </font>
    <font>
      <b/>
      <i/>
      <sz val="16"/>
      <color rgb="FFFF0000"/>
      <name val="Arial"/>
      <family val="2"/>
    </font>
    <font>
      <b/>
      <sz val="22"/>
      <color theme="3"/>
      <name val="Arial Black"/>
      <family val="2"/>
    </font>
  </fonts>
  <fills count="15">
    <fill>
      <patternFill patternType="none"/>
    </fill>
    <fill>
      <patternFill patternType="gray125"/>
    </fill>
    <fill>
      <gradientFill degree="90">
        <stop position="0">
          <color theme="4" tint="-0.25098422193060094"/>
        </stop>
        <stop position="0.5">
          <color theme="3" tint="0.59999389629810485"/>
        </stop>
        <stop position="1">
          <color theme="4" tint="-0.25098422193060094"/>
        </stop>
      </gradientFill>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6EFCE"/>
      </patternFill>
    </fill>
    <fill>
      <patternFill patternType="solid">
        <fgColor rgb="FFFFEB9C"/>
      </patternFill>
    </fill>
    <fill>
      <patternFill patternType="solid">
        <fgColor theme="0" tint="-0.14996795556505021"/>
        <bgColor indexed="64"/>
      </patternFill>
    </fill>
    <fill>
      <patternFill patternType="solid">
        <fgColor rgb="FFFFC7CE"/>
      </patternFill>
    </fill>
    <fill>
      <patternFill patternType="solid">
        <fgColor theme="4"/>
      </patternFill>
    </fill>
    <fill>
      <patternFill patternType="solid">
        <fgColor theme="0" tint="-0.14999847407452621"/>
        <bgColor indexed="64"/>
      </patternFill>
    </fill>
    <fill>
      <patternFill patternType="solid">
        <fgColor theme="7" tint="0.79998168889431442"/>
        <bgColor indexed="64"/>
      </patternFill>
    </fill>
  </fills>
  <borders count="68">
    <border>
      <left/>
      <right/>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indexed="8"/>
      </right>
      <top/>
      <bottom/>
      <diagonal/>
    </border>
    <border>
      <left style="thin">
        <color indexed="8"/>
      </left>
      <right style="thin">
        <color indexed="8"/>
      </right>
      <top/>
      <bottom/>
      <diagonal/>
    </border>
    <border>
      <left style="thin">
        <color auto="1"/>
      </left>
      <right style="thin">
        <color auto="1"/>
      </right>
      <top/>
      <bottom style="thin">
        <color auto="1"/>
      </bottom>
      <diagonal/>
    </border>
    <border>
      <left/>
      <right style="thin">
        <color theme="2" tint="-0.499984740745262"/>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medium">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thin">
        <color indexed="64"/>
      </right>
      <top/>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auto="1"/>
      </right>
      <top/>
      <bottom style="thin">
        <color auto="1"/>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right style="thin">
        <color indexed="64"/>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3">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 fillId="8" borderId="0" applyNumberFormat="0" applyBorder="0" applyAlignment="0" applyProtection="0"/>
    <xf numFmtId="0" fontId="30" fillId="9" borderId="0" applyNumberFormat="0" applyBorder="0" applyAlignment="0" applyProtection="0"/>
    <xf numFmtId="0" fontId="15" fillId="10" borderId="12" applyNumberFormat="0" applyAlignment="0" applyProtection="0"/>
    <xf numFmtId="0" fontId="31" fillId="11" borderId="0" applyNumberFormat="0" applyBorder="0" applyAlignment="0" applyProtection="0"/>
    <xf numFmtId="0" fontId="32" fillId="12" borderId="0" applyNumberFormat="0" applyBorder="0" applyAlignment="0" applyProtection="0"/>
    <xf numFmtId="0" fontId="1" fillId="0" borderId="0"/>
    <xf numFmtId="164" fontId="1" fillId="0" borderId="0" applyFont="0" applyFill="0" applyBorder="0" applyAlignment="0" applyProtection="0"/>
  </cellStyleXfs>
  <cellXfs count="1457">
    <xf numFmtId="0" fontId="0" fillId="0" borderId="0" xfId="0"/>
    <xf numFmtId="171" fontId="0" fillId="0" borderId="0" xfId="0" applyNumberFormat="1"/>
    <xf numFmtId="171" fontId="0" fillId="0" borderId="0" xfId="0" applyNumberFormat="1" applyAlignment="1">
      <alignment horizontal="center"/>
    </xf>
    <xf numFmtId="0" fontId="5" fillId="0" borderId="0" xfId="0" applyFont="1"/>
    <xf numFmtId="0" fontId="6" fillId="0" borderId="0" xfId="0" applyFont="1"/>
    <xf numFmtId="0" fontId="0" fillId="0" borderId="0" xfId="0" applyBorder="1"/>
    <xf numFmtId="0" fontId="5" fillId="0" borderId="0" xfId="0" applyFont="1" applyBorder="1"/>
    <xf numFmtId="0" fontId="5" fillId="0" borderId="0" xfId="0" applyFont="1" applyFill="1"/>
    <xf numFmtId="0" fontId="0" fillId="0" borderId="0" xfId="0" applyFill="1"/>
    <xf numFmtId="166" fontId="5" fillId="0" borderId="0" xfId="0" applyNumberFormat="1" applyFont="1" applyProtection="1">
      <protection locked="0"/>
    </xf>
    <xf numFmtId="166" fontId="5" fillId="0" borderId="0" xfId="0" applyNumberFormat="1" applyFont="1" applyBorder="1" applyProtection="1">
      <protection locked="0"/>
    </xf>
    <xf numFmtId="0" fontId="5" fillId="0" borderId="7" xfId="0" applyFont="1" applyBorder="1" applyProtection="1">
      <protection locked="0"/>
    </xf>
    <xf numFmtId="0" fontId="0" fillId="0" borderId="0" xfId="0" applyBorder="1" applyProtection="1">
      <protection locked="0"/>
    </xf>
    <xf numFmtId="0" fontId="5" fillId="0" borderId="0" xfId="0" applyFont="1" applyBorder="1" applyProtection="1">
      <protection locked="0"/>
    </xf>
    <xf numFmtId="0" fontId="1" fillId="0" borderId="0" xfId="0" applyFont="1"/>
    <xf numFmtId="1" fontId="0" fillId="0" borderId="0" xfId="0" applyNumberFormat="1" applyFill="1" applyBorder="1" applyProtection="1">
      <protection locked="0"/>
    </xf>
    <xf numFmtId="0" fontId="5" fillId="0" borderId="10" xfId="0" applyFont="1" applyBorder="1"/>
    <xf numFmtId="0" fontId="0" fillId="0" borderId="0" xfId="0" applyFill="1" applyProtection="1">
      <protection locked="0"/>
    </xf>
    <xf numFmtId="0" fontId="0" fillId="0" borderId="0" xfId="0" applyProtection="1">
      <protection locked="0"/>
    </xf>
    <xf numFmtId="0" fontId="5" fillId="0" borderId="0" xfId="0" applyFont="1" applyProtection="1">
      <protection locked="0"/>
    </xf>
    <xf numFmtId="0" fontId="1" fillId="0" borderId="0" xfId="0" applyFont="1" applyFill="1" applyBorder="1" applyAlignment="1" applyProtection="1">
      <alignment horizontal="left"/>
      <protection locked="0"/>
    </xf>
    <xf numFmtId="0" fontId="5" fillId="0" borderId="0" xfId="0" applyFont="1" applyAlignment="1">
      <alignment horizontal="right"/>
    </xf>
    <xf numFmtId="172" fontId="5" fillId="0" borderId="0" xfId="3" applyNumberFormat="1" applyFont="1"/>
    <xf numFmtId="0" fontId="0" fillId="0" borderId="0" xfId="0" applyFill="1" applyBorder="1" applyProtection="1">
      <protection locked="0"/>
    </xf>
    <xf numFmtId="0" fontId="5" fillId="0" borderId="0" xfId="0" applyFont="1" applyFill="1" applyProtection="1">
      <protection locked="0"/>
    </xf>
    <xf numFmtId="0" fontId="0" fillId="0" borderId="0" xfId="0" applyBorder="1" applyAlignment="1" applyProtection="1">
      <alignment horizontal="right"/>
      <protection locked="0"/>
    </xf>
    <xf numFmtId="0" fontId="0" fillId="0" borderId="0" xfId="0" applyFill="1" applyBorder="1" applyAlignment="1" applyProtection="1">
      <alignment horizontal="center"/>
      <protection locked="0"/>
    </xf>
    <xf numFmtId="0" fontId="6" fillId="0" borderId="0" xfId="0" applyFont="1" applyFill="1" applyBorder="1" applyAlignment="1" applyProtection="1">
      <alignment horizontal="right"/>
      <protection locked="0"/>
    </xf>
    <xf numFmtId="0" fontId="32" fillId="0" borderId="0" xfId="60" applyFill="1" applyProtection="1">
      <protection locked="0"/>
    </xf>
    <xf numFmtId="0" fontId="32" fillId="0" borderId="0" xfId="60" applyFill="1" applyBorder="1" applyProtection="1">
      <protection locked="0"/>
    </xf>
    <xf numFmtId="0" fontId="1" fillId="0" borderId="0" xfId="0" applyFont="1" applyFill="1" applyBorder="1" applyProtection="1">
      <protection locked="0"/>
    </xf>
    <xf numFmtId="169" fontId="18" fillId="0" borderId="0" xfId="0" applyNumberFormat="1" applyFont="1" applyFill="1" applyBorder="1" applyAlignment="1" applyProtection="1">
      <alignment horizontal="right" vertical="center" wrapText="1"/>
      <protection locked="0"/>
    </xf>
    <xf numFmtId="0" fontId="25" fillId="0" borderId="0" xfId="0" applyFont="1" applyFill="1" applyProtection="1">
      <protection locked="0"/>
    </xf>
    <xf numFmtId="0" fontId="34" fillId="0" borderId="0" xfId="60" applyFont="1" applyFill="1" applyProtection="1">
      <protection locked="0"/>
    </xf>
    <xf numFmtId="0" fontId="34" fillId="0" borderId="0" xfId="60" applyFont="1" applyFill="1" applyBorder="1" applyProtection="1">
      <protection locked="0"/>
    </xf>
    <xf numFmtId="0" fontId="10" fillId="0" borderId="0" xfId="0" applyFont="1" applyFill="1" applyBorder="1" applyAlignment="1" applyProtection="1">
      <alignment horizontal="left" vertical="center"/>
      <protection locked="0"/>
    </xf>
    <xf numFmtId="0" fontId="39" fillId="0" borderId="0" xfId="60" applyFont="1" applyFill="1" applyBorder="1" applyAlignment="1" applyProtection="1">
      <alignment horizontal="left" vertical="center"/>
      <protection locked="0"/>
    </xf>
    <xf numFmtId="0" fontId="1" fillId="0" borderId="0" xfId="58" applyFont="1" applyFill="1" applyBorder="1" applyAlignment="1" applyProtection="1">
      <alignment horizontal="right"/>
      <protection locked="0"/>
    </xf>
    <xf numFmtId="0" fontId="1" fillId="0" borderId="0" xfId="0" applyFont="1" applyBorder="1" applyProtection="1">
      <protection locked="0"/>
    </xf>
    <xf numFmtId="0" fontId="1" fillId="0" borderId="0" xfId="0" applyFont="1" applyFill="1" applyBorder="1" applyAlignment="1" applyProtection="1">
      <alignment horizontal="right"/>
      <protection locked="0"/>
    </xf>
    <xf numFmtId="0" fontId="6" fillId="0" borderId="0" xfId="0" applyFont="1" applyProtection="1">
      <protection locked="0"/>
    </xf>
    <xf numFmtId="0" fontId="1" fillId="0" borderId="0" xfId="0" applyFont="1" applyProtection="1">
      <protection locked="0"/>
    </xf>
    <xf numFmtId="0" fontId="5" fillId="4" borderId="8" xfId="0" applyFont="1" applyFill="1" applyBorder="1" applyAlignment="1" applyProtection="1">
      <alignment horizontal="center" vertical="center" wrapText="1"/>
    </xf>
    <xf numFmtId="168" fontId="5" fillId="4" borderId="11" xfId="0" applyNumberFormat="1" applyFont="1" applyFill="1" applyBorder="1" applyAlignment="1" applyProtection="1">
      <alignment horizontal="center"/>
    </xf>
    <xf numFmtId="169" fontId="5" fillId="4" borderId="9" xfId="0" applyNumberFormat="1" applyFont="1" applyFill="1" applyBorder="1" applyAlignment="1" applyProtection="1">
      <alignment horizontal="center" vertical="center" wrapText="1"/>
    </xf>
    <xf numFmtId="168" fontId="5" fillId="4" borderId="4" xfId="0" applyNumberFormat="1" applyFont="1" applyFill="1" applyBorder="1" applyAlignment="1" applyProtection="1">
      <alignment horizontal="center"/>
    </xf>
    <xf numFmtId="168" fontId="5" fillId="4" borderId="5" xfId="0" applyNumberFormat="1" applyFont="1" applyFill="1" applyBorder="1" applyAlignment="1" applyProtection="1">
      <alignment horizontal="center"/>
    </xf>
    <xf numFmtId="0" fontId="37" fillId="0" borderId="0" xfId="0" applyFont="1" applyFill="1" applyBorder="1" applyAlignment="1" applyProtection="1">
      <alignment horizontal="left" vertical="center"/>
      <protection locked="0"/>
    </xf>
    <xf numFmtId="0" fontId="5" fillId="0" borderId="0" xfId="0" applyFont="1" applyAlignment="1" applyProtection="1">
      <alignment horizontal="right"/>
      <protection locked="0"/>
    </xf>
    <xf numFmtId="0" fontId="4" fillId="0" borderId="0" xfId="0" applyFont="1" applyBorder="1" applyProtection="1">
      <protection locked="0"/>
    </xf>
    <xf numFmtId="0" fontId="5" fillId="0" borderId="0" xfId="0" applyFont="1" applyFill="1" applyBorder="1" applyProtection="1">
      <protection locked="0"/>
    </xf>
    <xf numFmtId="0" fontId="6" fillId="0" borderId="0" xfId="0" applyFont="1" applyBorder="1" applyAlignment="1" applyProtection="1">
      <alignment horizontal="left" indent="1"/>
      <protection locked="0"/>
    </xf>
    <xf numFmtId="0" fontId="19" fillId="0" borderId="0" xfId="0" applyFont="1" applyBorder="1" applyAlignment="1" applyProtection="1">
      <alignment horizontal="left" vertical="center" indent="2"/>
      <protection locked="0"/>
    </xf>
    <xf numFmtId="0" fontId="40" fillId="0" borderId="0" xfId="0" applyFont="1" applyFill="1" applyBorder="1" applyAlignment="1" applyProtection="1">
      <alignment horizontal="left" vertical="center"/>
      <protection locked="0"/>
    </xf>
    <xf numFmtId="0" fontId="6" fillId="0" borderId="0" xfId="0" applyFont="1" applyBorder="1" applyAlignment="1" applyProtection="1">
      <alignment horizontal="right"/>
      <protection locked="0"/>
    </xf>
    <xf numFmtId="0" fontId="6" fillId="0" borderId="0" xfId="0" applyFont="1" applyFill="1" applyBorder="1" applyAlignment="1" applyProtection="1">
      <alignment horizontal="left" indent="1"/>
      <protection locked="0"/>
    </xf>
    <xf numFmtId="0" fontId="24" fillId="0" borderId="0" xfId="0" applyFont="1" applyBorder="1" applyAlignment="1" applyProtection="1">
      <alignment horizontal="right" vertical="center"/>
      <protection locked="0"/>
    </xf>
    <xf numFmtId="0" fontId="1" fillId="0" borderId="0" xfId="0" applyFont="1" applyBorder="1" applyAlignment="1" applyProtection="1">
      <alignment horizontal="right"/>
      <protection locked="0"/>
    </xf>
    <xf numFmtId="0" fontId="5" fillId="0" borderId="0" xfId="0" applyFont="1" applyBorder="1" applyAlignment="1" applyProtection="1">
      <alignment horizontal="left" indent="1"/>
      <protection locked="0"/>
    </xf>
    <xf numFmtId="0" fontId="5" fillId="0" borderId="0" xfId="0" applyFont="1" applyBorder="1" applyAlignment="1" applyProtection="1">
      <alignment horizontal="right"/>
      <protection locked="0"/>
    </xf>
    <xf numFmtId="0" fontId="1" fillId="0" borderId="0" xfId="0" applyFont="1" applyBorder="1" applyAlignment="1" applyProtection="1">
      <alignment horizontal="right" vertical="center"/>
      <protection locked="0"/>
    </xf>
    <xf numFmtId="0" fontId="19" fillId="0" borderId="0" xfId="0" applyFont="1" applyBorder="1" applyAlignment="1" applyProtection="1">
      <alignment horizontal="right" vertical="center"/>
      <protection locked="0"/>
    </xf>
    <xf numFmtId="172" fontId="5" fillId="0" borderId="0" xfId="3" applyNumberFormat="1" applyFont="1" applyProtection="1">
      <protection locked="0"/>
    </xf>
    <xf numFmtId="0" fontId="0" fillId="0" borderId="0" xfId="0" applyBorder="1" applyAlignment="1" applyProtection="1">
      <alignment horizontal="left" indent="1"/>
      <protection locked="0"/>
    </xf>
    <xf numFmtId="0" fontId="5" fillId="0" borderId="0" xfId="0" applyFont="1" applyFill="1" applyBorder="1" applyAlignment="1" applyProtection="1">
      <alignment horizontal="left" indent="1"/>
      <protection locked="0"/>
    </xf>
    <xf numFmtId="0" fontId="0" fillId="0" borderId="0" xfId="0" applyFill="1" applyBorder="1" applyAlignment="1" applyProtection="1">
      <alignment horizontal="left" indent="1"/>
      <protection locked="0"/>
    </xf>
    <xf numFmtId="0" fontId="5" fillId="0" borderId="0" xfId="0" applyFont="1" applyBorder="1" applyAlignment="1" applyProtection="1">
      <alignment horizontal="left" indent="2"/>
      <protection locked="0"/>
    </xf>
    <xf numFmtId="0" fontId="4" fillId="0" borderId="0" xfId="0" applyFont="1" applyFill="1" applyBorder="1" applyAlignment="1" applyProtection="1">
      <alignment horizontal="right"/>
      <protection locked="0"/>
    </xf>
    <xf numFmtId="0" fontId="41" fillId="0" borderId="0" xfId="0" applyFont="1" applyFill="1" applyBorder="1" applyAlignment="1" applyProtection="1">
      <alignment horizontal="left" vertical="center"/>
      <protection locked="0"/>
    </xf>
    <xf numFmtId="0" fontId="29" fillId="0" borderId="0" xfId="0" applyFont="1" applyBorder="1" applyAlignment="1" applyProtection="1">
      <alignment horizontal="right"/>
      <protection locked="0"/>
    </xf>
    <xf numFmtId="0" fontId="0" fillId="0" borderId="21" xfId="0" applyBorder="1" applyProtection="1">
      <protection locked="0"/>
    </xf>
    <xf numFmtId="0" fontId="0" fillId="0" borderId="20" xfId="0" applyBorder="1" applyProtection="1">
      <protection locked="0"/>
    </xf>
    <xf numFmtId="0" fontId="9" fillId="0" borderId="0" xfId="0" applyFont="1" applyBorder="1" applyAlignment="1" applyProtection="1">
      <alignment horizontal="left" indent="1"/>
      <protection locked="0"/>
    </xf>
    <xf numFmtId="0" fontId="0" fillId="0" borderId="0" xfId="0" applyBorder="1" applyAlignment="1" applyProtection="1">
      <alignment horizontal="left" indent="4"/>
      <protection locked="0"/>
    </xf>
    <xf numFmtId="0" fontId="12" fillId="0" borderId="0" xfId="0" applyFont="1" applyBorder="1" applyAlignment="1" applyProtection="1">
      <alignment horizontal="left" indent="1"/>
      <protection locked="0"/>
    </xf>
    <xf numFmtId="0" fontId="5" fillId="4" borderId="25" xfId="0" applyFont="1" applyFill="1" applyBorder="1" applyAlignment="1" applyProtection="1">
      <alignment horizontal="center" vertical="center" wrapText="1"/>
    </xf>
    <xf numFmtId="168" fontId="5" fillId="4" borderId="2" xfId="0" applyNumberFormat="1" applyFont="1" applyFill="1" applyBorder="1" applyAlignment="1" applyProtection="1">
      <alignment horizontal="center"/>
    </xf>
    <xf numFmtId="169" fontId="5" fillId="4" borderId="13" xfId="0" applyNumberFormat="1"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168" fontId="5" fillId="4" borderId="10" xfId="0" applyNumberFormat="1" applyFont="1" applyFill="1" applyBorder="1" applyAlignment="1" applyProtection="1">
      <alignment horizontal="center"/>
    </xf>
    <xf numFmtId="169" fontId="5" fillId="4" borderId="14" xfId="0" applyNumberFormat="1" applyFont="1" applyFill="1" applyBorder="1" applyAlignment="1" applyProtection="1">
      <alignment horizontal="center" vertical="center" wrapText="1"/>
    </xf>
    <xf numFmtId="172" fontId="15" fillId="5" borderId="6" xfId="3" applyNumberFormat="1" applyFont="1" applyFill="1" applyBorder="1" applyProtection="1"/>
    <xf numFmtId="169" fontId="18" fillId="0" borderId="0" xfId="0" applyNumberFormat="1" applyFont="1" applyFill="1" applyBorder="1" applyAlignment="1" applyProtection="1">
      <alignment horizontal="center" vertical="center" wrapText="1"/>
      <protection locked="0"/>
    </xf>
    <xf numFmtId="172" fontId="5" fillId="0" borderId="0" xfId="3" applyNumberFormat="1" applyFont="1" applyAlignment="1">
      <alignment horizontal="center" vertical="center"/>
    </xf>
    <xf numFmtId="0" fontId="5" fillId="0" borderId="0" xfId="61" applyFont="1" applyBorder="1"/>
    <xf numFmtId="0" fontId="5" fillId="0" borderId="0" xfId="61" applyFont="1"/>
    <xf numFmtId="0" fontId="1" fillId="0" borderId="0" xfId="61" applyAlignment="1">
      <alignment horizontal="left" indent="1"/>
    </xf>
    <xf numFmtId="0" fontId="1" fillId="0" borderId="0" xfId="61"/>
    <xf numFmtId="0" fontId="1" fillId="0" borderId="0" xfId="61" applyBorder="1"/>
    <xf numFmtId="0" fontId="1" fillId="0" borderId="7" xfId="61" applyBorder="1"/>
    <xf numFmtId="166" fontId="5" fillId="0" borderId="0" xfId="61" applyNumberFormat="1" applyFont="1"/>
    <xf numFmtId="0" fontId="5" fillId="0" borderId="0" xfId="0" applyFont="1" applyFill="1" applyBorder="1" applyAlignment="1" applyProtection="1">
      <alignment horizontal="right"/>
      <protection locked="0"/>
    </xf>
    <xf numFmtId="166" fontId="5" fillId="0" borderId="0" xfId="0" applyNumberFormat="1" applyFont="1"/>
    <xf numFmtId="0" fontId="9" fillId="0" borderId="0" xfId="0" applyFont="1"/>
    <xf numFmtId="0" fontId="5" fillId="0" borderId="0" xfId="0" applyFont="1" applyBorder="1" applyAlignment="1">
      <alignment horizontal="right"/>
    </xf>
    <xf numFmtId="0" fontId="5" fillId="0" borderId="0" xfId="0" applyFont="1" applyBorder="1" applyAlignment="1">
      <alignment horizontal="left" indent="1"/>
    </xf>
    <xf numFmtId="0" fontId="5" fillId="0" borderId="0" xfId="0" applyFont="1" applyBorder="1" applyAlignment="1">
      <alignment horizontal="left" indent="2"/>
    </xf>
    <xf numFmtId="0" fontId="4" fillId="0" borderId="0" xfId="61" applyFont="1" applyFill="1" applyAlignment="1">
      <alignment horizontal="right" vertical="center"/>
    </xf>
    <xf numFmtId="0" fontId="5" fillId="0" borderId="0" xfId="0" applyFont="1" applyFill="1" applyBorder="1"/>
    <xf numFmtId="169" fontId="5" fillId="0" borderId="0" xfId="0" applyNumberFormat="1" applyFont="1" applyFill="1" applyBorder="1" applyAlignment="1" applyProtection="1">
      <alignment horizontal="center" vertical="center" wrapText="1"/>
    </xf>
    <xf numFmtId="0" fontId="4" fillId="0" borderId="0" xfId="0" applyFont="1" applyBorder="1" applyAlignment="1">
      <alignment horizontal="left" indent="2"/>
    </xf>
    <xf numFmtId="0" fontId="48" fillId="0" borderId="0" xfId="0" applyFont="1" applyFill="1" applyBorder="1" applyAlignment="1" applyProtection="1">
      <alignment horizontal="right" vertical="center"/>
      <protection locked="0"/>
    </xf>
    <xf numFmtId="0" fontId="5" fillId="0" borderId="0" xfId="0" applyFont="1" applyFill="1" applyBorder="1" applyAlignment="1" applyProtection="1">
      <alignment horizontal="left" indent="2"/>
      <protection locked="0"/>
    </xf>
    <xf numFmtId="172" fontId="5" fillId="0" borderId="0" xfId="3" applyNumberFormat="1" applyFont="1" applyBorder="1" applyProtection="1">
      <protection locked="0"/>
    </xf>
    <xf numFmtId="172" fontId="4" fillId="0" borderId="0" xfId="3" applyNumberFormat="1" applyFont="1" applyBorder="1" applyProtection="1">
      <protection locked="0"/>
    </xf>
    <xf numFmtId="173" fontId="5" fillId="0" borderId="0" xfId="3" applyNumberFormat="1" applyFont="1" applyFill="1" applyBorder="1" applyProtection="1"/>
    <xf numFmtId="166" fontId="5" fillId="0" borderId="0" xfId="0" applyNumberFormat="1" applyFont="1" applyFill="1" applyBorder="1" applyProtection="1">
      <protection locked="0"/>
    </xf>
    <xf numFmtId="0" fontId="4" fillId="0" borderId="0" xfId="0" applyFont="1" applyFill="1" applyBorder="1" applyProtection="1">
      <protection locked="0"/>
    </xf>
    <xf numFmtId="173" fontId="4" fillId="0" borderId="0" xfId="0" applyNumberFormat="1" applyFont="1" applyFill="1" applyBorder="1" applyProtection="1"/>
    <xf numFmtId="0" fontId="5" fillId="0" borderId="0" xfId="0" applyFont="1" applyFill="1" applyBorder="1" applyProtection="1"/>
    <xf numFmtId="166" fontId="4" fillId="0" borderId="0" xfId="0" applyNumberFormat="1" applyFont="1" applyFill="1" applyBorder="1" applyProtection="1">
      <protection locked="0"/>
    </xf>
    <xf numFmtId="0" fontId="4" fillId="0" borderId="0" xfId="0" applyFont="1" applyFill="1" applyBorder="1"/>
    <xf numFmtId="0" fontId="58" fillId="0" borderId="0" xfId="0" applyFont="1" applyFill="1" applyBorder="1" applyAlignment="1" applyProtection="1">
      <alignment horizontal="left" vertical="center"/>
      <protection locked="0"/>
    </xf>
    <xf numFmtId="0" fontId="57" fillId="0" borderId="0" xfId="0" applyFont="1" applyBorder="1" applyProtection="1">
      <protection locked="0"/>
    </xf>
    <xf numFmtId="0" fontId="57" fillId="0" borderId="0" xfId="0" applyFont="1" applyProtection="1">
      <protection locked="0"/>
    </xf>
    <xf numFmtId="0" fontId="55" fillId="0" borderId="0" xfId="0" applyFont="1" applyBorder="1" applyAlignment="1" applyProtection="1">
      <alignment horizontal="left" vertical="center" indent="2"/>
      <protection locked="0"/>
    </xf>
    <xf numFmtId="0" fontId="57" fillId="0" borderId="0" xfId="0" applyFont="1"/>
    <xf numFmtId="0" fontId="56" fillId="0" borderId="0" xfId="0" applyFont="1" applyBorder="1" applyAlignment="1" applyProtection="1">
      <alignment horizontal="right"/>
      <protection locked="0"/>
    </xf>
    <xf numFmtId="172" fontId="0" fillId="0" borderId="0" xfId="3" applyNumberFormat="1" applyFont="1" applyBorder="1" applyProtection="1">
      <protection locked="0"/>
    </xf>
    <xf numFmtId="0" fontId="60" fillId="4" borderId="27" xfId="0" applyFont="1" applyFill="1" applyBorder="1" applyAlignment="1" applyProtection="1">
      <alignment horizontal="center"/>
    </xf>
    <xf numFmtId="0" fontId="29" fillId="0" borderId="0" xfId="0" applyFont="1" applyFill="1" applyBorder="1" applyProtection="1">
      <protection locked="0"/>
    </xf>
    <xf numFmtId="0" fontId="5" fillId="0" borderId="0" xfId="61" applyFont="1" applyFill="1"/>
    <xf numFmtId="0" fontId="1" fillId="0" borderId="0" xfId="61" applyFill="1"/>
    <xf numFmtId="0" fontId="26" fillId="0" borderId="0" xfId="56" applyFill="1"/>
    <xf numFmtId="0" fontId="5" fillId="0" borderId="0" xfId="0" applyFont="1" applyAlignment="1">
      <alignment vertical="center"/>
    </xf>
    <xf numFmtId="0" fontId="5" fillId="0" borderId="0" xfId="0" applyFont="1" applyBorder="1" applyAlignment="1">
      <alignment vertical="center"/>
    </xf>
    <xf numFmtId="3" fontId="40" fillId="0" borderId="0" xfId="0" applyNumberFormat="1" applyFont="1" applyFill="1" applyBorder="1" applyProtection="1"/>
    <xf numFmtId="172" fontId="5" fillId="0" borderId="0" xfId="3" applyNumberFormat="1" applyFont="1" applyFill="1" applyBorder="1" applyProtection="1">
      <protection locked="0"/>
    </xf>
    <xf numFmtId="0" fontId="0" fillId="0" borderId="0" xfId="0" applyFill="1" applyBorder="1" applyProtection="1"/>
    <xf numFmtId="172" fontId="5" fillId="0" borderId="0" xfId="3" applyNumberFormat="1" applyFont="1" applyFill="1" applyProtection="1">
      <protection locked="0"/>
    </xf>
    <xf numFmtId="0" fontId="1" fillId="0" borderId="0" xfId="61" applyFill="1" applyAlignment="1">
      <alignment horizontal="left" indent="1"/>
    </xf>
    <xf numFmtId="0" fontId="35" fillId="0" borderId="0" xfId="0" applyFont="1" applyAlignment="1" applyProtection="1">
      <alignment vertical="center"/>
      <protection locked="0"/>
    </xf>
    <xf numFmtId="0" fontId="5" fillId="0" borderId="0" xfId="0" applyFont="1" applyAlignment="1" applyProtection="1">
      <protection locked="0"/>
    </xf>
    <xf numFmtId="0" fontId="5" fillId="0" borderId="0" xfId="0" applyFont="1" applyAlignment="1"/>
    <xf numFmtId="0" fontId="5" fillId="0" borderId="0" xfId="61" applyFont="1" applyProtection="1">
      <protection locked="0"/>
    </xf>
    <xf numFmtId="166" fontId="5" fillId="0" borderId="0" xfId="61" applyNumberFormat="1" applyFont="1" applyProtection="1">
      <protection locked="0"/>
    </xf>
    <xf numFmtId="3" fontId="5" fillId="0" borderId="0" xfId="3" applyNumberFormat="1" applyFont="1" applyFill="1" applyBorder="1" applyProtection="1">
      <protection locked="0"/>
    </xf>
    <xf numFmtId="0" fontId="24" fillId="0" borderId="0" xfId="0" applyFont="1"/>
    <xf numFmtId="0" fontId="0" fillId="0" borderId="0" xfId="0" applyFill="1" applyProtection="1"/>
    <xf numFmtId="0" fontId="0" fillId="0" borderId="0" xfId="0" applyBorder="1" applyProtection="1"/>
    <xf numFmtId="0" fontId="27" fillId="0" borderId="0" xfId="0" applyFont="1" applyBorder="1" applyProtection="1"/>
    <xf numFmtId="0" fontId="0" fillId="0" borderId="21" xfId="0" applyBorder="1" applyProtection="1"/>
    <xf numFmtId="0" fontId="0" fillId="0" borderId="0" xfId="0" applyProtection="1"/>
    <xf numFmtId="0" fontId="43" fillId="0" borderId="0" xfId="0" applyFont="1" applyAlignment="1" applyProtection="1">
      <alignment horizontal="left" vertical="center" wrapText="1"/>
    </xf>
    <xf numFmtId="0" fontId="0" fillId="0" borderId="0" xfId="0" applyAlignment="1" applyProtection="1">
      <alignment horizontal="right" vertical="center"/>
    </xf>
    <xf numFmtId="171" fontId="0" fillId="0" borderId="0" xfId="0" applyNumberFormat="1" applyProtection="1"/>
    <xf numFmtId="171" fontId="0" fillId="0" borderId="0" xfId="0" applyNumberFormat="1" applyAlignment="1" applyProtection="1">
      <alignment horizontal="center"/>
    </xf>
    <xf numFmtId="0" fontId="21" fillId="0" borderId="0" xfId="0" applyFont="1" applyFill="1" applyBorder="1" applyAlignment="1" applyProtection="1">
      <alignment horizontal="center" vertical="center"/>
    </xf>
    <xf numFmtId="0" fontId="0" fillId="0" borderId="0" xfId="0" applyAlignment="1" applyProtection="1">
      <alignment horizontal="center" vertical="center"/>
    </xf>
    <xf numFmtId="169" fontId="18" fillId="0" borderId="0" xfId="0" applyNumberFormat="1" applyFont="1" applyFill="1" applyBorder="1" applyAlignment="1" applyProtection="1">
      <alignment horizontal="right" vertical="center" wrapText="1"/>
    </xf>
    <xf numFmtId="0" fontId="5" fillId="0" borderId="0" xfId="0" applyFont="1" applyProtection="1"/>
    <xf numFmtId="0" fontId="0" fillId="0" borderId="0" xfId="0" applyFill="1" applyBorder="1" applyAlignment="1" applyProtection="1">
      <alignment vertical="center"/>
    </xf>
    <xf numFmtId="0" fontId="26" fillId="0" borderId="0" xfId="56" applyFill="1" applyProtection="1"/>
    <xf numFmtId="171" fontId="0" fillId="0" borderId="0" xfId="0" applyNumberFormat="1" applyAlignment="1" applyProtection="1">
      <alignment horizontal="right"/>
    </xf>
    <xf numFmtId="0" fontId="0" fillId="0" borderId="0" xfId="0" applyAlignment="1" applyProtection="1">
      <alignment horizontal="left"/>
    </xf>
    <xf numFmtId="171" fontId="22" fillId="2" borderId="18" xfId="0" applyNumberFormat="1" applyFont="1" applyFill="1" applyBorder="1" applyAlignment="1" applyProtection="1">
      <alignment horizontal="left" vertical="center"/>
      <protection locked="0"/>
    </xf>
    <xf numFmtId="0" fontId="5" fillId="4" borderId="31"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5" fillId="4" borderId="37" xfId="0" applyFont="1" applyFill="1" applyBorder="1" applyAlignment="1" applyProtection="1">
      <alignment horizontal="center" vertical="center" wrapText="1"/>
    </xf>
    <xf numFmtId="3" fontId="1" fillId="4" borderId="30" xfId="0" applyNumberFormat="1" applyFont="1" applyFill="1" applyBorder="1" applyProtection="1"/>
    <xf numFmtId="169" fontId="5" fillId="4" borderId="40" xfId="0" applyNumberFormat="1" applyFont="1" applyFill="1" applyBorder="1" applyAlignment="1" applyProtection="1">
      <alignment horizontal="center" vertical="center" wrapText="1"/>
    </xf>
    <xf numFmtId="169" fontId="5" fillId="4" borderId="41" xfId="0" applyNumberFormat="1" applyFont="1" applyFill="1" applyBorder="1" applyAlignment="1" applyProtection="1">
      <alignment horizontal="center" vertical="center" wrapText="1"/>
    </xf>
    <xf numFmtId="169" fontId="18" fillId="0" borderId="21" xfId="0" applyNumberFormat="1" applyFont="1" applyFill="1" applyBorder="1" applyAlignment="1" applyProtection="1">
      <alignment horizontal="left" vertical="center" wrapText="1"/>
    </xf>
    <xf numFmtId="176" fontId="44" fillId="0" borderId="0" xfId="0" applyNumberFormat="1" applyFont="1" applyFill="1" applyBorder="1" applyAlignment="1" applyProtection="1">
      <alignment horizontal="center" vertical="center"/>
    </xf>
    <xf numFmtId="0" fontId="19" fillId="0" borderId="0" xfId="0" applyFont="1" applyBorder="1" applyAlignment="1" applyProtection="1">
      <alignment horizontal="right" indent="2"/>
      <protection locked="0"/>
    </xf>
    <xf numFmtId="0" fontId="5" fillId="0" borderId="20" xfId="0" applyFont="1" applyBorder="1" applyProtection="1">
      <protection locked="0"/>
    </xf>
    <xf numFmtId="172" fontId="5" fillId="0" borderId="0" xfId="3" applyNumberFormat="1" applyFont="1" applyBorder="1" applyAlignment="1" applyProtection="1">
      <alignment horizontal="center" vertical="center"/>
      <protection locked="0"/>
    </xf>
    <xf numFmtId="0" fontId="5" fillId="0" borderId="20" xfId="0" applyFont="1" applyBorder="1"/>
    <xf numFmtId="172" fontId="5" fillId="0" borderId="0" xfId="3" applyNumberFormat="1" applyFont="1" applyBorder="1"/>
    <xf numFmtId="172" fontId="5" fillId="0" borderId="0" xfId="3" applyNumberFormat="1" applyFont="1" applyBorder="1" applyAlignment="1">
      <alignment horizontal="center" vertical="center"/>
    </xf>
    <xf numFmtId="0" fontId="1" fillId="0" borderId="22" xfId="0" applyFont="1" applyFill="1" applyBorder="1" applyProtection="1">
      <protection locked="0"/>
    </xf>
    <xf numFmtId="0" fontId="0" fillId="0" borderId="23" xfId="0" applyFill="1" applyBorder="1" applyProtection="1">
      <protection locked="0"/>
    </xf>
    <xf numFmtId="0" fontId="57" fillId="0" borderId="0" xfId="0" applyFont="1" applyFill="1" applyBorder="1" applyProtection="1">
      <protection locked="0"/>
    </xf>
    <xf numFmtId="0" fontId="57" fillId="0" borderId="0" xfId="0" applyFont="1" applyFill="1" applyProtection="1">
      <protection locked="0"/>
    </xf>
    <xf numFmtId="0" fontId="24" fillId="0" borderId="0" xfId="0" applyFont="1" applyFill="1" applyBorder="1" applyAlignment="1" applyProtection="1">
      <alignment horizontal="right" vertical="center"/>
      <protection locked="0"/>
    </xf>
    <xf numFmtId="0" fontId="25" fillId="0" borderId="0" xfId="0" applyFont="1" applyFill="1" applyBorder="1" applyProtection="1">
      <protection locked="0"/>
    </xf>
    <xf numFmtId="0" fontId="25" fillId="0" borderId="0" xfId="0" applyFont="1" applyFill="1"/>
    <xf numFmtId="0" fontId="48" fillId="0" borderId="0" xfId="0" applyFont="1" applyBorder="1" applyAlignment="1" applyProtection="1">
      <alignment horizontal="right" vertical="center"/>
      <protection locked="0"/>
    </xf>
    <xf numFmtId="172" fontId="0" fillId="0" borderId="0" xfId="3" applyNumberFormat="1" applyFont="1" applyFill="1" applyBorder="1" applyProtection="1"/>
    <xf numFmtId="172" fontId="6" fillId="0" borderId="0" xfId="3" applyNumberFormat="1" applyFont="1" applyFill="1" applyBorder="1" applyProtection="1"/>
    <xf numFmtId="0" fontId="1" fillId="0" borderId="0" xfId="0" applyFont="1" applyFill="1" applyProtection="1">
      <protection locked="0"/>
    </xf>
    <xf numFmtId="0" fontId="5" fillId="0" borderId="0" xfId="0" applyFont="1" applyBorder="1" applyAlignment="1" applyProtection="1">
      <alignment wrapText="1"/>
      <protection locked="0"/>
    </xf>
    <xf numFmtId="0" fontId="5" fillId="0" borderId="0" xfId="0" applyFont="1" applyAlignment="1" applyProtection="1">
      <alignment wrapText="1"/>
      <protection locked="0"/>
    </xf>
    <xf numFmtId="0" fontId="5" fillId="0" borderId="0" xfId="0" applyFont="1" applyAlignment="1">
      <alignment wrapText="1"/>
    </xf>
    <xf numFmtId="3" fontId="1" fillId="0" borderId="0" xfId="0" applyNumberFormat="1" applyFont="1" applyFill="1" applyBorder="1" applyProtection="1"/>
    <xf numFmtId="172" fontId="5" fillId="0" borderId="0" xfId="3" applyNumberFormat="1" applyFont="1" applyFill="1" applyBorder="1" applyProtection="1"/>
    <xf numFmtId="37" fontId="15" fillId="0" borderId="0" xfId="58" applyNumberFormat="1" applyFont="1" applyFill="1" applyBorder="1" applyProtection="1">
      <protection locked="0"/>
    </xf>
    <xf numFmtId="3" fontId="70" fillId="5" borderId="27" xfId="0" applyNumberFormat="1" applyFont="1" applyFill="1" applyBorder="1" applyAlignment="1" applyProtection="1">
      <alignment vertical="center"/>
    </xf>
    <xf numFmtId="0" fontId="71" fillId="0" borderId="0" xfId="0" applyFont="1" applyFill="1" applyBorder="1" applyAlignment="1" applyProtection="1">
      <alignment horizontal="left" vertical="center" wrapText="1" indent="1"/>
    </xf>
    <xf numFmtId="0" fontId="53" fillId="0" borderId="0" xfId="60" applyFont="1" applyFill="1" applyProtection="1">
      <protection locked="0"/>
    </xf>
    <xf numFmtId="0" fontId="43" fillId="0" borderId="0" xfId="0" applyFont="1" applyFill="1" applyBorder="1" applyAlignment="1" applyProtection="1">
      <alignment horizontal="left" vertical="center" wrapText="1" indent="1"/>
      <protection locked="0"/>
    </xf>
    <xf numFmtId="0" fontId="1" fillId="0" borderId="0" xfId="0" applyFont="1" applyFill="1"/>
    <xf numFmtId="0" fontId="1" fillId="0" borderId="0" xfId="0" applyFont="1" applyBorder="1" applyProtection="1"/>
    <xf numFmtId="0" fontId="1" fillId="0" borderId="0" xfId="0" applyFont="1" applyProtection="1"/>
    <xf numFmtId="0" fontId="19" fillId="0" borderId="0" xfId="0" applyFont="1" applyFill="1" applyBorder="1" applyAlignment="1" applyProtection="1">
      <alignment horizontal="left" indent="2"/>
      <protection locked="0"/>
    </xf>
    <xf numFmtId="0" fontId="6" fillId="0" borderId="0" xfId="0" applyFont="1" applyFill="1" applyBorder="1" applyAlignment="1" applyProtection="1">
      <alignment horizontal="right" indent="1"/>
      <protection locked="0"/>
    </xf>
    <xf numFmtId="165" fontId="6" fillId="0" borderId="0" xfId="2" applyNumberFormat="1" applyFont="1" applyFill="1" applyBorder="1" applyProtection="1">
      <protection locked="0"/>
    </xf>
    <xf numFmtId="0" fontId="45" fillId="0" borderId="0" xfId="0" applyFont="1" applyFill="1" applyBorder="1" applyAlignment="1" applyProtection="1">
      <alignment horizontal="right" indent="1"/>
      <protection locked="0"/>
    </xf>
    <xf numFmtId="10" fontId="6" fillId="0" borderId="0" xfId="2" applyNumberFormat="1" applyFont="1" applyFill="1" applyBorder="1" applyProtection="1">
      <protection locked="0"/>
    </xf>
    <xf numFmtId="171" fontId="50" fillId="0" borderId="0" xfId="0" applyNumberFormat="1" applyFont="1" applyFill="1" applyBorder="1" applyAlignment="1" applyProtection="1">
      <alignment horizontal="left" vertical="center" indent="1"/>
    </xf>
    <xf numFmtId="178" fontId="0" fillId="0" borderId="0" xfId="0" applyNumberFormat="1" applyFill="1" applyBorder="1" applyProtection="1">
      <protection locked="0"/>
    </xf>
    <xf numFmtId="1" fontId="0" fillId="0" borderId="0" xfId="0" applyNumberFormat="1" applyFill="1" applyBorder="1" applyProtection="1"/>
    <xf numFmtId="174" fontId="4" fillId="0" borderId="0" xfId="0" applyNumberFormat="1" applyFont="1" applyFill="1" applyBorder="1" applyProtection="1">
      <protection locked="0"/>
    </xf>
    <xf numFmtId="0" fontId="1" fillId="0" borderId="0" xfId="61" applyProtection="1">
      <protection locked="0"/>
    </xf>
    <xf numFmtId="0" fontId="1" fillId="0" borderId="0" xfId="61" applyBorder="1" applyProtection="1">
      <protection locked="0"/>
    </xf>
    <xf numFmtId="0" fontId="64" fillId="0" borderId="0" xfId="61" applyFont="1" applyFill="1" applyBorder="1" applyProtection="1">
      <protection locked="0"/>
    </xf>
    <xf numFmtId="0" fontId="1" fillId="0" borderId="0" xfId="61" applyFill="1" applyProtection="1">
      <protection locked="0"/>
    </xf>
    <xf numFmtId="0" fontId="1" fillId="0" borderId="0" xfId="61" applyFont="1" applyFill="1" applyBorder="1" applyAlignment="1" applyProtection="1">
      <alignment horizontal="right"/>
      <protection locked="0"/>
    </xf>
    <xf numFmtId="0" fontId="5" fillId="0" borderId="0" xfId="61" applyFont="1" applyBorder="1" applyProtection="1">
      <protection locked="0"/>
    </xf>
    <xf numFmtId="0" fontId="10" fillId="0" borderId="0" xfId="61" applyFont="1" applyFill="1" applyBorder="1" applyAlignment="1" applyProtection="1">
      <alignment horizontal="left" vertical="center"/>
      <protection locked="0"/>
    </xf>
    <xf numFmtId="0" fontId="1" fillId="0" borderId="0" xfId="61" applyFill="1" applyBorder="1" applyProtection="1">
      <protection locked="0"/>
    </xf>
    <xf numFmtId="0" fontId="1" fillId="0" borderId="0" xfId="61" applyFont="1" applyFill="1" applyBorder="1" applyProtection="1">
      <protection locked="0"/>
    </xf>
    <xf numFmtId="0" fontId="1" fillId="0" borderId="7" xfId="61" applyBorder="1" applyProtection="1">
      <protection locked="0"/>
    </xf>
    <xf numFmtId="0" fontId="1" fillId="0" borderId="0" xfId="61" applyAlignment="1" applyProtection="1">
      <alignment horizontal="left" indent="1"/>
      <protection locked="0"/>
    </xf>
    <xf numFmtId="0" fontId="1" fillId="0" borderId="0" xfId="61" applyFont="1" applyFill="1" applyBorder="1" applyAlignment="1" applyProtection="1">
      <alignment horizontal="left"/>
      <protection locked="0"/>
    </xf>
    <xf numFmtId="0" fontId="60" fillId="4" borderId="27" xfId="61" applyFont="1" applyFill="1" applyBorder="1" applyAlignment="1" applyProtection="1">
      <alignment horizontal="center"/>
    </xf>
    <xf numFmtId="0" fontId="41" fillId="0" borderId="0" xfId="61" applyFont="1" applyFill="1" applyBorder="1" applyAlignment="1" applyProtection="1">
      <alignment horizontal="left" vertical="center"/>
      <protection locked="0"/>
    </xf>
    <xf numFmtId="0" fontId="1" fillId="0" borderId="0" xfId="61" applyFill="1" applyAlignment="1" applyProtection="1">
      <alignment horizontal="left"/>
      <protection locked="0"/>
    </xf>
    <xf numFmtId="3" fontId="5" fillId="0" borderId="0" xfId="3" applyNumberFormat="1" applyFont="1" applyFill="1" applyBorder="1" applyAlignment="1" applyProtection="1">
      <alignment horizontal="left"/>
      <protection locked="0"/>
    </xf>
    <xf numFmtId="0" fontId="1" fillId="0" borderId="0" xfId="61" applyFill="1" applyBorder="1" applyAlignment="1" applyProtection="1">
      <alignment horizontal="left"/>
      <protection locked="0"/>
    </xf>
    <xf numFmtId="171" fontId="50" fillId="0" borderId="0" xfId="0" applyNumberFormat="1" applyFont="1" applyFill="1" applyBorder="1" applyAlignment="1" applyProtection="1">
      <alignment vertical="center" wrapText="1"/>
    </xf>
    <xf numFmtId="0" fontId="31" fillId="0" borderId="0" xfId="59" applyFill="1" applyProtection="1">
      <protection locked="0"/>
    </xf>
    <xf numFmtId="171" fontId="50" fillId="0" borderId="0" xfId="0" applyNumberFormat="1" applyFont="1" applyFill="1" applyBorder="1" applyAlignment="1" applyProtection="1">
      <alignment horizontal="left" vertical="center" wrapText="1"/>
    </xf>
    <xf numFmtId="172" fontId="1" fillId="0" borderId="0" xfId="3" applyNumberFormat="1" applyFill="1" applyBorder="1" applyProtection="1">
      <protection locked="0"/>
    </xf>
    <xf numFmtId="0" fontId="18" fillId="0" borderId="0" xfId="61" applyFont="1" applyFill="1" applyProtection="1">
      <protection locked="0"/>
    </xf>
    <xf numFmtId="0" fontId="5" fillId="0" borderId="0" xfId="0" applyFont="1" applyBorder="1" applyAlignment="1" applyProtection="1">
      <alignment horizontal="left" vertical="center"/>
      <protection locked="0"/>
    </xf>
    <xf numFmtId="0" fontId="26" fillId="4" borderId="31" xfId="56" applyFill="1" applyBorder="1" applyProtection="1"/>
    <xf numFmtId="0" fontId="26" fillId="4" borderId="11" xfId="56" applyFill="1" applyBorder="1" applyProtection="1"/>
    <xf numFmtId="0" fontId="26" fillId="4" borderId="9" xfId="56" applyFill="1" applyBorder="1" applyProtection="1"/>
    <xf numFmtId="171" fontId="1" fillId="0" borderId="0" xfId="0" applyNumberFormat="1" applyFont="1" applyFill="1" applyBorder="1" applyAlignment="1" applyProtection="1">
      <alignment horizontal="right"/>
    </xf>
    <xf numFmtId="171" fontId="1" fillId="0" borderId="0" xfId="0" applyNumberFormat="1" applyFont="1" applyFill="1" applyAlignment="1" applyProtection="1">
      <alignment horizontal="right"/>
    </xf>
    <xf numFmtId="3" fontId="1" fillId="4" borderId="30" xfId="0" applyNumberFormat="1" applyFont="1" applyFill="1" applyBorder="1" applyAlignment="1" applyProtection="1">
      <alignment horizontal="right"/>
    </xf>
    <xf numFmtId="3" fontId="1" fillId="4" borderId="30" xfId="0" applyNumberFormat="1" applyFont="1" applyFill="1" applyBorder="1" applyAlignment="1" applyProtection="1">
      <alignment horizontal="right" vertical="center"/>
    </xf>
    <xf numFmtId="0" fontId="1" fillId="4" borderId="28" xfId="0" applyFont="1" applyFill="1" applyBorder="1" applyAlignment="1" applyProtection="1">
      <alignment horizontal="right" vertical="center" wrapText="1" indent="1"/>
    </xf>
    <xf numFmtId="0" fontId="1" fillId="4" borderId="30" xfId="0" applyFont="1" applyFill="1" applyBorder="1" applyAlignment="1" applyProtection="1">
      <alignment horizontal="right" vertical="center" indent="1"/>
    </xf>
    <xf numFmtId="171" fontId="0" fillId="0" borderId="20" xfId="0" applyNumberFormat="1" applyBorder="1" applyAlignment="1" applyProtection="1">
      <alignment horizontal="right"/>
    </xf>
    <xf numFmtId="0" fontId="32" fillId="0" borderId="18" xfId="60" applyFill="1" applyBorder="1" applyProtection="1">
      <protection locked="0"/>
    </xf>
    <xf numFmtId="0" fontId="34" fillId="0" borderId="18" xfId="60" applyFont="1" applyFill="1" applyBorder="1" applyProtection="1">
      <protection locked="0"/>
    </xf>
    <xf numFmtId="0" fontId="5" fillId="0" borderId="22" xfId="0" applyFont="1" applyBorder="1"/>
    <xf numFmtId="0" fontId="5" fillId="0" borderId="18" xfId="0" applyFont="1" applyBorder="1" applyProtection="1">
      <protection locked="0"/>
    </xf>
    <xf numFmtId="0" fontId="0" fillId="0" borderId="18" xfId="0" applyBorder="1" applyProtection="1">
      <protection locked="0"/>
    </xf>
    <xf numFmtId="0" fontId="1" fillId="0" borderId="22" xfId="0" applyFont="1" applyFill="1" applyBorder="1" applyAlignment="1" applyProtection="1">
      <alignment horizontal="right"/>
      <protection locked="0"/>
    </xf>
    <xf numFmtId="0" fontId="25" fillId="0" borderId="0" xfId="0" applyFont="1" applyFill="1" applyBorder="1" applyAlignment="1" applyProtection="1">
      <alignment horizontal="left" indent="1"/>
      <protection locked="0"/>
    </xf>
    <xf numFmtId="169" fontId="79" fillId="0" borderId="0" xfId="0" applyNumberFormat="1" applyFont="1" applyFill="1" applyBorder="1" applyAlignment="1" applyProtection="1">
      <alignment horizontal="right" vertical="center" wrapText="1"/>
      <protection locked="0"/>
    </xf>
    <xf numFmtId="172" fontId="5" fillId="0" borderId="18" xfId="3" applyNumberFormat="1" applyFont="1" applyBorder="1" applyProtection="1">
      <protection locked="0"/>
    </xf>
    <xf numFmtId="0" fontId="5" fillId="0" borderId="19" xfId="0" applyFont="1" applyBorder="1"/>
    <xf numFmtId="0" fontId="5" fillId="0" borderId="22" xfId="0" applyFont="1" applyBorder="1" applyAlignment="1">
      <alignment horizontal="right"/>
    </xf>
    <xf numFmtId="0" fontId="39" fillId="0" borderId="19" xfId="60" applyFont="1" applyFill="1" applyBorder="1" applyAlignment="1" applyProtection="1">
      <alignment horizontal="left" vertical="center"/>
      <protection locked="0"/>
    </xf>
    <xf numFmtId="3" fontId="5" fillId="4" borderId="30" xfId="0" applyNumberFormat="1" applyFont="1" applyFill="1" applyBorder="1" applyProtection="1"/>
    <xf numFmtId="0" fontId="10" fillId="0" borderId="21" xfId="0" applyFont="1" applyFill="1" applyBorder="1" applyAlignment="1" applyProtection="1">
      <alignment horizontal="left" vertical="center"/>
      <protection locked="0"/>
    </xf>
    <xf numFmtId="0" fontId="57" fillId="0" borderId="22" xfId="0" applyFont="1" applyFill="1" applyBorder="1" applyProtection="1">
      <protection locked="0"/>
    </xf>
    <xf numFmtId="0" fontId="57" fillId="0" borderId="23" xfId="0" applyFont="1" applyFill="1" applyBorder="1" applyProtection="1">
      <protection locked="0"/>
    </xf>
    <xf numFmtId="0" fontId="58" fillId="0" borderId="24" xfId="0" applyFont="1" applyFill="1" applyBorder="1" applyAlignment="1" applyProtection="1">
      <alignment horizontal="left" vertical="center"/>
      <protection locked="0"/>
    </xf>
    <xf numFmtId="0" fontId="57" fillId="0" borderId="18" xfId="0" applyFont="1" applyFill="1" applyBorder="1" applyProtection="1">
      <protection locked="0"/>
    </xf>
    <xf numFmtId="0" fontId="57" fillId="0" borderId="20" xfId="0" applyFont="1" applyBorder="1" applyProtection="1">
      <protection locked="0"/>
    </xf>
    <xf numFmtId="171" fontId="6" fillId="0" borderId="20" xfId="0" applyNumberFormat="1" applyFont="1" applyFill="1" applyBorder="1" applyAlignment="1" applyProtection="1">
      <alignment horizontal="right"/>
      <protection locked="0"/>
    </xf>
    <xf numFmtId="0" fontId="1" fillId="0" borderId="20" xfId="0" applyFont="1" applyFill="1" applyBorder="1" applyProtection="1">
      <protection locked="0"/>
    </xf>
    <xf numFmtId="169" fontId="18" fillId="0" borderId="21" xfId="0" applyNumberFormat="1" applyFont="1" applyFill="1" applyBorder="1" applyAlignment="1" applyProtection="1">
      <alignment horizontal="left" vertical="center" wrapText="1"/>
      <protection locked="0"/>
    </xf>
    <xf numFmtId="44" fontId="15" fillId="3" borderId="30" xfId="58" applyNumberFormat="1" applyFont="1" applyFill="1" applyBorder="1" applyProtection="1">
      <protection locked="0"/>
    </xf>
    <xf numFmtId="0" fontId="5" fillId="0" borderId="18" xfId="0" applyFont="1" applyFill="1" applyBorder="1" applyProtection="1">
      <protection locked="0"/>
    </xf>
    <xf numFmtId="177" fontId="5" fillId="4" borderId="30" xfId="3" applyNumberFormat="1" applyFont="1" applyFill="1" applyBorder="1" applyProtection="1"/>
    <xf numFmtId="0" fontId="39" fillId="0" borderId="21" xfId="60" applyFont="1" applyFill="1" applyBorder="1" applyAlignment="1" applyProtection="1">
      <alignment horizontal="left" vertical="center"/>
      <protection locked="0"/>
    </xf>
    <xf numFmtId="0" fontId="32" fillId="0" borderId="20" xfId="60" applyFill="1" applyBorder="1" applyProtection="1">
      <protection locked="0"/>
    </xf>
    <xf numFmtId="0" fontId="57" fillId="0" borderId="20" xfId="0" applyFont="1" applyFill="1" applyBorder="1" applyProtection="1">
      <protection locked="0"/>
    </xf>
    <xf numFmtId="0" fontId="24" fillId="0" borderId="0" xfId="0" applyFont="1" applyBorder="1" applyAlignment="1" applyProtection="1">
      <alignment horizontal="left" vertical="center"/>
      <protection locked="0"/>
    </xf>
    <xf numFmtId="172" fontId="1" fillId="4" borderId="30" xfId="3" applyNumberFormat="1" applyFont="1" applyFill="1" applyBorder="1" applyAlignment="1" applyProtection="1">
      <alignment horizontal="right" vertical="center"/>
    </xf>
    <xf numFmtId="172" fontId="1" fillId="4" borderId="9" xfId="3" applyNumberFormat="1" applyFont="1" applyFill="1" applyBorder="1" applyAlignment="1" applyProtection="1">
      <alignment horizontal="right" vertical="center"/>
    </xf>
    <xf numFmtId="171" fontId="20" fillId="0" borderId="0" xfId="0" applyNumberFormat="1" applyFont="1" applyFill="1" applyBorder="1" applyAlignment="1" applyProtection="1">
      <alignment horizontal="left" vertical="center"/>
    </xf>
    <xf numFmtId="0" fontId="40" fillId="0" borderId="17" xfId="0" applyFont="1" applyFill="1" applyBorder="1" applyAlignment="1" applyProtection="1">
      <alignment horizontal="left" vertical="center"/>
      <protection locked="0"/>
    </xf>
    <xf numFmtId="0" fontId="57" fillId="0" borderId="18" xfId="0" applyFont="1" applyBorder="1" applyProtection="1">
      <protection locked="0"/>
    </xf>
    <xf numFmtId="0" fontId="1" fillId="0" borderId="20" xfId="0" applyFont="1" applyBorder="1" applyProtection="1">
      <protection locked="0"/>
    </xf>
    <xf numFmtId="0" fontId="5" fillId="0" borderId="21" xfId="0" applyFont="1" applyBorder="1"/>
    <xf numFmtId="171" fontId="1" fillId="0" borderId="20" xfId="0" applyNumberFormat="1" applyFont="1" applyFill="1" applyBorder="1" applyAlignment="1" applyProtection="1">
      <alignment horizontal="right"/>
    </xf>
    <xf numFmtId="0" fontId="6" fillId="0" borderId="20" xfId="0" applyFont="1" applyBorder="1" applyAlignment="1" applyProtection="1">
      <alignment horizontal="right"/>
      <protection locked="0"/>
    </xf>
    <xf numFmtId="0" fontId="6" fillId="0" borderId="20" xfId="0" applyFont="1" applyFill="1" applyBorder="1" applyAlignment="1" applyProtection="1">
      <alignment horizontal="right"/>
      <protection locked="0"/>
    </xf>
    <xf numFmtId="0" fontId="80" fillId="0" borderId="17" xfId="0" applyFont="1" applyBorder="1" applyAlignment="1" applyProtection="1">
      <alignment horizontal="left"/>
      <protection locked="0"/>
    </xf>
    <xf numFmtId="0" fontId="61" fillId="0" borderId="17" xfId="0" applyFont="1" applyBorder="1" applyAlignment="1" applyProtection="1">
      <alignment horizontal="left"/>
      <protection locked="0"/>
    </xf>
    <xf numFmtId="0" fontId="61" fillId="0" borderId="17" xfId="0" applyFont="1" applyFill="1" applyBorder="1" applyAlignment="1" applyProtection="1">
      <alignment horizontal="left" vertical="center"/>
      <protection locked="0"/>
    </xf>
    <xf numFmtId="0" fontId="1" fillId="0" borderId="23" xfId="0" applyFont="1" applyFill="1" applyBorder="1" applyProtection="1">
      <protection locked="0"/>
    </xf>
    <xf numFmtId="0" fontId="36" fillId="0" borderId="17" xfId="0" applyFont="1" applyFill="1" applyBorder="1" applyAlignment="1" applyProtection="1">
      <alignment horizontal="left" vertical="center"/>
      <protection locked="0"/>
    </xf>
    <xf numFmtId="169" fontId="18" fillId="0" borderId="19" xfId="0" applyNumberFormat="1" applyFont="1" applyFill="1" applyBorder="1" applyAlignment="1" applyProtection="1">
      <alignment horizontal="left" vertical="center" wrapText="1"/>
      <protection locked="0"/>
    </xf>
    <xf numFmtId="0" fontId="1" fillId="0" borderId="20" xfId="58" applyFont="1" applyFill="1" applyBorder="1" applyAlignment="1" applyProtection="1">
      <alignment horizontal="right"/>
      <protection locked="0"/>
    </xf>
    <xf numFmtId="172" fontId="5" fillId="4" borderId="30" xfId="3" applyNumberFormat="1" applyFont="1" applyFill="1" applyBorder="1" applyProtection="1"/>
    <xf numFmtId="0" fontId="1" fillId="0" borderId="20" xfId="0" applyFont="1" applyBorder="1" applyAlignment="1" applyProtection="1">
      <alignment horizontal="right"/>
      <protection locked="0"/>
    </xf>
    <xf numFmtId="0" fontId="5" fillId="0" borderId="20" xfId="0" applyFont="1" applyFill="1" applyBorder="1" applyProtection="1">
      <protection locked="0"/>
    </xf>
    <xf numFmtId="0" fontId="18" fillId="0" borderId="21" xfId="0" applyFont="1" applyFill="1" applyBorder="1" applyAlignment="1" applyProtection="1">
      <alignment horizontal="left" vertical="center"/>
      <protection locked="0"/>
    </xf>
    <xf numFmtId="172" fontId="6" fillId="0" borderId="18" xfId="3" applyNumberFormat="1" applyFont="1" applyFill="1" applyBorder="1" applyProtection="1"/>
    <xf numFmtId="0" fontId="1" fillId="0" borderId="22" xfId="0" applyFont="1" applyBorder="1" applyProtection="1">
      <protection locked="0"/>
    </xf>
    <xf numFmtId="0" fontId="5" fillId="0" borderId="18" xfId="0" applyFont="1" applyBorder="1" applyAlignment="1" applyProtection="1">
      <alignment horizontal="right"/>
      <protection locked="0"/>
    </xf>
    <xf numFmtId="0" fontId="5" fillId="0" borderId="21" xfId="0" applyFont="1" applyFill="1" applyBorder="1"/>
    <xf numFmtId="0" fontId="1" fillId="0" borderId="20" xfId="0" applyFont="1" applyFill="1" applyBorder="1" applyAlignment="1" applyProtection="1">
      <alignment horizontal="right"/>
      <protection locked="0"/>
    </xf>
    <xf numFmtId="0" fontId="63" fillId="0" borderId="18" xfId="0" applyFont="1" applyBorder="1" applyAlignment="1" applyProtection="1">
      <alignment horizontal="right"/>
      <protection locked="0"/>
    </xf>
    <xf numFmtId="1" fontId="6" fillId="4" borderId="30" xfId="0" applyNumberFormat="1" applyFont="1" applyFill="1" applyBorder="1" applyProtection="1"/>
    <xf numFmtId="0" fontId="63" fillId="0" borderId="18" xfId="0" applyFont="1" applyBorder="1" applyProtection="1">
      <protection locked="0"/>
    </xf>
    <xf numFmtId="0" fontId="57" fillId="0" borderId="0" xfId="0" applyFont="1" applyFill="1" applyBorder="1" applyAlignment="1" applyProtection="1">
      <alignment horizontal="left" wrapText="1"/>
      <protection locked="0"/>
    </xf>
    <xf numFmtId="0" fontId="57" fillId="0" borderId="22" xfId="0" applyFont="1" applyFill="1" applyBorder="1" applyAlignment="1" applyProtection="1">
      <alignment horizontal="left" wrapText="1"/>
      <protection locked="0"/>
    </xf>
    <xf numFmtId="0" fontId="56" fillId="0" borderId="20" xfId="0" applyFont="1" applyBorder="1" applyAlignment="1" applyProtection="1">
      <alignment horizontal="right"/>
      <protection locked="0"/>
    </xf>
    <xf numFmtId="0" fontId="57" fillId="0" borderId="0" xfId="0" applyFont="1" applyFill="1" applyBorder="1" applyAlignment="1" applyProtection="1">
      <alignment wrapText="1"/>
      <protection locked="0"/>
    </xf>
    <xf numFmtId="0" fontId="5" fillId="0" borderId="22" xfId="0" applyFont="1" applyBorder="1" applyProtection="1">
      <protection locked="0"/>
    </xf>
    <xf numFmtId="0" fontId="5" fillId="0" borderId="17" xfId="0" applyFont="1" applyFill="1" applyBorder="1"/>
    <xf numFmtId="0" fontId="24" fillId="0" borderId="18" xfId="0" applyFont="1" applyBorder="1" applyAlignment="1" applyProtection="1">
      <alignment horizontal="right"/>
      <protection locked="0"/>
    </xf>
    <xf numFmtId="172" fontId="15" fillId="5" borderId="30" xfId="3" applyNumberFormat="1" applyFont="1" applyFill="1" applyBorder="1" applyProtection="1"/>
    <xf numFmtId="0" fontId="5" fillId="0" borderId="20" xfId="0" applyFont="1" applyFill="1" applyBorder="1"/>
    <xf numFmtId="0" fontId="5" fillId="0" borderId="17" xfId="0" applyFont="1" applyBorder="1" applyAlignment="1">
      <alignment vertical="center"/>
    </xf>
    <xf numFmtId="0" fontId="59" fillId="0" borderId="18" xfId="0" applyFont="1" applyBorder="1" applyAlignment="1" applyProtection="1">
      <alignment horizontal="right"/>
      <protection locked="0"/>
    </xf>
    <xf numFmtId="0" fontId="5" fillId="0" borderId="18" xfId="0" applyFont="1" applyBorder="1" applyAlignment="1">
      <alignment vertical="center"/>
    </xf>
    <xf numFmtId="0" fontId="5" fillId="0" borderId="19" xfId="0" applyFont="1" applyBorder="1" applyAlignment="1">
      <alignment vertical="center"/>
    </xf>
    <xf numFmtId="172" fontId="15" fillId="3" borderId="12" xfId="58" applyNumberFormat="1" applyFont="1" applyFill="1" applyBorder="1" applyProtection="1">
      <protection locked="0"/>
    </xf>
    <xf numFmtId="172" fontId="57" fillId="4" borderId="30" xfId="0" applyNumberFormat="1" applyFont="1" applyFill="1" applyBorder="1" applyProtection="1">
      <protection locked="0"/>
    </xf>
    <xf numFmtId="0" fontId="0" fillId="0" borderId="24" xfId="0" applyFill="1" applyBorder="1" applyProtection="1">
      <protection locked="0"/>
    </xf>
    <xf numFmtId="0" fontId="40" fillId="0" borderId="18" xfId="0" applyFont="1" applyFill="1" applyBorder="1" applyAlignment="1" applyProtection="1">
      <alignment horizontal="left" vertical="center"/>
      <protection locked="0"/>
    </xf>
    <xf numFmtId="37" fontId="1" fillId="0" borderId="0" xfId="0" applyNumberFormat="1" applyFont="1" applyFill="1" applyBorder="1" applyProtection="1"/>
    <xf numFmtId="0" fontId="25" fillId="0" borderId="0" xfId="0" applyFont="1" applyFill="1" applyBorder="1" applyAlignment="1" applyProtection="1">
      <alignment horizontal="right" vertical="center"/>
      <protection locked="0"/>
    </xf>
    <xf numFmtId="0" fontId="81" fillId="0" borderId="0" xfId="0" applyFont="1" applyFill="1" applyBorder="1" applyAlignment="1" applyProtection="1">
      <alignment horizontal="right" vertical="center"/>
      <protection locked="0"/>
    </xf>
    <xf numFmtId="171" fontId="50" fillId="0" borderId="22" xfId="0" applyNumberFormat="1" applyFont="1" applyFill="1" applyBorder="1" applyAlignment="1" applyProtection="1">
      <alignment horizontal="left" vertical="center" indent="1"/>
    </xf>
    <xf numFmtId="178" fontId="0" fillId="0" borderId="18" xfId="0" applyNumberFormat="1" applyFill="1" applyBorder="1" applyProtection="1">
      <protection locked="0"/>
    </xf>
    <xf numFmtId="172" fontId="0" fillId="0" borderId="18" xfId="3" applyNumberFormat="1" applyFont="1" applyFill="1" applyBorder="1" applyProtection="1"/>
    <xf numFmtId="0" fontId="5" fillId="0" borderId="17" xfId="0" applyFont="1" applyBorder="1"/>
    <xf numFmtId="0" fontId="18" fillId="0" borderId="21" xfId="0" applyFont="1" applyBorder="1" applyProtection="1">
      <protection locked="0"/>
    </xf>
    <xf numFmtId="172" fontId="1" fillId="4" borderId="30" xfId="3" applyNumberFormat="1" applyFont="1" applyFill="1" applyBorder="1" applyProtection="1"/>
    <xf numFmtId="172" fontId="1" fillId="0" borderId="0" xfId="3" applyNumberFormat="1" applyFont="1" applyFill="1" applyBorder="1" applyProtection="1"/>
    <xf numFmtId="172" fontId="1" fillId="4" borderId="29" xfId="3" applyNumberFormat="1" applyFont="1" applyFill="1" applyBorder="1" applyProtection="1"/>
    <xf numFmtId="0" fontId="1" fillId="0" borderId="18" xfId="61" applyFill="1" applyBorder="1" applyProtection="1">
      <protection locked="0"/>
    </xf>
    <xf numFmtId="0" fontId="1" fillId="0" borderId="19" xfId="61" applyBorder="1" applyProtection="1">
      <protection locked="0"/>
    </xf>
    <xf numFmtId="0" fontId="18" fillId="0" borderId="21" xfId="61" applyFont="1" applyBorder="1" applyProtection="1">
      <protection locked="0"/>
    </xf>
    <xf numFmtId="0" fontId="1" fillId="0" borderId="22" xfId="61" applyFont="1" applyFill="1" applyBorder="1" applyProtection="1">
      <protection locked="0"/>
    </xf>
    <xf numFmtId="0" fontId="1" fillId="0" borderId="23" xfId="61" applyFill="1" applyBorder="1" applyProtection="1">
      <protection locked="0"/>
    </xf>
    <xf numFmtId="0" fontId="1" fillId="0" borderId="24" xfId="61" applyBorder="1" applyProtection="1">
      <protection locked="0"/>
    </xf>
    <xf numFmtId="0" fontId="40" fillId="0" borderId="20" xfId="61" applyFont="1" applyFill="1" applyBorder="1" applyAlignment="1" applyProtection="1">
      <alignment horizontal="left" vertical="center"/>
      <protection locked="0"/>
    </xf>
    <xf numFmtId="3" fontId="5" fillId="3" borderId="30" xfId="3" applyNumberFormat="1" applyFont="1" applyFill="1" applyBorder="1" applyProtection="1">
      <protection locked="0"/>
    </xf>
    <xf numFmtId="0" fontId="5" fillId="0" borderId="22" xfId="0" applyFont="1" applyFill="1" applyBorder="1" applyAlignment="1" applyProtection="1">
      <alignment horizontal="left" indent="2"/>
      <protection locked="0"/>
    </xf>
    <xf numFmtId="0" fontId="1" fillId="0" borderId="20" xfId="61" applyBorder="1" applyProtection="1">
      <protection locked="0"/>
    </xf>
    <xf numFmtId="0" fontId="1" fillId="0" borderId="21" xfId="61" applyBorder="1" applyProtection="1">
      <protection locked="0"/>
    </xf>
    <xf numFmtId="0" fontId="1" fillId="0" borderId="20" xfId="61" applyFont="1" applyFill="1" applyBorder="1" applyAlignment="1" applyProtection="1">
      <alignment horizontal="right"/>
      <protection locked="0"/>
    </xf>
    <xf numFmtId="0" fontId="1" fillId="0" borderId="21" xfId="61" applyFill="1" applyBorder="1" applyProtection="1">
      <protection locked="0"/>
    </xf>
    <xf numFmtId="0" fontId="1" fillId="0" borderId="24" xfId="61" applyFill="1" applyBorder="1" applyProtection="1">
      <protection locked="0"/>
    </xf>
    <xf numFmtId="0" fontId="1" fillId="0" borderId="0" xfId="61" applyFont="1" applyBorder="1" applyProtection="1">
      <protection locked="0"/>
    </xf>
    <xf numFmtId="0" fontId="1" fillId="0" borderId="0" xfId="61" applyFont="1" applyProtection="1">
      <protection locked="0"/>
    </xf>
    <xf numFmtId="0" fontId="1" fillId="0" borderId="19" xfId="61" applyFill="1" applyBorder="1" applyProtection="1">
      <protection locked="0"/>
    </xf>
    <xf numFmtId="0" fontId="1" fillId="0" borderId="20" xfId="61" applyFont="1" applyFill="1" applyBorder="1" applyProtection="1">
      <protection locked="0"/>
    </xf>
    <xf numFmtId="0" fontId="64" fillId="0" borderId="24" xfId="61" applyFont="1" applyFill="1" applyBorder="1" applyProtection="1">
      <protection locked="0"/>
    </xf>
    <xf numFmtId="0" fontId="64" fillId="0" borderId="19" xfId="61" applyFont="1" applyFill="1" applyBorder="1" applyProtection="1">
      <protection locked="0"/>
    </xf>
    <xf numFmtId="0" fontId="24" fillId="0" borderId="20" xfId="61" applyFont="1" applyFill="1" applyBorder="1" applyAlignment="1" applyProtection="1">
      <alignment horizontal="right"/>
      <protection locked="0"/>
    </xf>
    <xf numFmtId="0" fontId="59" fillId="0" borderId="20" xfId="61" applyFont="1" applyFill="1" applyBorder="1" applyAlignment="1" applyProtection="1">
      <alignment horizontal="right"/>
      <protection locked="0"/>
    </xf>
    <xf numFmtId="0" fontId="48" fillId="0" borderId="20" xfId="61" applyFont="1" applyFill="1" applyBorder="1" applyAlignment="1" applyProtection="1">
      <alignment horizontal="right"/>
      <protection locked="0"/>
    </xf>
    <xf numFmtId="172" fontId="1" fillId="4" borderId="30" xfId="3" applyNumberFormat="1" applyFill="1" applyBorder="1" applyProtection="1">
      <protection locked="0"/>
    </xf>
    <xf numFmtId="3" fontId="40" fillId="0" borderId="0" xfId="61" applyNumberFormat="1" applyFont="1" applyFill="1" applyBorder="1" applyProtection="1"/>
    <xf numFmtId="0" fontId="1" fillId="0" borderId="0" xfId="61" applyFill="1" applyBorder="1" applyProtection="1"/>
    <xf numFmtId="0" fontId="5" fillId="0" borderId="0" xfId="61" applyFont="1" applyFill="1" applyProtection="1">
      <protection locked="0"/>
    </xf>
    <xf numFmtId="0" fontId="24" fillId="0" borderId="17" xfId="0" applyFont="1" applyBorder="1" applyAlignment="1" applyProtection="1">
      <alignment horizontal="right"/>
      <protection locked="0"/>
    </xf>
    <xf numFmtId="166" fontId="5" fillId="0" borderId="18" xfId="61" applyNumberFormat="1" applyFont="1" applyBorder="1" applyProtection="1">
      <protection locked="0"/>
    </xf>
    <xf numFmtId="0" fontId="5" fillId="0" borderId="19" xfId="61" applyFont="1" applyBorder="1" applyProtection="1">
      <protection locked="0"/>
    </xf>
    <xf numFmtId="0" fontId="5" fillId="0" borderId="20" xfId="61" applyFont="1" applyBorder="1" applyProtection="1">
      <protection locked="0"/>
    </xf>
    <xf numFmtId="172" fontId="5" fillId="5" borderId="30" xfId="3" applyNumberFormat="1" applyFont="1" applyFill="1" applyBorder="1" applyProtection="1"/>
    <xf numFmtId="172" fontId="4" fillId="5" borderId="30" xfId="3" applyNumberFormat="1" applyFont="1" applyFill="1" applyBorder="1" applyProtection="1"/>
    <xf numFmtId="0" fontId="1" fillId="0" borderId="22" xfId="61" applyBorder="1" applyProtection="1">
      <protection locked="0"/>
    </xf>
    <xf numFmtId="0" fontId="1" fillId="0" borderId="23" xfId="61" applyBorder="1" applyProtection="1">
      <protection locked="0"/>
    </xf>
    <xf numFmtId="0" fontId="5" fillId="0" borderId="17" xfId="61" applyFont="1" applyBorder="1"/>
    <xf numFmtId="0" fontId="48" fillId="0" borderId="18" xfId="0" applyFont="1" applyBorder="1" applyAlignment="1" applyProtection="1">
      <alignment horizontal="right"/>
      <protection locked="0"/>
    </xf>
    <xf numFmtId="0" fontId="1" fillId="0" borderId="17" xfId="61" applyFill="1" applyBorder="1" applyProtection="1">
      <protection locked="0"/>
    </xf>
    <xf numFmtId="0" fontId="1" fillId="0" borderId="18" xfId="61" applyBorder="1"/>
    <xf numFmtId="0" fontId="1" fillId="0" borderId="19" xfId="61" applyBorder="1"/>
    <xf numFmtId="0" fontId="0" fillId="0" borderId="21" xfId="0" applyBorder="1" applyAlignment="1" applyProtection="1">
      <alignment horizontal="center" vertical="center" wrapText="1"/>
      <protection locked="0"/>
    </xf>
    <xf numFmtId="3" fontId="0" fillId="4" borderId="30" xfId="3" applyNumberFormat="1" applyFont="1" applyFill="1" applyBorder="1" applyProtection="1"/>
    <xf numFmtId="0" fontId="5" fillId="0" borderId="20" xfId="0" applyFont="1" applyFill="1" applyBorder="1" applyAlignment="1">
      <alignment horizontal="right"/>
    </xf>
    <xf numFmtId="1" fontId="0" fillId="3" borderId="30" xfId="0" applyNumberFormat="1" applyFill="1" applyBorder="1" applyProtection="1">
      <protection locked="0"/>
    </xf>
    <xf numFmtId="3" fontId="0" fillId="4" borderId="30" xfId="3" applyNumberFormat="1" applyFont="1" applyFill="1" applyBorder="1"/>
    <xf numFmtId="0" fontId="0" fillId="0" borderId="21" xfId="0" applyFill="1" applyBorder="1" applyAlignment="1">
      <alignment horizontal="center" vertical="center" wrapText="1"/>
    </xf>
    <xf numFmtId="0" fontId="0" fillId="0" borderId="20" xfId="0" applyBorder="1"/>
    <xf numFmtId="0" fontId="0" fillId="0" borderId="21" xfId="0" applyBorder="1"/>
    <xf numFmtId="1" fontId="0" fillId="4" borderId="30" xfId="0" applyNumberFormat="1" applyFill="1" applyBorder="1"/>
    <xf numFmtId="0" fontId="24" fillId="0" borderId="20" xfId="0" applyFont="1" applyBorder="1"/>
    <xf numFmtId="172" fontId="24" fillId="4" borderId="30" xfId="3" applyNumberFormat="1" applyFont="1" applyFill="1" applyBorder="1"/>
    <xf numFmtId="0" fontId="0" fillId="0" borderId="22" xfId="0" applyBorder="1"/>
    <xf numFmtId="0" fontId="0" fillId="0" borderId="23" xfId="0" applyBorder="1"/>
    <xf numFmtId="0" fontId="0" fillId="0" borderId="24" xfId="0" applyBorder="1"/>
    <xf numFmtId="0" fontId="0" fillId="0" borderId="18" xfId="0" applyBorder="1"/>
    <xf numFmtId="0" fontId="0" fillId="0" borderId="19" xfId="0" applyBorder="1"/>
    <xf numFmtId="0" fontId="0" fillId="0" borderId="21" xfId="0" applyBorder="1" applyAlignment="1">
      <alignment horizontal="center" vertical="center" wrapText="1"/>
    </xf>
    <xf numFmtId="0" fontId="5" fillId="0" borderId="17" xfId="0" applyFont="1" applyBorder="1" applyProtection="1">
      <protection locked="0"/>
    </xf>
    <xf numFmtId="166" fontId="5" fillId="0" borderId="18" xfId="0" applyNumberFormat="1" applyFont="1" applyBorder="1" applyProtection="1">
      <protection locked="0"/>
    </xf>
    <xf numFmtId="166" fontId="5" fillId="0" borderId="19" xfId="0" applyNumberFormat="1" applyFont="1" applyBorder="1" applyProtection="1">
      <protection locked="0"/>
    </xf>
    <xf numFmtId="0" fontId="63" fillId="0" borderId="0" xfId="61" applyFont="1" applyAlignment="1">
      <alignment horizontal="left" indent="1"/>
    </xf>
    <xf numFmtId="0" fontId="63" fillId="0" borderId="0" xfId="0" applyFont="1" applyBorder="1" applyProtection="1">
      <protection locked="0"/>
    </xf>
    <xf numFmtId="0" fontId="63" fillId="0" borderId="0" xfId="0" applyFont="1"/>
    <xf numFmtId="0" fontId="63" fillId="0" borderId="17" xfId="0" applyFont="1" applyBorder="1" applyProtection="1">
      <protection locked="0"/>
    </xf>
    <xf numFmtId="166" fontId="63" fillId="0" borderId="18" xfId="0" applyNumberFormat="1" applyFont="1" applyBorder="1" applyProtection="1">
      <protection locked="0"/>
    </xf>
    <xf numFmtId="166" fontId="63" fillId="0" borderId="19" xfId="0" applyNumberFormat="1" applyFont="1" applyBorder="1" applyProtection="1">
      <protection locked="0"/>
    </xf>
    <xf numFmtId="172" fontId="4" fillId="5" borderId="33" xfId="3" applyNumberFormat="1" applyFont="1" applyFill="1" applyBorder="1" applyProtection="1"/>
    <xf numFmtId="0" fontId="18" fillId="0" borderId="24" xfId="0" applyFont="1" applyBorder="1" applyProtection="1">
      <protection locked="0"/>
    </xf>
    <xf numFmtId="172" fontId="4" fillId="0" borderId="26" xfId="3" applyNumberFormat="1" applyFont="1" applyBorder="1" applyAlignment="1" applyProtection="1">
      <alignment vertical="center"/>
      <protection locked="0"/>
    </xf>
    <xf numFmtId="169" fontId="18" fillId="0" borderId="0" xfId="0" applyNumberFormat="1" applyFont="1" applyFill="1" applyBorder="1" applyAlignment="1" applyProtection="1">
      <alignment horizontal="left" vertical="center" wrapText="1"/>
    </xf>
    <xf numFmtId="0" fontId="37" fillId="0" borderId="18" xfId="0" applyFont="1" applyFill="1" applyBorder="1" applyAlignment="1" applyProtection="1">
      <alignment horizontal="left" vertical="center"/>
      <protection locked="0"/>
    </xf>
    <xf numFmtId="0" fontId="5" fillId="0" borderId="21" xfId="61" applyFont="1" applyBorder="1"/>
    <xf numFmtId="0" fontId="5" fillId="0" borderId="20" xfId="0" applyFont="1" applyBorder="1" applyAlignment="1">
      <alignment horizontal="right"/>
    </xf>
    <xf numFmtId="0" fontId="9" fillId="0" borderId="0" xfId="0" applyFont="1" applyFill="1"/>
    <xf numFmtId="166" fontId="5" fillId="0" borderId="0" xfId="0" applyNumberFormat="1" applyFont="1" applyFill="1"/>
    <xf numFmtId="172" fontId="4" fillId="5" borderId="32" xfId="3" applyNumberFormat="1" applyFont="1" applyFill="1" applyBorder="1"/>
    <xf numFmtId="0" fontId="18" fillId="0" borderId="21" xfId="0" applyFont="1" applyFill="1" applyBorder="1" applyProtection="1">
      <protection locked="0"/>
    </xf>
    <xf numFmtId="0" fontId="5" fillId="0" borderId="30" xfId="0" applyFont="1" applyBorder="1"/>
    <xf numFmtId="0" fontId="4" fillId="0" borderId="18" xfId="0" applyFont="1" applyBorder="1" applyAlignment="1" applyProtection="1">
      <alignment horizontal="right"/>
      <protection locked="0"/>
    </xf>
    <xf numFmtId="0" fontId="62" fillId="0" borderId="0" xfId="0" applyFont="1" applyBorder="1" applyAlignment="1" applyProtection="1">
      <alignment horizontal="right"/>
      <protection locked="0"/>
    </xf>
    <xf numFmtId="0" fontId="62" fillId="0" borderId="0" xfId="0" applyFont="1" applyFill="1" applyBorder="1" applyAlignment="1" applyProtection="1">
      <alignment horizontal="right"/>
      <protection locked="0"/>
    </xf>
    <xf numFmtId="0" fontId="45" fillId="0" borderId="0" xfId="0" applyFont="1" applyBorder="1" applyAlignment="1" applyProtection="1">
      <alignment horizontal="right"/>
      <protection locked="0"/>
    </xf>
    <xf numFmtId="0" fontId="4" fillId="4" borderId="30" xfId="61" applyFont="1" applyFill="1" applyBorder="1" applyAlignment="1">
      <alignment horizontal="right" vertical="center"/>
    </xf>
    <xf numFmtId="0" fontId="6" fillId="4" borderId="30" xfId="61" applyFont="1" applyFill="1" applyBorder="1" applyAlignment="1">
      <alignment horizontal="right"/>
    </xf>
    <xf numFmtId="0" fontId="6" fillId="0" borderId="0" xfId="61" applyFont="1" applyFill="1" applyBorder="1" applyAlignment="1">
      <alignment horizontal="right"/>
    </xf>
    <xf numFmtId="37" fontId="1" fillId="0" borderId="0" xfId="61" applyNumberFormat="1" applyFill="1" applyBorder="1"/>
    <xf numFmtId="0" fontId="80" fillId="0" borderId="0" xfId="0" applyFont="1" applyBorder="1" applyAlignment="1" applyProtection="1">
      <alignment horizontal="right"/>
      <protection locked="0"/>
    </xf>
    <xf numFmtId="37" fontId="24" fillId="4" borderId="30" xfId="61" applyNumberFormat="1" applyFont="1" applyFill="1" applyBorder="1"/>
    <xf numFmtId="0" fontId="1" fillId="0" borderId="47" xfId="61" applyBorder="1"/>
    <xf numFmtId="0" fontId="80" fillId="0" borderId="20" xfId="0" applyFont="1" applyBorder="1" applyAlignment="1" applyProtection="1">
      <alignment horizontal="left"/>
      <protection locked="0"/>
    </xf>
    <xf numFmtId="0" fontId="1" fillId="0" borderId="21" xfId="61" applyBorder="1"/>
    <xf numFmtId="0" fontId="1" fillId="0" borderId="20" xfId="61" applyBorder="1"/>
    <xf numFmtId="0" fontId="1" fillId="0" borderId="0" xfId="61" applyBorder="1" applyAlignment="1">
      <alignment horizontal="right" vertical="center"/>
    </xf>
    <xf numFmtId="0" fontId="4" fillId="0" borderId="20" xfId="61" applyFont="1" applyFill="1" applyBorder="1" applyAlignment="1">
      <alignment horizontal="right" vertical="center"/>
    </xf>
    <xf numFmtId="0" fontId="1" fillId="0" borderId="0" xfId="61" applyBorder="1" applyAlignment="1">
      <alignment horizontal="right"/>
    </xf>
    <xf numFmtId="0" fontId="1" fillId="0" borderId="21" xfId="61" applyFill="1" applyBorder="1"/>
    <xf numFmtId="0" fontId="1" fillId="0" borderId="22" xfId="61" applyBorder="1"/>
    <xf numFmtId="0" fontId="1" fillId="0" borderId="24" xfId="61" applyBorder="1"/>
    <xf numFmtId="0" fontId="1" fillId="0" borderId="23" xfId="61" applyBorder="1"/>
    <xf numFmtId="0" fontId="61" fillId="0" borderId="0" xfId="0" applyFont="1" applyBorder="1" applyAlignment="1" applyProtection="1">
      <alignment horizontal="right"/>
      <protection locked="0"/>
    </xf>
    <xf numFmtId="0" fontId="82" fillId="0" borderId="17" xfId="0" applyFont="1" applyBorder="1" applyAlignment="1" applyProtection="1">
      <alignment horizontal="left"/>
      <protection locked="0"/>
    </xf>
    <xf numFmtId="172" fontId="5" fillId="5" borderId="48" xfId="3" applyNumberFormat="1" applyFont="1" applyFill="1" applyBorder="1" applyProtection="1"/>
    <xf numFmtId="0" fontId="25" fillId="0" borderId="0" xfId="0" applyFont="1" applyBorder="1" applyAlignment="1" applyProtection="1">
      <alignment horizontal="right"/>
      <protection locked="0"/>
    </xf>
    <xf numFmtId="172" fontId="15" fillId="4" borderId="12" xfId="58" applyNumberFormat="1" applyFont="1" applyFill="1" applyBorder="1" applyProtection="1">
      <protection locked="0"/>
    </xf>
    <xf numFmtId="0" fontId="33" fillId="14" borderId="29" xfId="0" applyFont="1" applyFill="1" applyBorder="1" applyAlignment="1" applyProtection="1">
      <alignment vertical="center"/>
    </xf>
    <xf numFmtId="0" fontId="0" fillId="0" borderId="17" xfId="0" applyBorder="1"/>
    <xf numFmtId="0" fontId="0" fillId="0" borderId="47" xfId="0" applyBorder="1"/>
    <xf numFmtId="0" fontId="0" fillId="0" borderId="50" xfId="0" applyBorder="1"/>
    <xf numFmtId="0" fontId="0" fillId="0" borderId="51" xfId="0" applyBorder="1"/>
    <xf numFmtId="1" fontId="0" fillId="14" borderId="48" xfId="0" applyNumberFormat="1" applyFill="1" applyBorder="1"/>
    <xf numFmtId="1" fontId="5" fillId="0" borderId="0" xfId="0" applyNumberFormat="1" applyFont="1" applyBorder="1" applyProtection="1">
      <protection locked="0"/>
    </xf>
    <xf numFmtId="37" fontId="1" fillId="4" borderId="48" xfId="0" applyNumberFormat="1" applyFont="1" applyFill="1" applyBorder="1" applyProtection="1"/>
    <xf numFmtId="37" fontId="1" fillId="0" borderId="18" xfId="0" applyNumberFormat="1" applyFont="1" applyFill="1" applyBorder="1" applyProtection="1"/>
    <xf numFmtId="0" fontId="0" fillId="0" borderId="47" xfId="0" applyBorder="1" applyProtection="1">
      <protection locked="0"/>
    </xf>
    <xf numFmtId="0" fontId="48" fillId="0" borderId="50" xfId="0" applyFont="1" applyFill="1" applyBorder="1" applyAlignment="1" applyProtection="1">
      <alignment horizontal="right" vertical="center"/>
      <protection locked="0"/>
    </xf>
    <xf numFmtId="37" fontId="1" fillId="0" borderId="50" xfId="0" applyNumberFormat="1" applyFont="1" applyFill="1" applyBorder="1" applyProtection="1"/>
    <xf numFmtId="0" fontId="5" fillId="0" borderId="51" xfId="0" applyFont="1" applyBorder="1" applyProtection="1">
      <protection locked="0"/>
    </xf>
    <xf numFmtId="169" fontId="4" fillId="4" borderId="48" xfId="0" applyNumberFormat="1" applyFont="1" applyFill="1" applyBorder="1" applyAlignment="1" applyProtection="1">
      <alignment horizontal="center" vertical="center" wrapText="1"/>
    </xf>
    <xf numFmtId="172" fontId="0" fillId="0" borderId="0" xfId="3" applyNumberFormat="1" applyFont="1" applyFill="1" applyBorder="1" applyAlignment="1" applyProtection="1">
      <alignment horizontal="right"/>
    </xf>
    <xf numFmtId="0" fontId="0" fillId="0" borderId="20" xfId="0" applyFill="1" applyBorder="1"/>
    <xf numFmtId="0" fontId="5" fillId="0" borderId="0" xfId="0" applyFont="1" applyFill="1" applyBorder="1" applyAlignment="1">
      <alignment horizontal="right"/>
    </xf>
    <xf numFmtId="172" fontId="0" fillId="0" borderId="0" xfId="3" applyNumberFormat="1" applyFont="1" applyFill="1" applyBorder="1"/>
    <xf numFmtId="0" fontId="5" fillId="0" borderId="21" xfId="61" applyFont="1" applyFill="1" applyBorder="1"/>
    <xf numFmtId="1" fontId="5" fillId="0" borderId="21" xfId="0" applyNumberFormat="1" applyFont="1" applyBorder="1" applyProtection="1">
      <protection locked="0"/>
    </xf>
    <xf numFmtId="170" fontId="1" fillId="4" borderId="48" xfId="0" applyNumberFormat="1" applyFont="1" applyFill="1" applyBorder="1" applyAlignment="1" applyProtection="1">
      <alignment horizontal="center"/>
    </xf>
    <xf numFmtId="0" fontId="2" fillId="0" borderId="0" xfId="0" applyFont="1" applyBorder="1" applyProtection="1">
      <protection locked="0"/>
    </xf>
    <xf numFmtId="0" fontId="84" fillId="0" borderId="0" xfId="0" applyFont="1" applyBorder="1" applyAlignment="1" applyProtection="1">
      <alignment horizontal="right"/>
      <protection locked="0"/>
    </xf>
    <xf numFmtId="0" fontId="0" fillId="0" borderId="51" xfId="0" applyBorder="1" applyProtection="1">
      <protection locked="0"/>
    </xf>
    <xf numFmtId="0" fontId="88" fillId="0" borderId="0" xfId="0" applyFont="1" applyBorder="1" applyAlignment="1" applyProtection="1">
      <alignment horizontal="left" indent="1"/>
      <protection locked="0"/>
    </xf>
    <xf numFmtId="0" fontId="88" fillId="0" borderId="21" xfId="0" applyFont="1" applyBorder="1" applyAlignment="1" applyProtection="1">
      <alignment horizontal="left" indent="1"/>
      <protection locked="0"/>
    </xf>
    <xf numFmtId="0" fontId="2" fillId="0" borderId="21" xfId="0" applyFont="1" applyBorder="1" applyProtection="1">
      <protection locked="0"/>
    </xf>
    <xf numFmtId="0" fontId="6" fillId="0" borderId="0" xfId="0" applyFont="1" applyBorder="1" applyAlignment="1" applyProtection="1">
      <alignment horizontal="left" vertical="center"/>
      <protection locked="0"/>
    </xf>
    <xf numFmtId="0" fontId="2" fillId="0" borderId="0" xfId="0" applyFont="1" applyFill="1" applyBorder="1" applyAlignment="1" applyProtection="1">
      <alignment horizontal="left" indent="4"/>
      <protection locked="0"/>
    </xf>
    <xf numFmtId="0" fontId="2" fillId="0" borderId="0" xfId="0" applyFont="1" applyFill="1"/>
    <xf numFmtId="0" fontId="2" fillId="0" borderId="0" xfId="0" applyFont="1" applyBorder="1" applyAlignment="1" applyProtection="1">
      <alignment horizontal="left" indent="4"/>
      <protection locked="0"/>
    </xf>
    <xf numFmtId="0" fontId="84" fillId="0" borderId="0" xfId="0" applyFont="1" applyBorder="1" applyAlignment="1" applyProtection="1">
      <alignment horizontal="left" vertical="center"/>
      <protection locked="0"/>
    </xf>
    <xf numFmtId="0" fontId="2" fillId="0" borderId="0" xfId="0" applyFont="1"/>
    <xf numFmtId="0" fontId="2" fillId="0" borderId="0" xfId="0" applyFont="1" applyBorder="1" applyAlignment="1" applyProtection="1">
      <alignment horizontal="right" vertical="center"/>
      <protection locked="0"/>
    </xf>
    <xf numFmtId="1" fontId="2" fillId="3" borderId="48" xfId="2" applyNumberFormat="1" applyFont="1" applyFill="1" applyBorder="1" applyAlignment="1" applyProtection="1">
      <alignment horizontal="right" vertical="center"/>
      <protection locked="0"/>
    </xf>
    <xf numFmtId="0" fontId="84" fillId="0" borderId="0" xfId="0" applyFont="1" applyBorder="1" applyAlignment="1" applyProtection="1">
      <alignment horizontal="right" vertical="center"/>
      <protection locked="0"/>
    </xf>
    <xf numFmtId="9" fontId="2" fillId="3" borderId="48" xfId="2" applyNumberFormat="1" applyFont="1" applyFill="1" applyBorder="1" applyAlignment="1" applyProtection="1">
      <alignment horizontal="right" vertical="center"/>
      <protection locked="0"/>
    </xf>
    <xf numFmtId="0" fontId="2" fillId="0" borderId="0" xfId="0" applyFont="1" applyBorder="1" applyAlignment="1" applyProtection="1">
      <alignment horizontal="right"/>
      <protection locked="0"/>
    </xf>
    <xf numFmtId="0" fontId="93" fillId="0" borderId="0" xfId="0" applyFont="1" applyBorder="1" applyAlignment="1" applyProtection="1">
      <alignment horizontal="right" vertical="center"/>
      <protection locked="0"/>
    </xf>
    <xf numFmtId="0" fontId="84" fillId="0" borderId="0" xfId="0" applyFont="1" applyBorder="1" applyProtection="1">
      <protection locked="0"/>
    </xf>
    <xf numFmtId="171" fontId="85" fillId="0" borderId="0" xfId="0" applyNumberFormat="1" applyFont="1" applyBorder="1" applyAlignment="1" applyProtection="1">
      <alignment horizontal="right" indent="1"/>
      <protection locked="0"/>
    </xf>
    <xf numFmtId="171" fontId="86" fillId="0" borderId="0" xfId="0" applyNumberFormat="1" applyFont="1" applyBorder="1" applyAlignment="1" applyProtection="1">
      <alignment horizontal="right" indent="1"/>
      <protection locked="0"/>
    </xf>
    <xf numFmtId="171" fontId="87" fillId="0" borderId="0" xfId="0" applyNumberFormat="1" applyFont="1" applyBorder="1" applyAlignment="1" applyProtection="1">
      <alignment horizontal="right" indent="1"/>
      <protection locked="0"/>
    </xf>
    <xf numFmtId="9" fontId="2" fillId="3" borderId="48" xfId="2" applyFont="1" applyFill="1" applyBorder="1" applyProtection="1">
      <protection locked="0"/>
    </xf>
    <xf numFmtId="0" fontId="2" fillId="0" borderId="0" xfId="0" applyFont="1" applyBorder="1" applyAlignment="1" applyProtection="1">
      <alignment horizontal="left"/>
      <protection locked="0"/>
    </xf>
    <xf numFmtId="0" fontId="84" fillId="0" borderId="18" xfId="0" applyFont="1" applyBorder="1" applyAlignment="1" applyProtection="1">
      <alignment horizontal="left" vertical="center"/>
      <protection locked="0"/>
    </xf>
    <xf numFmtId="0" fontId="2" fillId="0" borderId="18" xfId="0" applyFont="1" applyBorder="1" applyProtection="1">
      <protection locked="0"/>
    </xf>
    <xf numFmtId="0" fontId="2" fillId="0" borderId="47" xfId="0" applyFont="1" applyBorder="1" applyProtection="1">
      <protection locked="0"/>
    </xf>
    <xf numFmtId="0" fontId="2" fillId="0" borderId="20" xfId="0" applyFont="1" applyBorder="1" applyProtection="1">
      <protection locked="0"/>
    </xf>
    <xf numFmtId="0" fontId="93" fillId="0" borderId="22" xfId="0" applyFont="1" applyBorder="1" applyAlignment="1" applyProtection="1">
      <alignment horizontal="right" vertical="center"/>
      <protection locked="0"/>
    </xf>
    <xf numFmtId="0" fontId="84" fillId="0" borderId="50" xfId="0" applyFont="1" applyBorder="1" applyAlignment="1" applyProtection="1">
      <alignment horizontal="left" vertical="center"/>
      <protection locked="0"/>
    </xf>
    <xf numFmtId="0" fontId="2" fillId="0" borderId="50" xfId="0" applyFont="1" applyBorder="1" applyProtection="1">
      <protection locked="0"/>
    </xf>
    <xf numFmtId="0" fontId="0" fillId="0" borderId="50" xfId="0" applyBorder="1" applyProtection="1">
      <protection locked="0"/>
    </xf>
    <xf numFmtId="0" fontId="0" fillId="0" borderId="20" xfId="0" applyBorder="1" applyAlignment="1" applyProtection="1">
      <alignment horizontal="left" vertical="center"/>
      <protection locked="0"/>
    </xf>
    <xf numFmtId="0" fontId="93" fillId="0" borderId="20" xfId="0" applyFont="1" applyBorder="1" applyAlignment="1" applyProtection="1">
      <alignment horizontal="right" vertical="center"/>
      <protection locked="0"/>
    </xf>
    <xf numFmtId="0" fontId="2" fillId="0" borderId="22" xfId="0" applyFont="1" applyBorder="1" applyProtection="1">
      <protection locked="0"/>
    </xf>
    <xf numFmtId="0" fontId="2" fillId="0" borderId="51" xfId="0" applyFont="1" applyBorder="1" applyProtection="1">
      <protection locked="0"/>
    </xf>
    <xf numFmtId="0" fontId="92" fillId="0" borderId="0" xfId="0" applyFont="1" applyFill="1" applyBorder="1" applyAlignment="1" applyProtection="1">
      <alignment horizontal="left" vertical="center" wrapText="1" indent="1"/>
      <protection locked="0"/>
    </xf>
    <xf numFmtId="0" fontId="6" fillId="0" borderId="0" xfId="0" applyFont="1" applyFill="1" applyBorder="1" applyAlignment="1" applyProtection="1">
      <alignment horizontal="left" vertical="center"/>
      <protection locked="0"/>
    </xf>
    <xf numFmtId="165" fontId="0" fillId="0" borderId="0" xfId="0" applyNumberFormat="1" applyFill="1" applyBorder="1" applyProtection="1">
      <protection locked="0"/>
    </xf>
    <xf numFmtId="0" fontId="88" fillId="0" borderId="0" xfId="0" applyFont="1" applyFill="1" applyBorder="1" applyAlignment="1" applyProtection="1">
      <alignment horizontal="left" indent="1"/>
      <protection locked="0"/>
    </xf>
    <xf numFmtId="0" fontId="6" fillId="0" borderId="20" xfId="0" applyFont="1" applyBorder="1" applyAlignment="1" applyProtection="1">
      <alignment horizontal="left" vertical="center"/>
      <protection locked="0"/>
    </xf>
    <xf numFmtId="0" fontId="0" fillId="0" borderId="0" xfId="0" applyFill="1" applyBorder="1"/>
    <xf numFmtId="0" fontId="84" fillId="0" borderId="54" xfId="0" applyFont="1" applyFill="1" applyBorder="1" applyAlignment="1" applyProtection="1">
      <alignment horizontal="center" vertical="center" wrapText="1"/>
      <protection locked="0"/>
    </xf>
    <xf numFmtId="0" fontId="84" fillId="0" borderId="55" xfId="0" applyFont="1" applyFill="1" applyBorder="1" applyAlignment="1" applyProtection="1">
      <alignment horizontal="center" vertical="center" wrapText="1"/>
      <protection locked="0"/>
    </xf>
    <xf numFmtId="165" fontId="2" fillId="3" borderId="48" xfId="0" applyNumberFormat="1" applyFont="1" applyFill="1" applyBorder="1" applyProtection="1">
      <protection locked="0"/>
    </xf>
    <xf numFmtId="0" fontId="2" fillId="0" borderId="50" xfId="0" applyFont="1" applyBorder="1" applyAlignment="1" applyProtection="1">
      <alignment horizontal="right"/>
      <protection locked="0"/>
    </xf>
    <xf numFmtId="0" fontId="88" fillId="0" borderId="50" xfId="0" applyFont="1" applyBorder="1" applyAlignment="1" applyProtection="1">
      <alignment horizontal="left" indent="1"/>
      <protection locked="0"/>
    </xf>
    <xf numFmtId="0" fontId="1" fillId="0" borderId="0" xfId="0" applyFont="1" applyFill="1" applyBorder="1" applyAlignment="1" applyProtection="1">
      <alignment horizontal="left" vertical="center"/>
      <protection locked="0"/>
    </xf>
    <xf numFmtId="0" fontId="75" fillId="4" borderId="30" xfId="0" applyFont="1" applyFill="1" applyBorder="1" applyAlignment="1" applyProtection="1">
      <alignment horizontal="center" vertical="center"/>
    </xf>
    <xf numFmtId="0" fontId="25" fillId="0" borderId="0" xfId="0" applyFont="1" applyBorder="1" applyAlignment="1" applyProtection="1">
      <alignment horizontal="left" indent="1"/>
    </xf>
    <xf numFmtId="0" fontId="25" fillId="0" borderId="0" xfId="0" applyFont="1" applyBorder="1" applyAlignment="1" applyProtection="1">
      <alignment vertical="top"/>
    </xf>
    <xf numFmtId="0" fontId="1" fillId="0" borderId="0" xfId="0" applyFont="1" applyAlignment="1" applyProtection="1">
      <alignment horizontal="left" vertical="center" wrapText="1" indent="1"/>
    </xf>
    <xf numFmtId="0" fontId="0" fillId="0" borderId="0" xfId="0" applyAlignment="1" applyProtection="1">
      <alignment horizontal="left" indent="1"/>
    </xf>
    <xf numFmtId="0" fontId="1" fillId="0" borderId="0" xfId="0" applyFont="1" applyAlignment="1" applyProtection="1">
      <alignment horizontal="left" indent="1"/>
    </xf>
    <xf numFmtId="0" fontId="1" fillId="4" borderId="48" xfId="0" applyFont="1" applyFill="1" applyBorder="1" applyAlignment="1" applyProtection="1">
      <alignment horizontal="right" vertical="center" indent="1"/>
    </xf>
    <xf numFmtId="3" fontId="1" fillId="4" borderId="48" xfId="0" applyNumberFormat="1" applyFont="1" applyFill="1" applyBorder="1" applyProtection="1"/>
    <xf numFmtId="3" fontId="1" fillId="4" borderId="48" xfId="0" applyNumberFormat="1" applyFont="1" applyFill="1" applyBorder="1" applyAlignment="1" applyProtection="1">
      <alignment horizontal="right" vertical="center"/>
    </xf>
    <xf numFmtId="3" fontId="24" fillId="4" borderId="48" xfId="0" applyNumberFormat="1" applyFont="1" applyFill="1" applyBorder="1" applyAlignment="1" applyProtection="1">
      <alignment horizontal="right" vertical="center"/>
    </xf>
    <xf numFmtId="3" fontId="1" fillId="4" borderId="48" xfId="0" applyNumberFormat="1" applyFont="1" applyFill="1" applyBorder="1" applyAlignment="1" applyProtection="1">
      <alignment horizontal="right"/>
    </xf>
    <xf numFmtId="1" fontId="0" fillId="4" borderId="48" xfId="0" applyNumberFormat="1" applyFill="1" applyBorder="1" applyProtection="1"/>
    <xf numFmtId="172" fontId="1" fillId="4" borderId="48" xfId="3" applyNumberFormat="1" applyFont="1" applyFill="1" applyBorder="1" applyProtection="1"/>
    <xf numFmtId="0" fontId="10" fillId="0" borderId="47" xfId="0" applyFont="1" applyFill="1" applyBorder="1" applyAlignment="1" applyProtection="1">
      <alignment horizontal="left" vertical="center"/>
      <protection locked="0"/>
    </xf>
    <xf numFmtId="169" fontId="18" fillId="0" borderId="51" xfId="0" applyNumberFormat="1" applyFont="1" applyFill="1" applyBorder="1" applyAlignment="1" applyProtection="1">
      <alignment horizontal="left" vertical="center" wrapText="1"/>
      <protection locked="0"/>
    </xf>
    <xf numFmtId="1" fontId="6" fillId="0" borderId="50" xfId="0" applyNumberFormat="1" applyFont="1" applyFill="1" applyBorder="1" applyProtection="1"/>
    <xf numFmtId="0" fontId="1" fillId="0" borderId="50" xfId="0" applyFont="1" applyBorder="1" applyProtection="1">
      <protection locked="0"/>
    </xf>
    <xf numFmtId="0" fontId="5" fillId="0" borderId="50" xfId="0" applyFont="1" applyBorder="1" applyProtection="1">
      <protection locked="0"/>
    </xf>
    <xf numFmtId="0" fontId="10" fillId="0" borderId="51" xfId="0" applyFont="1" applyFill="1" applyBorder="1" applyAlignment="1" applyProtection="1">
      <alignment horizontal="left" vertical="center"/>
      <protection locked="0"/>
    </xf>
    <xf numFmtId="0" fontId="57" fillId="0" borderId="20" xfId="0" applyFont="1" applyFill="1" applyBorder="1" applyAlignment="1" applyProtection="1">
      <alignment horizontal="left"/>
      <protection locked="0"/>
    </xf>
    <xf numFmtId="3" fontId="5" fillId="4" borderId="48" xfId="0" applyNumberFormat="1" applyFont="1" applyFill="1" applyBorder="1"/>
    <xf numFmtId="9" fontId="15" fillId="3" borderId="12" xfId="2" applyFont="1" applyFill="1" applyBorder="1" applyProtection="1">
      <protection locked="0"/>
    </xf>
    <xf numFmtId="169" fontId="18" fillId="0" borderId="21" xfId="0" applyNumberFormat="1" applyFont="1" applyFill="1" applyBorder="1" applyAlignment="1" applyProtection="1">
      <alignment horizontal="left" vertical="center"/>
      <protection locked="0"/>
    </xf>
    <xf numFmtId="0" fontId="5" fillId="0" borderId="50" xfId="0" applyFont="1" applyBorder="1"/>
    <xf numFmtId="3" fontId="15" fillId="3" borderId="48" xfId="58" applyNumberFormat="1" applyFont="1" applyFill="1" applyBorder="1" applyProtection="1">
      <protection locked="0"/>
    </xf>
    <xf numFmtId="44" fontId="5" fillId="4" borderId="48" xfId="3" applyNumberFormat="1" applyFont="1" applyFill="1" applyBorder="1" applyProtection="1"/>
    <xf numFmtId="175" fontId="5" fillId="4" borderId="48" xfId="0" applyNumberFormat="1" applyFont="1" applyFill="1" applyBorder="1"/>
    <xf numFmtId="44" fontId="5" fillId="4" borderId="48" xfId="3" applyFont="1" applyFill="1" applyBorder="1" applyProtection="1"/>
    <xf numFmtId="44" fontId="4" fillId="0" borderId="48" xfId="3" applyFont="1" applyFill="1" applyBorder="1" applyProtection="1"/>
    <xf numFmtId="172" fontId="1" fillId="4" borderId="48" xfId="3" applyNumberFormat="1" applyFont="1" applyFill="1" applyBorder="1" applyAlignment="1" applyProtection="1">
      <alignment horizontal="right" vertical="center"/>
    </xf>
    <xf numFmtId="172" fontId="1" fillId="0" borderId="50" xfId="3" applyNumberFormat="1" applyFont="1" applyFill="1" applyBorder="1" applyAlignment="1" applyProtection="1">
      <alignment horizontal="right" vertical="center"/>
    </xf>
    <xf numFmtId="0" fontId="0" fillId="0" borderId="50" xfId="0" applyFill="1" applyBorder="1" applyProtection="1">
      <protection locked="0"/>
    </xf>
    <xf numFmtId="0" fontId="0" fillId="0" borderId="51" xfId="0" applyFill="1" applyBorder="1" applyProtection="1">
      <protection locked="0"/>
    </xf>
    <xf numFmtId="172" fontId="15" fillId="3" borderId="30" xfId="58" applyNumberFormat="1" applyFont="1" applyFill="1" applyBorder="1" applyProtection="1">
      <protection locked="0"/>
    </xf>
    <xf numFmtId="0" fontId="1" fillId="0" borderId="50" xfId="0" applyFont="1" applyFill="1" applyBorder="1" applyProtection="1">
      <protection locked="0"/>
    </xf>
    <xf numFmtId="0" fontId="6" fillId="0" borderId="20" xfId="0" applyFont="1" applyBorder="1" applyProtection="1">
      <protection locked="0"/>
    </xf>
    <xf numFmtId="172" fontId="6" fillId="4" borderId="48" xfId="3" applyNumberFormat="1" applyFont="1" applyFill="1" applyBorder="1" applyProtection="1">
      <protection locked="0"/>
    </xf>
    <xf numFmtId="0" fontId="57" fillId="0" borderId="50" xfId="0" applyFont="1" applyFill="1" applyBorder="1" applyProtection="1">
      <protection locked="0"/>
    </xf>
    <xf numFmtId="0" fontId="1" fillId="0" borderId="0" xfId="0" applyFont="1" applyAlignment="1">
      <alignment horizontal="right"/>
    </xf>
    <xf numFmtId="0" fontId="94" fillId="0" borderId="0" xfId="0" applyFont="1" applyFill="1" applyBorder="1" applyAlignment="1" applyProtection="1">
      <alignment horizontal="right" vertical="center" indent="2"/>
    </xf>
    <xf numFmtId="169" fontId="91" fillId="0" borderId="21" xfId="0" applyNumberFormat="1" applyFont="1" applyFill="1" applyBorder="1" applyAlignment="1" applyProtection="1">
      <alignment horizontal="left" vertical="center" wrapText="1"/>
    </xf>
    <xf numFmtId="165" fontId="1" fillId="3" borderId="48" xfId="2" applyNumberFormat="1" applyFill="1" applyBorder="1" applyProtection="1">
      <protection locked="0"/>
    </xf>
    <xf numFmtId="0" fontId="94" fillId="0" borderId="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2"/>
    </xf>
    <xf numFmtId="165" fontId="1" fillId="0" borderId="0" xfId="2" applyNumberFormat="1" applyFill="1" applyBorder="1" applyProtection="1">
      <protection locked="0"/>
    </xf>
    <xf numFmtId="0" fontId="61" fillId="0" borderId="2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indent="2"/>
    </xf>
    <xf numFmtId="0" fontId="48" fillId="0" borderId="0" xfId="0" applyFont="1" applyFill="1" applyBorder="1" applyAlignment="1" applyProtection="1">
      <alignment horizontal="left" vertical="center" indent="2"/>
    </xf>
    <xf numFmtId="0" fontId="81" fillId="0" borderId="50" xfId="0" applyFont="1" applyFill="1" applyBorder="1" applyAlignment="1" applyProtection="1">
      <alignment horizontal="right" vertical="center"/>
      <protection locked="0"/>
    </xf>
    <xf numFmtId="1" fontId="0" fillId="0" borderId="50" xfId="0" applyNumberFormat="1" applyFill="1" applyBorder="1" applyProtection="1"/>
    <xf numFmtId="1" fontId="0" fillId="0" borderId="51" xfId="0" applyNumberFormat="1" applyFill="1" applyBorder="1" applyProtection="1"/>
    <xf numFmtId="2" fontId="0" fillId="3" borderId="48" xfId="0" applyNumberFormat="1" applyFill="1" applyBorder="1" applyProtection="1">
      <protection locked="0"/>
    </xf>
    <xf numFmtId="178" fontId="0" fillId="0" borderId="50" xfId="0" applyNumberFormat="1" applyFill="1" applyBorder="1" applyProtection="1">
      <protection locked="0"/>
    </xf>
    <xf numFmtId="178" fontId="0" fillId="0" borderId="51" xfId="0" applyNumberFormat="1" applyFill="1" applyBorder="1" applyProtection="1">
      <protection locked="0"/>
    </xf>
    <xf numFmtId="1" fontId="0" fillId="0" borderId="21" xfId="0" applyNumberFormat="1" applyFill="1" applyBorder="1" applyProtection="1"/>
    <xf numFmtId="178" fontId="0" fillId="0" borderId="47" xfId="0" applyNumberFormat="1" applyFill="1" applyBorder="1" applyProtection="1">
      <protection locked="0"/>
    </xf>
    <xf numFmtId="0" fontId="94" fillId="0" borderId="10" xfId="0" applyFont="1" applyFill="1" applyBorder="1" applyAlignment="1" applyProtection="1">
      <alignment horizontal="left" vertical="center" indent="2"/>
    </xf>
    <xf numFmtId="2" fontId="1" fillId="3" borderId="48" xfId="0" applyNumberFormat="1" applyFont="1" applyFill="1" applyBorder="1" applyProtection="1">
      <protection locked="0"/>
    </xf>
    <xf numFmtId="0" fontId="88" fillId="0" borderId="48" xfId="0" applyFont="1" applyBorder="1" applyAlignment="1" applyProtection="1">
      <alignment horizontal="left" indent="1"/>
      <protection locked="0"/>
    </xf>
    <xf numFmtId="175" fontId="0" fillId="0" borderId="0" xfId="3" applyNumberFormat="1" applyFont="1" applyFill="1" applyBorder="1" applyProtection="1"/>
    <xf numFmtId="172" fontId="0" fillId="4" borderId="48" xfId="3" applyNumberFormat="1" applyFont="1" applyFill="1" applyBorder="1" applyProtection="1"/>
    <xf numFmtId="172" fontId="24" fillId="4" borderId="48" xfId="3" applyNumberFormat="1" applyFont="1" applyFill="1" applyBorder="1" applyProtection="1"/>
    <xf numFmtId="180" fontId="1" fillId="4" borderId="48" xfId="0" applyNumberFormat="1" applyFont="1" applyFill="1" applyBorder="1" applyProtection="1"/>
    <xf numFmtId="169" fontId="91" fillId="0" borderId="0" xfId="0" applyNumberFormat="1" applyFont="1" applyFill="1" applyBorder="1" applyAlignment="1" applyProtection="1">
      <alignment horizontal="left" vertical="center" wrapText="1"/>
    </xf>
    <xf numFmtId="171" fontId="0" fillId="0" borderId="20" xfId="0" applyNumberFormat="1" applyFill="1" applyBorder="1" applyAlignment="1" applyProtection="1">
      <alignment horizontal="right"/>
    </xf>
    <xf numFmtId="37" fontId="24" fillId="0" borderId="0" xfId="0" applyNumberFormat="1" applyFont="1" applyFill="1" applyBorder="1" applyProtection="1"/>
    <xf numFmtId="0" fontId="30" fillId="0" borderId="0" xfId="57" applyFill="1" applyBorder="1" applyProtection="1">
      <protection locked="0"/>
    </xf>
    <xf numFmtId="180" fontId="24" fillId="4" borderId="48" xfId="0" applyNumberFormat="1" applyFont="1" applyFill="1" applyBorder="1" applyProtection="1"/>
    <xf numFmtId="0" fontId="30" fillId="0" borderId="0" xfId="57" applyFill="1" applyBorder="1" applyAlignment="1" applyProtection="1">
      <alignment horizontal="left" indent="1"/>
      <protection locked="0"/>
    </xf>
    <xf numFmtId="0" fontId="1" fillId="0" borderId="22" xfId="61" applyFill="1" applyBorder="1" applyProtection="1">
      <protection locked="0"/>
    </xf>
    <xf numFmtId="0" fontId="0" fillId="0" borderId="21" xfId="0" applyFill="1" applyBorder="1" applyProtection="1"/>
    <xf numFmtId="172" fontId="0" fillId="0" borderId="47" xfId="3" applyNumberFormat="1" applyFont="1" applyFill="1" applyBorder="1" applyProtection="1"/>
    <xf numFmtId="0" fontId="1" fillId="0" borderId="50" xfId="61" applyFont="1" applyFill="1" applyBorder="1" applyProtection="1">
      <protection locked="0"/>
    </xf>
    <xf numFmtId="0" fontId="1" fillId="0" borderId="50" xfId="61" applyFill="1" applyBorder="1" applyProtection="1">
      <protection locked="0"/>
    </xf>
    <xf numFmtId="0" fontId="1" fillId="0" borderId="51" xfId="61" applyBorder="1" applyProtection="1">
      <protection locked="0"/>
    </xf>
    <xf numFmtId="3" fontId="5" fillId="3" borderId="48" xfId="3" applyNumberFormat="1" applyFont="1" applyFill="1" applyBorder="1" applyProtection="1">
      <protection locked="0"/>
    </xf>
    <xf numFmtId="3" fontId="6" fillId="0" borderId="50" xfId="61" applyNumberFormat="1" applyFont="1" applyFill="1" applyBorder="1" applyProtection="1">
      <protection locked="0"/>
    </xf>
    <xf numFmtId="169" fontId="91" fillId="0" borderId="51" xfId="0" applyNumberFormat="1" applyFont="1" applyFill="1" applyBorder="1" applyAlignment="1" applyProtection="1">
      <alignment horizontal="left" vertical="center" wrapText="1"/>
    </xf>
    <xf numFmtId="37" fontId="1" fillId="0" borderId="47" xfId="0" applyNumberFormat="1" applyFont="1" applyFill="1" applyBorder="1" applyProtection="1"/>
    <xf numFmtId="37" fontId="24" fillId="4" borderId="48" xfId="0" applyNumberFormat="1" applyFont="1" applyFill="1" applyBorder="1" applyProtection="1"/>
    <xf numFmtId="0" fontId="63" fillId="0" borderId="0" xfId="0" applyFont="1" applyFill="1"/>
    <xf numFmtId="0" fontId="31" fillId="0" borderId="0" xfId="59" applyFill="1" applyBorder="1" applyProtection="1">
      <protection locked="0"/>
    </xf>
    <xf numFmtId="4" fontId="5" fillId="3" borderId="48" xfId="3" applyNumberFormat="1" applyFont="1" applyFill="1" applyBorder="1" applyProtection="1">
      <protection locked="0"/>
    </xf>
    <xf numFmtId="0" fontId="18" fillId="0" borderId="0" xfId="61" applyFont="1" applyFill="1" applyBorder="1" applyProtection="1">
      <protection locked="0"/>
    </xf>
    <xf numFmtId="0" fontId="64" fillId="0" borderId="47" xfId="61" applyFont="1" applyFill="1" applyBorder="1" applyProtection="1">
      <protection locked="0"/>
    </xf>
    <xf numFmtId="0" fontId="1" fillId="0" borderId="51" xfId="61" applyFill="1" applyBorder="1" applyProtection="1">
      <protection locked="0"/>
    </xf>
    <xf numFmtId="3" fontId="6" fillId="0" borderId="0" xfId="61" applyNumberFormat="1" applyFont="1" applyFill="1" applyBorder="1" applyProtection="1">
      <protection locked="0"/>
    </xf>
    <xf numFmtId="0" fontId="1" fillId="0" borderId="56" xfId="61" applyFill="1" applyBorder="1" applyProtection="1">
      <protection locked="0"/>
    </xf>
    <xf numFmtId="0" fontId="18" fillId="0" borderId="47" xfId="61" applyFont="1" applyBorder="1" applyProtection="1">
      <protection locked="0"/>
    </xf>
    <xf numFmtId="0" fontId="1" fillId="0" borderId="47" xfId="61" applyFill="1" applyBorder="1" applyProtection="1">
      <protection locked="0"/>
    </xf>
    <xf numFmtId="3" fontId="5" fillId="0" borderId="50" xfId="3" applyNumberFormat="1" applyFont="1" applyFill="1" applyBorder="1" applyProtection="1">
      <protection locked="0"/>
    </xf>
    <xf numFmtId="0" fontId="18" fillId="0" borderId="51" xfId="61" applyFont="1" applyFill="1" applyBorder="1" applyProtection="1">
      <protection locked="0"/>
    </xf>
    <xf numFmtId="0" fontId="1" fillId="0" borderId="56" xfId="61" applyFont="1" applyFill="1" applyBorder="1" applyProtection="1">
      <protection locked="0"/>
    </xf>
    <xf numFmtId="0" fontId="64" fillId="0" borderId="21" xfId="61" applyFont="1" applyFill="1" applyBorder="1" applyProtection="1">
      <protection locked="0"/>
    </xf>
    <xf numFmtId="0" fontId="18" fillId="0" borderId="0" xfId="61" applyFont="1" applyBorder="1" applyAlignment="1" applyProtection="1">
      <alignment horizontal="left"/>
      <protection locked="0"/>
    </xf>
    <xf numFmtId="166" fontId="63" fillId="0" borderId="47" xfId="0" applyNumberFormat="1" applyFont="1" applyBorder="1" applyProtection="1">
      <protection locked="0"/>
    </xf>
    <xf numFmtId="0" fontId="5" fillId="0" borderId="22" xfId="0" applyFont="1" applyFill="1" applyBorder="1" applyProtection="1">
      <protection locked="0"/>
    </xf>
    <xf numFmtId="172" fontId="5" fillId="0" borderId="50" xfId="3" applyNumberFormat="1" applyFont="1" applyFill="1" applyBorder="1" applyProtection="1"/>
    <xf numFmtId="0" fontId="18" fillId="0" borderId="51" xfId="0" applyFont="1" applyFill="1" applyBorder="1" applyProtection="1">
      <protection locked="0"/>
    </xf>
    <xf numFmtId="0" fontId="30" fillId="0" borderId="0" xfId="57" applyFill="1" applyProtection="1">
      <protection locked="0"/>
    </xf>
    <xf numFmtId="0" fontId="30" fillId="0" borderId="0" xfId="57" applyFill="1"/>
    <xf numFmtId="3" fontId="5" fillId="3" borderId="48" xfId="0" applyNumberFormat="1" applyFont="1" applyFill="1" applyBorder="1" applyProtection="1">
      <protection locked="0"/>
    </xf>
    <xf numFmtId="1" fontId="6" fillId="14" borderId="48" xfId="0" applyNumberFormat="1" applyFont="1" applyFill="1" applyBorder="1"/>
    <xf numFmtId="3" fontId="5" fillId="0" borderId="0" xfId="0" applyNumberFormat="1" applyFont="1" applyFill="1" applyBorder="1" applyProtection="1">
      <protection locked="0"/>
    </xf>
    <xf numFmtId="0" fontId="2" fillId="0" borderId="20" xfId="0" applyFont="1" applyFill="1" applyBorder="1" applyProtection="1">
      <protection locked="0"/>
    </xf>
    <xf numFmtId="0" fontId="2" fillId="0" borderId="0" xfId="0" applyFont="1" applyFill="1" applyBorder="1" applyProtection="1">
      <protection locked="0"/>
    </xf>
    <xf numFmtId="0" fontId="2" fillId="0" borderId="21" xfId="0" applyFont="1" applyFill="1" applyBorder="1" applyProtection="1">
      <protection locked="0"/>
    </xf>
    <xf numFmtId="172" fontId="0" fillId="4" borderId="48" xfId="3" applyNumberFormat="1" applyFont="1" applyFill="1" applyBorder="1" applyAlignment="1" applyProtection="1">
      <alignment horizontal="right"/>
    </xf>
    <xf numFmtId="0" fontId="99" fillId="0" borderId="0" xfId="0" applyFont="1" applyFill="1" applyBorder="1" applyAlignment="1" applyProtection="1">
      <alignment horizontal="left" vertical="center" indent="2"/>
    </xf>
    <xf numFmtId="0" fontId="15" fillId="0" borderId="0" xfId="0" applyFont="1" applyFill="1" applyBorder="1" applyAlignment="1" applyProtection="1">
      <alignment horizontal="left"/>
      <protection locked="0"/>
    </xf>
    <xf numFmtId="0" fontId="15" fillId="0" borderId="0" xfId="0" applyFont="1" applyFill="1" applyBorder="1" applyAlignment="1" applyProtection="1">
      <alignment horizontal="left" indent="2"/>
      <protection locked="0"/>
    </xf>
    <xf numFmtId="165" fontId="5" fillId="0" borderId="48" xfId="3" applyNumberFormat="1" applyFont="1" applyFill="1" applyBorder="1" applyProtection="1">
      <protection locked="0"/>
    </xf>
    <xf numFmtId="0" fontId="13" fillId="0" borderId="0" xfId="0" applyFont="1" applyFill="1" applyBorder="1" applyAlignment="1" applyProtection="1">
      <alignment horizontal="left" indent="2"/>
      <protection locked="0"/>
    </xf>
    <xf numFmtId="172" fontId="6" fillId="4" borderId="48" xfId="3" applyNumberFormat="1" applyFont="1" applyFill="1" applyBorder="1" applyAlignment="1" applyProtection="1">
      <alignment horizontal="right"/>
    </xf>
    <xf numFmtId="3" fontId="4" fillId="4" borderId="48" xfId="0" applyNumberFormat="1" applyFont="1" applyFill="1" applyBorder="1" applyProtection="1">
      <protection locked="0"/>
    </xf>
    <xf numFmtId="3" fontId="0" fillId="4" borderId="48" xfId="3" applyNumberFormat="1" applyFont="1" applyFill="1" applyBorder="1" applyAlignment="1" applyProtection="1">
      <alignment horizontal="right"/>
    </xf>
    <xf numFmtId="172" fontId="4" fillId="5" borderId="48" xfId="3" applyNumberFormat="1" applyFont="1" applyFill="1" applyBorder="1" applyProtection="1"/>
    <xf numFmtId="0" fontId="62" fillId="0" borderId="20" xfId="0" applyFont="1" applyBorder="1" applyAlignment="1" applyProtection="1">
      <alignment horizontal="left" vertical="center"/>
      <protection locked="0"/>
    </xf>
    <xf numFmtId="0" fontId="62" fillId="0" borderId="0" xfId="0" applyFont="1" applyBorder="1" applyAlignment="1" applyProtection="1">
      <alignment horizontal="left" vertical="center"/>
      <protection locked="0"/>
    </xf>
    <xf numFmtId="1" fontId="0" fillId="0" borderId="48" xfId="0" applyNumberFormat="1" applyFill="1" applyBorder="1"/>
    <xf numFmtId="0" fontId="62" fillId="0" borderId="0" xfId="0" applyFont="1" applyFill="1" applyBorder="1" applyAlignment="1" applyProtection="1">
      <alignment horizontal="left" vertical="center"/>
      <protection locked="0"/>
    </xf>
    <xf numFmtId="1" fontId="6" fillId="0" borderId="0" xfId="0" applyNumberFormat="1" applyFont="1" applyFill="1" applyBorder="1"/>
    <xf numFmtId="0" fontId="18" fillId="0" borderId="0" xfId="0" applyFont="1" applyFill="1" applyBorder="1" applyProtection="1">
      <protection locked="0"/>
    </xf>
    <xf numFmtId="0" fontId="94" fillId="0" borderId="20" xfId="0" applyFont="1" applyFill="1" applyBorder="1" applyAlignment="1" applyProtection="1">
      <alignment horizontal="right" vertical="center" indent="2"/>
    </xf>
    <xf numFmtId="0" fontId="94" fillId="0" borderId="38" xfId="0" applyFont="1" applyFill="1" applyBorder="1" applyAlignment="1" applyProtection="1">
      <alignment horizontal="right" vertical="center" indent="2"/>
    </xf>
    <xf numFmtId="0" fontId="94" fillId="0" borderId="22" xfId="0" applyFont="1" applyFill="1" applyBorder="1" applyAlignment="1" applyProtection="1">
      <alignment horizontal="right" vertical="center" indent="2"/>
    </xf>
    <xf numFmtId="1" fontId="6" fillId="0" borderId="50" xfId="0" applyNumberFormat="1" applyFont="1" applyFill="1" applyBorder="1"/>
    <xf numFmtId="0" fontId="5" fillId="0" borderId="0" xfId="0" applyFont="1" applyFill="1" applyBorder="1" applyAlignment="1">
      <alignment horizontal="left" indent="2"/>
    </xf>
    <xf numFmtId="1" fontId="0" fillId="0" borderId="48" xfId="0" applyNumberFormat="1" applyFill="1" applyBorder="1" applyProtection="1">
      <protection locked="0"/>
    </xf>
    <xf numFmtId="172" fontId="4" fillId="5" borderId="48" xfId="3" applyNumberFormat="1" applyFont="1" applyFill="1" applyBorder="1"/>
    <xf numFmtId="172" fontId="4" fillId="0" borderId="48" xfId="3" applyNumberFormat="1" applyFont="1" applyFill="1" applyBorder="1"/>
    <xf numFmtId="0" fontId="18" fillId="0" borderId="47" xfId="0" applyFont="1" applyBorder="1" applyProtection="1">
      <protection locked="0"/>
    </xf>
    <xf numFmtId="172" fontId="4" fillId="5" borderId="57" xfId="3" applyNumberFormat="1" applyFont="1" applyFill="1" applyBorder="1"/>
    <xf numFmtId="172" fontId="4" fillId="0" borderId="28" xfId="3" applyNumberFormat="1" applyFont="1" applyFill="1" applyBorder="1"/>
    <xf numFmtId="172" fontId="4" fillId="5" borderId="28" xfId="3" applyNumberFormat="1" applyFont="1" applyFill="1" applyBorder="1"/>
    <xf numFmtId="0" fontId="5" fillId="0" borderId="47" xfId="61" applyFont="1" applyBorder="1"/>
    <xf numFmtId="172" fontId="5" fillId="3" borderId="48" xfId="3" applyNumberFormat="1" applyFont="1" applyFill="1" applyBorder="1" applyProtection="1">
      <protection locked="0"/>
    </xf>
    <xf numFmtId="9" fontId="0" fillId="3" borderId="48" xfId="2" applyFont="1" applyFill="1" applyBorder="1" applyProtection="1">
      <protection locked="0"/>
    </xf>
    <xf numFmtId="1" fontId="0" fillId="4" borderId="48" xfId="0" applyNumberFormat="1" applyFill="1" applyBorder="1" applyProtection="1">
      <protection locked="0"/>
    </xf>
    <xf numFmtId="172" fontId="0" fillId="4" borderId="48" xfId="3" applyNumberFormat="1" applyFont="1" applyFill="1" applyBorder="1"/>
    <xf numFmtId="0" fontId="5" fillId="0" borderId="51" xfId="61" applyFont="1" applyBorder="1"/>
    <xf numFmtId="172" fontId="6" fillId="4" borderId="48" xfId="0" applyNumberFormat="1" applyFont="1" applyFill="1" applyBorder="1"/>
    <xf numFmtId="172" fontId="4" fillId="0" borderId="29" xfId="3" applyNumberFormat="1" applyFont="1" applyFill="1" applyBorder="1"/>
    <xf numFmtId="0" fontId="36" fillId="0" borderId="0" xfId="0" applyFont="1" applyBorder="1" applyAlignment="1" applyProtection="1">
      <alignment horizontal="right"/>
      <protection locked="0"/>
    </xf>
    <xf numFmtId="171" fontId="73" fillId="2" borderId="18" xfId="0" applyNumberFormat="1" applyFont="1" applyFill="1" applyBorder="1" applyAlignment="1" applyProtection="1">
      <alignment horizontal="left" vertical="center"/>
      <protection locked="0"/>
    </xf>
    <xf numFmtId="172" fontId="1" fillId="0" borderId="0" xfId="3" applyNumberFormat="1" applyFont="1" applyBorder="1" applyAlignment="1" applyProtection="1">
      <alignment horizontal="center" vertical="center"/>
      <protection locked="0"/>
    </xf>
    <xf numFmtId="0" fontId="53" fillId="0" borderId="21" xfId="60" applyFont="1" applyFill="1" applyBorder="1" applyAlignment="1" applyProtection="1">
      <alignment horizontal="center" vertical="center"/>
      <protection locked="0"/>
    </xf>
    <xf numFmtId="0" fontId="1" fillId="0" borderId="21" xfId="0" applyFont="1" applyFill="1" applyBorder="1" applyProtection="1">
      <protection locked="0"/>
    </xf>
    <xf numFmtId="0" fontId="1" fillId="0" borderId="24" xfId="0" applyFont="1" applyFill="1" applyBorder="1" applyAlignment="1" applyProtection="1">
      <alignment horizontal="left" vertical="center"/>
      <protection locked="0"/>
    </xf>
    <xf numFmtId="0" fontId="1" fillId="0" borderId="23" xfId="0" applyFont="1" applyFill="1" applyBorder="1" applyAlignment="1" applyProtection="1">
      <alignment horizontal="left" vertical="center"/>
      <protection locked="0"/>
    </xf>
    <xf numFmtId="0" fontId="1" fillId="0" borderId="47" xfId="0" applyFont="1" applyBorder="1"/>
    <xf numFmtId="0" fontId="1" fillId="0" borderId="51" xfId="0" applyFont="1" applyBorder="1"/>
    <xf numFmtId="172" fontId="15" fillId="5" borderId="48" xfId="3" applyNumberFormat="1" applyFont="1" applyFill="1" applyBorder="1" applyProtection="1"/>
    <xf numFmtId="0" fontId="5" fillId="0" borderId="0" xfId="0" applyFont="1" applyFill="1" applyBorder="1" applyAlignment="1" applyProtection="1">
      <alignment vertical="center"/>
      <protection locked="0"/>
    </xf>
    <xf numFmtId="166" fontId="5" fillId="0" borderId="0" xfId="0" applyNumberFormat="1" applyFont="1" applyFill="1" applyBorder="1" applyAlignment="1" applyProtection="1">
      <alignment vertical="center"/>
      <protection locked="0"/>
    </xf>
    <xf numFmtId="0" fontId="5" fillId="0" borderId="0" xfId="0" applyFont="1" applyFill="1" applyBorder="1" applyAlignment="1">
      <alignment vertical="center"/>
    </xf>
    <xf numFmtId="166" fontId="9" fillId="0" borderId="0" xfId="0" applyNumberFormat="1" applyFont="1" applyBorder="1"/>
    <xf numFmtId="172" fontId="4" fillId="0" borderId="0" xfId="3" applyNumberFormat="1" applyFont="1" applyFill="1" applyBorder="1" applyProtection="1">
      <protection locked="0"/>
    </xf>
    <xf numFmtId="166" fontId="9" fillId="0" borderId="0" xfId="0" applyNumberFormat="1" applyFont="1" applyFill="1" applyProtection="1">
      <protection locked="0"/>
    </xf>
    <xf numFmtId="166" fontId="9" fillId="0" borderId="0" xfId="0" applyNumberFormat="1" applyFont="1" applyFill="1" applyAlignment="1" applyProtection="1">
      <alignment horizontal="left" vertical="center" wrapText="1"/>
      <protection locked="0"/>
    </xf>
    <xf numFmtId="174" fontId="5" fillId="0" borderId="0" xfId="0" applyNumberFormat="1" applyFont="1" applyFill="1" applyBorder="1" applyProtection="1">
      <protection locked="0"/>
    </xf>
    <xf numFmtId="166" fontId="100" fillId="0" borderId="0" xfId="0" applyNumberFormat="1" applyFont="1" applyFill="1" applyAlignment="1" applyProtection="1">
      <alignment horizontal="left" vertical="center" wrapText="1"/>
      <protection locked="0"/>
    </xf>
    <xf numFmtId="172" fontId="4" fillId="0" borderId="0" xfId="3" applyNumberFormat="1" applyFont="1" applyFill="1" applyBorder="1" applyAlignment="1" applyProtection="1">
      <alignment horizontal="left" vertical="center"/>
      <protection locked="0"/>
    </xf>
    <xf numFmtId="0" fontId="95" fillId="0" borderId="0" xfId="0" applyFont="1" applyBorder="1" applyAlignment="1" applyProtection="1">
      <alignment horizontal="left" vertical="center"/>
      <protection locked="0"/>
    </xf>
    <xf numFmtId="0" fontId="1" fillId="0" borderId="0" xfId="0" applyFont="1" applyBorder="1" applyAlignment="1" applyProtection="1">
      <alignment horizontal="left" vertical="center"/>
      <protection locked="0"/>
    </xf>
    <xf numFmtId="0" fontId="59" fillId="0" borderId="0" xfId="0" applyFont="1" applyBorder="1" applyAlignment="1" applyProtection="1">
      <alignment horizontal="left" vertical="center"/>
      <protection locked="0"/>
    </xf>
    <xf numFmtId="0" fontId="63" fillId="0" borderId="0" xfId="0" applyFont="1" applyBorder="1" applyAlignment="1" applyProtection="1">
      <alignment horizontal="left" vertical="center"/>
      <protection locked="0"/>
    </xf>
    <xf numFmtId="0" fontId="54" fillId="0" borderId="0" xfId="0" applyFont="1" applyBorder="1" applyAlignment="1" applyProtection="1">
      <alignment horizontal="left" vertical="center"/>
      <protection locked="0"/>
    </xf>
    <xf numFmtId="0" fontId="71" fillId="0" borderId="0" xfId="0" applyFont="1" applyBorder="1" applyAlignment="1" applyProtection="1">
      <alignment horizontal="left" vertical="center"/>
      <protection locked="0"/>
    </xf>
    <xf numFmtId="0" fontId="69" fillId="0" borderId="0" xfId="0" applyFont="1" applyFill="1" applyBorder="1" applyAlignment="1" applyProtection="1">
      <alignment horizontal="left" vertical="center"/>
      <protection locked="0"/>
    </xf>
    <xf numFmtId="0" fontId="32" fillId="0" borderId="0" xfId="60" applyFill="1" applyBorder="1" applyAlignment="1" applyProtection="1">
      <alignment horizontal="left" vertical="center"/>
      <protection locked="0"/>
    </xf>
    <xf numFmtId="0" fontId="57" fillId="0" borderId="23" xfId="0" applyFont="1" applyFill="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5" fillId="0" borderId="0" xfId="0" applyFont="1" applyFill="1" applyBorder="1" applyAlignment="1">
      <alignment horizontal="left" vertical="center"/>
    </xf>
    <xf numFmtId="3" fontId="15" fillId="3" borderId="12" xfId="58" applyNumberFormat="1" applyFont="1" applyFill="1" applyBorder="1" applyAlignment="1" applyProtection="1">
      <alignment horizontal="left" vertical="center"/>
      <protection locked="0"/>
    </xf>
    <xf numFmtId="44" fontId="15" fillId="3" borderId="48" xfId="58" applyNumberFormat="1" applyFont="1" applyFill="1" applyBorder="1" applyAlignment="1" applyProtection="1">
      <alignment horizontal="left" vertical="center"/>
      <protection locked="0"/>
    </xf>
    <xf numFmtId="0" fontId="5" fillId="0" borderId="0" xfId="0" applyFont="1" applyBorder="1" applyAlignment="1">
      <alignment horizontal="left" vertical="center"/>
    </xf>
    <xf numFmtId="0" fontId="5" fillId="0" borderId="50" xfId="0" applyFont="1" applyBorder="1" applyAlignment="1">
      <alignment horizontal="left" vertical="center"/>
    </xf>
    <xf numFmtId="0" fontId="57" fillId="0" borderId="0" xfId="0" applyFont="1" applyFill="1" applyBorder="1" applyAlignment="1" applyProtection="1">
      <alignment horizontal="left" vertical="center"/>
      <protection locked="0"/>
    </xf>
    <xf numFmtId="172" fontId="15" fillId="3" borderId="12" xfId="58" applyNumberFormat="1" applyFont="1" applyFill="1" applyBorder="1" applyAlignment="1" applyProtection="1">
      <alignment horizontal="left" vertical="center"/>
      <protection locked="0"/>
    </xf>
    <xf numFmtId="0" fontId="24" fillId="0" borderId="18" xfId="0" applyFont="1" applyBorder="1" applyAlignment="1" applyProtection="1">
      <alignment horizontal="left" vertical="center"/>
      <protection locked="0"/>
    </xf>
    <xf numFmtId="0" fontId="59" fillId="0" borderId="18"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1" fillId="0" borderId="0" xfId="0" applyFont="1" applyAlignment="1">
      <alignment horizontal="left" vertical="center"/>
    </xf>
    <xf numFmtId="0" fontId="96" fillId="0" borderId="0" xfId="0" applyFont="1" applyBorder="1" applyAlignment="1" applyProtection="1">
      <alignment horizontal="left" vertical="center"/>
      <protection locked="0"/>
    </xf>
    <xf numFmtId="0" fontId="1" fillId="0" borderId="0" xfId="0" applyFont="1" applyBorder="1" applyAlignment="1">
      <alignment horizontal="left" vertical="center"/>
    </xf>
    <xf numFmtId="0" fontId="24" fillId="0" borderId="0" xfId="0" applyFont="1" applyBorder="1" applyAlignment="1">
      <alignment horizontal="left" vertical="center"/>
    </xf>
    <xf numFmtId="0" fontId="97" fillId="0" borderId="0" xfId="0" applyFont="1" applyBorder="1" applyAlignment="1" applyProtection="1">
      <alignment horizontal="left" vertical="center"/>
      <protection locked="0"/>
    </xf>
    <xf numFmtId="0" fontId="97" fillId="0" borderId="50" xfId="0" applyFont="1" applyFill="1" applyBorder="1" applyAlignment="1" applyProtection="1">
      <alignment horizontal="left" vertical="center"/>
      <protection locked="0"/>
    </xf>
    <xf numFmtId="0" fontId="98" fillId="0" borderId="0" xfId="0" applyFont="1" applyBorder="1" applyAlignment="1" applyProtection="1">
      <alignment horizontal="left" vertical="center"/>
      <protection locked="0"/>
    </xf>
    <xf numFmtId="0" fontId="5" fillId="0" borderId="0" xfId="61" applyFont="1" applyAlignment="1">
      <alignment horizontal="left" vertical="center"/>
    </xf>
    <xf numFmtId="0" fontId="1" fillId="0" borderId="0" xfId="61" applyAlignment="1">
      <alignment horizontal="left" vertical="center"/>
    </xf>
    <xf numFmtId="0" fontId="1" fillId="0" borderId="18" xfId="61" applyBorder="1" applyAlignment="1">
      <alignment horizontal="left" vertical="center"/>
    </xf>
    <xf numFmtId="0" fontId="5" fillId="0" borderId="10" xfId="0" applyFont="1" applyFill="1" applyBorder="1" applyAlignment="1">
      <alignment horizontal="left" vertical="center"/>
    </xf>
    <xf numFmtId="3" fontId="1" fillId="0" borderId="0" xfId="3" applyNumberFormat="1" applyFont="1" applyFill="1" applyBorder="1" applyAlignment="1" applyProtection="1">
      <alignment horizontal="left" vertical="center"/>
    </xf>
    <xf numFmtId="0" fontId="0" fillId="0" borderId="0" xfId="0" applyBorder="1" applyAlignment="1">
      <alignment horizontal="left" vertical="center"/>
    </xf>
    <xf numFmtId="0" fontId="0" fillId="0" borderId="23"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48" fillId="0" borderId="18" xfId="0" applyFont="1" applyBorder="1" applyAlignment="1" applyProtection="1">
      <alignment horizontal="left" vertical="center"/>
      <protection locked="0"/>
    </xf>
    <xf numFmtId="0" fontId="48" fillId="0" borderId="0" xfId="0" applyFont="1" applyBorder="1" applyAlignment="1" applyProtection="1">
      <alignment horizontal="left" vertical="center"/>
      <protection locked="0"/>
    </xf>
    <xf numFmtId="0" fontId="0" fillId="0" borderId="50" xfId="0" applyBorder="1" applyAlignment="1">
      <alignment horizontal="left" vertical="center"/>
    </xf>
    <xf numFmtId="166" fontId="5" fillId="0" borderId="0" xfId="0" applyNumberFormat="1" applyFont="1" applyFill="1" applyProtection="1">
      <protection locked="0"/>
    </xf>
    <xf numFmtId="166" fontId="100" fillId="0" borderId="0" xfId="0" applyNumberFormat="1" applyFont="1" applyFill="1" applyProtection="1">
      <protection locked="0"/>
    </xf>
    <xf numFmtId="166" fontId="4" fillId="0" borderId="0" xfId="0" applyNumberFormat="1" applyFont="1" applyFill="1" applyProtection="1">
      <protection locked="0"/>
    </xf>
    <xf numFmtId="0" fontId="4" fillId="0" borderId="0" xfId="0" applyFont="1" applyFill="1" applyProtection="1">
      <protection locked="0"/>
    </xf>
    <xf numFmtId="0" fontId="4" fillId="0" borderId="0" xfId="0" applyFont="1" applyFill="1"/>
    <xf numFmtId="172" fontId="5" fillId="0" borderId="0" xfId="3" applyNumberFormat="1" applyFont="1" applyFill="1" applyBorder="1" applyAlignment="1" applyProtection="1">
      <alignment vertical="center"/>
      <protection locked="0"/>
    </xf>
    <xf numFmtId="166" fontId="5" fillId="0" borderId="0" xfId="0" applyNumberFormat="1"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lignment vertical="center"/>
    </xf>
    <xf numFmtId="169" fontId="101" fillId="0" borderId="0" xfId="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0" fontId="32" fillId="0" borderId="0" xfId="60" applyFill="1" applyAlignment="1" applyProtection="1">
      <alignment vertical="center"/>
    </xf>
    <xf numFmtId="0" fontId="38" fillId="0" borderId="0" xfId="0" applyFont="1" applyAlignment="1" applyProtection="1">
      <alignment vertical="center"/>
    </xf>
    <xf numFmtId="0" fontId="0" fillId="0" borderId="0" xfId="0" applyAlignment="1" applyProtection="1">
      <alignment vertical="center"/>
    </xf>
    <xf numFmtId="0" fontId="25" fillId="0" borderId="0" xfId="0" applyFont="1" applyAlignment="1" applyProtection="1">
      <alignment vertical="center"/>
    </xf>
    <xf numFmtId="0" fontId="1" fillId="0" borderId="0" xfId="0" applyFont="1" applyFill="1" applyProtection="1"/>
    <xf numFmtId="3" fontId="6" fillId="4" borderId="30" xfId="0" applyNumberFormat="1" applyFont="1" applyFill="1" applyBorder="1" applyAlignment="1" applyProtection="1">
      <alignment horizontal="right" vertical="center"/>
    </xf>
    <xf numFmtId="3" fontId="6" fillId="4" borderId="48" xfId="0" applyNumberFormat="1" applyFont="1" applyFill="1" applyBorder="1" applyAlignment="1" applyProtection="1">
      <alignment horizontal="right" vertical="center"/>
    </xf>
    <xf numFmtId="3" fontId="1" fillId="4" borderId="27" xfId="0" applyNumberFormat="1" applyFont="1" applyFill="1" applyBorder="1" applyProtection="1"/>
    <xf numFmtId="3" fontId="6" fillId="4" borderId="27" xfId="0" applyNumberFormat="1" applyFont="1" applyFill="1" applyBorder="1" applyProtection="1"/>
    <xf numFmtId="0" fontId="53" fillId="0" borderId="0" xfId="60" applyFont="1" applyFill="1" applyProtection="1"/>
    <xf numFmtId="3" fontId="1" fillId="4" borderId="27" xfId="0" applyNumberFormat="1" applyFont="1" applyFill="1" applyBorder="1" applyAlignment="1" applyProtection="1">
      <alignment vertical="center"/>
    </xf>
    <xf numFmtId="3" fontId="6" fillId="4" borderId="48" xfId="0" applyNumberFormat="1" applyFont="1" applyFill="1" applyBorder="1" applyAlignment="1" applyProtection="1">
      <alignment vertical="center"/>
    </xf>
    <xf numFmtId="0" fontId="5" fillId="0" borderId="0" xfId="61" applyFont="1" applyAlignment="1" applyProtection="1">
      <alignment horizontal="left"/>
      <protection locked="0"/>
    </xf>
    <xf numFmtId="0" fontId="1" fillId="0" borderId="0" xfId="61" applyAlignment="1" applyProtection="1">
      <alignment horizontal="left"/>
      <protection locked="0"/>
    </xf>
    <xf numFmtId="0" fontId="1" fillId="0" borderId="23" xfId="61" applyFont="1" applyFill="1" applyBorder="1" applyAlignment="1" applyProtection="1">
      <alignment horizontal="left"/>
      <protection locked="0"/>
    </xf>
    <xf numFmtId="0" fontId="1" fillId="0" borderId="0" xfId="61" applyBorder="1" applyAlignment="1" applyProtection="1">
      <alignment horizontal="left"/>
      <protection locked="0"/>
    </xf>
    <xf numFmtId="0" fontId="6" fillId="0" borderId="50" xfId="61" applyFont="1" applyFill="1" applyBorder="1" applyAlignment="1" applyProtection="1">
      <alignment horizontal="left" vertical="center"/>
      <protection locked="0"/>
    </xf>
    <xf numFmtId="0" fontId="1" fillId="0" borderId="50" xfId="61" applyFont="1" applyFill="1" applyBorder="1" applyAlignment="1" applyProtection="1">
      <alignment horizontal="left"/>
      <protection locked="0"/>
    </xf>
    <xf numFmtId="0" fontId="99" fillId="0" borderId="0" xfId="0" applyFont="1" applyFill="1" applyBorder="1" applyAlignment="1" applyProtection="1">
      <alignment horizontal="left" vertical="center"/>
    </xf>
    <xf numFmtId="0" fontId="99" fillId="0" borderId="1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 fillId="0" borderId="18" xfId="61" applyFont="1" applyFill="1" applyBorder="1" applyAlignment="1" applyProtection="1">
      <alignment horizontal="left"/>
      <protection locked="0"/>
    </xf>
    <xf numFmtId="0" fontId="46" fillId="0" borderId="0" xfId="61" applyFont="1" applyFill="1" applyBorder="1" applyAlignment="1" applyProtection="1">
      <alignment horizontal="left"/>
      <protection locked="0"/>
    </xf>
    <xf numFmtId="0" fontId="46" fillId="0" borderId="50" xfId="61" applyFont="1" applyFill="1" applyBorder="1" applyAlignment="1" applyProtection="1">
      <alignment horizontal="left"/>
      <protection locked="0"/>
    </xf>
    <xf numFmtId="0" fontId="6" fillId="0" borderId="0" xfId="61" applyFont="1" applyFill="1" applyBorder="1" applyAlignment="1" applyProtection="1">
      <alignment horizontal="left" vertical="center"/>
      <protection locked="0"/>
    </xf>
    <xf numFmtId="44" fontId="5" fillId="4" borderId="30" xfId="3" applyFont="1" applyFill="1" applyBorder="1" applyAlignment="1" applyProtection="1">
      <alignment horizontal="left"/>
      <protection locked="0"/>
    </xf>
    <xf numFmtId="0" fontId="24" fillId="0" borderId="0" xfId="61" applyFont="1" applyFill="1" applyBorder="1" applyAlignment="1" applyProtection="1">
      <alignment horizontal="left"/>
      <protection locked="0"/>
    </xf>
    <xf numFmtId="0" fontId="59" fillId="0" borderId="0" xfId="61" applyFont="1" applyFill="1" applyBorder="1" applyAlignment="1" applyProtection="1">
      <alignment horizontal="left"/>
      <protection locked="0"/>
    </xf>
    <xf numFmtId="0" fontId="48" fillId="0" borderId="0" xfId="61" applyFont="1" applyFill="1" applyBorder="1" applyAlignment="1" applyProtection="1">
      <alignment horizontal="left"/>
      <protection locked="0"/>
    </xf>
    <xf numFmtId="0" fontId="5" fillId="0" borderId="0" xfId="61" applyFont="1" applyFill="1" applyBorder="1" applyAlignment="1" applyProtection="1">
      <alignment horizontal="left"/>
    </xf>
    <xf numFmtId="0" fontId="24" fillId="0" borderId="18" xfId="0" applyFont="1" applyBorder="1" applyAlignment="1" applyProtection="1">
      <alignment horizontal="left"/>
      <protection locked="0"/>
    </xf>
    <xf numFmtId="0" fontId="1" fillId="0" borderId="23" xfId="61" applyBorder="1" applyAlignment="1" applyProtection="1">
      <alignment horizontal="left"/>
      <protection locked="0"/>
    </xf>
    <xf numFmtId="0" fontId="59" fillId="0" borderId="18" xfId="0" applyFont="1" applyBorder="1" applyAlignment="1" applyProtection="1">
      <alignment horizontal="left"/>
      <protection locked="0"/>
    </xf>
    <xf numFmtId="0" fontId="1" fillId="0" borderId="0" xfId="61" applyAlignment="1">
      <alignment horizontal="left"/>
    </xf>
    <xf numFmtId="0" fontId="48" fillId="0" borderId="18" xfId="0" applyFont="1" applyBorder="1" applyAlignment="1" applyProtection="1">
      <alignment horizontal="left"/>
      <protection locked="0"/>
    </xf>
    <xf numFmtId="0" fontId="0" fillId="0" borderId="50" xfId="0" applyBorder="1" applyAlignment="1">
      <alignment horizontal="left"/>
    </xf>
    <xf numFmtId="0" fontId="1" fillId="0" borderId="0" xfId="61" applyBorder="1" applyAlignment="1">
      <alignment horizontal="left" vertical="center"/>
    </xf>
    <xf numFmtId="0" fontId="24" fillId="0" borderId="50" xfId="0" applyFont="1" applyFill="1" applyBorder="1" applyAlignment="1" applyProtection="1">
      <alignment horizontal="left"/>
      <protection locked="0"/>
    </xf>
    <xf numFmtId="0" fontId="94" fillId="0" borderId="50" xfId="0" applyFont="1" applyFill="1" applyBorder="1" applyAlignment="1" applyProtection="1">
      <alignment horizontal="left" vertical="center" indent="2"/>
    </xf>
    <xf numFmtId="0" fontId="59" fillId="0" borderId="0" xfId="0" applyFont="1" applyBorder="1" applyAlignment="1" applyProtection="1">
      <alignment horizontal="left"/>
      <protection locked="0"/>
    </xf>
    <xf numFmtId="0" fontId="48" fillId="0" borderId="0" xfId="0" applyFont="1" applyBorder="1" applyAlignment="1" applyProtection="1">
      <alignment horizontal="left"/>
      <protection locked="0"/>
    </xf>
    <xf numFmtId="166" fontId="5" fillId="0" borderId="47" xfId="0" applyNumberFormat="1" applyFont="1" applyBorder="1" applyProtection="1">
      <protection locked="0"/>
    </xf>
    <xf numFmtId="174" fontId="4" fillId="0" borderId="21" xfId="0" applyNumberFormat="1" applyFont="1" applyFill="1" applyBorder="1" applyProtection="1">
      <protection locked="0"/>
    </xf>
    <xf numFmtId="174" fontId="5" fillId="0" borderId="21" xfId="0" applyNumberFormat="1" applyFont="1" applyFill="1" applyBorder="1" applyProtection="1">
      <protection locked="0"/>
    </xf>
    <xf numFmtId="172" fontId="4" fillId="0" borderId="50" xfId="3" applyNumberFormat="1" applyFont="1" applyFill="1" applyBorder="1" applyProtection="1">
      <protection locked="0"/>
    </xf>
    <xf numFmtId="174" fontId="5" fillId="0" borderId="51" xfId="0" applyNumberFormat="1" applyFont="1" applyFill="1" applyBorder="1" applyProtection="1">
      <protection locked="0"/>
    </xf>
    <xf numFmtId="172" fontId="5" fillId="0" borderId="20" xfId="3" applyNumberFormat="1" applyFont="1" applyFill="1" applyBorder="1" applyAlignment="1" applyProtection="1">
      <alignment horizontal="left" indent="6"/>
      <protection locked="0"/>
    </xf>
    <xf numFmtId="172" fontId="5" fillId="0" borderId="50" xfId="3" applyNumberFormat="1" applyFont="1" applyBorder="1" applyProtection="1">
      <protection locked="0"/>
    </xf>
    <xf numFmtId="174" fontId="4" fillId="0" borderId="51" xfId="0" applyNumberFormat="1" applyFont="1" applyFill="1" applyBorder="1" applyProtection="1">
      <protection locked="0"/>
    </xf>
    <xf numFmtId="172" fontId="4" fillId="0" borderId="20" xfId="3" applyNumberFormat="1" applyFont="1" applyFill="1" applyBorder="1" applyAlignment="1" applyProtection="1">
      <alignment vertical="center"/>
      <protection locked="0"/>
    </xf>
    <xf numFmtId="0" fontId="21" fillId="0" borderId="0" xfId="0" applyFont="1" applyFill="1" applyBorder="1" applyAlignment="1" applyProtection="1">
      <alignment vertical="center"/>
    </xf>
    <xf numFmtId="0" fontId="5" fillId="0" borderId="0" xfId="0" applyFont="1" applyBorder="1" applyAlignment="1" applyProtection="1">
      <protection locked="0"/>
    </xf>
    <xf numFmtId="0" fontId="11" fillId="4" borderId="0" xfId="0" applyFont="1" applyFill="1" applyBorder="1" applyAlignment="1" applyProtection="1"/>
    <xf numFmtId="0" fontId="4" fillId="0" borderId="0" xfId="0" applyFont="1" applyBorder="1" applyAlignment="1" applyProtection="1">
      <protection locked="0"/>
    </xf>
    <xf numFmtId="172" fontId="4" fillId="0" borderId="0" xfId="3" applyNumberFormat="1" applyFont="1" applyFill="1" applyBorder="1" applyAlignment="1" applyProtection="1">
      <alignment vertical="center"/>
      <protection locked="0"/>
    </xf>
    <xf numFmtId="0" fontId="5" fillId="0" borderId="0" xfId="0" applyFont="1" applyFill="1" applyBorder="1" applyAlignment="1" applyProtection="1"/>
    <xf numFmtId="0" fontId="4" fillId="0" borderId="20" xfId="0" applyFont="1" applyFill="1" applyBorder="1" applyAlignment="1"/>
    <xf numFmtId="172" fontId="5" fillId="0" borderId="20" xfId="3" applyNumberFormat="1" applyFont="1" applyFill="1" applyBorder="1" applyAlignment="1" applyProtection="1">
      <protection locked="0"/>
    </xf>
    <xf numFmtId="0" fontId="4" fillId="0" borderId="22" xfId="0" applyFont="1" applyFill="1" applyBorder="1" applyAlignment="1" applyProtection="1">
      <protection locked="0"/>
    </xf>
    <xf numFmtId="0" fontId="62" fillId="0" borderId="20" xfId="0" applyFont="1" applyBorder="1" applyAlignment="1" applyProtection="1">
      <protection locked="0"/>
    </xf>
    <xf numFmtId="0" fontId="62" fillId="0" borderId="20" xfId="0" applyFont="1" applyBorder="1" applyAlignment="1" applyProtection="1">
      <alignment vertical="center"/>
      <protection locked="0"/>
    </xf>
    <xf numFmtId="0" fontId="62" fillId="0" borderId="20" xfId="0" applyFont="1" applyFill="1" applyBorder="1" applyAlignment="1" applyProtection="1">
      <alignment horizontal="left" vertical="center"/>
      <protection locked="0"/>
    </xf>
    <xf numFmtId="0" fontId="104" fillId="0" borderId="0" xfId="0" applyFont="1" applyBorder="1" applyAlignment="1" applyProtection="1">
      <alignment horizontal="left"/>
      <protection locked="0"/>
    </xf>
    <xf numFmtId="0" fontId="104" fillId="0" borderId="18" xfId="0" applyFont="1" applyBorder="1" applyAlignment="1" applyProtection="1">
      <alignment horizontal="left"/>
      <protection locked="0"/>
    </xf>
    <xf numFmtId="172" fontId="105" fillId="0" borderId="20" xfId="3" applyNumberFormat="1" applyFont="1" applyFill="1" applyBorder="1" applyAlignment="1" applyProtection="1">
      <alignment horizontal="left" vertical="center" indent="6"/>
      <protection locked="0"/>
    </xf>
    <xf numFmtId="172" fontId="62" fillId="0" borderId="0" xfId="3" applyNumberFormat="1" applyFont="1" applyFill="1" applyBorder="1" applyAlignment="1" applyProtection="1">
      <alignment vertical="center"/>
      <protection locked="0"/>
    </xf>
    <xf numFmtId="172" fontId="62" fillId="0" borderId="22" xfId="3" applyNumberFormat="1" applyFont="1" applyFill="1" applyBorder="1" applyAlignment="1" applyProtection="1">
      <alignment vertical="center"/>
      <protection locked="0"/>
    </xf>
    <xf numFmtId="172" fontId="4" fillId="0" borderId="50" xfId="3" applyNumberFormat="1" applyFont="1" applyFill="1" applyBorder="1" applyAlignment="1" applyProtection="1">
      <alignment horizontal="left" vertical="center"/>
      <protection locked="0"/>
    </xf>
    <xf numFmtId="172" fontId="4" fillId="0" borderId="18" xfId="3" applyNumberFormat="1" applyFont="1" applyFill="1" applyBorder="1" applyAlignment="1" applyProtection="1">
      <alignment horizontal="left" vertical="center"/>
      <protection locked="0"/>
    </xf>
    <xf numFmtId="174" fontId="4" fillId="0" borderId="47" xfId="0" applyNumberFormat="1" applyFont="1" applyFill="1" applyBorder="1" applyProtection="1">
      <protection locked="0"/>
    </xf>
    <xf numFmtId="172" fontId="62" fillId="0" borderId="17" xfId="3" applyNumberFormat="1" applyFont="1" applyFill="1" applyBorder="1" applyAlignment="1" applyProtection="1">
      <alignment vertical="center"/>
      <protection locked="0"/>
    </xf>
    <xf numFmtId="0" fontId="62" fillId="0" borderId="17" xfId="0" applyFont="1" applyBorder="1" applyAlignment="1" applyProtection="1">
      <protection locked="0"/>
    </xf>
    <xf numFmtId="0" fontId="62" fillId="0" borderId="20" xfId="0" applyFont="1" applyFill="1" applyBorder="1" applyAlignment="1" applyProtection="1">
      <protection locked="0"/>
    </xf>
    <xf numFmtId="166" fontId="9" fillId="0" borderId="0" xfId="0" applyNumberFormat="1" applyFont="1" applyFill="1" applyBorder="1"/>
    <xf numFmtId="166" fontId="9" fillId="0" borderId="0" xfId="0" applyNumberFormat="1" applyFont="1" applyFill="1" applyBorder="1" applyAlignment="1">
      <alignment vertical="center"/>
    </xf>
    <xf numFmtId="0" fontId="72" fillId="0" borderId="17" xfId="0" applyFont="1" applyBorder="1" applyAlignment="1" applyProtection="1">
      <protection locked="0"/>
    </xf>
    <xf numFmtId="172" fontId="72" fillId="0" borderId="17" xfId="3" applyNumberFormat="1" applyFont="1" applyFill="1" applyBorder="1" applyAlignment="1" applyProtection="1">
      <alignment vertical="center"/>
      <protection locked="0"/>
    </xf>
    <xf numFmtId="0" fontId="72" fillId="0" borderId="20" xfId="0" applyFont="1" applyBorder="1" applyAlignment="1" applyProtection="1">
      <protection locked="0"/>
    </xf>
    <xf numFmtId="0" fontId="72" fillId="0" borderId="20" xfId="0" applyFont="1" applyBorder="1" applyAlignment="1" applyProtection="1">
      <alignment vertical="center"/>
      <protection locked="0"/>
    </xf>
    <xf numFmtId="0" fontId="72" fillId="0" borderId="20" xfId="0" applyFont="1" applyFill="1" applyBorder="1" applyAlignment="1" applyProtection="1">
      <protection locked="0"/>
    </xf>
    <xf numFmtId="0" fontId="72" fillId="0" borderId="20" xfId="0" applyFont="1" applyFill="1" applyBorder="1" applyAlignment="1" applyProtection="1">
      <alignment horizontal="left" vertical="center"/>
      <protection locked="0"/>
    </xf>
    <xf numFmtId="0" fontId="6" fillId="0" borderId="17" xfId="0" applyFont="1" applyBorder="1"/>
    <xf numFmtId="0" fontId="1" fillId="0" borderId="18" xfId="0" applyFont="1" applyBorder="1"/>
    <xf numFmtId="0" fontId="4" fillId="0" borderId="0" xfId="0" applyFont="1" applyAlignment="1" applyProtection="1">
      <alignment vertical="center"/>
      <protection locked="0"/>
    </xf>
    <xf numFmtId="0" fontId="6" fillId="0" borderId="20" xfId="0" applyFont="1" applyBorder="1"/>
    <xf numFmtId="0" fontId="1" fillId="0" borderId="22" xfId="0" applyFont="1" applyBorder="1"/>
    <xf numFmtId="0" fontId="1" fillId="0" borderId="50" xfId="0" applyFont="1" applyBorder="1"/>
    <xf numFmtId="0" fontId="1" fillId="0" borderId="20" xfId="0" applyFont="1" applyBorder="1"/>
    <xf numFmtId="0" fontId="1" fillId="0" borderId="0" xfId="0" applyFont="1" applyBorder="1"/>
    <xf numFmtId="0" fontId="1" fillId="0" borderId="21" xfId="0" applyFont="1" applyBorder="1"/>
    <xf numFmtId="1" fontId="1" fillId="0" borderId="21" xfId="0" applyNumberFormat="1" applyFont="1" applyBorder="1" applyProtection="1">
      <protection locked="0"/>
    </xf>
    <xf numFmtId="1" fontId="1" fillId="0" borderId="0" xfId="0" applyNumberFormat="1" applyFont="1" applyBorder="1" applyProtection="1">
      <protection locked="0"/>
    </xf>
    <xf numFmtId="0" fontId="23" fillId="0" borderId="0" xfId="0" applyFont="1" applyFill="1" applyBorder="1" applyAlignment="1" applyProtection="1">
      <alignment horizontal="right" vertical="center"/>
      <protection locked="0"/>
    </xf>
    <xf numFmtId="0" fontId="1" fillId="0"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protection locked="0"/>
    </xf>
    <xf numFmtId="0" fontId="1" fillId="0" borderId="17" xfId="0" applyFont="1" applyBorder="1" applyProtection="1">
      <protection locked="0"/>
    </xf>
    <xf numFmtId="0" fontId="1" fillId="0" borderId="18" xfId="0" applyFont="1" applyFill="1" applyBorder="1" applyProtection="1">
      <protection locked="0"/>
    </xf>
    <xf numFmtId="172" fontId="5" fillId="5" borderId="29" xfId="3" applyNumberFormat="1" applyFont="1" applyFill="1" applyBorder="1" applyProtection="1"/>
    <xf numFmtId="172" fontId="15" fillId="5" borderId="29" xfId="3" applyNumberFormat="1" applyFont="1" applyFill="1" applyBorder="1" applyProtection="1"/>
    <xf numFmtId="0" fontId="5" fillId="0" borderId="18" xfId="0" applyFont="1" applyFill="1" applyBorder="1"/>
    <xf numFmtId="169" fontId="18" fillId="0" borderId="47" xfId="0" applyNumberFormat="1" applyFont="1" applyFill="1" applyBorder="1" applyAlignment="1" applyProtection="1">
      <alignment horizontal="left" vertical="center" wrapText="1"/>
      <protection locked="0"/>
    </xf>
    <xf numFmtId="0" fontId="1" fillId="0" borderId="50" xfId="0" applyFont="1" applyFill="1" applyBorder="1" applyAlignment="1" applyProtection="1">
      <alignment horizontal="left" vertical="center"/>
      <protection locked="0"/>
    </xf>
    <xf numFmtId="0" fontId="1" fillId="0" borderId="51" xfId="0" applyFont="1" applyFill="1" applyBorder="1" applyAlignment="1" applyProtection="1">
      <alignment horizontal="left" vertical="center"/>
      <protection locked="0"/>
    </xf>
    <xf numFmtId="0" fontId="5" fillId="0" borderId="47" xfId="0" applyFont="1" applyBorder="1" applyAlignment="1">
      <alignment vertical="center"/>
    </xf>
    <xf numFmtId="0" fontId="1" fillId="0" borderId="18" xfId="0" applyFont="1" applyBorder="1" applyProtection="1">
      <protection locked="0"/>
    </xf>
    <xf numFmtId="0" fontId="1" fillId="0" borderId="47" xfId="0" applyFont="1" applyFill="1" applyBorder="1" applyAlignment="1" applyProtection="1">
      <alignment horizontal="left" vertical="center"/>
      <protection locked="0"/>
    </xf>
    <xf numFmtId="0" fontId="72" fillId="0" borderId="20" xfId="0" applyFont="1" applyBorder="1" applyAlignment="1" applyProtection="1">
      <alignment horizontal="left" vertical="center"/>
      <protection locked="0"/>
    </xf>
    <xf numFmtId="0" fontId="1" fillId="0" borderId="17" xfId="0" applyFont="1" applyBorder="1"/>
    <xf numFmtId="0" fontId="62" fillId="0" borderId="20" xfId="0" applyFont="1" applyBorder="1"/>
    <xf numFmtId="0" fontId="72" fillId="0" borderId="20" xfId="0" applyFont="1" applyBorder="1"/>
    <xf numFmtId="0" fontId="45" fillId="0" borderId="20" xfId="0" applyFont="1" applyBorder="1"/>
    <xf numFmtId="0" fontId="26" fillId="0" borderId="0" xfId="56" applyFill="1" applyProtection="1">
      <protection locked="0"/>
    </xf>
    <xf numFmtId="0" fontId="6" fillId="0" borderId="0" xfId="0" applyFont="1" applyFill="1" applyBorder="1" applyAlignment="1" applyProtection="1">
      <alignment horizontal="right" vertical="center"/>
      <protection locked="0"/>
    </xf>
    <xf numFmtId="0" fontId="0" fillId="0" borderId="0" xfId="0" applyFill="1" applyBorder="1" applyAlignment="1" applyProtection="1">
      <alignment horizontal="right"/>
      <protection locked="0"/>
    </xf>
    <xf numFmtId="0" fontId="17" fillId="0" borderId="0" xfId="0" applyFont="1" applyFill="1" applyBorder="1" applyAlignment="1" applyProtection="1">
      <alignment horizontal="right"/>
      <protection locked="0"/>
    </xf>
    <xf numFmtId="171" fontId="0" fillId="0" borderId="0" xfId="0" applyNumberFormat="1" applyFill="1" applyBorder="1" applyAlignment="1" applyProtection="1">
      <alignment horizontal="right"/>
      <protection locked="0"/>
    </xf>
    <xf numFmtId="0" fontId="6" fillId="0" borderId="18" xfId="0" applyFont="1" applyFill="1" applyBorder="1" applyAlignment="1" applyProtection="1">
      <alignment horizontal="right" vertical="center"/>
      <protection locked="0"/>
    </xf>
    <xf numFmtId="0" fontId="1" fillId="0" borderId="18" xfId="0" applyFont="1" applyFill="1" applyBorder="1" applyAlignment="1" applyProtection="1">
      <alignment horizontal="right"/>
      <protection locked="0"/>
    </xf>
    <xf numFmtId="0" fontId="17" fillId="0" borderId="18" xfId="0" applyFont="1" applyFill="1" applyBorder="1" applyAlignment="1" applyProtection="1">
      <alignment horizontal="right"/>
      <protection locked="0"/>
    </xf>
    <xf numFmtId="0" fontId="1" fillId="0" borderId="19" xfId="0" applyFont="1" applyFill="1" applyBorder="1" applyAlignment="1" applyProtection="1">
      <alignment horizontal="left"/>
      <protection locked="0"/>
    </xf>
    <xf numFmtId="0" fontId="102" fillId="0" borderId="0" xfId="56" applyFont="1" applyFill="1" applyProtection="1">
      <protection locked="0"/>
    </xf>
    <xf numFmtId="0" fontId="1" fillId="0" borderId="21" xfId="0" applyFont="1" applyFill="1" applyBorder="1" applyAlignment="1" applyProtection="1">
      <alignment horizontal="left"/>
      <protection locked="0"/>
    </xf>
    <xf numFmtId="0" fontId="13" fillId="0" borderId="0" xfId="0" applyFont="1" applyBorder="1" applyAlignment="1" applyProtection="1">
      <alignment horizontal="right" vertical="center"/>
      <protection locked="0"/>
    </xf>
    <xf numFmtId="171" fontId="1" fillId="0" borderId="20" xfId="0" applyNumberFormat="1" applyFont="1" applyBorder="1" applyAlignment="1" applyProtection="1">
      <alignment horizontal="right"/>
      <protection locked="0"/>
    </xf>
    <xf numFmtId="1" fontId="1" fillId="3" borderId="30" xfId="0" applyNumberFormat="1" applyFont="1" applyFill="1" applyBorder="1" applyAlignment="1" applyProtection="1">
      <alignment horizontal="right"/>
      <protection locked="0"/>
    </xf>
    <xf numFmtId="0" fontId="6" fillId="0" borderId="0" xfId="0" applyFont="1" applyBorder="1" applyAlignment="1" applyProtection="1">
      <alignment horizontal="right" vertical="center"/>
      <protection locked="0"/>
    </xf>
    <xf numFmtId="0" fontId="6" fillId="0" borderId="20" xfId="0" applyFont="1" applyBorder="1" applyAlignment="1" applyProtection="1">
      <alignment horizontal="center" vertical="center"/>
      <protection locked="0"/>
    </xf>
    <xf numFmtId="0" fontId="6" fillId="0" borderId="21" xfId="0" applyFont="1" applyFill="1" applyBorder="1" applyAlignment="1" applyProtection="1">
      <alignment horizontal="left" vertical="center"/>
      <protection locked="0"/>
    </xf>
    <xf numFmtId="3" fontId="5" fillId="3" borderId="30" xfId="0" applyNumberFormat="1" applyFont="1" applyFill="1" applyBorder="1" applyAlignment="1" applyProtection="1">
      <alignment horizontal="right"/>
      <protection locked="0"/>
    </xf>
    <xf numFmtId="0" fontId="6" fillId="0" borderId="20" xfId="0" applyFont="1" applyBorder="1" applyAlignment="1" applyProtection="1">
      <alignment horizontal="right" vertical="center"/>
      <protection locked="0"/>
    </xf>
    <xf numFmtId="3" fontId="5" fillId="3" borderId="30" xfId="0" applyNumberFormat="1" applyFont="1" applyFill="1" applyBorder="1" applyAlignment="1" applyProtection="1">
      <alignment horizontal="right" vertical="center"/>
      <protection locked="0"/>
    </xf>
    <xf numFmtId="0" fontId="102" fillId="0" borderId="21" xfId="56" applyFont="1" applyFill="1" applyBorder="1" applyProtection="1">
      <protection locked="0"/>
    </xf>
    <xf numFmtId="3" fontId="6" fillId="0" borderId="0" xfId="0" applyNumberFormat="1" applyFont="1" applyFill="1" applyBorder="1" applyAlignment="1" applyProtection="1">
      <alignment horizontal="right" vertical="center"/>
      <protection locked="0"/>
    </xf>
    <xf numFmtId="0" fontId="15" fillId="0" borderId="0" xfId="0" applyFont="1" applyBorder="1" applyAlignment="1" applyProtection="1">
      <alignment horizontal="right" vertical="center"/>
      <protection locked="0"/>
    </xf>
    <xf numFmtId="3" fontId="5" fillId="3" borderId="30" xfId="0" applyNumberFormat="1" applyFont="1" applyFill="1" applyBorder="1" applyProtection="1">
      <protection locked="0"/>
    </xf>
    <xf numFmtId="0" fontId="1" fillId="0" borderId="20" xfId="0" applyFont="1" applyFill="1" applyBorder="1" applyAlignment="1" applyProtection="1">
      <alignment horizontal="center"/>
      <protection locked="0"/>
    </xf>
    <xf numFmtId="0" fontId="1" fillId="0" borderId="0" xfId="0" applyFont="1" applyFill="1" applyBorder="1" applyAlignment="1" applyProtection="1">
      <alignment horizontal="right" vertical="center" indent="1"/>
      <protection locked="0"/>
    </xf>
    <xf numFmtId="3" fontId="1" fillId="0" borderId="0" xfId="0" applyNumberFormat="1" applyFont="1" applyFill="1" applyBorder="1" applyAlignment="1" applyProtection="1">
      <alignment horizontal="right"/>
      <protection locked="0"/>
    </xf>
    <xf numFmtId="0" fontId="6" fillId="0" borderId="20" xfId="0" applyFont="1" applyFill="1" applyBorder="1" applyAlignment="1" applyProtection="1">
      <alignment horizontal="left" vertical="center"/>
      <protection locked="0"/>
    </xf>
    <xf numFmtId="0" fontId="6" fillId="0" borderId="20" xfId="0" applyFont="1" applyFill="1" applyBorder="1" applyAlignment="1" applyProtection="1">
      <alignment horizontal="center" vertical="center"/>
      <protection locked="0"/>
    </xf>
    <xf numFmtId="171" fontId="1" fillId="0" borderId="20" xfId="0" applyNumberFormat="1" applyFont="1" applyFill="1" applyBorder="1" applyAlignment="1" applyProtection="1">
      <alignment horizontal="right"/>
      <protection locked="0"/>
    </xf>
    <xf numFmtId="0" fontId="6" fillId="0" borderId="0" xfId="0" applyFont="1" applyFill="1" applyBorder="1" applyAlignment="1" applyProtection="1">
      <alignment horizontal="right" vertical="center" indent="1"/>
      <protection locked="0"/>
    </xf>
    <xf numFmtId="0" fontId="102" fillId="0" borderId="24" xfId="56" applyFont="1" applyFill="1" applyBorder="1" applyProtection="1">
      <protection locked="0"/>
    </xf>
    <xf numFmtId="0" fontId="6" fillId="0" borderId="50" xfId="0" applyFont="1" applyFill="1" applyBorder="1" applyAlignment="1" applyProtection="1">
      <alignment horizontal="right" vertical="center"/>
      <protection locked="0"/>
    </xf>
    <xf numFmtId="171" fontId="1" fillId="0" borderId="0" xfId="0" applyNumberFormat="1" applyFont="1" applyFill="1" applyBorder="1" applyAlignment="1" applyProtection="1">
      <alignment horizontal="right"/>
      <protection locked="0"/>
    </xf>
    <xf numFmtId="3" fontId="6" fillId="0" borderId="18" xfId="0" applyNumberFormat="1" applyFont="1" applyFill="1" applyBorder="1" applyAlignment="1" applyProtection="1">
      <alignment horizontal="right" vertical="center"/>
      <protection locked="0"/>
    </xf>
    <xf numFmtId="0" fontId="6" fillId="0" borderId="47" xfId="0" applyFont="1" applyFill="1" applyBorder="1" applyAlignment="1" applyProtection="1">
      <alignment horizontal="left" vertical="center"/>
      <protection locked="0"/>
    </xf>
    <xf numFmtId="1" fontId="1" fillId="3" borderId="48" xfId="0" applyNumberFormat="1" applyFont="1" applyFill="1" applyBorder="1" applyAlignment="1" applyProtection="1">
      <alignment horizontal="right"/>
      <protection locked="0"/>
    </xf>
    <xf numFmtId="3" fontId="5" fillId="3" borderId="48" xfId="0" applyNumberFormat="1" applyFont="1" applyFill="1" applyBorder="1" applyAlignment="1" applyProtection="1">
      <alignment horizontal="right"/>
      <protection locked="0"/>
    </xf>
    <xf numFmtId="3" fontId="5" fillId="3" borderId="48" xfId="0" applyNumberFormat="1" applyFont="1" applyFill="1" applyBorder="1" applyAlignment="1" applyProtection="1">
      <alignment horizontal="right" vertical="center"/>
      <protection locked="0"/>
    </xf>
    <xf numFmtId="0" fontId="6" fillId="0" borderId="22" xfId="0" applyFont="1" applyBorder="1" applyAlignment="1" applyProtection="1">
      <alignment horizontal="right" vertical="center"/>
      <protection locked="0"/>
    </xf>
    <xf numFmtId="0" fontId="6" fillId="0" borderId="50" xfId="0" applyFont="1" applyBorder="1" applyAlignment="1" applyProtection="1">
      <alignment horizontal="right" vertical="center"/>
      <protection locked="0"/>
    </xf>
    <xf numFmtId="0" fontId="6" fillId="0" borderId="51" xfId="0" applyFont="1" applyBorder="1" applyAlignment="1" applyProtection="1">
      <alignment horizontal="right" vertical="center"/>
      <protection locked="0"/>
    </xf>
    <xf numFmtId="0" fontId="6" fillId="0" borderId="21" xfId="0" applyFont="1" applyBorder="1" applyAlignment="1" applyProtection="1">
      <alignment horizontal="right" vertical="center"/>
      <protection locked="0"/>
    </xf>
    <xf numFmtId="0" fontId="102" fillId="0" borderId="0" xfId="56" applyFont="1" applyFill="1" applyBorder="1" applyProtection="1">
      <protection locked="0"/>
    </xf>
    <xf numFmtId="0" fontId="102" fillId="0" borderId="19" xfId="56" applyFont="1" applyFill="1" applyBorder="1" applyProtection="1">
      <protection locked="0"/>
    </xf>
    <xf numFmtId="0" fontId="1" fillId="0" borderId="0" xfId="0" applyFont="1" applyFill="1" applyBorder="1" applyAlignment="1" applyProtection="1">
      <alignment horizontal="right" indent="1"/>
      <protection locked="0"/>
    </xf>
    <xf numFmtId="3" fontId="1" fillId="0" borderId="0" xfId="0" applyNumberFormat="1" applyFont="1" applyFill="1" applyBorder="1" applyProtection="1">
      <protection locked="0"/>
    </xf>
    <xf numFmtId="171" fontId="1" fillId="0" borderId="17" xfId="0" applyNumberFormat="1" applyFont="1" applyBorder="1" applyAlignment="1" applyProtection="1">
      <alignment horizontal="left"/>
      <protection locked="0"/>
    </xf>
    <xf numFmtId="0" fontId="53" fillId="0" borderId="18" xfId="60" applyFont="1" applyFill="1" applyBorder="1" applyProtection="1">
      <protection locked="0"/>
    </xf>
    <xf numFmtId="0" fontId="53" fillId="0" borderId="47" xfId="60" applyFont="1" applyFill="1" applyBorder="1" applyAlignment="1" applyProtection="1">
      <alignment horizontal="left"/>
      <protection locked="0"/>
    </xf>
    <xf numFmtId="0" fontId="94" fillId="0" borderId="0" xfId="0" applyFont="1" applyFill="1" applyBorder="1" applyAlignment="1" applyProtection="1">
      <alignment horizontal="right" vertical="center" indent="2"/>
      <protection locked="0"/>
    </xf>
    <xf numFmtId="10" fontId="1" fillId="3" borderId="48" xfId="2" applyNumberFormat="1" applyFont="1" applyFill="1" applyBorder="1" applyAlignment="1" applyProtection="1">
      <alignment vertical="center"/>
      <protection locked="0"/>
    </xf>
    <xf numFmtId="0" fontId="46" fillId="0" borderId="0" xfId="0" applyFont="1" applyFill="1" applyBorder="1" applyAlignment="1" applyProtection="1">
      <alignment horizontal="right" vertical="center" indent="2"/>
      <protection locked="0"/>
    </xf>
    <xf numFmtId="3" fontId="6" fillId="0" borderId="0" xfId="0" applyNumberFormat="1" applyFont="1" applyFill="1" applyBorder="1" applyAlignment="1" applyProtection="1">
      <alignment vertical="center"/>
      <protection locked="0"/>
    </xf>
    <xf numFmtId="0" fontId="1" fillId="0" borderId="51" xfId="0" applyFont="1" applyFill="1" applyBorder="1" applyAlignment="1" applyProtection="1">
      <alignment horizontal="left"/>
      <protection locked="0"/>
    </xf>
    <xf numFmtId="0" fontId="53" fillId="0" borderId="19" xfId="60" applyFont="1" applyFill="1" applyBorder="1" applyAlignment="1" applyProtection="1">
      <alignment horizontal="left"/>
      <protection locked="0"/>
    </xf>
    <xf numFmtId="10" fontId="1" fillId="3" borderId="27" xfId="2" applyNumberFormat="1" applyFont="1" applyFill="1" applyBorder="1" applyAlignment="1" applyProtection="1">
      <alignment horizontal="right" indent="1"/>
      <protection locked="0"/>
    </xf>
    <xf numFmtId="0" fontId="45" fillId="0" borderId="0" xfId="0" applyFont="1" applyFill="1" applyBorder="1" applyAlignment="1" applyProtection="1">
      <alignment horizontal="right" vertical="center" indent="2"/>
      <protection locked="0"/>
    </xf>
    <xf numFmtId="0" fontId="1" fillId="0" borderId="22" xfId="0" applyFont="1" applyFill="1" applyBorder="1" applyAlignment="1" applyProtection="1">
      <protection locked="0"/>
    </xf>
    <xf numFmtId="0" fontId="1" fillId="0" borderId="23" xfId="0" applyFont="1" applyFill="1" applyBorder="1" applyAlignment="1" applyProtection="1">
      <protection locked="0"/>
    </xf>
    <xf numFmtId="0" fontId="1" fillId="0" borderId="24" xfId="0" applyFont="1" applyFill="1" applyBorder="1" applyAlignment="1" applyProtection="1">
      <protection locked="0"/>
    </xf>
    <xf numFmtId="171" fontId="0" fillId="0" borderId="0" xfId="0" applyNumberFormat="1" applyAlignment="1" applyProtection="1">
      <alignment horizontal="right"/>
      <protection locked="0"/>
    </xf>
    <xf numFmtId="171" fontId="1" fillId="0" borderId="0" xfId="0" applyNumberFormat="1" applyFont="1" applyFill="1" applyAlignment="1" applyProtection="1">
      <alignment horizontal="right"/>
      <protection locked="0"/>
    </xf>
    <xf numFmtId="171" fontId="0" fillId="0" borderId="0" xfId="0" applyNumberFormat="1" applyAlignment="1" applyProtection="1">
      <alignment horizontal="center"/>
      <protection locked="0"/>
    </xf>
    <xf numFmtId="0" fontId="0" fillId="0" borderId="0" xfId="0" applyAlignment="1" applyProtection="1">
      <alignment horizontal="left"/>
      <protection locked="0"/>
    </xf>
    <xf numFmtId="172" fontId="2" fillId="3" borderId="48" xfId="3" applyNumberFormat="1" applyFont="1" applyFill="1" applyBorder="1" applyProtection="1">
      <protection locked="0"/>
    </xf>
    <xf numFmtId="0" fontId="2" fillId="0" borderId="18" xfId="0" applyFont="1" applyBorder="1" applyAlignment="1" applyProtection="1">
      <alignment horizontal="right"/>
      <protection locked="0"/>
    </xf>
    <xf numFmtId="0" fontId="88" fillId="0" borderId="18" xfId="0" applyFont="1" applyBorder="1" applyAlignment="1" applyProtection="1">
      <alignment horizontal="left" indent="1"/>
      <protection locked="0"/>
    </xf>
    <xf numFmtId="0" fontId="77" fillId="0" borderId="0" xfId="0" applyFont="1" applyFill="1" applyBorder="1" applyAlignment="1" applyProtection="1">
      <alignment horizontal="left" vertical="center"/>
      <protection locked="0"/>
    </xf>
    <xf numFmtId="1" fontId="6" fillId="4" borderId="48" xfId="0" applyNumberFormat="1" applyFont="1" applyFill="1" applyBorder="1" applyAlignment="1" applyProtection="1">
      <alignment horizontal="right" vertical="center"/>
    </xf>
    <xf numFmtId="171" fontId="103" fillId="0" borderId="20" xfId="0" applyNumberFormat="1" applyFont="1" applyBorder="1" applyAlignment="1" applyProtection="1">
      <alignment horizontal="left"/>
      <protection locked="0"/>
    </xf>
    <xf numFmtId="171" fontId="1" fillId="0" borderId="20" xfId="0" applyNumberFormat="1" applyFont="1" applyBorder="1" applyAlignment="1" applyProtection="1">
      <alignment horizontal="left"/>
      <protection locked="0"/>
    </xf>
    <xf numFmtId="0" fontId="53" fillId="0" borderId="0" xfId="60" applyFont="1" applyFill="1" applyBorder="1" applyAlignment="1" applyProtection="1">
      <alignment horizontal="left" vertical="center"/>
      <protection locked="0"/>
    </xf>
    <xf numFmtId="0" fontId="53" fillId="0" borderId="0" xfId="60" applyFont="1" applyFill="1" applyBorder="1" applyProtection="1">
      <protection locked="0"/>
    </xf>
    <xf numFmtId="171" fontId="6" fillId="0" borderId="0" xfId="0" applyNumberFormat="1" applyFont="1" applyFill="1" applyBorder="1" applyAlignment="1" applyProtection="1">
      <alignment horizontal="left" vertical="center"/>
    </xf>
    <xf numFmtId="0" fontId="53" fillId="0" borderId="19" xfId="60" applyFont="1" applyFill="1" applyBorder="1" applyAlignment="1" applyProtection="1">
      <alignment horizontal="left" vertical="center"/>
      <protection locked="0"/>
    </xf>
    <xf numFmtId="0" fontId="53" fillId="0" borderId="21" xfId="60" applyFont="1" applyFill="1" applyBorder="1" applyAlignment="1" applyProtection="1">
      <alignment horizontal="left" vertical="center"/>
      <protection locked="0"/>
    </xf>
    <xf numFmtId="171" fontId="6" fillId="0" borderId="0" xfId="0" applyNumberFormat="1" applyFont="1" applyFill="1" applyBorder="1" applyAlignment="1" applyProtection="1">
      <alignment horizontal="left"/>
      <protection locked="0"/>
    </xf>
    <xf numFmtId="0" fontId="1" fillId="0" borderId="21" xfId="0" applyFont="1" applyFill="1" applyBorder="1" applyAlignment="1" applyProtection="1">
      <alignment horizontal="left" vertical="center"/>
      <protection locked="0"/>
    </xf>
    <xf numFmtId="0" fontId="62" fillId="0" borderId="0" xfId="0" applyFont="1" applyFill="1" applyBorder="1" applyAlignment="1" applyProtection="1">
      <alignment horizontal="right" vertical="center"/>
      <protection locked="0"/>
    </xf>
    <xf numFmtId="0" fontId="45" fillId="0" borderId="0" xfId="0" applyFont="1" applyFill="1" applyBorder="1" applyAlignment="1" applyProtection="1">
      <alignment horizontal="right" vertical="center"/>
      <protection locked="0"/>
    </xf>
    <xf numFmtId="0" fontId="57" fillId="0" borderId="24" xfId="0" applyFont="1" applyFill="1" applyBorder="1" applyAlignment="1" applyProtection="1">
      <alignment horizontal="left" vertical="center"/>
      <protection locked="0"/>
    </xf>
    <xf numFmtId="0" fontId="57" fillId="0" borderId="47" xfId="0" applyFont="1" applyFill="1" applyBorder="1" applyAlignment="1" applyProtection="1">
      <alignment horizontal="left" vertical="center"/>
      <protection locked="0"/>
    </xf>
    <xf numFmtId="0" fontId="57" fillId="0" borderId="21" xfId="0" applyFont="1" applyFill="1" applyBorder="1" applyAlignment="1" applyProtection="1">
      <alignment horizontal="left" vertical="center"/>
      <protection locked="0"/>
    </xf>
    <xf numFmtId="44" fontId="15" fillId="3" borderId="48" xfId="58" applyNumberFormat="1" applyFont="1" applyFill="1" applyBorder="1" applyProtection="1">
      <protection locked="0"/>
    </xf>
    <xf numFmtId="44" fontId="15" fillId="0" borderId="0" xfId="58" applyNumberFormat="1" applyFont="1" applyFill="1" applyBorder="1" applyProtection="1">
      <protection locked="0"/>
    </xf>
    <xf numFmtId="171" fontId="1" fillId="0" borderId="0" xfId="0" applyNumberFormat="1" applyFont="1" applyAlignment="1" applyProtection="1">
      <alignment horizontal="left" indent="1"/>
    </xf>
    <xf numFmtId="0" fontId="45" fillId="0" borderId="50" xfId="0" applyFont="1" applyFill="1" applyBorder="1" applyAlignment="1" applyProtection="1">
      <alignment horizontal="right" vertical="center"/>
      <protection locked="0"/>
    </xf>
    <xf numFmtId="171" fontId="73" fillId="0" borderId="0" xfId="0" applyNumberFormat="1" applyFont="1" applyFill="1" applyBorder="1" applyAlignment="1" applyProtection="1">
      <alignment horizontal="left" vertical="center"/>
    </xf>
    <xf numFmtId="171" fontId="13" fillId="0" borderId="0" xfId="0" applyNumberFormat="1" applyFont="1" applyFill="1" applyBorder="1" applyAlignment="1" applyProtection="1">
      <alignment horizontal="left" vertical="center"/>
    </xf>
    <xf numFmtId="0" fontId="1" fillId="0" borderId="19" xfId="0" applyFont="1" applyFill="1" applyBorder="1" applyAlignment="1" applyProtection="1">
      <alignment horizontal="left" vertical="center"/>
      <protection locked="0"/>
    </xf>
    <xf numFmtId="169" fontId="101" fillId="6" borderId="21" xfId="0" applyNumberFormat="1" applyFont="1" applyFill="1" applyBorder="1" applyAlignment="1" applyProtection="1">
      <alignment horizontal="left" vertical="center" wrapText="1"/>
      <protection locked="0"/>
    </xf>
    <xf numFmtId="0" fontId="56" fillId="0" borderId="0" xfId="0" applyFont="1" applyBorder="1" applyAlignment="1" applyProtection="1">
      <alignment horizontal="left" vertical="center" indent="2"/>
      <protection locked="0"/>
    </xf>
    <xf numFmtId="0" fontId="46" fillId="0" borderId="17" xfId="0" applyFont="1" applyFill="1" applyBorder="1" applyAlignment="1" applyProtection="1">
      <alignment horizontal="left" vertical="center"/>
      <protection locked="0"/>
    </xf>
    <xf numFmtId="1" fontId="15" fillId="3" borderId="48" xfId="58" applyNumberFormat="1" applyFont="1" applyFill="1" applyBorder="1" applyProtection="1">
      <protection locked="0"/>
    </xf>
    <xf numFmtId="1" fontId="1" fillId="4" borderId="48" xfId="0" applyNumberFormat="1" applyFont="1" applyFill="1" applyBorder="1" applyProtection="1"/>
    <xf numFmtId="172" fontId="1" fillId="4" borderId="48" xfId="3" applyNumberFormat="1" applyFont="1" applyFill="1" applyBorder="1" applyProtection="1">
      <protection locked="0"/>
    </xf>
    <xf numFmtId="0" fontId="1" fillId="0" borderId="21" xfId="0" applyFont="1" applyBorder="1" applyProtection="1">
      <protection locked="0"/>
    </xf>
    <xf numFmtId="172" fontId="1" fillId="0" borderId="0" xfId="3" applyNumberFormat="1" applyFont="1" applyFill="1" applyBorder="1" applyProtection="1">
      <protection locked="0"/>
    </xf>
    <xf numFmtId="0" fontId="46" fillId="0" borderId="0" xfId="0" applyFont="1" applyBorder="1" applyAlignment="1" applyProtection="1">
      <alignment horizontal="right" vertical="center"/>
      <protection locked="0"/>
    </xf>
    <xf numFmtId="0" fontId="1" fillId="0" borderId="51" xfId="0" applyFont="1" applyBorder="1" applyProtection="1">
      <protection locked="0"/>
    </xf>
    <xf numFmtId="0" fontId="62" fillId="0" borderId="17" xfId="0" applyFont="1" applyFill="1" applyBorder="1" applyAlignment="1" applyProtection="1">
      <alignment horizontal="left" vertical="center"/>
      <protection locked="0"/>
    </xf>
    <xf numFmtId="0" fontId="62" fillId="0" borderId="0" xfId="0" applyFont="1" applyBorder="1" applyAlignment="1" applyProtection="1">
      <alignment horizontal="right" vertical="center"/>
      <protection locked="0"/>
    </xf>
    <xf numFmtId="0" fontId="72" fillId="0" borderId="17" xfId="0" applyFont="1" applyFill="1" applyBorder="1" applyAlignment="1" applyProtection="1">
      <alignment horizontal="left" vertical="center"/>
      <protection locked="0"/>
    </xf>
    <xf numFmtId="0" fontId="72" fillId="0" borderId="0" xfId="0" applyFont="1" applyBorder="1" applyAlignment="1" applyProtection="1">
      <alignment horizontal="right" vertical="center"/>
      <protection locked="0"/>
    </xf>
    <xf numFmtId="0" fontId="23" fillId="0" borderId="0" xfId="0" applyFont="1" applyBorder="1" applyAlignment="1" applyProtection="1">
      <alignment horizontal="left" vertical="center" indent="2"/>
      <protection locked="0"/>
    </xf>
    <xf numFmtId="0" fontId="57" fillId="0" borderId="19" xfId="0" applyFont="1" applyFill="1" applyBorder="1" applyAlignment="1" applyProtection="1">
      <alignment horizontal="left" vertical="center"/>
      <protection locked="0"/>
    </xf>
    <xf numFmtId="1" fontId="15" fillId="3" borderId="30" xfId="58" applyNumberFormat="1" applyFont="1" applyFill="1" applyBorder="1" applyProtection="1">
      <protection locked="0"/>
    </xf>
    <xf numFmtId="1" fontId="1" fillId="4" borderId="30" xfId="0" applyNumberFormat="1" applyFont="1" applyFill="1" applyBorder="1" applyProtection="1"/>
    <xf numFmtId="0" fontId="109" fillId="0" borderId="20" xfId="57" applyFont="1" applyFill="1" applyBorder="1" applyAlignment="1" applyProtection="1">
      <alignment horizontal="right"/>
      <protection locked="0"/>
    </xf>
    <xf numFmtId="0" fontId="6" fillId="0" borderId="23" xfId="0" applyFont="1" applyFill="1" applyBorder="1" applyAlignment="1" applyProtection="1">
      <alignment horizontal="right" vertical="center"/>
      <protection locked="0"/>
    </xf>
    <xf numFmtId="1" fontId="6" fillId="0" borderId="23" xfId="0" applyNumberFormat="1" applyFont="1" applyFill="1" applyBorder="1" applyProtection="1"/>
    <xf numFmtId="1" fontId="1" fillId="0" borderId="50" xfId="0" applyNumberFormat="1" applyFont="1" applyFill="1" applyBorder="1" applyProtection="1"/>
    <xf numFmtId="1" fontId="1" fillId="0" borderId="0" xfId="0" applyNumberFormat="1" applyFont="1" applyFill="1" applyBorder="1" applyProtection="1"/>
    <xf numFmtId="0" fontId="45" fillId="0" borderId="17" xfId="0" applyFont="1" applyFill="1" applyBorder="1" applyAlignment="1" applyProtection="1">
      <alignment horizontal="left" vertical="center"/>
      <protection locked="0"/>
    </xf>
    <xf numFmtId="0" fontId="45" fillId="0" borderId="0" xfId="0" applyFont="1" applyBorder="1" applyAlignment="1" applyProtection="1">
      <alignment horizontal="right" vertical="center"/>
      <protection locked="0"/>
    </xf>
    <xf numFmtId="177" fontId="15" fillId="3" borderId="30" xfId="58" applyNumberFormat="1" applyFont="1" applyFill="1" applyBorder="1" applyProtection="1">
      <protection locked="0"/>
    </xf>
    <xf numFmtId="3" fontId="15" fillId="3" borderId="16" xfId="58" applyNumberFormat="1" applyFont="1" applyFill="1" applyBorder="1" applyProtection="1">
      <protection locked="0"/>
    </xf>
    <xf numFmtId="3" fontId="15" fillId="3" borderId="12" xfId="58" applyNumberFormat="1" applyFont="1" applyFill="1" applyBorder="1" applyProtection="1">
      <protection locked="0"/>
    </xf>
    <xf numFmtId="0" fontId="5" fillId="0" borderId="21" xfId="0" applyFont="1" applyBorder="1" applyAlignment="1" applyProtection="1">
      <alignment horizontal="left" vertical="center"/>
      <protection locked="0"/>
    </xf>
    <xf numFmtId="1" fontId="15" fillId="3" borderId="12" xfId="58" applyNumberFormat="1" applyFont="1" applyFill="1" applyBorder="1" applyProtection="1">
      <protection locked="0"/>
    </xf>
    <xf numFmtId="1" fontId="1" fillId="0" borderId="0" xfId="0" applyNumberFormat="1" applyFont="1" applyFill="1" applyBorder="1" applyProtection="1">
      <protection locked="0"/>
    </xf>
    <xf numFmtId="0" fontId="5" fillId="0" borderId="21" xfId="0" applyFont="1" applyFill="1" applyBorder="1" applyAlignment="1" applyProtection="1">
      <alignment horizontal="left" vertical="center"/>
      <protection locked="0"/>
    </xf>
    <xf numFmtId="1" fontId="1" fillId="0" borderId="23" xfId="0" applyNumberFormat="1" applyFont="1" applyFill="1" applyBorder="1" applyProtection="1"/>
    <xf numFmtId="167" fontId="15" fillId="3" borderId="12" xfId="58" applyNumberFormat="1" applyFont="1" applyFill="1" applyBorder="1" applyProtection="1">
      <protection locked="0"/>
    </xf>
    <xf numFmtId="0" fontId="46" fillId="0" borderId="50" xfId="0" applyFont="1" applyFill="1" applyBorder="1" applyAlignment="1" applyProtection="1">
      <alignment horizontal="right" vertical="center"/>
      <protection locked="0"/>
    </xf>
    <xf numFmtId="0" fontId="56" fillId="0" borderId="0" xfId="0" applyFont="1" applyFill="1" applyBorder="1" applyAlignment="1" applyProtection="1">
      <alignment horizontal="left" vertical="center" indent="2"/>
      <protection locked="0"/>
    </xf>
    <xf numFmtId="0" fontId="6" fillId="0" borderId="20" xfId="0" applyFont="1" applyBorder="1" applyAlignment="1" applyProtection="1">
      <alignment horizontal="right" vertical="center" wrapText="1"/>
      <protection locked="0"/>
    </xf>
    <xf numFmtId="0" fontId="108" fillId="0" borderId="0" xfId="0" applyFont="1" applyBorder="1" applyAlignment="1" applyProtection="1">
      <alignment horizontal="right" vertical="center"/>
      <protection locked="0"/>
    </xf>
    <xf numFmtId="1" fontId="1" fillId="4" borderId="30" xfId="0" applyNumberFormat="1" applyFont="1" applyFill="1" applyBorder="1" applyProtection="1">
      <protection locked="0"/>
    </xf>
    <xf numFmtId="0" fontId="108" fillId="0" borderId="18" xfId="0" applyFont="1" applyBorder="1" applyAlignment="1" applyProtection="1">
      <alignment horizontal="right"/>
      <protection locked="0"/>
    </xf>
    <xf numFmtId="172" fontId="4" fillId="5" borderId="6" xfId="3" applyNumberFormat="1" applyFont="1" applyFill="1" applyBorder="1" applyProtection="1"/>
    <xf numFmtId="0" fontId="62" fillId="0" borderId="18" xfId="0" applyFont="1" applyBorder="1" applyAlignment="1" applyProtection="1">
      <alignment horizontal="right"/>
      <protection locked="0"/>
    </xf>
    <xf numFmtId="0" fontId="72" fillId="0" borderId="18" xfId="0" applyFont="1" applyBorder="1" applyAlignment="1" applyProtection="1">
      <alignment horizontal="right"/>
      <protection locked="0"/>
    </xf>
    <xf numFmtId="37" fontId="1" fillId="3" borderId="48" xfId="1" applyNumberFormat="1" applyFont="1" applyFill="1" applyBorder="1" applyAlignment="1" applyProtection="1">
      <alignment horizontal="left" vertical="center" indent="11"/>
    </xf>
    <xf numFmtId="172" fontId="15" fillId="3" borderId="48" xfId="58" applyNumberFormat="1" applyFont="1" applyFill="1" applyBorder="1" applyProtection="1">
      <protection locked="0"/>
    </xf>
    <xf numFmtId="0" fontId="4" fillId="0" borderId="0" xfId="61" applyFont="1" applyFill="1" applyBorder="1" applyAlignment="1">
      <alignment horizontal="center" vertical="center"/>
    </xf>
    <xf numFmtId="0" fontId="4" fillId="0" borderId="0" xfId="61" applyFont="1" applyFill="1" applyBorder="1" applyAlignment="1">
      <alignment horizontal="left" vertical="center"/>
    </xf>
    <xf numFmtId="169" fontId="18" fillId="0" borderId="22" xfId="0" applyNumberFormat="1" applyFont="1" applyFill="1" applyBorder="1" applyAlignment="1" applyProtection="1">
      <alignment horizontal="right" vertical="center" wrapText="1"/>
      <protection locked="0"/>
    </xf>
    <xf numFmtId="37" fontId="1" fillId="0" borderId="50" xfId="1" applyNumberFormat="1" applyFont="1" applyFill="1" applyBorder="1" applyAlignment="1" applyProtection="1">
      <alignment horizontal="left" vertical="center" indent="11"/>
    </xf>
    <xf numFmtId="172" fontId="15" fillId="0" borderId="50" xfId="58" applyNumberFormat="1" applyFont="1" applyFill="1" applyBorder="1" applyProtection="1">
      <protection locked="0"/>
    </xf>
    <xf numFmtId="169" fontId="18" fillId="0" borderId="50" xfId="0" applyNumberFormat="1" applyFont="1" applyFill="1" applyBorder="1" applyAlignment="1" applyProtection="1">
      <alignment horizontal="left" vertical="center"/>
      <protection locked="0"/>
    </xf>
    <xf numFmtId="0" fontId="57" fillId="0" borderId="51" xfId="0" applyFont="1" applyFill="1" applyBorder="1" applyAlignment="1" applyProtection="1">
      <alignment horizontal="left" vertical="center"/>
      <protection locked="0"/>
    </xf>
    <xf numFmtId="0" fontId="57" fillId="0" borderId="58" xfId="0" applyFont="1" applyFill="1" applyBorder="1" applyProtection="1">
      <protection locked="0"/>
    </xf>
    <xf numFmtId="169" fontId="18" fillId="0" borderId="20" xfId="0" applyNumberFormat="1" applyFont="1" applyFill="1" applyBorder="1" applyAlignment="1" applyProtection="1">
      <alignment horizontal="left" vertical="center" wrapText="1" indent="22"/>
      <protection locked="0"/>
    </xf>
    <xf numFmtId="169" fontId="18" fillId="0" borderId="21" xfId="0" applyNumberFormat="1" applyFont="1" applyFill="1" applyBorder="1" applyAlignment="1" applyProtection="1">
      <alignment horizontal="left" vertical="center" indent="1"/>
      <protection locked="0"/>
    </xf>
    <xf numFmtId="169" fontId="18" fillId="0" borderId="21" xfId="0" applyNumberFormat="1" applyFont="1" applyFill="1" applyBorder="1" applyAlignment="1" applyProtection="1">
      <alignment horizontal="right" vertical="center" wrapText="1" indent="1"/>
      <protection locked="0"/>
    </xf>
    <xf numFmtId="0" fontId="18" fillId="0" borderId="0" xfId="0" applyFont="1" applyFill="1" applyBorder="1" applyAlignment="1" applyProtection="1">
      <alignment horizontal="right" vertical="center" indent="1"/>
      <protection locked="0"/>
    </xf>
    <xf numFmtId="171" fontId="110" fillId="2" borderId="17" xfId="0" applyNumberFormat="1" applyFont="1" applyFill="1" applyBorder="1" applyAlignment="1" applyProtection="1">
      <alignment vertical="center"/>
    </xf>
    <xf numFmtId="171" fontId="110" fillId="2" borderId="17" xfId="0" applyNumberFormat="1" applyFont="1" applyFill="1" applyBorder="1" applyAlignment="1" applyProtection="1">
      <alignment vertical="center" wrapText="1"/>
    </xf>
    <xf numFmtId="172" fontId="5" fillId="4" borderId="48" xfId="3" applyNumberFormat="1" applyFont="1" applyFill="1" applyBorder="1" applyAlignment="1" applyProtection="1">
      <alignment vertical="center" wrapText="1"/>
    </xf>
    <xf numFmtId="0" fontId="57" fillId="0" borderId="18" xfId="0" applyFont="1" applyFill="1" applyBorder="1" applyAlignment="1" applyProtection="1">
      <alignment horizontal="left" wrapText="1"/>
      <protection locked="0"/>
    </xf>
    <xf numFmtId="0" fontId="5" fillId="0" borderId="18" xfId="0" applyFont="1" applyBorder="1" applyAlignment="1">
      <alignment wrapText="1"/>
    </xf>
    <xf numFmtId="0" fontId="5" fillId="0" borderId="47" xfId="0" applyFont="1" applyBorder="1" applyAlignment="1">
      <alignment wrapText="1"/>
    </xf>
    <xf numFmtId="0" fontId="57" fillId="0" borderId="50" xfId="0" applyFont="1" applyFill="1" applyBorder="1" applyAlignment="1" applyProtection="1">
      <alignment horizontal="left" wrapText="1"/>
      <protection locked="0"/>
    </xf>
    <xf numFmtId="3" fontId="66" fillId="5" borderId="27" xfId="0" applyNumberFormat="1" applyFont="1" applyFill="1" applyBorder="1" applyAlignment="1" applyProtection="1">
      <alignment vertical="center"/>
    </xf>
    <xf numFmtId="171" fontId="110" fillId="2" borderId="17" xfId="0" applyNumberFormat="1" applyFont="1" applyFill="1" applyBorder="1" applyAlignment="1" applyProtection="1">
      <alignment horizontal="left" vertical="center"/>
    </xf>
    <xf numFmtId="0" fontId="71" fillId="0" borderId="0" xfId="0" applyFont="1" applyBorder="1" applyAlignment="1" applyProtection="1">
      <alignment vertical="top" wrapText="1"/>
      <protection locked="0"/>
    </xf>
    <xf numFmtId="0" fontId="1" fillId="0" borderId="0" xfId="0" applyFont="1" applyBorder="1" applyAlignment="1" applyProtection="1">
      <alignment horizontal="left" indent="4"/>
      <protection locked="0"/>
    </xf>
    <xf numFmtId="171" fontId="6" fillId="0" borderId="0" xfId="0" applyNumberFormat="1" applyFont="1" applyFill="1" applyBorder="1" applyAlignment="1" applyProtection="1">
      <alignment horizontal="left" vertical="center"/>
      <protection locked="0"/>
    </xf>
    <xf numFmtId="0" fontId="108"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31" fillId="0" borderId="0" xfId="59" applyFill="1" applyBorder="1" applyAlignment="1" applyProtection="1">
      <alignment vertical="top" wrapText="1"/>
    </xf>
    <xf numFmtId="172" fontId="5" fillId="4" borderId="48" xfId="3" applyNumberFormat="1" applyFont="1" applyFill="1" applyBorder="1" applyProtection="1"/>
    <xf numFmtId="0" fontId="5" fillId="0" borderId="47" xfId="0" applyFont="1" applyBorder="1"/>
    <xf numFmtId="37" fontId="15" fillId="3" borderId="48" xfId="58" applyNumberFormat="1" applyFont="1" applyFill="1" applyBorder="1" applyProtection="1">
      <protection locked="0"/>
    </xf>
    <xf numFmtId="0" fontId="1" fillId="0" borderId="50" xfId="0" applyFont="1" applyBorder="1" applyAlignment="1" applyProtection="1">
      <alignment horizontal="left" vertical="center"/>
      <protection locked="0"/>
    </xf>
    <xf numFmtId="172" fontId="0" fillId="0" borderId="50" xfId="3" applyNumberFormat="1" applyFont="1" applyFill="1" applyBorder="1" applyProtection="1">
      <protection locked="0"/>
    </xf>
    <xf numFmtId="37" fontId="0" fillId="4" borderId="48" xfId="0" applyNumberFormat="1" applyFill="1" applyBorder="1" applyProtection="1"/>
    <xf numFmtId="37" fontId="0" fillId="5" borderId="48" xfId="0" applyNumberFormat="1" applyFill="1" applyBorder="1" applyProtection="1"/>
    <xf numFmtId="0" fontId="60" fillId="4" borderId="48" xfId="0" applyFont="1" applyFill="1" applyBorder="1" applyAlignment="1" applyProtection="1">
      <alignment horizontal="center" vertical="center"/>
    </xf>
    <xf numFmtId="0" fontId="43" fillId="0" borderId="0" xfId="0" applyFont="1" applyFill="1" applyBorder="1" applyAlignment="1" applyProtection="1">
      <alignment vertical="center" wrapText="1"/>
      <protection locked="0"/>
    </xf>
    <xf numFmtId="0" fontId="46" fillId="0" borderId="20" xfId="0" applyFont="1" applyFill="1" applyBorder="1" applyAlignment="1" applyProtection="1">
      <alignment horizontal="left" vertical="center"/>
      <protection locked="0"/>
    </xf>
    <xf numFmtId="0" fontId="45" fillId="0" borderId="20" xfId="0" applyFont="1" applyFill="1" applyBorder="1" applyAlignment="1" applyProtection="1">
      <alignment horizontal="left" vertical="center"/>
      <protection locked="0"/>
    </xf>
    <xf numFmtId="37" fontId="1" fillId="0" borderId="17" xfId="0" applyNumberFormat="1" applyFont="1" applyFill="1" applyBorder="1" applyProtection="1"/>
    <xf numFmtId="175" fontId="0" fillId="0" borderId="21" xfId="3" applyNumberFormat="1" applyFont="1" applyFill="1" applyBorder="1" applyProtection="1"/>
    <xf numFmtId="37" fontId="1" fillId="0" borderId="21" xfId="0" applyNumberFormat="1" applyFont="1" applyFill="1" applyBorder="1" applyProtection="1"/>
    <xf numFmtId="0" fontId="48" fillId="0" borderId="22" xfId="0" applyFont="1" applyFill="1" applyBorder="1" applyAlignment="1" applyProtection="1">
      <alignment horizontal="right" vertical="center"/>
      <protection locked="0"/>
    </xf>
    <xf numFmtId="37" fontId="1" fillId="0" borderId="51" xfId="0" applyNumberFormat="1" applyFont="1" applyFill="1" applyBorder="1" applyProtection="1"/>
    <xf numFmtId="172" fontId="24" fillId="4" borderId="33" xfId="3" applyNumberFormat="1" applyFont="1" applyFill="1" applyBorder="1" applyProtection="1"/>
    <xf numFmtId="0" fontId="1" fillId="0" borderId="50" xfId="0" applyFont="1" applyFill="1" applyBorder="1" applyAlignment="1" applyProtection="1">
      <alignment horizontal="right"/>
      <protection locked="0"/>
    </xf>
    <xf numFmtId="172" fontId="5" fillId="5" borderId="32" xfId="3" applyNumberFormat="1" applyFont="1" applyFill="1" applyBorder="1" applyProtection="1"/>
    <xf numFmtId="0" fontId="1" fillId="0" borderId="30" xfId="0" applyFont="1" applyBorder="1" applyProtection="1">
      <protection locked="0"/>
    </xf>
    <xf numFmtId="1" fontId="1" fillId="14" borderId="48" xfId="0" applyNumberFormat="1" applyFont="1" applyFill="1" applyBorder="1"/>
    <xf numFmtId="0" fontId="24" fillId="0" borderId="0"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0" fontId="6" fillId="0" borderId="0" xfId="61" applyFont="1" applyFill="1" applyBorder="1" applyAlignment="1" applyProtection="1">
      <alignment horizontal="right" indent="1"/>
      <protection locked="0"/>
    </xf>
    <xf numFmtId="0" fontId="66" fillId="0" borderId="17" xfId="61" applyFont="1" applyFill="1" applyBorder="1" applyAlignment="1" applyProtection="1">
      <alignment horizontal="left" vertical="center"/>
      <protection locked="0"/>
    </xf>
    <xf numFmtId="0" fontId="66" fillId="0" borderId="17" xfId="0" applyFont="1" applyFill="1" applyBorder="1" applyAlignment="1" applyProtection="1">
      <alignment horizontal="left" vertical="center"/>
      <protection locked="0"/>
    </xf>
    <xf numFmtId="0" fontId="59" fillId="0" borderId="17" xfId="61" applyFont="1" applyFill="1" applyBorder="1" applyAlignment="1" applyProtection="1">
      <alignment horizontal="left" vertical="center"/>
      <protection locked="0"/>
    </xf>
    <xf numFmtId="0" fontId="59" fillId="0" borderId="17" xfId="0" applyFont="1" applyFill="1" applyBorder="1" applyAlignment="1" applyProtection="1">
      <alignment horizontal="left" vertical="center"/>
      <protection locked="0"/>
    </xf>
    <xf numFmtId="0" fontId="48" fillId="0" borderId="17" xfId="61" applyFont="1" applyFill="1" applyBorder="1" applyAlignment="1" applyProtection="1">
      <alignment horizontal="left" vertical="center"/>
      <protection locked="0"/>
    </xf>
    <xf numFmtId="0" fontId="48" fillId="0" borderId="17" xfId="0" applyFont="1" applyFill="1" applyBorder="1" applyAlignment="1" applyProtection="1">
      <alignment horizontal="left" vertical="center"/>
      <protection locked="0"/>
    </xf>
    <xf numFmtId="0" fontId="115" fillId="0" borderId="17" xfId="61" applyFont="1" applyFill="1" applyBorder="1" applyAlignment="1" applyProtection="1">
      <alignment horizontal="left" vertical="center"/>
      <protection locked="0"/>
    </xf>
    <xf numFmtId="0" fontId="115" fillId="0" borderId="17" xfId="0" applyFont="1" applyFill="1" applyBorder="1" applyAlignment="1" applyProtection="1">
      <alignment horizontal="left" vertical="center"/>
      <protection locked="0"/>
    </xf>
    <xf numFmtId="0" fontId="97" fillId="0" borderId="17" xfId="61" applyFont="1" applyFill="1" applyBorder="1" applyAlignment="1" applyProtection="1">
      <alignment horizontal="left" vertical="center"/>
      <protection locked="0"/>
    </xf>
    <xf numFmtId="0" fontId="97" fillId="0" borderId="17" xfId="0" applyFont="1" applyFill="1" applyBorder="1" applyAlignment="1" applyProtection="1">
      <alignment horizontal="left" vertical="center"/>
      <protection locked="0"/>
    </xf>
    <xf numFmtId="0" fontId="98" fillId="0" borderId="17" xfId="61" applyFont="1" applyFill="1" applyBorder="1" applyAlignment="1" applyProtection="1">
      <alignment horizontal="left" vertical="center"/>
      <protection locked="0"/>
    </xf>
    <xf numFmtId="0" fontId="98" fillId="0" borderId="17" xfId="0" applyFont="1" applyFill="1" applyBorder="1" applyAlignment="1" applyProtection="1">
      <alignment horizontal="left" vertical="center"/>
      <protection locked="0"/>
    </xf>
    <xf numFmtId="3" fontId="115" fillId="14" borderId="27" xfId="0" applyNumberFormat="1" applyFont="1" applyFill="1" applyBorder="1" applyAlignment="1" applyProtection="1">
      <alignment vertical="center"/>
    </xf>
    <xf numFmtId="171" fontId="0" fillId="0" borderId="61" xfId="0" applyNumberFormat="1" applyBorder="1" applyAlignment="1" applyProtection="1">
      <alignment horizontal="right"/>
    </xf>
    <xf numFmtId="3" fontId="5" fillId="3" borderId="48" xfId="3" applyNumberFormat="1" applyFont="1" applyFill="1" applyBorder="1" applyAlignment="1" applyProtection="1">
      <alignment horizontal="left"/>
      <protection locked="0"/>
    </xf>
    <xf numFmtId="3" fontId="1" fillId="4" borderId="48" xfId="61" applyNumberFormat="1" applyFill="1" applyBorder="1" applyProtection="1">
      <protection locked="0"/>
    </xf>
    <xf numFmtId="0" fontId="18" fillId="0" borderId="21" xfId="61" applyFont="1" applyBorder="1" applyAlignment="1" applyProtection="1">
      <alignment horizontal="left"/>
      <protection locked="0"/>
    </xf>
    <xf numFmtId="0" fontId="43" fillId="0" borderId="11" xfId="0" applyFont="1" applyFill="1" applyBorder="1" applyAlignment="1" applyProtection="1">
      <alignment vertical="top" wrapText="1"/>
      <protection locked="0"/>
    </xf>
    <xf numFmtId="0" fontId="43" fillId="0" borderId="0" xfId="0" applyFont="1" applyFill="1" applyBorder="1" applyAlignment="1" applyProtection="1">
      <alignment vertical="top" wrapText="1"/>
      <protection locked="0"/>
    </xf>
    <xf numFmtId="171" fontId="0" fillId="0" borderId="20" xfId="0" applyNumberFormat="1" applyBorder="1" applyAlignment="1" applyProtection="1">
      <alignment horizontal="left" vertical="center"/>
    </xf>
    <xf numFmtId="0" fontId="31" fillId="11" borderId="0" xfId="59" applyBorder="1" applyAlignment="1" applyProtection="1">
      <alignment horizontal="left" indent="1"/>
      <protection locked="0"/>
    </xf>
    <xf numFmtId="0" fontId="117" fillId="0" borderId="0" xfId="61" applyFont="1" applyProtection="1">
      <protection locked="0"/>
    </xf>
    <xf numFmtId="0" fontId="117" fillId="0" borderId="20" xfId="61" applyFont="1" applyBorder="1" applyProtection="1">
      <protection locked="0"/>
    </xf>
    <xf numFmtId="0" fontId="35" fillId="0" borderId="0" xfId="61" applyFont="1" applyBorder="1" applyAlignment="1" applyProtection="1">
      <alignment horizontal="left"/>
      <protection locked="0"/>
    </xf>
    <xf numFmtId="172" fontId="35" fillId="5" borderId="30" xfId="3" applyNumberFormat="1" applyFont="1" applyFill="1" applyBorder="1" applyProtection="1"/>
    <xf numFmtId="0" fontId="79" fillId="0" borderId="21" xfId="61" applyFont="1" applyBorder="1" applyProtection="1">
      <protection locked="0"/>
    </xf>
    <xf numFmtId="166" fontId="117" fillId="0" borderId="0" xfId="61" applyNumberFormat="1" applyFont="1" applyProtection="1">
      <protection locked="0"/>
    </xf>
    <xf numFmtId="0" fontId="117" fillId="0" borderId="0" xfId="61" applyFont="1"/>
    <xf numFmtId="0" fontId="59" fillId="0" borderId="0" xfId="61" applyFont="1" applyBorder="1" applyAlignment="1" applyProtection="1">
      <alignment horizontal="left"/>
      <protection locked="0"/>
    </xf>
    <xf numFmtId="0" fontId="48" fillId="0" borderId="20" xfId="61" applyFont="1" applyFill="1" applyBorder="1" applyAlignment="1" applyProtection="1">
      <alignment horizontal="left" vertical="center"/>
      <protection locked="0"/>
    </xf>
    <xf numFmtId="0" fontId="48" fillId="0" borderId="0" xfId="61" applyFont="1" applyBorder="1" applyAlignment="1" applyProtection="1">
      <alignment horizontal="left"/>
      <protection locked="0"/>
    </xf>
    <xf numFmtId="0" fontId="1" fillId="0" borderId="0" xfId="61" applyBorder="1" applyAlignment="1">
      <alignment horizontal="left"/>
    </xf>
    <xf numFmtId="0" fontId="23" fillId="13" borderId="62" xfId="0" applyFont="1" applyFill="1" applyBorder="1" applyAlignment="1" applyProtection="1">
      <alignment vertical="center" wrapText="1"/>
      <protection locked="0"/>
    </xf>
    <xf numFmtId="0" fontId="43" fillId="0" borderId="1" xfId="0" applyFont="1" applyFill="1" applyBorder="1" applyAlignment="1" applyProtection="1">
      <alignment horizontal="left" vertical="center" wrapText="1" indent="1"/>
      <protection locked="0"/>
    </xf>
    <xf numFmtId="171" fontId="110" fillId="0" borderId="0" xfId="0" applyNumberFormat="1" applyFont="1" applyFill="1" applyBorder="1" applyAlignment="1" applyProtection="1">
      <alignment horizontal="left" vertical="center"/>
    </xf>
    <xf numFmtId="0" fontId="43" fillId="0" borderId="45" xfId="0" applyFont="1" applyFill="1" applyBorder="1" applyAlignment="1" applyProtection="1">
      <alignment vertical="top" wrapText="1"/>
      <protection locked="0"/>
    </xf>
    <xf numFmtId="0" fontId="19" fillId="13" borderId="62" xfId="0" applyFont="1" applyFill="1" applyBorder="1" applyAlignment="1" applyProtection="1">
      <alignment horizontal="left" vertical="center" wrapText="1" indent="1"/>
      <protection locked="0"/>
    </xf>
    <xf numFmtId="0" fontId="19" fillId="0" borderId="0" xfId="61" applyFont="1" applyBorder="1" applyAlignment="1" applyProtection="1">
      <alignment horizontal="right" vertical="center" indent="1"/>
      <protection locked="0"/>
    </xf>
    <xf numFmtId="0" fontId="19" fillId="0" borderId="0" xfId="0" applyFont="1" applyBorder="1" applyAlignment="1" applyProtection="1">
      <alignment horizontal="right" vertical="center" indent="1"/>
      <protection locked="0"/>
    </xf>
    <xf numFmtId="0" fontId="106" fillId="0" borderId="0" xfId="61" applyFont="1" applyFill="1" applyBorder="1" applyAlignment="1">
      <alignment horizontal="left" vertical="center" indent="14"/>
    </xf>
    <xf numFmtId="0" fontId="1" fillId="0" borderId="0" xfId="61" applyFill="1" applyBorder="1"/>
    <xf numFmtId="37" fontId="1" fillId="0" borderId="60" xfId="1" applyNumberFormat="1" applyFont="1" applyFill="1" applyBorder="1" applyAlignment="1" applyProtection="1">
      <alignment horizontal="right" vertical="center" indent="1"/>
    </xf>
    <xf numFmtId="0" fontId="4" fillId="0" borderId="17" xfId="61" applyFont="1" applyFill="1" applyBorder="1" applyAlignment="1">
      <alignment horizontal="right" vertical="center" indent="1"/>
    </xf>
    <xf numFmtId="0" fontId="4" fillId="0" borderId="47" xfId="61" applyFont="1" applyFill="1" applyBorder="1" applyAlignment="1">
      <alignment horizontal="right" vertical="center" indent="1"/>
    </xf>
    <xf numFmtId="37" fontId="1" fillId="3" borderId="63" xfId="1" applyNumberFormat="1" applyFont="1" applyFill="1" applyBorder="1" applyAlignment="1" applyProtection="1">
      <alignment horizontal="right" vertical="center" indent="1"/>
    </xf>
    <xf numFmtId="0" fontId="106" fillId="0" borderId="22" xfId="61" applyFont="1" applyFill="1" applyBorder="1" applyAlignment="1">
      <alignment horizontal="left" vertical="center" indent="14"/>
    </xf>
    <xf numFmtId="37" fontId="1" fillId="0" borderId="64" xfId="1" applyNumberFormat="1" applyFont="1" applyFill="1" applyBorder="1" applyAlignment="1" applyProtection="1">
      <alignment horizontal="right" vertical="center" indent="1"/>
    </xf>
    <xf numFmtId="0" fontId="106" fillId="0" borderId="20" xfId="61" applyFont="1" applyFill="1" applyBorder="1" applyAlignment="1">
      <alignment horizontal="right" vertical="center" indent="1"/>
    </xf>
    <xf numFmtId="0" fontId="35" fillId="0" borderId="0" xfId="0" applyFont="1" applyBorder="1" applyAlignment="1" applyProtection="1">
      <alignment horizontal="right"/>
      <protection locked="0"/>
    </xf>
    <xf numFmtId="0" fontId="59" fillId="0" borderId="23" xfId="0" applyFont="1" applyBorder="1" applyAlignment="1" applyProtection="1">
      <alignment horizontal="right"/>
      <protection locked="0"/>
    </xf>
    <xf numFmtId="0" fontId="48" fillId="0" borderId="0" xfId="0" applyFont="1" applyBorder="1" applyAlignment="1" applyProtection="1">
      <alignment horizontal="right"/>
      <protection locked="0"/>
    </xf>
    <xf numFmtId="171" fontId="110" fillId="2" borderId="20" xfId="0" applyNumberFormat="1" applyFont="1" applyFill="1" applyBorder="1" applyAlignment="1" applyProtection="1">
      <alignment vertical="center"/>
    </xf>
    <xf numFmtId="0" fontId="53" fillId="0" borderId="47" xfId="60" applyFont="1" applyFill="1" applyBorder="1" applyAlignment="1" applyProtection="1">
      <alignment horizontal="center" vertical="center"/>
      <protection locked="0"/>
    </xf>
    <xf numFmtId="0" fontId="5" fillId="0" borderId="50" xfId="0" applyFont="1" applyBorder="1" applyAlignment="1">
      <alignment horizontal="right"/>
    </xf>
    <xf numFmtId="172" fontId="5" fillId="0" borderId="50" xfId="3" applyNumberFormat="1" applyFont="1" applyBorder="1"/>
    <xf numFmtId="172" fontId="5" fillId="0" borderId="51" xfId="3" applyNumberFormat="1" applyFont="1" applyBorder="1" applyAlignment="1">
      <alignment horizontal="center" vertical="center"/>
    </xf>
    <xf numFmtId="0" fontId="59" fillId="0" borderId="17" xfId="0" applyFont="1" applyBorder="1" applyAlignment="1" applyProtection="1">
      <alignment horizontal="right" vertical="center"/>
      <protection locked="0"/>
    </xf>
    <xf numFmtId="0" fontId="15" fillId="0" borderId="20" xfId="0" applyFont="1" applyFill="1" applyBorder="1" applyAlignment="1" applyProtection="1">
      <alignment horizontal="left" indent="2"/>
      <protection locked="0"/>
    </xf>
    <xf numFmtId="165" fontId="5" fillId="3" borderId="48" xfId="3" applyNumberFormat="1" applyFont="1" applyFill="1" applyBorder="1" applyProtection="1">
      <protection locked="0"/>
    </xf>
    <xf numFmtId="3" fontId="5" fillId="4" borderId="48" xfId="0" applyNumberFormat="1" applyFont="1" applyFill="1" applyBorder="1" applyProtection="1">
      <protection locked="0"/>
    </xf>
    <xf numFmtId="0" fontId="1" fillId="0" borderId="21" xfId="0" applyFont="1" applyFill="1" applyBorder="1"/>
    <xf numFmtId="0" fontId="15" fillId="0" borderId="20" xfId="0" applyFont="1" applyFill="1" applyBorder="1" applyAlignment="1" applyProtection="1">
      <alignment horizontal="left" vertical="center" indent="5"/>
      <protection locked="0"/>
    </xf>
    <xf numFmtId="0" fontId="13" fillId="0" borderId="20" xfId="0" applyFont="1" applyFill="1" applyBorder="1" applyAlignment="1" applyProtection="1">
      <alignment horizontal="left" indent="2"/>
      <protection locked="0"/>
    </xf>
    <xf numFmtId="0" fontId="53" fillId="0" borderId="0" xfId="60" applyFont="1" applyFill="1" applyBorder="1" applyAlignment="1" applyProtection="1">
      <alignment horizontal="center" vertical="center"/>
      <protection locked="0"/>
    </xf>
    <xf numFmtId="0" fontId="5" fillId="0" borderId="20" xfId="0" applyFont="1" applyBorder="1" applyAlignment="1">
      <alignment horizontal="left" vertical="center" indent="5"/>
    </xf>
    <xf numFmtId="0" fontId="5" fillId="0" borderId="20" xfId="0" applyFont="1" applyFill="1" applyBorder="1" applyAlignment="1">
      <alignment horizontal="left" vertical="center" indent="6"/>
    </xf>
    <xf numFmtId="0" fontId="15" fillId="0" borderId="20" xfId="0" applyFont="1" applyBorder="1" applyAlignment="1" applyProtection="1">
      <alignment horizontal="left" vertical="center" indent="5"/>
      <protection locked="0"/>
    </xf>
    <xf numFmtId="0" fontId="15" fillId="0" borderId="20" xfId="0" applyFont="1" applyFill="1" applyBorder="1" applyAlignment="1" applyProtection="1">
      <alignment horizontal="right"/>
      <protection locked="0"/>
    </xf>
    <xf numFmtId="0" fontId="13" fillId="0" borderId="20" xfId="0" applyFont="1" applyBorder="1" applyAlignment="1" applyProtection="1">
      <alignment horizontal="left" vertical="center" indent="5"/>
      <protection locked="0"/>
    </xf>
    <xf numFmtId="3" fontId="66" fillId="14" borderId="27" xfId="0" applyNumberFormat="1" applyFont="1" applyFill="1" applyBorder="1" applyAlignment="1" applyProtection="1">
      <alignment vertical="center"/>
    </xf>
    <xf numFmtId="0" fontId="45" fillId="0" borderId="20" xfId="0" applyFont="1" applyBorder="1" applyAlignment="1" applyProtection="1">
      <alignment horizontal="left" vertical="center"/>
      <protection locked="0"/>
    </xf>
    <xf numFmtId="0" fontId="4" fillId="0" borderId="20" xfId="0" applyFont="1" applyBorder="1" applyAlignment="1" applyProtection="1">
      <alignment horizontal="left" vertical="center"/>
      <protection locked="0"/>
    </xf>
    <xf numFmtId="0" fontId="5" fillId="0" borderId="20" xfId="0" applyFont="1" applyBorder="1" applyAlignment="1" applyProtection="1">
      <alignment horizontal="right"/>
      <protection locked="0"/>
    </xf>
    <xf numFmtId="172" fontId="5" fillId="0" borderId="21" xfId="3" applyNumberFormat="1" applyFont="1" applyBorder="1" applyAlignment="1" applyProtection="1">
      <alignment horizontal="center" vertical="center"/>
      <protection locked="0"/>
    </xf>
    <xf numFmtId="172" fontId="5" fillId="0" borderId="21" xfId="3" applyNumberFormat="1" applyFont="1" applyBorder="1" applyAlignment="1">
      <alignment horizontal="center" vertical="center"/>
    </xf>
    <xf numFmtId="0" fontId="25" fillId="0" borderId="17" xfId="0" applyFont="1" applyFill="1" applyBorder="1"/>
    <xf numFmtId="0" fontId="25" fillId="0" borderId="18" xfId="0" applyFont="1" applyFill="1" applyBorder="1"/>
    <xf numFmtId="0" fontId="25" fillId="0" borderId="47" xfId="0" applyFont="1" applyFill="1" applyBorder="1"/>
    <xf numFmtId="0" fontId="62" fillId="0" borderId="0" xfId="0" applyFont="1" applyBorder="1" applyAlignment="1" applyProtection="1">
      <alignment horizontal="right" indent="1"/>
      <protection locked="0"/>
    </xf>
    <xf numFmtId="0" fontId="45" fillId="0" borderId="0" xfId="0" applyFont="1" applyBorder="1" applyAlignment="1" applyProtection="1">
      <alignment horizontal="right" indent="1"/>
      <protection locked="0"/>
    </xf>
    <xf numFmtId="0" fontId="4" fillId="0" borderId="18" xfId="0" applyFont="1" applyBorder="1" applyAlignment="1" applyProtection="1">
      <alignment horizontal="right" indent="1"/>
      <protection locked="0"/>
    </xf>
    <xf numFmtId="169" fontId="18" fillId="0" borderId="47" xfId="0" applyNumberFormat="1" applyFont="1" applyFill="1" applyBorder="1" applyAlignment="1" applyProtection="1">
      <alignment horizontal="left" vertical="center" wrapText="1"/>
    </xf>
    <xf numFmtId="3" fontId="66" fillId="14" borderId="28" xfId="0" applyNumberFormat="1" applyFont="1" applyFill="1" applyBorder="1" applyAlignment="1" applyProtection="1">
      <alignment vertical="center"/>
    </xf>
    <xf numFmtId="171" fontId="119" fillId="2" borderId="17" xfId="0" applyNumberFormat="1" applyFont="1" applyFill="1" applyBorder="1" applyAlignment="1" applyProtection="1">
      <alignment vertical="center"/>
    </xf>
    <xf numFmtId="0" fontId="5" fillId="0" borderId="0" xfId="0" applyFont="1" applyFill="1" applyBorder="1" applyAlignment="1" applyProtection="1">
      <alignment horizontal="left" vertical="center"/>
      <protection locked="0"/>
    </xf>
    <xf numFmtId="0" fontId="1" fillId="0" borderId="17" xfId="0" applyFont="1" applyBorder="1" applyAlignment="1" applyProtection="1">
      <alignment horizontal="right"/>
      <protection locked="0"/>
    </xf>
    <xf numFmtId="0" fontId="5" fillId="0" borderId="18" xfId="0" applyFont="1" applyFill="1" applyBorder="1" applyAlignment="1">
      <alignment horizontal="left" vertical="center"/>
    </xf>
    <xf numFmtId="0" fontId="6" fillId="0" borderId="18" xfId="0" applyFont="1" applyBorder="1" applyAlignment="1" applyProtection="1">
      <alignment horizontal="left" vertical="center"/>
      <protection locked="0"/>
    </xf>
    <xf numFmtId="0" fontId="57" fillId="0" borderId="17" xfId="0" applyFont="1" applyFill="1" applyBorder="1" applyAlignment="1" applyProtection="1">
      <alignment wrapText="1"/>
      <protection locked="0"/>
    </xf>
    <xf numFmtId="175" fontId="6" fillId="4" borderId="48" xfId="0" applyNumberFormat="1" applyFont="1" applyFill="1" applyBorder="1" applyAlignment="1" applyProtection="1">
      <alignment horizontal="left" vertical="center"/>
      <protection locked="0"/>
    </xf>
    <xf numFmtId="0" fontId="57" fillId="0" borderId="50" xfId="0" applyFont="1" applyFill="1" applyBorder="1" applyAlignment="1" applyProtection="1">
      <alignment horizontal="left" vertical="center"/>
      <protection locked="0"/>
    </xf>
    <xf numFmtId="0" fontId="58" fillId="0" borderId="51" xfId="0" applyFont="1" applyFill="1" applyBorder="1" applyAlignment="1" applyProtection="1">
      <alignment horizontal="left" vertical="center"/>
      <protection locked="0"/>
    </xf>
    <xf numFmtId="3" fontId="115" fillId="5" borderId="27" xfId="0" applyNumberFormat="1" applyFont="1" applyFill="1" applyBorder="1" applyAlignment="1" applyProtection="1">
      <alignment vertical="center"/>
    </xf>
    <xf numFmtId="0" fontId="57" fillId="0" borderId="17" xfId="0" applyFont="1" applyFill="1" applyBorder="1" applyProtection="1">
      <protection locked="0"/>
    </xf>
    <xf numFmtId="171" fontId="1" fillId="0" borderId="17" xfId="0" applyNumberFormat="1" applyFont="1" applyFill="1" applyBorder="1" applyAlignment="1" applyProtection="1">
      <alignment horizontal="right"/>
    </xf>
    <xf numFmtId="0" fontId="6" fillId="0" borderId="17" xfId="0" applyFont="1" applyFill="1" applyBorder="1" applyAlignment="1" applyProtection="1">
      <alignment horizontal="left" vertical="center"/>
      <protection locked="0"/>
    </xf>
    <xf numFmtId="0" fontId="1" fillId="0" borderId="17" xfId="58" applyFont="1" applyFill="1" applyBorder="1" applyAlignment="1" applyProtection="1">
      <alignment horizontal="right"/>
      <protection locked="0"/>
    </xf>
    <xf numFmtId="0" fontId="19" fillId="0" borderId="0" xfId="0" applyFont="1" applyFill="1" applyBorder="1" applyAlignment="1" applyProtection="1">
      <alignment horizontal="left" vertical="center" wrapText="1" indent="1"/>
      <protection locked="0"/>
    </xf>
    <xf numFmtId="0" fontId="23" fillId="0" borderId="0" xfId="0" applyFont="1" applyFill="1" applyBorder="1" applyAlignment="1" applyProtection="1">
      <alignment vertical="center" wrapText="1"/>
      <protection locked="0"/>
    </xf>
    <xf numFmtId="0" fontId="1" fillId="0" borderId="17" xfId="0" applyFont="1" applyFill="1" applyBorder="1" applyProtection="1">
      <protection locked="0"/>
    </xf>
    <xf numFmtId="3" fontId="115" fillId="5" borderId="27" xfId="0" applyNumberFormat="1" applyFont="1" applyFill="1" applyBorder="1" applyAlignment="1" applyProtection="1">
      <alignment vertical="center" wrapText="1"/>
    </xf>
    <xf numFmtId="0" fontId="71" fillId="0" borderId="0" xfId="0" applyFont="1" applyBorder="1" applyAlignment="1" applyProtection="1">
      <alignment vertical="center" wrapText="1"/>
      <protection locked="0"/>
    </xf>
    <xf numFmtId="0" fontId="6" fillId="0" borderId="18" xfId="0" applyFont="1" applyFill="1" applyBorder="1" applyAlignment="1" applyProtection="1">
      <alignment horizontal="left" vertical="center"/>
      <protection locked="0"/>
    </xf>
    <xf numFmtId="0" fontId="1" fillId="0" borderId="47" xfId="0" applyFont="1" applyFill="1" applyBorder="1" applyAlignment="1" applyProtection="1">
      <alignment horizontal="left"/>
      <protection locked="0"/>
    </xf>
    <xf numFmtId="0" fontId="102" fillId="0" borderId="51" xfId="56" applyFont="1" applyFill="1" applyBorder="1" applyProtection="1">
      <protection locked="0"/>
    </xf>
    <xf numFmtId="0" fontId="11" fillId="4" borderId="48" xfId="0" applyFont="1" applyFill="1" applyBorder="1" applyAlignment="1" applyProtection="1">
      <alignment horizontal="right"/>
    </xf>
    <xf numFmtId="172" fontId="5" fillId="4" borderId="48" xfId="3" applyNumberFormat="1" applyFont="1" applyFill="1" applyBorder="1" applyAlignment="1" applyProtection="1">
      <alignment horizontal="left" indent="6"/>
      <protection locked="0"/>
    </xf>
    <xf numFmtId="172" fontId="5" fillId="4" borderId="48" xfId="3" applyNumberFormat="1" applyFont="1" applyFill="1" applyBorder="1" applyProtection="1">
      <protection locked="0"/>
    </xf>
    <xf numFmtId="0" fontId="5" fillId="4" borderId="48" xfId="0" applyFont="1" applyFill="1" applyBorder="1" applyAlignment="1" applyProtection="1">
      <alignment horizontal="left" indent="6"/>
      <protection locked="0"/>
    </xf>
    <xf numFmtId="172" fontId="105" fillId="4" borderId="48" xfId="3" applyNumberFormat="1" applyFont="1" applyFill="1" applyBorder="1" applyAlignment="1" applyProtection="1">
      <alignment horizontal="left" vertical="center" indent="6"/>
      <protection locked="0"/>
    </xf>
    <xf numFmtId="172" fontId="4" fillId="4" borderId="48" xfId="3" applyNumberFormat="1" applyFont="1" applyFill="1" applyBorder="1" applyProtection="1">
      <protection locked="0"/>
    </xf>
    <xf numFmtId="172" fontId="5" fillId="4" borderId="48" xfId="3" applyNumberFormat="1" applyFont="1" applyFill="1" applyBorder="1" applyAlignment="1" applyProtection="1">
      <alignment horizontal="left" vertical="center" indent="6"/>
      <protection locked="0"/>
    </xf>
    <xf numFmtId="0" fontId="104" fillId="4" borderId="48" xfId="0" applyFont="1" applyFill="1" applyBorder="1" applyAlignment="1" applyProtection="1">
      <alignment horizontal="left" vertical="center"/>
      <protection locked="0"/>
    </xf>
    <xf numFmtId="172" fontId="4" fillId="4" borderId="48" xfId="3" applyNumberFormat="1" applyFont="1" applyFill="1" applyBorder="1" applyAlignment="1" applyProtection="1">
      <alignment vertical="center"/>
      <protection locked="0"/>
    </xf>
    <xf numFmtId="172" fontId="105" fillId="4" borderId="48" xfId="3" applyNumberFormat="1" applyFont="1" applyFill="1" applyBorder="1" applyAlignment="1" applyProtection="1">
      <alignment horizontal="left"/>
      <protection locked="0"/>
    </xf>
    <xf numFmtId="172" fontId="4" fillId="4" borderId="48" xfId="3" applyNumberFormat="1" applyFont="1" applyFill="1" applyBorder="1" applyAlignment="1" applyProtection="1">
      <alignment horizontal="left" vertical="center"/>
      <protection locked="0"/>
    </xf>
    <xf numFmtId="172" fontId="105" fillId="4" borderId="48" xfId="3" applyNumberFormat="1" applyFont="1" applyFill="1" applyBorder="1" applyAlignment="1" applyProtection="1">
      <alignment horizontal="left" vertical="center"/>
      <protection locked="0"/>
    </xf>
    <xf numFmtId="0" fontId="4" fillId="0" borderId="48" xfId="0" applyFont="1" applyFill="1" applyBorder="1" applyProtection="1">
      <protection locked="0"/>
    </xf>
    <xf numFmtId="166" fontId="5" fillId="0" borderId="48" xfId="0" applyNumberFormat="1" applyFont="1" applyFill="1" applyBorder="1" applyProtection="1">
      <protection locked="0"/>
    </xf>
    <xf numFmtId="172" fontId="4" fillId="0" borderId="48" xfId="3" applyNumberFormat="1" applyFont="1" applyFill="1" applyBorder="1" applyAlignment="1" applyProtection="1">
      <alignment horizontal="left" vertical="center"/>
      <protection locked="0"/>
    </xf>
    <xf numFmtId="172" fontId="4" fillId="0" borderId="48" xfId="3" applyNumberFormat="1" applyFont="1" applyFill="1" applyBorder="1" applyProtection="1">
      <protection locked="0"/>
    </xf>
    <xf numFmtId="172" fontId="4" fillId="0" borderId="48" xfId="3" applyNumberFormat="1" applyFont="1" applyFill="1" applyBorder="1" applyAlignment="1" applyProtection="1">
      <alignment horizontal="right" vertical="center" indent="1"/>
      <protection locked="0"/>
    </xf>
    <xf numFmtId="174" fontId="4" fillId="0" borderId="48" xfId="0" applyNumberFormat="1" applyFont="1" applyFill="1" applyBorder="1" applyProtection="1">
      <protection locked="0"/>
    </xf>
    <xf numFmtId="0" fontId="104" fillId="0" borderId="48" xfId="0" applyFont="1" applyFill="1" applyBorder="1" applyAlignment="1" applyProtection="1">
      <alignment horizontal="left"/>
      <protection locked="0"/>
    </xf>
    <xf numFmtId="0" fontId="104" fillId="0" borderId="48" xfId="0" applyFont="1" applyFill="1" applyBorder="1" applyAlignment="1" applyProtection="1">
      <alignment horizontal="left" vertical="center"/>
      <protection locked="0"/>
    </xf>
    <xf numFmtId="172" fontId="5" fillId="0" borderId="48" xfId="3" applyNumberFormat="1" applyFont="1" applyFill="1" applyBorder="1" applyAlignment="1" applyProtection="1">
      <alignment vertical="center"/>
      <protection locked="0"/>
    </xf>
    <xf numFmtId="172" fontId="5" fillId="0" borderId="48" xfId="3" applyNumberFormat="1" applyFont="1" applyFill="1" applyBorder="1" applyProtection="1">
      <protection locked="0"/>
    </xf>
    <xf numFmtId="0" fontId="4" fillId="0" borderId="48" xfId="0" applyFont="1" applyFill="1" applyBorder="1" applyAlignment="1" applyProtection="1">
      <alignment horizontal="right" vertical="center"/>
    </xf>
    <xf numFmtId="0" fontId="4" fillId="0" borderId="48" xfId="0" applyFont="1" applyFill="1" applyBorder="1" applyAlignment="1" applyProtection="1">
      <alignment horizontal="right"/>
      <protection locked="0"/>
    </xf>
    <xf numFmtId="172" fontId="6" fillId="4" borderId="48" xfId="3" applyNumberFormat="1" applyFont="1" applyFill="1" applyBorder="1" applyAlignment="1" applyProtection="1">
      <alignment horizontal="left" vertical="center"/>
      <protection locked="0"/>
    </xf>
    <xf numFmtId="172" fontId="6" fillId="4" borderId="48" xfId="3" applyNumberFormat="1" applyFont="1" applyFill="1" applyBorder="1" applyAlignment="1" applyProtection="1">
      <alignment vertical="center"/>
      <protection locked="0"/>
    </xf>
    <xf numFmtId="172" fontId="1" fillId="4" borderId="48" xfId="3" applyNumberFormat="1" applyFont="1" applyFill="1" applyBorder="1" applyAlignment="1" applyProtection="1">
      <alignment horizontal="left" vertical="center" indent="6"/>
      <protection locked="0"/>
    </xf>
    <xf numFmtId="172" fontId="5" fillId="4" borderId="49" xfId="3" applyNumberFormat="1" applyFont="1" applyFill="1" applyBorder="1" applyAlignment="1" applyProtection="1">
      <alignment horizontal="left" indent="6"/>
      <protection locked="0"/>
    </xf>
    <xf numFmtId="174" fontId="5" fillId="4" borderId="63" xfId="0" applyNumberFormat="1" applyFont="1" applyFill="1" applyBorder="1" applyProtection="1">
      <protection locked="0"/>
    </xf>
    <xf numFmtId="172" fontId="62" fillId="4" borderId="49" xfId="3" applyNumberFormat="1" applyFont="1" applyFill="1" applyBorder="1" applyAlignment="1" applyProtection="1">
      <alignment horizontal="left" indent="6"/>
      <protection locked="0"/>
    </xf>
    <xf numFmtId="174" fontId="4" fillId="4" borderId="63" xfId="0" applyNumberFormat="1" applyFont="1" applyFill="1" applyBorder="1" applyProtection="1">
      <protection locked="0"/>
    </xf>
    <xf numFmtId="172" fontId="62" fillId="4" borderId="49" xfId="3" applyNumberFormat="1" applyFont="1" applyFill="1" applyBorder="1" applyAlignment="1" applyProtection="1">
      <alignment horizontal="left" vertical="center" indent="6"/>
      <protection locked="0"/>
    </xf>
    <xf numFmtId="172" fontId="72" fillId="4" borderId="49" xfId="3" applyNumberFormat="1" applyFont="1" applyFill="1" applyBorder="1" applyAlignment="1" applyProtection="1">
      <alignment horizontal="left" indent="6"/>
      <protection locked="0"/>
    </xf>
    <xf numFmtId="172" fontId="72" fillId="4" borderId="49" xfId="3" applyNumberFormat="1" applyFont="1" applyFill="1" applyBorder="1" applyAlignment="1" applyProtection="1">
      <alignment horizontal="left" vertical="center" indent="6"/>
      <protection locked="0"/>
    </xf>
    <xf numFmtId="0" fontId="5" fillId="4" borderId="48" xfId="0" applyFont="1" applyFill="1" applyBorder="1" applyProtection="1">
      <protection locked="0"/>
    </xf>
    <xf numFmtId="1" fontId="5" fillId="4" borderId="48" xfId="0" applyNumberFormat="1" applyFont="1" applyFill="1" applyBorder="1" applyProtection="1">
      <protection locked="0"/>
    </xf>
    <xf numFmtId="0" fontId="5" fillId="4" borderId="48" xfId="0" applyFont="1" applyFill="1" applyBorder="1" applyAlignment="1" applyProtection="1">
      <alignment horizontal="left" vertical="center"/>
      <protection locked="0"/>
    </xf>
    <xf numFmtId="1" fontId="1" fillId="4" borderId="48" xfId="0" applyNumberFormat="1" applyFont="1" applyFill="1" applyBorder="1" applyProtection="1">
      <protection locked="0"/>
    </xf>
    <xf numFmtId="0" fontId="4" fillId="4" borderId="48" xfId="0" applyFont="1" applyFill="1" applyBorder="1" applyAlignment="1" applyProtection="1">
      <alignment horizontal="left" vertical="center"/>
      <protection locked="0"/>
    </xf>
    <xf numFmtId="1" fontId="4" fillId="4" borderId="48" xfId="0" applyNumberFormat="1" applyFont="1" applyFill="1" applyBorder="1" applyProtection="1">
      <protection locked="0"/>
    </xf>
    <xf numFmtId="0" fontId="62" fillId="4" borderId="48" xfId="0" applyFont="1" applyFill="1" applyBorder="1" applyAlignment="1" applyProtection="1">
      <alignment horizontal="left" vertical="center"/>
      <protection locked="0"/>
    </xf>
    <xf numFmtId="0" fontId="72" fillId="4" borderId="48" xfId="0" applyFont="1" applyFill="1" applyBorder="1" applyAlignment="1">
      <alignment horizontal="left" vertical="center"/>
    </xf>
    <xf numFmtId="1" fontId="1" fillId="4" borderId="63" xfId="0" applyNumberFormat="1" applyFont="1" applyFill="1" applyBorder="1" applyProtection="1">
      <protection locked="0"/>
    </xf>
    <xf numFmtId="1" fontId="5" fillId="4" borderId="63" xfId="0" applyNumberFormat="1" applyFont="1" applyFill="1" applyBorder="1" applyProtection="1">
      <protection locked="0"/>
    </xf>
    <xf numFmtId="1" fontId="4" fillId="4" borderId="63" xfId="0" applyNumberFormat="1" applyFont="1" applyFill="1" applyBorder="1" applyProtection="1">
      <protection locked="0"/>
    </xf>
    <xf numFmtId="0" fontId="35" fillId="0" borderId="0" xfId="0" applyFont="1" applyFill="1" applyAlignment="1" applyProtection="1">
      <alignment vertical="center"/>
      <protection locked="0"/>
    </xf>
    <xf numFmtId="171" fontId="110" fillId="0" borderId="0" xfId="0" applyNumberFormat="1" applyFont="1" applyFill="1" applyBorder="1" applyAlignment="1" applyProtection="1">
      <alignment vertical="center"/>
    </xf>
    <xf numFmtId="0" fontId="35" fillId="0" borderId="0" xfId="0" applyFont="1" applyFill="1" applyBorder="1" applyAlignment="1" applyProtection="1">
      <alignment vertical="center"/>
      <protection locked="0"/>
    </xf>
    <xf numFmtId="171" fontId="110" fillId="0" borderId="50" xfId="0" applyNumberFormat="1" applyFont="1" applyFill="1" applyBorder="1" applyAlignment="1" applyProtection="1">
      <alignment vertical="center"/>
    </xf>
    <xf numFmtId="181" fontId="5" fillId="4" borderId="48" xfId="0" applyNumberFormat="1" applyFont="1" applyFill="1" applyBorder="1" applyProtection="1">
      <protection locked="0"/>
    </xf>
    <xf numFmtId="172" fontId="5" fillId="4" borderId="63" xfId="3" applyNumberFormat="1" applyFont="1" applyFill="1" applyBorder="1" applyProtection="1">
      <protection locked="0"/>
    </xf>
    <xf numFmtId="171" fontId="110" fillId="2" borderId="20" xfId="0" applyNumberFormat="1" applyFont="1" applyFill="1" applyBorder="1" applyAlignment="1" applyProtection="1">
      <alignment vertical="center" wrapText="1"/>
    </xf>
    <xf numFmtId="0" fontId="4" fillId="0" borderId="2" xfId="0" applyFont="1" applyFill="1" applyBorder="1" applyAlignment="1" applyProtection="1">
      <alignment vertical="center" wrapText="1"/>
    </xf>
    <xf numFmtId="0" fontId="120" fillId="0" borderId="0" xfId="0" applyFont="1" applyAlignment="1" applyProtection="1">
      <alignment horizontal="center" vertical="center"/>
      <protection locked="0"/>
    </xf>
    <xf numFmtId="0" fontId="120" fillId="0" borderId="0" xfId="0" applyFont="1" applyAlignment="1" applyProtection="1">
      <alignment horizontal="left" vertical="center"/>
      <protection locked="0"/>
    </xf>
    <xf numFmtId="0" fontId="120" fillId="0" borderId="21" xfId="0" applyFont="1" applyBorder="1" applyAlignment="1" applyProtection="1">
      <alignment horizontal="left" vertical="center"/>
      <protection locked="0"/>
    </xf>
    <xf numFmtId="0" fontId="1" fillId="4" borderId="48" xfId="0" applyFont="1" applyFill="1" applyBorder="1" applyAlignment="1" applyProtection="1">
      <alignment horizontal="left" vertical="center"/>
      <protection locked="0"/>
    </xf>
    <xf numFmtId="172" fontId="4" fillId="4" borderId="48" xfId="3" applyNumberFormat="1" applyFont="1" applyFill="1" applyBorder="1" applyAlignment="1" applyProtection="1">
      <alignment horizontal="center" vertical="center"/>
      <protection locked="0"/>
    </xf>
    <xf numFmtId="0" fontId="0" fillId="0" borderId="0" xfId="0" applyAlignment="1">
      <alignment horizontal="left" indent="1"/>
    </xf>
    <xf numFmtId="0" fontId="1" fillId="4" borderId="32" xfId="0" applyFont="1" applyFill="1" applyBorder="1" applyAlignment="1" applyProtection="1">
      <alignment horizontal="left" vertical="center"/>
      <protection locked="0"/>
    </xf>
    <xf numFmtId="172" fontId="5" fillId="4" borderId="32" xfId="3" applyNumberFormat="1" applyFont="1" applyFill="1" applyBorder="1" applyProtection="1">
      <protection locked="0"/>
    </xf>
    <xf numFmtId="0" fontId="35" fillId="0" borderId="47" xfId="0" applyFont="1" applyFill="1" applyBorder="1" applyAlignment="1" applyProtection="1">
      <alignment vertical="center"/>
      <protection locked="0"/>
    </xf>
    <xf numFmtId="0" fontId="6" fillId="0" borderId="17" xfId="0" applyFont="1" applyBorder="1" applyAlignment="1">
      <alignment horizontal="left" vertical="center" indent="1"/>
    </xf>
    <xf numFmtId="0" fontId="62" fillId="0" borderId="20" xfId="0" applyFont="1" applyBorder="1" applyAlignment="1">
      <alignment horizontal="left" indent="1"/>
    </xf>
    <xf numFmtId="0" fontId="45" fillId="0" borderId="20" xfId="0" applyFont="1" applyBorder="1" applyAlignment="1">
      <alignment horizontal="left" indent="1"/>
    </xf>
    <xf numFmtId="0" fontId="0" fillId="0" borderId="22" xfId="0" applyBorder="1" applyAlignment="1">
      <alignment horizontal="left" indent="1"/>
    </xf>
    <xf numFmtId="0" fontId="0" fillId="0" borderId="20" xfId="0" applyBorder="1" applyAlignment="1">
      <alignment horizontal="left" indent="1"/>
    </xf>
    <xf numFmtId="0" fontId="0" fillId="0" borderId="0" xfId="0" applyBorder="1" applyAlignment="1">
      <alignment horizontal="left" indent="1"/>
    </xf>
    <xf numFmtId="0" fontId="1" fillId="0" borderId="48" xfId="0" applyFont="1" applyFill="1" applyBorder="1" applyAlignment="1" applyProtection="1">
      <alignment horizontal="left" vertical="center"/>
      <protection locked="0"/>
    </xf>
    <xf numFmtId="0" fontId="0" fillId="0" borderId="21" xfId="0" applyFill="1" applyBorder="1"/>
    <xf numFmtId="171" fontId="50" fillId="2" borderId="18" xfId="0" applyNumberFormat="1" applyFont="1" applyFill="1" applyBorder="1" applyAlignment="1" applyProtection="1">
      <alignment horizontal="left" vertical="center"/>
      <protection locked="0"/>
    </xf>
    <xf numFmtId="171" fontId="50" fillId="2" borderId="34" xfId="0" applyNumberFormat="1" applyFont="1" applyFill="1" applyBorder="1" applyAlignment="1" applyProtection="1">
      <alignment horizontal="center" vertical="center"/>
      <protection locked="0"/>
    </xf>
    <xf numFmtId="0" fontId="0" fillId="0" borderId="65" xfId="0" applyFill="1" applyBorder="1" applyProtection="1">
      <protection locked="0"/>
    </xf>
    <xf numFmtId="0" fontId="0" fillId="0" borderId="66" xfId="0" applyFill="1" applyBorder="1" applyProtection="1">
      <protection locked="0"/>
    </xf>
    <xf numFmtId="0" fontId="0" fillId="0" borderId="67" xfId="0" applyFill="1" applyBorder="1" applyProtection="1">
      <protection locked="0"/>
    </xf>
    <xf numFmtId="0" fontId="0" fillId="0" borderId="21" xfId="0" applyFill="1" applyBorder="1" applyProtection="1">
      <protection locked="0"/>
    </xf>
    <xf numFmtId="171" fontId="50" fillId="2" borderId="18" xfId="0" applyNumberFormat="1" applyFont="1" applyFill="1" applyBorder="1" applyAlignment="1" applyProtection="1">
      <alignment vertical="center"/>
      <protection locked="0"/>
    </xf>
    <xf numFmtId="0" fontId="27" fillId="0" borderId="0" xfId="0" applyFont="1" applyFill="1" applyBorder="1" applyProtection="1">
      <protection locked="0"/>
    </xf>
    <xf numFmtId="0" fontId="27" fillId="0" borderId="0" xfId="0" applyFont="1" applyFill="1" applyProtection="1">
      <protection locked="0"/>
    </xf>
    <xf numFmtId="0" fontId="27" fillId="0" borderId="0" xfId="0" applyFont="1" applyFill="1"/>
    <xf numFmtId="0" fontId="27" fillId="0" borderId="0" xfId="0" applyFont="1" applyBorder="1" applyProtection="1">
      <protection locked="0"/>
    </xf>
    <xf numFmtId="0" fontId="69" fillId="0" borderId="0"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protection locked="0"/>
    </xf>
    <xf numFmtId="0" fontId="21" fillId="0" borderId="60" xfId="0" applyFont="1" applyFill="1" applyBorder="1" applyAlignment="1" applyProtection="1">
      <alignment horizontal="center" vertical="center"/>
      <protection locked="0"/>
    </xf>
    <xf numFmtId="171" fontId="44" fillId="0" borderId="0" xfId="0" applyNumberFormat="1" applyFont="1" applyFill="1" applyBorder="1" applyAlignment="1" applyProtection="1">
      <alignment horizontal="center" vertical="center"/>
      <protection locked="0"/>
    </xf>
    <xf numFmtId="171" fontId="110" fillId="2" borderId="48" xfId="0" applyNumberFormat="1" applyFont="1" applyFill="1" applyBorder="1" applyAlignment="1" applyProtection="1">
      <alignment horizontal="center" vertical="center"/>
      <protection locked="0"/>
    </xf>
    <xf numFmtId="171" fontId="0" fillId="0" borderId="0" xfId="0" applyNumberFormat="1" applyFill="1" applyBorder="1" applyAlignment="1" applyProtection="1">
      <protection locked="0"/>
    </xf>
    <xf numFmtId="171" fontId="0" fillId="0" borderId="0" xfId="0" applyNumberFormat="1" applyFill="1" applyBorder="1" applyAlignment="1" applyProtection="1">
      <alignment horizontal="left" indent="1"/>
      <protection locked="0"/>
    </xf>
    <xf numFmtId="37" fontId="1" fillId="3" borderId="48" xfId="1" applyNumberFormat="1" applyFill="1" applyBorder="1" applyProtection="1">
      <protection locked="0"/>
    </xf>
    <xf numFmtId="0" fontId="3" fillId="0" borderId="0" xfId="0" applyFont="1" applyBorder="1" applyAlignment="1" applyProtection="1">
      <alignment horizontal="left"/>
      <protection locked="0"/>
    </xf>
    <xf numFmtId="171" fontId="17" fillId="0" borderId="0" xfId="0" applyNumberFormat="1" applyFont="1" applyFill="1" applyBorder="1" applyAlignment="1" applyProtection="1">
      <alignment horizontal="left" vertical="center" indent="1"/>
      <protection locked="0"/>
    </xf>
    <xf numFmtId="171" fontId="0" fillId="0" borderId="0" xfId="0" applyNumberFormat="1" applyFill="1" applyBorder="1" applyAlignment="1" applyProtection="1">
      <alignment horizontal="center"/>
      <protection locked="0"/>
    </xf>
    <xf numFmtId="0" fontId="0" fillId="0" borderId="0" xfId="0" applyFill="1" applyBorder="1" applyAlignment="1" applyProtection="1">
      <protection locked="0"/>
    </xf>
    <xf numFmtId="0" fontId="1" fillId="0" borderId="0" xfId="0" applyFont="1" applyBorder="1" applyAlignment="1" applyProtection="1">
      <alignment horizontal="left"/>
      <protection locked="0"/>
    </xf>
    <xf numFmtId="171" fontId="42" fillId="0" borderId="0" xfId="0" applyNumberFormat="1" applyFont="1" applyFill="1" applyBorder="1" applyAlignment="1" applyProtection="1">
      <alignment horizontal="left" vertical="center" indent="1"/>
      <protection locked="0"/>
    </xf>
    <xf numFmtId="0" fontId="0" fillId="0" borderId="0" xfId="0" applyFill="1" applyBorder="1" applyAlignment="1" applyProtection="1">
      <alignment horizontal="right" vertical="center"/>
      <protection locked="0"/>
    </xf>
    <xf numFmtId="0" fontId="0" fillId="0" borderId="48" xfId="0" applyBorder="1" applyProtection="1">
      <protection locked="0"/>
    </xf>
    <xf numFmtId="37" fontId="65" fillId="0" borderId="48" xfId="0" applyNumberFormat="1" applyFont="1" applyFill="1" applyBorder="1" applyAlignment="1" applyProtection="1">
      <alignment horizontal="center"/>
      <protection locked="0"/>
    </xf>
    <xf numFmtId="0" fontId="3" fillId="0" borderId="0" xfId="0" applyFont="1" applyFill="1" applyBorder="1" applyAlignment="1" applyProtection="1">
      <alignment horizontal="left"/>
      <protection locked="0"/>
    </xf>
    <xf numFmtId="0" fontId="66" fillId="0" borderId="48" xfId="0" applyFont="1" applyFill="1" applyBorder="1" applyAlignment="1" applyProtection="1">
      <alignment horizontal="center" vertical="center"/>
      <protection locked="0"/>
    </xf>
    <xf numFmtId="0" fontId="15" fillId="0" borderId="0" xfId="0" applyFont="1" applyFill="1" applyBorder="1" applyAlignment="1" applyProtection="1">
      <protection locked="0"/>
    </xf>
    <xf numFmtId="0" fontId="59" fillId="0" borderId="48" xfId="0" applyFont="1" applyFill="1" applyBorder="1" applyAlignment="1" applyProtection="1">
      <alignment horizontal="center" vertical="center"/>
      <protection locked="0"/>
    </xf>
    <xf numFmtId="0" fontId="48" fillId="0" borderId="48" xfId="0" applyFont="1" applyFill="1" applyBorder="1" applyAlignment="1" applyProtection="1">
      <alignment horizontal="center" vertical="center"/>
      <protection locked="0"/>
    </xf>
    <xf numFmtId="171" fontId="15" fillId="0" borderId="0" xfId="0" applyNumberFormat="1" applyFont="1" applyFill="1" applyBorder="1" applyAlignment="1" applyProtection="1">
      <protection locked="0"/>
    </xf>
    <xf numFmtId="0" fontId="1" fillId="0" borderId="49" xfId="0" applyFont="1" applyFill="1" applyBorder="1" applyAlignment="1" applyProtection="1">
      <alignment horizontal="left"/>
      <protection locked="0"/>
    </xf>
    <xf numFmtId="0" fontId="0" fillId="0" borderId="49" xfId="0" applyBorder="1" applyProtection="1">
      <protection locked="0"/>
    </xf>
    <xf numFmtId="0" fontId="60" fillId="0" borderId="0" xfId="0" applyFont="1" applyFill="1" applyBorder="1" applyAlignment="1" applyProtection="1">
      <alignment horizontal="center"/>
      <protection locked="0"/>
    </xf>
    <xf numFmtId="0" fontId="0" fillId="0" borderId="0" xfId="0" applyBorder="1" applyAlignment="1" applyProtection="1">
      <alignment horizontal="right" vertical="center" indent="1"/>
      <protection locked="0"/>
    </xf>
    <xf numFmtId="0" fontId="1" fillId="3" borderId="48" xfId="0" applyFont="1" applyFill="1" applyBorder="1" applyAlignment="1" applyProtection="1">
      <alignment horizontal="center" vertical="center"/>
      <protection locked="0"/>
    </xf>
    <xf numFmtId="0" fontId="88" fillId="0" borderId="0" xfId="0" applyFont="1" applyBorder="1" applyAlignment="1" applyProtection="1">
      <alignment horizontal="left" vertical="center"/>
      <protection locked="0"/>
    </xf>
    <xf numFmtId="176" fontId="1" fillId="3" borderId="48" xfId="0" applyNumberFormat="1" applyFont="1" applyFill="1" applyBorder="1" applyAlignment="1" applyProtection="1">
      <alignment horizontal="center" vertical="center"/>
      <protection locked="0"/>
    </xf>
    <xf numFmtId="0" fontId="43" fillId="0" borderId="49" xfId="0" applyFont="1" applyBorder="1" applyAlignment="1" applyProtection="1">
      <alignment horizontal="left" vertical="center" wrapText="1"/>
      <protection locked="0"/>
    </xf>
    <xf numFmtId="171" fontId="89" fillId="0" borderId="0" xfId="0" applyNumberFormat="1" applyFont="1" applyFill="1" applyBorder="1" applyAlignment="1" applyProtection="1">
      <protection locked="0"/>
    </xf>
    <xf numFmtId="171" fontId="0" fillId="0" borderId="0" xfId="0" applyNumberFormat="1" applyBorder="1" applyAlignment="1" applyProtection="1">
      <alignment horizontal="center"/>
      <protection locked="0"/>
    </xf>
    <xf numFmtId="0" fontId="4" fillId="0" borderId="0" xfId="0" applyFont="1" applyBorder="1" applyAlignment="1" applyProtection="1">
      <alignment horizontal="center" vertical="center"/>
      <protection locked="0"/>
    </xf>
    <xf numFmtId="0" fontId="1" fillId="0" borderId="0" xfId="0" applyFont="1" applyBorder="1" applyAlignment="1" applyProtection="1">
      <alignment horizontal="right" vertical="center" indent="1"/>
      <protection locked="0"/>
    </xf>
    <xf numFmtId="0" fontId="0" fillId="0" borderId="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pplyProtection="1">
      <alignment horizontal="center" vertical="center"/>
      <protection locked="0"/>
    </xf>
    <xf numFmtId="0" fontId="5" fillId="0" borderId="49" xfId="0" applyFont="1" applyBorder="1" applyAlignment="1" applyProtection="1">
      <alignment horizontal="left" vertical="center" wrapText="1"/>
      <protection locked="0"/>
    </xf>
    <xf numFmtId="0" fontId="5" fillId="0" borderId="0" xfId="0" applyFont="1" applyBorder="1" applyAlignment="1" applyProtection="1">
      <alignment horizontal="right" vertical="center"/>
      <protection locked="0"/>
    </xf>
    <xf numFmtId="171" fontId="2" fillId="0" borderId="0" xfId="0" applyNumberFormat="1" applyFont="1" applyBorder="1" applyProtection="1">
      <protection locked="0"/>
    </xf>
    <xf numFmtId="171" fontId="0" fillId="0" borderId="0" xfId="0" applyNumberFormat="1" applyBorder="1" applyProtection="1">
      <protection locked="0"/>
    </xf>
    <xf numFmtId="0" fontId="0" fillId="0" borderId="0" xfId="0" applyBorder="1" applyAlignment="1" applyProtection="1">
      <alignment horizontal="left"/>
      <protection locked="0"/>
    </xf>
    <xf numFmtId="0" fontId="4" fillId="0" borderId="0" xfId="0" applyFont="1" applyBorder="1" applyAlignment="1" applyProtection="1">
      <alignment horizontal="right" vertical="center"/>
      <protection locked="0"/>
    </xf>
    <xf numFmtId="0" fontId="1" fillId="0" borderId="0" xfId="0" applyFont="1" applyBorder="1" applyAlignment="1" applyProtection="1">
      <alignment horizontal="right" indent="1"/>
      <protection locked="0"/>
    </xf>
    <xf numFmtId="171" fontId="1" fillId="3" borderId="48" xfId="0" applyNumberFormat="1" applyFont="1" applyFill="1" applyBorder="1" applyAlignment="1" applyProtection="1">
      <alignment horizontal="center" vertical="center"/>
      <protection locked="0"/>
    </xf>
    <xf numFmtId="0" fontId="88" fillId="0" borderId="0" xfId="0" applyFont="1" applyBorder="1" applyAlignment="1" applyProtection="1">
      <alignment horizontal="left"/>
      <protection locked="0"/>
    </xf>
    <xf numFmtId="0" fontId="0" fillId="0" borderId="0" xfId="0" applyBorder="1" applyAlignment="1" applyProtection="1">
      <alignment horizontal="right" vertical="center"/>
      <protection locked="0"/>
    </xf>
    <xf numFmtId="0" fontId="4" fillId="0" borderId="49" xfId="0" applyFont="1" applyBorder="1" applyAlignment="1" applyProtection="1">
      <alignment horizontal="center"/>
      <protection locked="0"/>
    </xf>
    <xf numFmtId="0" fontId="90" fillId="0" borderId="0" xfId="0" applyFont="1" applyBorder="1" applyAlignment="1" applyProtection="1">
      <alignment horizontal="left"/>
      <protection locked="0"/>
    </xf>
    <xf numFmtId="0" fontId="49" fillId="0" borderId="0" xfId="0" applyFont="1" applyBorder="1" applyProtection="1">
      <protection locked="0"/>
    </xf>
    <xf numFmtId="3" fontId="1" fillId="3" borderId="48" xfId="0" applyNumberFormat="1" applyFont="1" applyFill="1" applyBorder="1" applyAlignment="1" applyProtection="1">
      <alignment horizontal="center" vertical="center"/>
      <protection locked="0"/>
    </xf>
    <xf numFmtId="0" fontId="107" fillId="0" borderId="0" xfId="0" applyFont="1" applyBorder="1" applyAlignment="1" applyProtection="1">
      <alignment horizontal="left" vertical="center"/>
      <protection locked="0"/>
    </xf>
    <xf numFmtId="165" fontId="0" fillId="3" borderId="48" xfId="2" applyNumberFormat="1" applyFont="1" applyFill="1" applyBorder="1" applyAlignment="1" applyProtection="1">
      <alignment horizontal="center" vertical="center"/>
      <protection locked="0"/>
    </xf>
    <xf numFmtId="171" fontId="0" fillId="0" borderId="0" xfId="0" applyNumberFormat="1" applyBorder="1" applyAlignment="1" applyProtection="1">
      <alignment horizontal="center" vertical="center"/>
      <protection locked="0"/>
    </xf>
    <xf numFmtId="172" fontId="0" fillId="3" borderId="48" xfId="3" applyNumberFormat="1" applyFont="1" applyFill="1" applyBorder="1" applyAlignment="1" applyProtection="1">
      <alignment horizontal="left" vertical="center"/>
      <protection locked="0"/>
    </xf>
    <xf numFmtId="0" fontId="91" fillId="0" borderId="0" xfId="0" applyFont="1" applyBorder="1" applyAlignment="1" applyProtection="1">
      <alignment horizontal="left" vertical="center"/>
      <protection locked="0"/>
    </xf>
    <xf numFmtId="171" fontId="6" fillId="0" borderId="0" xfId="0" applyNumberFormat="1" applyFont="1" applyBorder="1" applyAlignment="1" applyProtection="1">
      <alignment horizontal="right"/>
      <protection locked="0"/>
    </xf>
    <xf numFmtId="171" fontId="6" fillId="0" borderId="0" xfId="0" applyNumberFormat="1" applyFont="1" applyBorder="1" applyAlignment="1" applyProtection="1">
      <alignment horizontal="center" vertical="center"/>
      <protection locked="0"/>
    </xf>
    <xf numFmtId="49" fontId="28" fillId="3" borderId="48" xfId="3" applyNumberFormat="1" applyFont="1" applyFill="1" applyBorder="1" applyAlignment="1" applyProtection="1">
      <alignment horizontal="center" vertical="center"/>
      <protection locked="0"/>
    </xf>
    <xf numFmtId="0" fontId="107" fillId="0" borderId="0" xfId="0" applyFont="1" applyBorder="1" applyProtection="1">
      <protection locked="0"/>
    </xf>
    <xf numFmtId="0" fontId="4" fillId="0" borderId="49" xfId="0" applyFont="1" applyBorder="1" applyAlignment="1" applyProtection="1">
      <alignment horizontal="right" vertical="center"/>
      <protection locked="0"/>
    </xf>
    <xf numFmtId="1" fontId="0" fillId="3" borderId="48" xfId="0" applyNumberFormat="1" applyFill="1" applyBorder="1" applyAlignment="1" applyProtection="1">
      <alignment horizontal="center" vertical="center"/>
      <protection locked="0"/>
    </xf>
    <xf numFmtId="0" fontId="88" fillId="0" borderId="0" xfId="0" applyFont="1" applyBorder="1" applyProtection="1">
      <protection locked="0"/>
    </xf>
    <xf numFmtId="170" fontId="0" fillId="3" borderId="48" xfId="0" applyNumberFormat="1" applyFill="1" applyBorder="1" applyAlignment="1" applyProtection="1">
      <alignment horizontal="center" vertical="center"/>
      <protection locked="0"/>
    </xf>
    <xf numFmtId="0" fontId="90" fillId="0" borderId="0" xfId="0" applyFont="1" applyBorder="1" applyProtection="1">
      <protection locked="0"/>
    </xf>
    <xf numFmtId="0" fontId="9" fillId="0" borderId="0" xfId="0" applyFont="1" applyBorder="1" applyAlignment="1" applyProtection="1">
      <alignment horizontal="left"/>
      <protection locked="0"/>
    </xf>
    <xf numFmtId="0" fontId="7" fillId="0" borderId="0" xfId="0" applyFont="1" applyBorder="1" applyAlignment="1" applyProtection="1">
      <alignment horizontal="right" vertical="center"/>
      <protection locked="0"/>
    </xf>
    <xf numFmtId="0" fontId="6" fillId="0" borderId="17" xfId="0" applyFont="1" applyBorder="1" applyAlignment="1" applyProtection="1">
      <alignment horizontal="left" vertical="center" indent="1"/>
      <protection locked="0"/>
    </xf>
    <xf numFmtId="171" fontId="0" fillId="0" borderId="18" xfId="0" applyNumberFormat="1" applyBorder="1" applyProtection="1">
      <protection locked="0"/>
    </xf>
    <xf numFmtId="171" fontId="0" fillId="0" borderId="18" xfId="0" applyNumberFormat="1" applyBorder="1" applyAlignment="1" applyProtection="1">
      <alignment horizontal="center"/>
      <protection locked="0"/>
    </xf>
    <xf numFmtId="171" fontId="0" fillId="0" borderId="20" xfId="0" applyNumberFormat="1" applyBorder="1" applyProtection="1">
      <protection locked="0"/>
    </xf>
    <xf numFmtId="171" fontId="6" fillId="0" borderId="0" xfId="0" applyNumberFormat="1" applyFont="1" applyBorder="1" applyAlignment="1" applyProtection="1">
      <alignment horizontal="left" indent="1"/>
      <protection locked="0"/>
    </xf>
    <xf numFmtId="0" fontId="28" fillId="0" borderId="21" xfId="0" applyFont="1" applyBorder="1" applyAlignment="1" applyProtection="1">
      <alignment horizontal="right"/>
      <protection locked="0"/>
    </xf>
    <xf numFmtId="171" fontId="13" fillId="0" borderId="20" xfId="0" applyNumberFormat="1" applyFont="1" applyBorder="1" applyAlignment="1" applyProtection="1">
      <alignment horizontal="right" indent="1"/>
      <protection locked="0"/>
    </xf>
    <xf numFmtId="171" fontId="90" fillId="0" borderId="0" xfId="0" applyNumberFormat="1" applyFont="1" applyBorder="1" applyAlignment="1" applyProtection="1">
      <alignment horizontal="left" vertical="center"/>
      <protection locked="0"/>
    </xf>
    <xf numFmtId="171" fontId="90" fillId="0" borderId="21" xfId="0" applyNumberFormat="1" applyFont="1" applyBorder="1" applyAlignment="1" applyProtection="1">
      <alignment horizontal="left" vertical="center"/>
      <protection locked="0"/>
    </xf>
    <xf numFmtId="0" fontId="0" fillId="0" borderId="0" xfId="0" applyBorder="1" applyAlignment="1" applyProtection="1">
      <protection locked="0"/>
    </xf>
    <xf numFmtId="171" fontId="28" fillId="0" borderId="21" xfId="0" applyNumberFormat="1" applyFont="1" applyBorder="1" applyAlignment="1" applyProtection="1">
      <alignment horizontal="right"/>
      <protection locked="0"/>
    </xf>
    <xf numFmtId="171" fontId="6" fillId="0" borderId="22" xfId="0" applyNumberFormat="1" applyFont="1" applyBorder="1" applyAlignment="1" applyProtection="1">
      <alignment horizontal="right"/>
      <protection locked="0"/>
    </xf>
    <xf numFmtId="171" fontId="6" fillId="0" borderId="50" xfId="0" applyNumberFormat="1" applyFont="1" applyBorder="1" applyAlignment="1" applyProtection="1">
      <alignment horizontal="right"/>
      <protection locked="0"/>
    </xf>
    <xf numFmtId="0" fontId="9" fillId="0" borderId="51" xfId="0" applyFont="1" applyBorder="1" applyAlignment="1" applyProtection="1">
      <alignment horizontal="left"/>
      <protection locked="0"/>
    </xf>
    <xf numFmtId="171" fontId="0" fillId="0" borderId="50" xfId="0" applyNumberFormat="1" applyBorder="1" applyProtection="1">
      <protection locked="0"/>
    </xf>
    <xf numFmtId="0" fontId="1" fillId="0" borderId="50" xfId="0" applyFont="1" applyBorder="1" applyAlignment="1" applyProtection="1">
      <alignment horizontal="right" vertical="center" indent="1"/>
      <protection locked="0"/>
    </xf>
    <xf numFmtId="0" fontId="9" fillId="0" borderId="50" xfId="0" applyFont="1" applyBorder="1" applyAlignment="1" applyProtection="1">
      <alignment horizontal="left"/>
      <protection locked="0"/>
    </xf>
    <xf numFmtId="0" fontId="8" fillId="0" borderId="50" xfId="0" applyFont="1" applyBorder="1" applyProtection="1">
      <protection locked="0"/>
    </xf>
    <xf numFmtId="0" fontId="43" fillId="0" borderId="0" xfId="0" applyFont="1" applyAlignment="1" applyProtection="1">
      <alignment horizontal="left" vertical="center" wrapText="1"/>
      <protection locked="0"/>
    </xf>
    <xf numFmtId="0" fontId="0" fillId="0" borderId="0" xfId="0" applyAlignment="1" applyProtection="1">
      <alignment horizontal="right" vertical="center"/>
      <protection locked="0"/>
    </xf>
    <xf numFmtId="0" fontId="71" fillId="0" borderId="9" xfId="0" applyFont="1" applyBorder="1" applyAlignment="1" applyProtection="1">
      <alignment vertical="center" wrapText="1"/>
    </xf>
    <xf numFmtId="0" fontId="43" fillId="4" borderId="49" xfId="0" applyFont="1" applyFill="1" applyBorder="1" applyAlignment="1" applyProtection="1">
      <alignment horizontal="left" vertical="center" wrapText="1" indent="1"/>
    </xf>
    <xf numFmtId="0" fontId="43" fillId="4" borderId="48" xfId="0" applyFont="1" applyFill="1" applyBorder="1" applyAlignment="1" applyProtection="1">
      <alignment horizontal="left" vertical="center" wrapText="1" indent="1"/>
    </xf>
    <xf numFmtId="0" fontId="121" fillId="0" borderId="0" xfId="0" applyFont="1" applyAlignment="1" applyProtection="1">
      <alignment horizontal="left" vertical="center"/>
      <protection locked="0"/>
    </xf>
    <xf numFmtId="0" fontId="6" fillId="4" borderId="48" xfId="0" applyFont="1" applyFill="1" applyBorder="1" applyAlignment="1" applyProtection="1">
      <alignment horizontal="center" vertical="center"/>
    </xf>
    <xf numFmtId="0" fontId="62" fillId="4" borderId="48" xfId="0" applyFont="1" applyFill="1" applyBorder="1" applyAlignment="1" applyProtection="1">
      <alignment horizontal="center" vertical="center"/>
    </xf>
    <xf numFmtId="0" fontId="45" fillId="4" borderId="48" xfId="0" applyFont="1" applyFill="1" applyBorder="1" applyAlignment="1" applyProtection="1">
      <alignment horizontal="center" vertical="center"/>
    </xf>
    <xf numFmtId="170" fontId="5" fillId="0" borderId="0" xfId="0" applyNumberFormat="1" applyFont="1" applyFill="1" applyBorder="1" applyAlignment="1" applyProtection="1">
      <alignment horizontal="right" vertical="center"/>
      <protection locked="0"/>
    </xf>
    <xf numFmtId="0" fontId="2" fillId="0" borderId="0" xfId="0" applyFont="1" applyFill="1" applyProtection="1">
      <protection locked="0"/>
    </xf>
    <xf numFmtId="0" fontId="2" fillId="0" borderId="0" xfId="0" applyFont="1" applyProtection="1">
      <protection locked="0"/>
    </xf>
    <xf numFmtId="171" fontId="110" fillId="2" borderId="17" xfId="0" applyNumberFormat="1" applyFont="1" applyFill="1" applyBorder="1" applyAlignment="1" applyProtection="1">
      <alignment horizontal="left" vertical="center"/>
      <protection locked="0"/>
    </xf>
    <xf numFmtId="1" fontId="2" fillId="4" borderId="48" xfId="0" applyNumberFormat="1" applyFont="1" applyFill="1" applyBorder="1" applyProtection="1"/>
    <xf numFmtId="175" fontId="2" fillId="4" borderId="48" xfId="3" applyNumberFormat="1" applyFont="1" applyFill="1" applyBorder="1" applyProtection="1"/>
    <xf numFmtId="172" fontId="2" fillId="4" borderId="48" xfId="3" applyNumberFormat="1" applyFont="1" applyFill="1" applyBorder="1" applyProtection="1"/>
    <xf numFmtId="179" fontId="2" fillId="4" borderId="48" xfId="0" applyNumberFormat="1" applyFont="1" applyFill="1" applyBorder="1" applyProtection="1"/>
    <xf numFmtId="175" fontId="2" fillId="4" borderId="48" xfId="0" applyNumberFormat="1" applyFont="1" applyFill="1" applyBorder="1" applyProtection="1"/>
    <xf numFmtId="0" fontId="1" fillId="0" borderId="0" xfId="0" applyFont="1" applyAlignment="1" applyProtection="1">
      <alignment vertical="top" wrapText="1"/>
      <protection locked="0"/>
    </xf>
    <xf numFmtId="0" fontId="1" fillId="0" borderId="0" xfId="0" applyFont="1" applyAlignment="1" applyProtection="1">
      <alignment vertical="center" wrapText="1"/>
      <protection locked="0"/>
    </xf>
    <xf numFmtId="0" fontId="47" fillId="0" borderId="20" xfId="0" applyFont="1" applyFill="1" applyBorder="1" applyAlignment="1" applyProtection="1">
      <alignment vertical="center" wrapText="1"/>
      <protection locked="0"/>
    </xf>
    <xf numFmtId="0" fontId="23" fillId="0" borderId="0" xfId="0" applyFont="1" applyBorder="1" applyAlignment="1" applyProtection="1">
      <alignment horizontal="right" vertical="center" indent="2"/>
      <protection locked="0"/>
    </xf>
    <xf numFmtId="0" fontId="76" fillId="0" borderId="0" xfId="0" applyFont="1" applyFill="1" applyBorder="1" applyAlignment="1" applyProtection="1">
      <alignment horizontal="left"/>
      <protection locked="0"/>
    </xf>
    <xf numFmtId="171" fontId="1" fillId="0" borderId="0" xfId="0" applyNumberFormat="1" applyFont="1" applyBorder="1" applyAlignment="1" applyProtection="1">
      <alignment horizontal="center"/>
      <protection locked="0"/>
    </xf>
    <xf numFmtId="0" fontId="1" fillId="0" borderId="0" xfId="0" applyFont="1" applyFill="1" applyBorder="1" applyAlignment="1" applyProtection="1">
      <alignment horizontal="right" vertical="center"/>
      <protection locked="0"/>
    </xf>
    <xf numFmtId="169" fontId="18" fillId="0" borderId="18" xfId="0" applyNumberFormat="1" applyFont="1" applyFill="1" applyBorder="1" applyAlignment="1" applyProtection="1">
      <alignment horizontal="right" vertical="center" wrapText="1"/>
      <protection locked="0"/>
    </xf>
    <xf numFmtId="0" fontId="0" fillId="0" borderId="47" xfId="0" applyFill="1" applyBorder="1" applyProtection="1">
      <protection locked="0"/>
    </xf>
    <xf numFmtId="171" fontId="1" fillId="0" borderId="0" xfId="0" applyNumberFormat="1" applyFont="1" applyBorder="1" applyProtection="1">
      <protection locked="0"/>
    </xf>
    <xf numFmtId="1" fontId="6" fillId="3" borderId="48" xfId="0" applyNumberFormat="1" applyFont="1" applyFill="1" applyBorder="1" applyAlignment="1" applyProtection="1">
      <alignment horizontal="right"/>
      <protection locked="0"/>
    </xf>
    <xf numFmtId="169" fontId="18" fillId="0" borderId="21" xfId="0" applyNumberFormat="1" applyFont="1" applyFill="1" applyBorder="1" applyAlignment="1" applyProtection="1">
      <alignment vertical="center" wrapText="1"/>
      <protection locked="0"/>
    </xf>
    <xf numFmtId="1" fontId="6" fillId="6" borderId="0" xfId="0" applyNumberFormat="1" applyFont="1" applyFill="1" applyBorder="1" applyProtection="1">
      <protection locked="0"/>
    </xf>
    <xf numFmtId="171" fontId="0" fillId="0" borderId="20" xfId="0" applyNumberFormat="1" applyBorder="1" applyAlignment="1" applyProtection="1">
      <alignment horizontal="center"/>
      <protection locked="0"/>
    </xf>
    <xf numFmtId="0" fontId="5" fillId="0" borderId="21" xfId="0" applyFont="1" applyFill="1" applyBorder="1" applyAlignment="1" applyProtection="1">
      <alignment vertical="center"/>
      <protection locked="0"/>
    </xf>
    <xf numFmtId="0" fontId="0" fillId="0" borderId="21" xfId="0" applyFill="1" applyBorder="1" applyAlignment="1" applyProtection="1">
      <alignment vertical="center"/>
      <protection locked="0"/>
    </xf>
    <xf numFmtId="0" fontId="2" fillId="7" borderId="20" xfId="0" applyFont="1" applyFill="1" applyBorder="1" applyProtection="1">
      <protection locked="0"/>
    </xf>
    <xf numFmtId="0" fontId="0" fillId="0" borderId="22" xfId="0" applyBorder="1" applyProtection="1">
      <protection locked="0"/>
    </xf>
    <xf numFmtId="0" fontId="0" fillId="0" borderId="51" xfId="0" applyFill="1" applyBorder="1" applyAlignment="1" applyProtection="1">
      <alignment vertical="center"/>
      <protection locked="0"/>
    </xf>
    <xf numFmtId="0" fontId="0" fillId="0" borderId="0" xfId="0" applyFill="1" applyBorder="1" applyAlignment="1" applyProtection="1">
      <alignment vertical="center"/>
      <protection locked="0"/>
    </xf>
    <xf numFmtId="0" fontId="71" fillId="0" borderId="20" xfId="0" applyFont="1" applyBorder="1" applyAlignment="1" applyProtection="1">
      <alignment vertical="center" wrapText="1"/>
      <protection locked="0"/>
    </xf>
    <xf numFmtId="0" fontId="77" fillId="0" borderId="0" xfId="0" applyFont="1" applyFill="1" applyBorder="1" applyAlignment="1" applyProtection="1">
      <alignment horizontal="left"/>
      <protection locked="0"/>
    </xf>
    <xf numFmtId="0" fontId="32" fillId="0" borderId="0" xfId="60" applyFill="1" applyAlignment="1" applyProtection="1">
      <alignment vertical="center"/>
      <protection locked="0"/>
    </xf>
    <xf numFmtId="0" fontId="1" fillId="0" borderId="18" xfId="0" applyFont="1" applyFill="1" applyBorder="1" applyAlignment="1" applyProtection="1">
      <alignment vertical="center"/>
      <protection locked="0"/>
    </xf>
    <xf numFmtId="0" fontId="32" fillId="0" borderId="18" xfId="60" applyFill="1" applyBorder="1" applyAlignment="1" applyProtection="1">
      <alignment vertical="center"/>
      <protection locked="0"/>
    </xf>
    <xf numFmtId="0" fontId="26" fillId="0" borderId="47" xfId="56" applyFill="1" applyBorder="1" applyAlignment="1" applyProtection="1">
      <alignment vertical="center"/>
      <protection locked="0"/>
    </xf>
    <xf numFmtId="0" fontId="26" fillId="0" borderId="0" xfId="56" applyFill="1" applyAlignment="1" applyProtection="1">
      <alignment vertical="center"/>
      <protection locked="0"/>
    </xf>
    <xf numFmtId="0" fontId="6" fillId="0" borderId="0" xfId="0" applyFont="1" applyBorder="1" applyAlignment="1" applyProtection="1">
      <alignment horizontal="right" vertical="center" indent="1"/>
      <protection locked="0"/>
    </xf>
    <xf numFmtId="0" fontId="6" fillId="0" borderId="0" xfId="0" applyFont="1" applyBorder="1" applyAlignment="1" applyProtection="1">
      <alignment vertical="center"/>
      <protection locked="0"/>
    </xf>
    <xf numFmtId="0" fontId="38" fillId="0" borderId="21" xfId="0" applyFont="1" applyFill="1" applyBorder="1" applyAlignment="1" applyProtection="1">
      <alignment horizontal="left" vertical="center"/>
      <protection locked="0"/>
    </xf>
    <xf numFmtId="0" fontId="38" fillId="0" borderId="0" xfId="0" applyFont="1" applyAlignment="1" applyProtection="1">
      <alignment vertical="center"/>
      <protection locked="0"/>
    </xf>
    <xf numFmtId="37" fontId="1" fillId="3" borderId="31" xfId="1" applyNumberFormat="1" applyFont="1" applyFill="1" applyBorder="1" applyAlignment="1" applyProtection="1">
      <alignment horizontal="right" vertical="center" indent="1"/>
      <protection locked="0"/>
    </xf>
    <xf numFmtId="1" fontId="1" fillId="3" borderId="48" xfId="0" applyNumberFormat="1" applyFont="1" applyFill="1" applyBorder="1" applyAlignment="1" applyProtection="1">
      <alignment horizontal="right" vertical="center"/>
      <protection locked="0"/>
    </xf>
    <xf numFmtId="0" fontId="0" fillId="0" borderId="0" xfId="0" applyAlignment="1" applyProtection="1">
      <alignment vertical="center"/>
      <protection locked="0"/>
    </xf>
    <xf numFmtId="37" fontId="1" fillId="3" borderId="48" xfId="1" applyNumberFormat="1" applyFont="1" applyFill="1" applyBorder="1" applyAlignment="1" applyProtection="1">
      <alignment horizontal="right" vertical="center" indent="1"/>
      <protection locked="0"/>
    </xf>
    <xf numFmtId="1" fontId="1" fillId="3" borderId="29" xfId="0" applyNumberFormat="1" applyFont="1" applyFill="1" applyBorder="1" applyAlignment="1" applyProtection="1">
      <alignment horizontal="right" vertical="center"/>
      <protection locked="0"/>
    </xf>
    <xf numFmtId="171" fontId="25" fillId="0" borderId="0" xfId="0" applyNumberFormat="1" applyFont="1" applyBorder="1" applyAlignment="1" applyProtection="1">
      <alignment horizontal="right" vertical="center"/>
      <protection locked="0"/>
    </xf>
    <xf numFmtId="171" fontId="25" fillId="0" borderId="22" xfId="0" applyNumberFormat="1" applyFont="1" applyBorder="1" applyAlignment="1" applyProtection="1">
      <alignment horizontal="right" vertical="center"/>
      <protection locked="0"/>
    </xf>
    <xf numFmtId="0" fontId="25" fillId="0" borderId="50" xfId="0" applyFont="1" applyBorder="1" applyAlignment="1" applyProtection="1">
      <alignment vertical="center"/>
      <protection locked="0"/>
    </xf>
    <xf numFmtId="0" fontId="25" fillId="0" borderId="51" xfId="0" applyFont="1" applyBorder="1" applyAlignment="1" applyProtection="1">
      <alignment vertical="center"/>
      <protection locked="0"/>
    </xf>
    <xf numFmtId="0" fontId="78" fillId="0" borderId="0" xfId="56" applyFont="1" applyFill="1" applyAlignment="1" applyProtection="1">
      <alignment vertical="center"/>
      <protection locked="0"/>
    </xf>
    <xf numFmtId="0" fontId="25" fillId="0" borderId="0" xfId="0" applyFont="1" applyAlignment="1" applyProtection="1">
      <alignment vertical="center"/>
      <protection locked="0"/>
    </xf>
    <xf numFmtId="171" fontId="22" fillId="0" borderId="0" xfId="0" applyNumberFormat="1" applyFont="1" applyFill="1" applyBorder="1" applyAlignment="1" applyProtection="1">
      <alignment horizontal="left" vertical="center"/>
      <protection locked="0"/>
    </xf>
    <xf numFmtId="0" fontId="5" fillId="0" borderId="10" xfId="0" applyFont="1" applyBorder="1" applyProtection="1">
      <protection locked="0"/>
    </xf>
    <xf numFmtId="171" fontId="110" fillId="2" borderId="20" xfId="0" applyNumberFormat="1" applyFont="1" applyFill="1" applyBorder="1" applyAlignment="1" applyProtection="1">
      <alignment vertical="center"/>
      <protection locked="0"/>
    </xf>
    <xf numFmtId="0" fontId="43" fillId="4" borderId="62" xfId="0" applyFont="1" applyFill="1" applyBorder="1" applyAlignment="1" applyProtection="1">
      <alignment horizontal="left" vertical="center" wrapText="1" indent="1"/>
    </xf>
    <xf numFmtId="171" fontId="110" fillId="2" borderId="17" xfId="0" applyNumberFormat="1" applyFont="1" applyFill="1" applyBorder="1" applyAlignment="1" applyProtection="1">
      <alignment horizontal="left" vertical="center" wrapText="1"/>
      <protection locked="0"/>
    </xf>
    <xf numFmtId="171" fontId="110" fillId="0" borderId="17" xfId="0" applyNumberFormat="1" applyFont="1" applyFill="1" applyBorder="1" applyAlignment="1" applyProtection="1">
      <alignment horizontal="left" vertical="center"/>
      <protection locked="0"/>
    </xf>
    <xf numFmtId="171" fontId="19" fillId="0" borderId="60" xfId="0" applyNumberFormat="1" applyFont="1" applyFill="1" applyBorder="1" applyAlignment="1" applyProtection="1">
      <alignment horizontal="left" vertical="center" wrapText="1" indent="1"/>
    </xf>
    <xf numFmtId="0" fontId="74" fillId="4" borderId="31"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74" fillId="4" borderId="9" xfId="0" applyFont="1" applyFill="1" applyBorder="1" applyAlignment="1" applyProtection="1">
      <alignment horizontal="center" vertical="center"/>
    </xf>
    <xf numFmtId="171" fontId="22" fillId="2" borderId="0" xfId="0" applyNumberFormat="1" applyFont="1" applyFill="1" applyBorder="1" applyAlignment="1" applyProtection="1">
      <alignment horizontal="left" vertical="center"/>
      <protection locked="0"/>
    </xf>
    <xf numFmtId="171" fontId="73" fillId="2" borderId="0" xfId="0" applyNumberFormat="1" applyFont="1" applyFill="1" applyBorder="1" applyAlignment="1" applyProtection="1">
      <alignment horizontal="left" vertical="center"/>
      <protection locked="0"/>
    </xf>
    <xf numFmtId="171" fontId="50" fillId="2" borderId="0" xfId="0" applyNumberFormat="1" applyFont="1" applyFill="1" applyBorder="1" applyAlignment="1" applyProtection="1">
      <alignment horizontal="center" vertical="center"/>
      <protection locked="0"/>
    </xf>
    <xf numFmtId="0" fontId="74" fillId="4" borderId="1" xfId="0" applyFont="1" applyFill="1" applyBorder="1" applyAlignment="1" applyProtection="1">
      <alignment horizontal="center" vertical="center"/>
    </xf>
    <xf numFmtId="0" fontId="74" fillId="4" borderId="42" xfId="0" applyFont="1" applyFill="1" applyBorder="1" applyAlignment="1" applyProtection="1">
      <alignment horizontal="center" vertical="center"/>
    </xf>
    <xf numFmtId="0" fontId="27" fillId="4" borderId="48"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43" xfId="0" applyFont="1" applyFill="1" applyBorder="1" applyAlignment="1" applyProtection="1">
      <alignment horizontal="center" vertical="center"/>
    </xf>
    <xf numFmtId="0" fontId="21" fillId="4" borderId="44" xfId="0" applyFont="1" applyFill="1" applyBorder="1" applyAlignment="1" applyProtection="1">
      <alignment horizontal="center" vertical="center"/>
    </xf>
    <xf numFmtId="171" fontId="44" fillId="4" borderId="48" xfId="0" applyNumberFormat="1" applyFont="1" applyFill="1" applyBorder="1" applyAlignment="1" applyProtection="1">
      <alignment horizontal="center" vertical="center"/>
    </xf>
    <xf numFmtId="0" fontId="122" fillId="4" borderId="48" xfId="0" applyFont="1" applyFill="1" applyBorder="1" applyAlignment="1" applyProtection="1">
      <alignment horizontal="center" vertical="center"/>
    </xf>
    <xf numFmtId="171" fontId="110" fillId="2" borderId="17" xfId="0" applyNumberFormat="1" applyFont="1" applyFill="1" applyBorder="1" applyAlignment="1" applyProtection="1">
      <alignment horizontal="center" vertical="center"/>
      <protection locked="0"/>
    </xf>
    <xf numFmtId="171" fontId="110" fillId="2" borderId="18" xfId="0" applyNumberFormat="1" applyFont="1" applyFill="1" applyBorder="1" applyAlignment="1" applyProtection="1">
      <alignment horizontal="center" vertical="center"/>
      <protection locked="0"/>
    </xf>
    <xf numFmtId="0" fontId="69" fillId="4" borderId="31" xfId="0" applyFont="1" applyFill="1" applyBorder="1" applyAlignment="1" applyProtection="1">
      <alignment horizontal="center" vertical="center" wrapText="1"/>
    </xf>
    <xf numFmtId="0" fontId="69" fillId="4" borderId="11" xfId="0" applyFont="1" applyFill="1" applyBorder="1" applyAlignment="1" applyProtection="1">
      <alignment horizontal="center" vertical="center" wrapText="1"/>
    </xf>
    <xf numFmtId="0" fontId="69" fillId="4" borderId="9" xfId="0" applyFont="1" applyFill="1" applyBorder="1" applyAlignment="1" applyProtection="1">
      <alignment horizontal="center" vertical="center" wrapText="1"/>
    </xf>
    <xf numFmtId="0" fontId="27" fillId="4" borderId="28" xfId="0" applyFont="1" applyFill="1" applyBorder="1" applyAlignment="1" applyProtection="1">
      <alignment horizontal="center" vertical="center"/>
    </xf>
    <xf numFmtId="0" fontId="27" fillId="4" borderId="62"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171" fontId="44" fillId="4" borderId="35" xfId="0" applyNumberFormat="1" applyFont="1" applyFill="1" applyBorder="1" applyAlignment="1" applyProtection="1">
      <alignment horizontal="center" vertical="center"/>
    </xf>
    <xf numFmtId="171" fontId="44" fillId="4" borderId="39" xfId="0" applyNumberFormat="1" applyFont="1" applyFill="1" applyBorder="1" applyAlignment="1" applyProtection="1">
      <alignment horizontal="center" vertical="center"/>
    </xf>
    <xf numFmtId="171" fontId="44" fillId="4" borderId="42" xfId="0" applyNumberFormat="1" applyFont="1" applyFill="1" applyBorder="1" applyAlignment="1" applyProtection="1">
      <alignment horizontal="center" vertical="center"/>
    </xf>
    <xf numFmtId="171" fontId="44" fillId="4" borderId="13" xfId="0" applyNumberFormat="1" applyFont="1" applyFill="1" applyBorder="1" applyAlignment="1" applyProtection="1">
      <alignment horizontal="center" vertical="center"/>
    </xf>
    <xf numFmtId="171" fontId="44" fillId="4" borderId="60" xfId="0" applyNumberFormat="1" applyFont="1" applyFill="1" applyBorder="1" applyAlignment="1" applyProtection="1">
      <alignment horizontal="center" vertical="center"/>
    </xf>
    <xf numFmtId="171" fontId="44" fillId="4" borderId="46" xfId="0" applyNumberFormat="1" applyFont="1" applyFill="1" applyBorder="1" applyAlignment="1" applyProtection="1">
      <alignment horizontal="center" vertical="center"/>
    </xf>
    <xf numFmtId="0" fontId="43" fillId="4" borderId="49" xfId="0" applyFont="1" applyFill="1" applyBorder="1" applyAlignment="1" applyProtection="1">
      <alignment horizontal="left" vertical="center" wrapText="1" indent="1"/>
    </xf>
    <xf numFmtId="0" fontId="43" fillId="4" borderId="52" xfId="0" applyFont="1" applyFill="1" applyBorder="1" applyAlignment="1" applyProtection="1">
      <alignment horizontal="left" vertical="center" wrapText="1" indent="1"/>
    </xf>
    <xf numFmtId="0" fontId="43" fillId="4" borderId="38" xfId="0" applyFont="1" applyFill="1" applyBorder="1" applyAlignment="1" applyProtection="1">
      <alignment horizontal="left" vertical="center" wrapText="1" indent="1"/>
    </xf>
    <xf numFmtId="0" fontId="43" fillId="4" borderId="53" xfId="0" applyFont="1" applyFill="1" applyBorder="1" applyAlignment="1" applyProtection="1">
      <alignment horizontal="left" vertical="center" wrapText="1" indent="1"/>
    </xf>
    <xf numFmtId="0" fontId="43" fillId="4" borderId="48" xfId="0" applyFont="1" applyFill="1" applyBorder="1" applyAlignment="1" applyProtection="1">
      <alignment horizontal="left" vertical="center" wrapText="1" indent="1"/>
    </xf>
    <xf numFmtId="0" fontId="43" fillId="4" borderId="31" xfId="0" applyFont="1" applyFill="1" applyBorder="1" applyAlignment="1" applyProtection="1">
      <alignment horizontal="left" vertical="center" wrapText="1" indent="1"/>
    </xf>
    <xf numFmtId="0" fontId="43" fillId="4" borderId="11" xfId="0" applyFont="1" applyFill="1" applyBorder="1" applyAlignment="1" applyProtection="1">
      <alignment horizontal="left" vertical="center" wrapText="1" indent="1"/>
    </xf>
    <xf numFmtId="0" fontId="43" fillId="4" borderId="9" xfId="0" applyFont="1" applyFill="1" applyBorder="1" applyAlignment="1" applyProtection="1">
      <alignment horizontal="left" vertical="center" wrapText="1" indent="1"/>
    </xf>
    <xf numFmtId="171" fontId="110" fillId="2" borderId="17" xfId="0" applyNumberFormat="1" applyFont="1" applyFill="1" applyBorder="1" applyAlignment="1" applyProtection="1">
      <alignment horizontal="right" vertical="center" wrapText="1" indent="1"/>
      <protection locked="0"/>
    </xf>
    <xf numFmtId="171" fontId="110" fillId="2" borderId="59" xfId="0" applyNumberFormat="1" applyFont="1" applyFill="1" applyBorder="1" applyAlignment="1" applyProtection="1">
      <alignment horizontal="right" vertical="center" indent="1"/>
      <protection locked="0"/>
    </xf>
    <xf numFmtId="0" fontId="43" fillId="4" borderId="31" xfId="0" applyFont="1" applyFill="1" applyBorder="1" applyAlignment="1" applyProtection="1">
      <alignment horizontal="left" vertical="top" wrapText="1" indent="1"/>
    </xf>
    <xf numFmtId="0" fontId="43" fillId="4" borderId="11" xfId="0" applyFont="1" applyFill="1" applyBorder="1" applyAlignment="1" applyProtection="1">
      <alignment horizontal="left" vertical="top" wrapText="1" indent="1"/>
    </xf>
    <xf numFmtId="0" fontId="43" fillId="4" borderId="9" xfId="0" applyFont="1" applyFill="1" applyBorder="1" applyAlignment="1" applyProtection="1">
      <alignment horizontal="left" vertical="top" wrapText="1" indent="1"/>
    </xf>
    <xf numFmtId="171" fontId="19" fillId="4" borderId="31" xfId="0" applyNumberFormat="1" applyFont="1" applyFill="1" applyBorder="1" applyAlignment="1" applyProtection="1">
      <alignment horizontal="left" vertical="center" wrapText="1" indent="1"/>
      <protection locked="0"/>
    </xf>
    <xf numFmtId="171" fontId="19" fillId="4" borderId="11" xfId="0" applyNumberFormat="1" applyFont="1" applyFill="1" applyBorder="1" applyAlignment="1" applyProtection="1">
      <alignment horizontal="left" vertical="center" wrapText="1" indent="1"/>
      <protection locked="0"/>
    </xf>
    <xf numFmtId="171" fontId="19" fillId="4" borderId="9" xfId="0" applyNumberFormat="1" applyFont="1" applyFill="1" applyBorder="1" applyAlignment="1" applyProtection="1">
      <alignment horizontal="left" vertical="center" wrapText="1" indent="1"/>
      <protection locked="0"/>
    </xf>
    <xf numFmtId="0" fontId="23" fillId="4" borderId="31" xfId="0" applyFont="1" applyFill="1" applyBorder="1" applyAlignment="1" applyProtection="1">
      <alignment horizontal="left" vertical="center" wrapText="1" indent="1"/>
    </xf>
    <xf numFmtId="0" fontId="23" fillId="4" borderId="11" xfId="0" applyFont="1" applyFill="1" applyBorder="1" applyAlignment="1" applyProtection="1">
      <alignment horizontal="left" vertical="center" wrapText="1" indent="1"/>
    </xf>
    <xf numFmtId="0" fontId="23" fillId="4" borderId="9" xfId="0" applyFont="1" applyFill="1" applyBorder="1" applyAlignment="1" applyProtection="1">
      <alignment horizontal="left" vertical="center" wrapText="1" indent="1"/>
    </xf>
    <xf numFmtId="0" fontId="43" fillId="4" borderId="31" xfId="0" applyFont="1" applyFill="1" applyBorder="1" applyAlignment="1" applyProtection="1">
      <alignment horizontal="left" vertical="top" wrapText="1" indent="1"/>
      <protection locked="0"/>
    </xf>
    <xf numFmtId="0" fontId="43" fillId="4" borderId="11" xfId="0" applyFont="1" applyFill="1" applyBorder="1" applyAlignment="1" applyProtection="1">
      <alignment horizontal="left" vertical="top" wrapText="1" indent="1"/>
      <protection locked="0"/>
    </xf>
    <xf numFmtId="0" fontId="43" fillId="4" borderId="9" xfId="0" applyFont="1" applyFill="1" applyBorder="1" applyAlignment="1" applyProtection="1">
      <alignment horizontal="left" vertical="top" wrapText="1" indent="1"/>
      <protection locked="0"/>
    </xf>
    <xf numFmtId="0" fontId="43" fillId="4" borderId="31" xfId="0" applyFont="1" applyFill="1" applyBorder="1" applyAlignment="1" applyProtection="1">
      <alignment horizontal="left" vertical="center" wrapText="1" indent="1"/>
      <protection locked="0"/>
    </xf>
    <xf numFmtId="0" fontId="43" fillId="4" borderId="11" xfId="0" applyFont="1" applyFill="1" applyBorder="1" applyAlignment="1" applyProtection="1">
      <alignment horizontal="left" vertical="center" wrapText="1" indent="1"/>
      <protection locked="0"/>
    </xf>
    <xf numFmtId="0" fontId="43" fillId="4" borderId="9" xfId="0" applyFont="1" applyFill="1" applyBorder="1" applyAlignment="1" applyProtection="1">
      <alignment horizontal="left" vertical="center" wrapText="1" indent="1"/>
      <protection locked="0"/>
    </xf>
    <xf numFmtId="0" fontId="23" fillId="4" borderId="31" xfId="0" applyFont="1" applyFill="1" applyBorder="1" applyAlignment="1" applyProtection="1">
      <alignment horizontal="left" vertical="center" wrapText="1" indent="1"/>
      <protection locked="0"/>
    </xf>
    <xf numFmtId="0" fontId="43" fillId="4" borderId="31" xfId="0" applyFont="1" applyFill="1" applyBorder="1" applyAlignment="1" applyProtection="1">
      <alignment horizontal="left" wrapText="1" indent="1"/>
      <protection locked="0"/>
    </xf>
    <xf numFmtId="0" fontId="43" fillId="4" borderId="11" xfId="0" applyFont="1" applyFill="1" applyBorder="1" applyAlignment="1" applyProtection="1">
      <alignment horizontal="left" wrapText="1" indent="1"/>
      <protection locked="0"/>
    </xf>
    <xf numFmtId="0" fontId="43" fillId="4" borderId="9" xfId="0" applyFont="1" applyFill="1" applyBorder="1" applyAlignment="1" applyProtection="1">
      <alignment horizontal="left" wrapText="1" indent="1"/>
      <protection locked="0"/>
    </xf>
    <xf numFmtId="171" fontId="19" fillId="4" borderId="31" xfId="0" applyNumberFormat="1" applyFont="1" applyFill="1" applyBorder="1" applyAlignment="1" applyProtection="1">
      <alignment horizontal="left" vertical="center" wrapText="1" indent="1"/>
    </xf>
    <xf numFmtId="171" fontId="19" fillId="4" borderId="11" xfId="0" applyNumberFormat="1" applyFont="1" applyFill="1" applyBorder="1" applyAlignment="1" applyProtection="1">
      <alignment horizontal="left" vertical="center" wrapText="1" indent="1"/>
    </xf>
    <xf numFmtId="171" fontId="19" fillId="4" borderId="9" xfId="0" applyNumberFormat="1" applyFont="1" applyFill="1" applyBorder="1" applyAlignment="1" applyProtection="1">
      <alignment horizontal="left" vertical="center" wrapText="1" indent="1"/>
    </xf>
    <xf numFmtId="0" fontId="23" fillId="4" borderId="11" xfId="0" applyFont="1" applyFill="1" applyBorder="1" applyAlignment="1" applyProtection="1">
      <alignment horizontal="left" vertical="center" wrapText="1" indent="1"/>
      <protection locked="0"/>
    </xf>
    <xf numFmtId="0" fontId="23" fillId="4" borderId="9" xfId="0" applyFont="1" applyFill="1" applyBorder="1" applyAlignment="1" applyProtection="1">
      <alignment horizontal="left" vertical="center" wrapText="1" indent="1"/>
      <protection locked="0"/>
    </xf>
    <xf numFmtId="0" fontId="23" fillId="4" borderId="31" xfId="0" applyFont="1" applyFill="1" applyBorder="1" applyAlignment="1" applyProtection="1">
      <alignment horizontal="left" vertical="top" wrapText="1" indent="1"/>
      <protection locked="0"/>
    </xf>
    <xf numFmtId="0" fontId="23" fillId="4" borderId="11" xfId="0" applyFont="1" applyFill="1" applyBorder="1" applyAlignment="1" applyProtection="1">
      <alignment horizontal="left" vertical="top" wrapText="1" indent="1"/>
      <protection locked="0"/>
    </xf>
    <xf numFmtId="0" fontId="23" fillId="4" borderId="9" xfId="0" applyFont="1" applyFill="1" applyBorder="1" applyAlignment="1" applyProtection="1">
      <alignment horizontal="left" vertical="top" wrapText="1" indent="1"/>
      <protection locked="0"/>
    </xf>
    <xf numFmtId="0" fontId="4" fillId="0" borderId="26" xfId="61" applyFont="1" applyBorder="1" applyAlignment="1" applyProtection="1">
      <alignment horizontal="center" vertical="center"/>
      <protection locked="0"/>
    </xf>
    <xf numFmtId="171" fontId="110" fillId="2" borderId="17" xfId="0" applyNumberFormat="1" applyFont="1" applyFill="1" applyBorder="1" applyAlignment="1" applyProtection="1">
      <alignment horizontal="left" vertical="center"/>
    </xf>
    <xf numFmtId="171" fontId="110" fillId="2" borderId="18" xfId="0" applyNumberFormat="1" applyFont="1" applyFill="1" applyBorder="1" applyAlignment="1" applyProtection="1">
      <alignment horizontal="left" vertical="center"/>
    </xf>
    <xf numFmtId="171" fontId="110" fillId="2" borderId="20" xfId="0" applyNumberFormat="1" applyFont="1" applyFill="1" applyBorder="1" applyAlignment="1" applyProtection="1">
      <alignment horizontal="left" vertical="center"/>
    </xf>
    <xf numFmtId="171" fontId="110" fillId="2" borderId="0" xfId="0" applyNumberFormat="1" applyFont="1" applyFill="1" applyBorder="1" applyAlignment="1" applyProtection="1">
      <alignment horizontal="left" vertical="center"/>
    </xf>
    <xf numFmtId="0" fontId="1" fillId="4" borderId="31" xfId="0" applyFont="1" applyFill="1" applyBorder="1" applyAlignment="1" applyProtection="1">
      <alignment horizontal="left" vertical="center" wrapText="1" indent="1"/>
    </xf>
    <xf numFmtId="0" fontId="0" fillId="4" borderId="11" xfId="0" applyFill="1" applyBorder="1" applyAlignment="1" applyProtection="1">
      <alignment horizontal="left" vertical="center" indent="1"/>
    </xf>
    <xf numFmtId="0" fontId="0" fillId="4" borderId="9" xfId="0" applyFill="1" applyBorder="1" applyAlignment="1" applyProtection="1">
      <alignment horizontal="left" vertical="center" indent="1"/>
    </xf>
    <xf numFmtId="0" fontId="43" fillId="4" borderId="31" xfId="0" applyFont="1" applyFill="1" applyBorder="1" applyAlignment="1" applyProtection="1">
      <alignment horizontal="left" vertical="center" wrapText="1"/>
      <protection locked="0"/>
    </xf>
    <xf numFmtId="0" fontId="43" fillId="4" borderId="11" xfId="0" applyFont="1" applyFill="1" applyBorder="1" applyAlignment="1" applyProtection="1">
      <alignment horizontal="left" vertical="center" wrapText="1"/>
      <protection locked="0"/>
    </xf>
    <xf numFmtId="0" fontId="43" fillId="4" borderId="9" xfId="0" applyFont="1" applyFill="1" applyBorder="1" applyAlignment="1" applyProtection="1">
      <alignment horizontal="left" vertical="center" wrapText="1"/>
      <protection locked="0"/>
    </xf>
    <xf numFmtId="171" fontId="19" fillId="4" borderId="31" xfId="0" applyNumberFormat="1" applyFont="1" applyFill="1" applyBorder="1" applyAlignment="1" applyProtection="1">
      <alignment horizontal="center" vertical="center" wrapText="1"/>
    </xf>
    <xf numFmtId="171" fontId="19" fillId="4" borderId="11" xfId="0" applyNumberFormat="1" applyFont="1" applyFill="1" applyBorder="1" applyAlignment="1" applyProtection="1">
      <alignment horizontal="center" vertical="center" wrapText="1"/>
    </xf>
    <xf numFmtId="171" fontId="19" fillId="4" borderId="9" xfId="0" applyNumberFormat="1" applyFont="1" applyFill="1" applyBorder="1" applyAlignment="1" applyProtection="1">
      <alignment horizontal="center" vertical="center" wrapText="1"/>
    </xf>
    <xf numFmtId="0" fontId="4" fillId="0" borderId="26" xfId="61" applyFont="1" applyBorder="1" applyAlignment="1">
      <alignment horizontal="center" vertical="center"/>
    </xf>
    <xf numFmtId="171" fontId="19" fillId="4" borderId="31" xfId="0" applyNumberFormat="1" applyFont="1" applyFill="1" applyBorder="1" applyAlignment="1" applyProtection="1">
      <alignment horizontal="left" vertical="center" wrapText="1"/>
    </xf>
    <xf numFmtId="171" fontId="19" fillId="4" borderId="11" xfId="0" applyNumberFormat="1" applyFont="1" applyFill="1" applyBorder="1" applyAlignment="1" applyProtection="1">
      <alignment horizontal="left" vertical="center" wrapText="1"/>
    </xf>
    <xf numFmtId="171" fontId="19" fillId="4" borderId="9" xfId="0" applyNumberFormat="1" applyFont="1" applyFill="1" applyBorder="1" applyAlignment="1" applyProtection="1">
      <alignment horizontal="left" vertical="center" wrapText="1"/>
    </xf>
    <xf numFmtId="0" fontId="43" fillId="4" borderId="1" xfId="0" applyFont="1" applyFill="1" applyBorder="1" applyAlignment="1" applyProtection="1">
      <alignment horizontal="left" vertical="top" wrapText="1" indent="1"/>
      <protection locked="0"/>
    </xf>
    <xf numFmtId="0" fontId="43" fillId="4" borderId="0" xfId="0" applyFont="1" applyFill="1" applyBorder="1" applyAlignment="1" applyProtection="1">
      <alignment horizontal="left" vertical="top" wrapText="1" indent="1"/>
      <protection locked="0"/>
    </xf>
    <xf numFmtId="0" fontId="43" fillId="4" borderId="60" xfId="0" applyFont="1" applyFill="1" applyBorder="1" applyAlignment="1" applyProtection="1">
      <alignment horizontal="left" vertical="top" wrapText="1" indent="1"/>
      <protection locked="0"/>
    </xf>
    <xf numFmtId="0" fontId="43" fillId="4" borderId="65" xfId="0" applyFont="1" applyFill="1" applyBorder="1" applyAlignment="1" applyProtection="1">
      <alignment horizontal="left" vertical="top" wrapText="1" indent="1"/>
      <protection locked="0"/>
    </xf>
    <xf numFmtId="0" fontId="43" fillId="4" borderId="66" xfId="0" applyFont="1" applyFill="1" applyBorder="1" applyAlignment="1" applyProtection="1">
      <alignment horizontal="left" vertical="top" wrapText="1" indent="1"/>
      <protection locked="0"/>
    </xf>
    <xf numFmtId="0" fontId="43" fillId="4" borderId="67" xfId="0" applyFont="1" applyFill="1" applyBorder="1" applyAlignment="1" applyProtection="1">
      <alignment horizontal="left" vertical="top" wrapText="1" indent="1"/>
      <protection locked="0"/>
    </xf>
    <xf numFmtId="0" fontId="19" fillId="4" borderId="31" xfId="0" applyFont="1" applyFill="1" applyBorder="1" applyAlignment="1" applyProtection="1">
      <alignment horizontal="left" vertical="center" wrapText="1" indent="1"/>
      <protection locked="0"/>
    </xf>
    <xf numFmtId="0" fontId="19" fillId="4" borderId="11" xfId="0" applyFont="1" applyFill="1" applyBorder="1" applyAlignment="1" applyProtection="1">
      <alignment horizontal="left" vertical="center" wrapText="1" indent="1"/>
      <protection locked="0"/>
    </xf>
    <xf numFmtId="0" fontId="19" fillId="4" borderId="9" xfId="0" applyFont="1" applyFill="1" applyBorder="1" applyAlignment="1" applyProtection="1">
      <alignment horizontal="left" vertical="center" wrapText="1" indent="1"/>
      <protection locked="0"/>
    </xf>
    <xf numFmtId="0" fontId="118" fillId="4" borderId="31" xfId="0" applyFont="1" applyFill="1" applyBorder="1" applyAlignment="1" applyProtection="1">
      <alignment horizontal="left" vertical="top" wrapText="1" indent="1"/>
      <protection locked="0"/>
    </xf>
    <xf numFmtId="0" fontId="118" fillId="4" borderId="11" xfId="0" applyFont="1" applyFill="1" applyBorder="1" applyAlignment="1" applyProtection="1">
      <alignment horizontal="left" vertical="top" wrapText="1" indent="1"/>
      <protection locked="0"/>
    </xf>
    <xf numFmtId="0" fontId="118" fillId="4" borderId="9" xfId="0" applyFont="1" applyFill="1" applyBorder="1" applyAlignment="1" applyProtection="1">
      <alignment horizontal="left" vertical="top" wrapText="1" indent="1"/>
      <protection locked="0"/>
    </xf>
    <xf numFmtId="0" fontId="120" fillId="0" borderId="45" xfId="0" applyFont="1" applyBorder="1" applyAlignment="1" applyProtection="1">
      <alignment horizontal="center" vertical="center"/>
      <protection locked="0"/>
    </xf>
    <xf numFmtId="0" fontId="4" fillId="0" borderId="2" xfId="0" applyFont="1" applyFill="1" applyBorder="1" applyAlignment="1" applyProtection="1">
      <alignment horizontal="center" vertical="center" wrapText="1"/>
    </xf>
    <xf numFmtId="0" fontId="27" fillId="4" borderId="35" xfId="0" applyFont="1" applyFill="1" applyBorder="1" applyAlignment="1" applyProtection="1">
      <alignment horizontal="center" vertical="center"/>
    </xf>
    <xf numFmtId="0" fontId="27" fillId="4" borderId="39" xfId="0"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71" fontId="44" fillId="4" borderId="1" xfId="0" applyNumberFormat="1" applyFont="1" applyFill="1" applyBorder="1" applyAlignment="1" applyProtection="1">
      <alignment horizontal="center" vertical="center"/>
    </xf>
    <xf numFmtId="171" fontId="44" fillId="4" borderId="3" xfId="0" applyNumberFormat="1" applyFont="1" applyFill="1" applyBorder="1" applyAlignment="1" applyProtection="1">
      <alignment horizontal="center" vertical="center"/>
    </xf>
    <xf numFmtId="171" fontId="44" fillId="4" borderId="43" xfId="0" applyNumberFormat="1" applyFont="1" applyFill="1" applyBorder="1" applyAlignment="1" applyProtection="1">
      <alignment horizontal="center" vertical="center"/>
    </xf>
    <xf numFmtId="171" fontId="44" fillId="4" borderId="44" xfId="0" applyNumberFormat="1" applyFont="1" applyFill="1" applyBorder="1" applyAlignment="1" applyProtection="1">
      <alignment horizontal="center" vertical="center"/>
    </xf>
    <xf numFmtId="0" fontId="71" fillId="4" borderId="31" xfId="0" applyFont="1" applyFill="1" applyBorder="1" applyAlignment="1" applyProtection="1">
      <alignment horizontal="left" vertical="center" wrapText="1" indent="1"/>
    </xf>
    <xf numFmtId="0" fontId="71" fillId="4" borderId="11" xfId="0" applyFont="1" applyFill="1" applyBorder="1" applyAlignment="1" applyProtection="1">
      <alignment horizontal="left" vertical="center" wrapText="1" indent="1"/>
    </xf>
    <xf numFmtId="0" fontId="71" fillId="4" borderId="9" xfId="0" applyFont="1" applyFill="1" applyBorder="1" applyAlignment="1" applyProtection="1">
      <alignment horizontal="left" vertical="center" wrapText="1" indent="1"/>
    </xf>
    <xf numFmtId="0" fontId="1" fillId="0" borderId="48" xfId="0" applyFont="1" applyBorder="1" applyAlignment="1" applyProtection="1">
      <alignment horizontal="left" vertical="center" wrapText="1" indent="1"/>
    </xf>
    <xf numFmtId="0" fontId="1" fillId="0" borderId="48" xfId="0" applyFont="1" applyBorder="1" applyAlignment="1" applyProtection="1">
      <alignment horizontal="left" vertical="top" wrapText="1" indent="1"/>
    </xf>
    <xf numFmtId="0" fontId="1" fillId="0" borderId="48" xfId="0" applyFont="1" applyBorder="1" applyAlignment="1" applyProtection="1">
      <alignment horizontal="left" vertical="top" indent="1"/>
    </xf>
  </cellXfs>
  <cellStyles count="63">
    <cellStyle name="Accent1" xfId="60" builtinId="29"/>
    <cellStyle name="Bad" xfId="59" builtinId="27"/>
    <cellStyle name="Comma" xfId="1" builtinId="3"/>
    <cellStyle name="Comma 2" xfId="62"/>
    <cellStyle name="Currency" xfId="3" builtinId="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Good" xfId="56" builtinId="26"/>
    <cellStyle name="Input" xfId="58" builtinId="20" customBuiltin="1"/>
    <cellStyle name="Neutral" xfId="57" builtinId="28"/>
    <cellStyle name="Normal" xfId="0" builtinId="0"/>
    <cellStyle name="Normal 2" xfId="61"/>
    <cellStyle name="Percent" xfId="2" builtinId="5"/>
  </cellStyles>
  <dxfs count="769">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font>
      <fill>
        <patternFill>
          <bgColor rgb="FF00B050"/>
        </patternFill>
      </fill>
    </dxf>
    <dxf>
      <font>
        <b/>
        <i val="0"/>
      </font>
      <fill>
        <patternFill>
          <bgColor rgb="FFFFC000"/>
        </patternFill>
      </fill>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strike val="0"/>
        <color theme="1" tint="0.499984740745262"/>
      </font>
    </dxf>
    <dxf>
      <font>
        <b/>
        <i val="0"/>
        <strike val="0"/>
        <color theme="1" tint="0.499984740745262"/>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color theme="1" tint="0.34998626667073579"/>
      </font>
    </dxf>
    <dxf>
      <font>
        <b/>
        <i val="0"/>
        <color rgb="FF0070C0"/>
      </font>
    </dxf>
    <dxf>
      <font>
        <b/>
        <i val="0"/>
        <color rgb="FFC00000"/>
      </font>
    </dxf>
    <dxf>
      <font>
        <b/>
        <i val="0"/>
      </font>
      <fill>
        <patternFill>
          <bgColor rgb="FF00B050"/>
        </patternFill>
      </fill>
    </dxf>
    <dxf>
      <font>
        <b/>
        <i val="0"/>
      </font>
      <fill>
        <patternFill>
          <bgColor rgb="FFFFC000"/>
        </patternFill>
      </fill>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8000"/>
      <color rgb="FF1F497D"/>
      <color rgb="FF33CC33"/>
      <color rgb="FF00990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a:t>Total Labor Cost Comparisons - Base Case to hSystems &amp; eSystems Most Likely</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SystemCostsGraphs'!$D$21</c:f>
              <c:strCache>
                <c:ptCount val="1"/>
                <c:pt idx="0">
                  <c:v>pSystems Cost of Labor -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SystemCostsGraphs'!$E$21:$N$21</c:f>
            </c:numRef>
          </c:val>
          <c:smooth val="0"/>
          <c:extLst xmlns:c16r2="http://schemas.microsoft.com/office/drawing/2015/06/chart">
            <c:ext xmlns:c16="http://schemas.microsoft.com/office/drawing/2014/chart" uri="{C3380CC4-5D6E-409C-BE32-E72D297353CC}">
              <c16:uniqueId val="{00000000-498D-4158-A972-C3E6CFFAD9E6}"/>
            </c:ext>
          </c:extLst>
        </c:ser>
        <c:ser>
          <c:idx val="1"/>
          <c:order val="1"/>
          <c:tx>
            <c:strRef>
              <c:f>'Outputs - SystemCostsGraphs'!$D$24</c:f>
              <c:strCache>
                <c:ptCount val="1"/>
                <c:pt idx="0">
                  <c:v>hSystems Cost of Labor - Most Likely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SystemCostsGraphs'!$E$24:$N$24</c:f>
            </c:numRef>
          </c:val>
          <c:smooth val="0"/>
          <c:extLst xmlns:c16r2="http://schemas.microsoft.com/office/drawing/2015/06/chart">
            <c:ext xmlns:c16="http://schemas.microsoft.com/office/drawing/2014/chart" uri="{C3380CC4-5D6E-409C-BE32-E72D297353CC}">
              <c16:uniqueId val="{00000001-498D-4158-A972-C3E6CFFAD9E6}"/>
            </c:ext>
          </c:extLst>
        </c:ser>
        <c:ser>
          <c:idx val="2"/>
          <c:order val="2"/>
          <c:tx>
            <c:strRef>
              <c:f>'Outputs - SystemCostsGraphs'!$D$28</c:f>
              <c:strCache>
                <c:ptCount val="1"/>
                <c:pt idx="0">
                  <c:v>eSystems Cost of Labor - Most Likely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SystemCostsGraphs'!$E$28:$N$28</c:f>
            </c:numRef>
          </c:val>
          <c:smooth val="0"/>
          <c:extLst xmlns:c16r2="http://schemas.microsoft.com/office/drawing/2015/06/chart">
            <c:ext xmlns:c16="http://schemas.microsoft.com/office/drawing/2014/chart" uri="{C3380CC4-5D6E-409C-BE32-E72D297353CC}">
              <c16:uniqueId val="{00000002-498D-4158-A972-C3E6CFFAD9E6}"/>
            </c:ext>
          </c:extLst>
        </c:ser>
        <c:dLbls>
          <c:showLegendKey val="0"/>
          <c:showVal val="0"/>
          <c:showCatName val="0"/>
          <c:showSerName val="0"/>
          <c:showPercent val="0"/>
          <c:showBubbleSize val="0"/>
        </c:dLbls>
        <c:marker val="1"/>
        <c:smooth val="0"/>
        <c:axId val="472537800"/>
        <c:axId val="472538192"/>
      </c:lineChart>
      <c:catAx>
        <c:axId val="472537800"/>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38192"/>
        <c:crosses val="autoZero"/>
        <c:auto val="1"/>
        <c:lblAlgn val="ctr"/>
        <c:lblOffset val="100"/>
        <c:noMultiLvlLbl val="1"/>
      </c:catAx>
      <c:valAx>
        <c:axId val="472538192"/>
        <c:scaling>
          <c:orientation val="minMax"/>
          <c:max val="-3000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37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SystemCostsGraphs'!$D$87</c:f>
              <c:strCache>
                <c:ptCount val="1"/>
                <c:pt idx="0">
                  <c:v>eSystems Induced Training Cost - Worst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SystemCostsGraphs'!$E$87:$N$87</c:f>
            </c:numRef>
          </c:val>
          <c:smooth val="0"/>
          <c:extLst xmlns:c16r2="http://schemas.microsoft.com/office/drawing/2015/06/chart">
            <c:ext xmlns:c16="http://schemas.microsoft.com/office/drawing/2014/chart" uri="{C3380CC4-5D6E-409C-BE32-E72D297353CC}">
              <c16:uniqueId val="{00000000-62E8-4270-B97B-138755DBBF7B}"/>
            </c:ext>
          </c:extLst>
        </c:ser>
        <c:ser>
          <c:idx val="1"/>
          <c:order val="1"/>
          <c:tx>
            <c:strRef>
              <c:f>'Outputs - SystemCostsGraphs'!$D$88</c:f>
              <c:strCache>
                <c:ptCount val="1"/>
                <c:pt idx="0">
                  <c:v>eSystems Induced Training Cost - Most Likely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SystemCostsGraphs'!$E$88:$N$88</c:f>
            </c:numRef>
          </c:val>
          <c:smooth val="0"/>
          <c:extLst xmlns:c16r2="http://schemas.microsoft.com/office/drawing/2015/06/chart">
            <c:ext xmlns:c16="http://schemas.microsoft.com/office/drawing/2014/chart" uri="{C3380CC4-5D6E-409C-BE32-E72D297353CC}">
              <c16:uniqueId val="{00000001-62E8-4270-B97B-138755DBBF7B}"/>
            </c:ext>
          </c:extLst>
        </c:ser>
        <c:ser>
          <c:idx val="2"/>
          <c:order val="2"/>
          <c:tx>
            <c:strRef>
              <c:f>'Outputs - SystemCostsGraphs'!$D$89</c:f>
              <c:strCache>
                <c:ptCount val="1"/>
                <c:pt idx="0">
                  <c:v>eSystems Induced Training Cost - Best Case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SystemCostsGraphs'!$E$89:$N$89</c:f>
            </c:numRef>
          </c:val>
          <c:smooth val="0"/>
          <c:extLst xmlns:c16r2="http://schemas.microsoft.com/office/drawing/2015/06/chart">
            <c:ext xmlns:c16="http://schemas.microsoft.com/office/drawing/2014/chart" uri="{C3380CC4-5D6E-409C-BE32-E72D297353CC}">
              <c16:uniqueId val="{00000002-62E8-4270-B97B-138755DBBF7B}"/>
            </c:ext>
          </c:extLst>
        </c:ser>
        <c:dLbls>
          <c:showLegendKey val="0"/>
          <c:showVal val="0"/>
          <c:showCatName val="0"/>
          <c:showSerName val="0"/>
          <c:showPercent val="0"/>
          <c:showBubbleSize val="0"/>
        </c:dLbls>
        <c:marker val="1"/>
        <c:smooth val="0"/>
        <c:axId val="472542896"/>
        <c:axId val="472542504"/>
      </c:lineChart>
      <c:catAx>
        <c:axId val="472542896"/>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2504"/>
        <c:crosses val="autoZero"/>
        <c:auto val="1"/>
        <c:lblAlgn val="ctr"/>
        <c:lblOffset val="100"/>
        <c:noMultiLvlLbl val="1"/>
      </c:catAx>
      <c:valAx>
        <c:axId val="472542504"/>
        <c:scaling>
          <c:orientation val="minMax"/>
          <c:max val="100000"/>
          <c:min val="-30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System Induced IT Cost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SystemCostsGraphs'!$D$92</c:f>
              <c:strCache>
                <c:ptCount val="1"/>
                <c:pt idx="0">
                  <c:v>pSystems Induced IT Costs -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SystemCostsGraphs'!$E$92:$N$92</c:f>
            </c:numRef>
          </c:val>
          <c:smooth val="0"/>
          <c:extLst xmlns:c16r2="http://schemas.microsoft.com/office/drawing/2015/06/chart">
            <c:ext xmlns:c16="http://schemas.microsoft.com/office/drawing/2014/chart" uri="{C3380CC4-5D6E-409C-BE32-E72D297353CC}">
              <c16:uniqueId val="{00000000-74B2-4BB9-B1CD-2639965E19EB}"/>
            </c:ext>
          </c:extLst>
        </c:ser>
        <c:ser>
          <c:idx val="1"/>
          <c:order val="1"/>
          <c:tx>
            <c:strRef>
              <c:f>'Outputs - SystemCostsGraphs'!$D$93</c:f>
              <c:strCache>
                <c:ptCount val="1"/>
                <c:pt idx="0">
                  <c:v>hSystems Induced IT Costs -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SystemCostsGraphs'!$E$93:$N$93</c:f>
            </c:numRef>
          </c:val>
          <c:smooth val="0"/>
          <c:extLst xmlns:c16r2="http://schemas.microsoft.com/office/drawing/2015/06/chart">
            <c:ext xmlns:c16="http://schemas.microsoft.com/office/drawing/2014/chart" uri="{C3380CC4-5D6E-409C-BE32-E72D297353CC}">
              <c16:uniqueId val="{00000001-74B2-4BB9-B1CD-2639965E19EB}"/>
            </c:ext>
          </c:extLst>
        </c:ser>
        <c:ser>
          <c:idx val="2"/>
          <c:order val="2"/>
          <c:tx>
            <c:strRef>
              <c:f>'Outputs - SystemCostsGraphs'!$D$94</c:f>
              <c:strCache>
                <c:ptCount val="1"/>
                <c:pt idx="0">
                  <c:v>eSystems Induced IT Costs -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SystemCostsGraphs'!$E$94:$N$94</c:f>
            </c:numRef>
          </c:val>
          <c:smooth val="0"/>
          <c:extLst xmlns:c16r2="http://schemas.microsoft.com/office/drawing/2015/06/chart">
            <c:ext xmlns:c16="http://schemas.microsoft.com/office/drawing/2014/chart" uri="{C3380CC4-5D6E-409C-BE32-E72D297353CC}">
              <c16:uniqueId val="{00000002-74B2-4BB9-B1CD-2639965E19EB}"/>
            </c:ext>
          </c:extLst>
        </c:ser>
        <c:dLbls>
          <c:showLegendKey val="0"/>
          <c:showVal val="0"/>
          <c:showCatName val="0"/>
          <c:showSerName val="0"/>
          <c:showPercent val="0"/>
          <c:showBubbleSize val="0"/>
        </c:dLbls>
        <c:marker val="1"/>
        <c:smooth val="0"/>
        <c:axId val="472549560"/>
        <c:axId val="472549952"/>
      </c:lineChart>
      <c:catAx>
        <c:axId val="472549560"/>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9952"/>
        <c:crosses val="autoZero"/>
        <c:auto val="1"/>
        <c:lblAlgn val="ctr"/>
        <c:lblOffset val="100"/>
        <c:noMultiLvlLbl val="1"/>
      </c:catAx>
      <c:valAx>
        <c:axId val="4725499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System Induced Costs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SystemCostsGraphs'!$D$98</c:f>
              <c:strCache>
                <c:ptCount val="1"/>
                <c:pt idx="0">
                  <c:v>pSystems Total Induced Costs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SystemCostsGraphs'!$E$98:$N$98</c:f>
            </c:numRef>
          </c:val>
          <c:smooth val="0"/>
          <c:extLst xmlns:c16r2="http://schemas.microsoft.com/office/drawing/2015/06/chart">
            <c:ext xmlns:c16="http://schemas.microsoft.com/office/drawing/2014/chart" uri="{C3380CC4-5D6E-409C-BE32-E72D297353CC}">
              <c16:uniqueId val="{00000000-AEDC-46A7-8433-B1F203BF7C63}"/>
            </c:ext>
          </c:extLst>
        </c:ser>
        <c:ser>
          <c:idx val="1"/>
          <c:order val="1"/>
          <c:tx>
            <c:strRef>
              <c:f>'Outputs - SystemCostsGraphs'!$D$101</c:f>
              <c:strCache>
                <c:ptCount val="1"/>
                <c:pt idx="0">
                  <c:v>hSystems Most Likely Total Induced Costs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SystemCostsGraphs'!$E$101:$N$101</c:f>
            </c:numRef>
          </c:val>
          <c:smooth val="0"/>
          <c:extLst xmlns:c16r2="http://schemas.microsoft.com/office/drawing/2015/06/chart">
            <c:ext xmlns:c16="http://schemas.microsoft.com/office/drawing/2014/chart" uri="{C3380CC4-5D6E-409C-BE32-E72D297353CC}">
              <c16:uniqueId val="{00000001-AEDC-46A7-8433-B1F203BF7C63}"/>
            </c:ext>
          </c:extLst>
        </c:ser>
        <c:ser>
          <c:idx val="2"/>
          <c:order val="2"/>
          <c:tx>
            <c:strRef>
              <c:f>'Outputs - SystemCostsGraphs'!$D$105</c:f>
              <c:strCache>
                <c:ptCount val="1"/>
                <c:pt idx="0">
                  <c:v>eSystems Most Likely Total Induced Costs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SystemCostsGraphs'!$E$105:$N$105</c:f>
            </c:numRef>
          </c:val>
          <c:smooth val="0"/>
          <c:extLst xmlns:c16r2="http://schemas.microsoft.com/office/drawing/2015/06/chart">
            <c:ext xmlns:c16="http://schemas.microsoft.com/office/drawing/2014/chart" uri="{C3380CC4-5D6E-409C-BE32-E72D297353CC}">
              <c16:uniqueId val="{00000002-AEDC-46A7-8433-B1F203BF7C63}"/>
            </c:ext>
          </c:extLst>
        </c:ser>
        <c:dLbls>
          <c:showLegendKey val="0"/>
          <c:showVal val="0"/>
          <c:showCatName val="0"/>
          <c:showSerName val="0"/>
          <c:showPercent val="0"/>
          <c:showBubbleSize val="0"/>
        </c:dLbls>
        <c:marker val="1"/>
        <c:smooth val="0"/>
        <c:axId val="472550736"/>
        <c:axId val="472551128"/>
      </c:lineChart>
      <c:catAx>
        <c:axId val="472550736"/>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1128"/>
        <c:crosses val="autoZero"/>
        <c:auto val="1"/>
        <c:lblAlgn val="ctr"/>
        <c:lblOffset val="100"/>
        <c:noMultiLvlLbl val="1"/>
      </c:catAx>
      <c:valAx>
        <c:axId val="4725511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Cumulative Total System Induced Costs Comparisons</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SystemCostsGraphs'!$D$110</c:f>
              <c:strCache>
                <c:ptCount val="1"/>
                <c:pt idx="0">
                  <c:v>pSystems Induced Costs Cumulative Cash Flow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SystemCostsGraphs'!$E$110:$N$110</c:f>
            </c:numRef>
          </c:val>
          <c:smooth val="0"/>
          <c:extLst xmlns:c16r2="http://schemas.microsoft.com/office/drawing/2015/06/chart">
            <c:ext xmlns:c16="http://schemas.microsoft.com/office/drawing/2014/chart" uri="{C3380CC4-5D6E-409C-BE32-E72D297353CC}">
              <c16:uniqueId val="{00000000-698D-42F9-991E-0E20E241D00A}"/>
            </c:ext>
          </c:extLst>
        </c:ser>
        <c:ser>
          <c:idx val="1"/>
          <c:order val="1"/>
          <c:tx>
            <c:strRef>
              <c:f>'Outputs - SystemCostsGraphs'!$D$113</c:f>
              <c:strCache>
                <c:ptCount val="1"/>
                <c:pt idx="0">
                  <c:v>hSystems Most Likely Induced Costs Cumulative Cash Flow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SystemCostsGraphs'!$E$113:$N$113</c:f>
            </c:numRef>
          </c:val>
          <c:smooth val="0"/>
          <c:extLst xmlns:c16r2="http://schemas.microsoft.com/office/drawing/2015/06/chart">
            <c:ext xmlns:c16="http://schemas.microsoft.com/office/drawing/2014/chart" uri="{C3380CC4-5D6E-409C-BE32-E72D297353CC}">
              <c16:uniqueId val="{00000001-698D-42F9-991E-0E20E241D00A}"/>
            </c:ext>
          </c:extLst>
        </c:ser>
        <c:ser>
          <c:idx val="2"/>
          <c:order val="2"/>
          <c:tx>
            <c:strRef>
              <c:f>'Outputs - SystemCostsGraphs'!$D$117</c:f>
              <c:strCache>
                <c:ptCount val="1"/>
                <c:pt idx="0">
                  <c:v>eSystems Most Likely Induced Costs Cumulative Cash Flow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SystemCostsGraphs'!$E$117:$N$117</c:f>
            </c:numRef>
          </c:val>
          <c:smooth val="0"/>
          <c:extLst xmlns:c16r2="http://schemas.microsoft.com/office/drawing/2015/06/chart">
            <c:ext xmlns:c16="http://schemas.microsoft.com/office/drawing/2014/chart" uri="{C3380CC4-5D6E-409C-BE32-E72D297353CC}">
              <c16:uniqueId val="{00000002-698D-42F9-991E-0E20E241D00A}"/>
            </c:ext>
          </c:extLst>
        </c:ser>
        <c:dLbls>
          <c:showLegendKey val="0"/>
          <c:showVal val="0"/>
          <c:showCatName val="0"/>
          <c:showSerName val="0"/>
          <c:showPercent val="0"/>
          <c:showBubbleSize val="0"/>
        </c:dLbls>
        <c:marker val="1"/>
        <c:smooth val="0"/>
        <c:axId val="472551912"/>
        <c:axId val="472552304"/>
      </c:lineChart>
      <c:catAx>
        <c:axId val="472551912"/>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2304"/>
        <c:crosses val="autoZero"/>
        <c:auto val="1"/>
        <c:lblAlgn val="ctr"/>
        <c:lblOffset val="100"/>
        <c:noMultiLvlLbl val="1"/>
      </c:catAx>
      <c:valAx>
        <c:axId val="4725523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1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Systems "Induced" Total FTE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FTESummaryGraphs'!$D$73</c:f>
              <c:strCache>
                <c:ptCount val="1"/>
                <c:pt idx="0">
                  <c:v>pSystems Induced FTEs Total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FTESummaryGraphs'!$E$73:$N$73</c:f>
            </c:numRef>
          </c:val>
          <c:smooth val="0"/>
          <c:extLst xmlns:c16r2="http://schemas.microsoft.com/office/drawing/2015/06/chart">
            <c:ext xmlns:c16="http://schemas.microsoft.com/office/drawing/2014/chart" uri="{C3380CC4-5D6E-409C-BE32-E72D297353CC}">
              <c16:uniqueId val="{00000000-9937-45F7-9684-EC05101C8606}"/>
            </c:ext>
          </c:extLst>
        </c:ser>
        <c:ser>
          <c:idx val="1"/>
          <c:order val="1"/>
          <c:tx>
            <c:strRef>
              <c:f>'Outputs - FTESummaryGraphs'!$D$78</c:f>
              <c:strCache>
                <c:ptCount val="1"/>
                <c:pt idx="0">
                  <c:v>hSystems Induced FTEs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FTESummaryGraphs'!$E$78:$N$78</c:f>
            </c:numRef>
          </c:val>
          <c:smooth val="0"/>
          <c:extLst xmlns:c16r2="http://schemas.microsoft.com/office/drawing/2015/06/chart">
            <c:ext xmlns:c16="http://schemas.microsoft.com/office/drawing/2014/chart" uri="{C3380CC4-5D6E-409C-BE32-E72D297353CC}">
              <c16:uniqueId val="{00000001-9937-45F7-9684-EC05101C8606}"/>
            </c:ext>
          </c:extLst>
        </c:ser>
        <c:ser>
          <c:idx val="2"/>
          <c:order val="2"/>
          <c:tx>
            <c:strRef>
              <c:f>'Outputs - FTESummaryGraphs'!$D$83</c:f>
              <c:strCache>
                <c:ptCount val="1"/>
                <c:pt idx="0">
                  <c:v>eSystems Induced FTEs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FTESummaryGraphs'!$E$83:$N$83</c:f>
            </c:numRef>
          </c:val>
          <c:smooth val="0"/>
          <c:extLst xmlns:c16r2="http://schemas.microsoft.com/office/drawing/2015/06/chart">
            <c:ext xmlns:c16="http://schemas.microsoft.com/office/drawing/2014/chart" uri="{C3380CC4-5D6E-409C-BE32-E72D297353CC}">
              <c16:uniqueId val="{00000002-9937-45F7-9684-EC05101C8606}"/>
            </c:ext>
          </c:extLst>
        </c:ser>
        <c:dLbls>
          <c:showLegendKey val="0"/>
          <c:showVal val="0"/>
          <c:showCatName val="0"/>
          <c:showSerName val="0"/>
          <c:showPercent val="0"/>
          <c:showBubbleSize val="0"/>
        </c:dLbls>
        <c:marker val="1"/>
        <c:smooth val="0"/>
        <c:axId val="472553088"/>
        <c:axId val="472553480"/>
      </c:lineChart>
      <c:catAx>
        <c:axId val="472553088"/>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3480"/>
        <c:crosses val="autoZero"/>
        <c:auto val="1"/>
        <c:lblAlgn val="ctr"/>
        <c:lblOffset val="100"/>
        <c:noMultiLvlLbl val="1"/>
      </c:catAx>
      <c:valAx>
        <c:axId val="472553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FTEs - Most Likely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FTESummaryGraphs'!$D$21</c:f>
              <c:strCache>
                <c:ptCount val="1"/>
                <c:pt idx="0">
                  <c:v>pSystems FTEs -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FTESummaryGraphs'!$E$21:$N$21</c:f>
            </c:numRef>
          </c:val>
          <c:smooth val="0"/>
          <c:extLst xmlns:c16r2="http://schemas.microsoft.com/office/drawing/2015/06/chart">
            <c:ext xmlns:c16="http://schemas.microsoft.com/office/drawing/2014/chart" uri="{C3380CC4-5D6E-409C-BE32-E72D297353CC}">
              <c16:uniqueId val="{00000000-4A18-4E92-8F70-BF368A74E12E}"/>
            </c:ext>
          </c:extLst>
        </c:ser>
        <c:ser>
          <c:idx val="1"/>
          <c:order val="1"/>
          <c:tx>
            <c:strRef>
              <c:f>'Outputs - FTESummaryGraphs'!$D$24</c:f>
              <c:strCache>
                <c:ptCount val="1"/>
                <c:pt idx="0">
                  <c:v>hSystems FTEs - Most Likely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FTESummaryGraphs'!$E$24:$N$24</c:f>
            </c:numRef>
          </c:val>
          <c:smooth val="0"/>
          <c:extLst xmlns:c16r2="http://schemas.microsoft.com/office/drawing/2015/06/chart">
            <c:ext xmlns:c16="http://schemas.microsoft.com/office/drawing/2014/chart" uri="{C3380CC4-5D6E-409C-BE32-E72D297353CC}">
              <c16:uniqueId val="{00000001-4A18-4E92-8F70-BF368A74E12E}"/>
            </c:ext>
          </c:extLst>
        </c:ser>
        <c:ser>
          <c:idx val="2"/>
          <c:order val="2"/>
          <c:tx>
            <c:strRef>
              <c:f>'Outputs - FTESummaryGraphs'!$D$28</c:f>
              <c:strCache>
                <c:ptCount val="1"/>
                <c:pt idx="0">
                  <c:v>eSystems FTEs - Most Likely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FTESummaryGraphs'!$E$28:$N$28</c:f>
            </c:numRef>
          </c:val>
          <c:smooth val="0"/>
          <c:extLst xmlns:c16r2="http://schemas.microsoft.com/office/drawing/2015/06/chart">
            <c:ext xmlns:c16="http://schemas.microsoft.com/office/drawing/2014/chart" uri="{C3380CC4-5D6E-409C-BE32-E72D297353CC}">
              <c16:uniqueId val="{00000002-4A18-4E92-8F70-BF368A74E12E}"/>
            </c:ext>
          </c:extLst>
        </c:ser>
        <c:dLbls>
          <c:showLegendKey val="0"/>
          <c:showVal val="0"/>
          <c:showCatName val="0"/>
          <c:showSerName val="0"/>
          <c:showPercent val="0"/>
          <c:showBubbleSize val="0"/>
        </c:dLbls>
        <c:marker val="1"/>
        <c:smooth val="0"/>
        <c:axId val="472554264"/>
        <c:axId val="472554656"/>
      </c:lineChart>
      <c:catAx>
        <c:axId val="472554264"/>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4656"/>
        <c:crosses val="autoZero"/>
        <c:auto val="1"/>
        <c:lblAlgn val="ctr"/>
        <c:lblOffset val="100"/>
        <c:noMultiLvlLbl val="1"/>
      </c:catAx>
      <c:valAx>
        <c:axId val="4725546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4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FTEs - Worst Case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FTESummaryGraphs'!$D$21</c:f>
              <c:strCache>
                <c:ptCount val="1"/>
                <c:pt idx="0">
                  <c:v>pSystems FTEs -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FTESummaryGraphs'!$E$21:$N$21</c:f>
            </c:numRef>
          </c:val>
          <c:smooth val="0"/>
          <c:extLst xmlns:c16r2="http://schemas.microsoft.com/office/drawing/2015/06/chart">
            <c:ext xmlns:c16="http://schemas.microsoft.com/office/drawing/2014/chart" uri="{C3380CC4-5D6E-409C-BE32-E72D297353CC}">
              <c16:uniqueId val="{00000000-4A49-4595-BC83-BA585AA82884}"/>
            </c:ext>
          </c:extLst>
        </c:ser>
        <c:ser>
          <c:idx val="1"/>
          <c:order val="1"/>
          <c:tx>
            <c:strRef>
              <c:f>'Outputs - FTESummaryGraphs'!$D$23</c:f>
              <c:strCache>
                <c:ptCount val="1"/>
                <c:pt idx="0">
                  <c:v>hSystems FTEs - Worst Case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FTESummaryGraphs'!$E$23:$N$23</c:f>
            </c:numRef>
          </c:val>
          <c:smooth val="0"/>
          <c:extLst xmlns:c16r2="http://schemas.microsoft.com/office/drawing/2015/06/chart">
            <c:ext xmlns:c16="http://schemas.microsoft.com/office/drawing/2014/chart" uri="{C3380CC4-5D6E-409C-BE32-E72D297353CC}">
              <c16:uniqueId val="{00000001-4A49-4595-BC83-BA585AA82884}"/>
            </c:ext>
          </c:extLst>
        </c:ser>
        <c:ser>
          <c:idx val="2"/>
          <c:order val="2"/>
          <c:tx>
            <c:strRef>
              <c:f>'Outputs - FTESummaryGraphs'!$D$27</c:f>
              <c:strCache>
                <c:ptCount val="1"/>
                <c:pt idx="0">
                  <c:v>eSystems FTEs - Worst Case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FTESummaryGraphs'!$E$27:$N$27</c:f>
            </c:numRef>
          </c:val>
          <c:smooth val="0"/>
          <c:extLst xmlns:c16r2="http://schemas.microsoft.com/office/drawing/2015/06/chart">
            <c:ext xmlns:c16="http://schemas.microsoft.com/office/drawing/2014/chart" uri="{C3380CC4-5D6E-409C-BE32-E72D297353CC}">
              <c16:uniqueId val="{00000002-4A49-4595-BC83-BA585AA82884}"/>
            </c:ext>
          </c:extLst>
        </c:ser>
        <c:dLbls>
          <c:showLegendKey val="0"/>
          <c:showVal val="0"/>
          <c:showCatName val="0"/>
          <c:showSerName val="0"/>
          <c:showPercent val="0"/>
          <c:showBubbleSize val="0"/>
        </c:dLbls>
        <c:marker val="1"/>
        <c:smooth val="0"/>
        <c:axId val="472555440"/>
        <c:axId val="472555832"/>
      </c:lineChart>
      <c:catAx>
        <c:axId val="472555440"/>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5832"/>
        <c:crosses val="autoZero"/>
        <c:auto val="1"/>
        <c:lblAlgn val="ctr"/>
        <c:lblOffset val="100"/>
        <c:noMultiLvlLbl val="1"/>
      </c:catAx>
      <c:valAx>
        <c:axId val="472555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FTEs - Best Case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FTESummaryGraphs'!$D$21</c:f>
              <c:strCache>
                <c:ptCount val="1"/>
                <c:pt idx="0">
                  <c:v>pSystems FTEs -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'Outputs - FTESummaryGraphs'!$E$21:$N$21</c:f>
            </c:numRef>
          </c:val>
          <c:smooth val="0"/>
          <c:extLst xmlns:c16r2="http://schemas.microsoft.com/office/drawing/2015/06/chart">
            <c:ext xmlns:c16="http://schemas.microsoft.com/office/drawing/2014/chart" uri="{C3380CC4-5D6E-409C-BE32-E72D297353CC}">
              <c16:uniqueId val="{00000000-10E5-4355-B141-21AB9AD3C2C1}"/>
            </c:ext>
          </c:extLst>
        </c:ser>
        <c:ser>
          <c:idx val="1"/>
          <c:order val="1"/>
          <c:tx>
            <c:strRef>
              <c:f>'Outputs - FTESummaryGraphs'!$D$25</c:f>
              <c:strCache>
                <c:ptCount val="1"/>
                <c:pt idx="0">
                  <c:v>hSystems FTEs - Best Case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'Outputs - FTESummaryGraphs'!$E$25:$N$25</c:f>
            </c:numRef>
          </c:val>
          <c:smooth val="0"/>
          <c:extLst xmlns:c16r2="http://schemas.microsoft.com/office/drawing/2015/06/chart">
            <c:ext xmlns:c16="http://schemas.microsoft.com/office/drawing/2014/chart" uri="{C3380CC4-5D6E-409C-BE32-E72D297353CC}">
              <c16:uniqueId val="{00000001-10E5-4355-B141-21AB9AD3C2C1}"/>
            </c:ext>
          </c:extLst>
        </c:ser>
        <c:ser>
          <c:idx val="2"/>
          <c:order val="2"/>
          <c:tx>
            <c:strRef>
              <c:f>'Outputs - FTESummaryGraphs'!$D$29</c:f>
              <c:strCache>
                <c:ptCount val="1"/>
                <c:pt idx="0">
                  <c:v>eSystems FTEs - Best Case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'Outputs - FTESummaryGraphs'!$E$29:$N$29</c:f>
            </c:numRef>
          </c:val>
          <c:smooth val="0"/>
          <c:extLst xmlns:c16r2="http://schemas.microsoft.com/office/drawing/2015/06/chart">
            <c:ext xmlns:c16="http://schemas.microsoft.com/office/drawing/2014/chart" uri="{C3380CC4-5D6E-409C-BE32-E72D297353CC}">
              <c16:uniqueId val="{00000002-10E5-4355-B141-21AB9AD3C2C1}"/>
            </c:ext>
          </c:extLst>
        </c:ser>
        <c:dLbls>
          <c:showLegendKey val="0"/>
          <c:showVal val="0"/>
          <c:showCatName val="0"/>
          <c:showSerName val="0"/>
          <c:showPercent val="0"/>
          <c:showBubbleSize val="0"/>
        </c:dLbls>
        <c:marker val="1"/>
        <c:smooth val="0"/>
        <c:axId val="472557008"/>
        <c:axId val="472557400"/>
      </c:lineChart>
      <c:catAx>
        <c:axId val="4725570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7400"/>
        <c:crosses val="autoZero"/>
        <c:auto val="1"/>
        <c:lblAlgn val="ctr"/>
        <c:lblOffset val="100"/>
        <c:noMultiLvlLbl val="0"/>
      </c:catAx>
      <c:valAx>
        <c:axId val="472557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Rework Related "Induced" FTE</a:t>
            </a:r>
            <a:r>
              <a:rPr lang="en-AU" baseline="0"/>
              <a:t> Comparisons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FTESummaryGraphs'!$D$70</c:f>
              <c:strCache>
                <c:ptCount val="1"/>
                <c:pt idx="0">
                  <c:v>pSystems (Paper) Rework FTEs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FTESummaryGraphs'!$E$70:$N$70</c:f>
            </c:numRef>
          </c:val>
          <c:smooth val="0"/>
          <c:extLst xmlns:c16r2="http://schemas.microsoft.com/office/drawing/2015/06/chart">
            <c:ext xmlns:c16="http://schemas.microsoft.com/office/drawing/2014/chart" uri="{C3380CC4-5D6E-409C-BE32-E72D297353CC}">
              <c16:uniqueId val="{00000000-7CB2-47EE-A402-AAA316CC7D54}"/>
            </c:ext>
          </c:extLst>
        </c:ser>
        <c:ser>
          <c:idx val="1"/>
          <c:order val="1"/>
          <c:tx>
            <c:strRef>
              <c:f>'Outputs - FTESummaryGraphs'!$D$75</c:f>
              <c:strCache>
                <c:ptCount val="1"/>
                <c:pt idx="0">
                  <c:v>hSystems (Hybrid) Rework FTEs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FTESummaryGraphs'!$E$75:$N$75</c:f>
            </c:numRef>
          </c:val>
          <c:smooth val="0"/>
          <c:extLst xmlns:c16r2="http://schemas.microsoft.com/office/drawing/2015/06/chart">
            <c:ext xmlns:c16="http://schemas.microsoft.com/office/drawing/2014/chart" uri="{C3380CC4-5D6E-409C-BE32-E72D297353CC}">
              <c16:uniqueId val="{00000001-7CB2-47EE-A402-AAA316CC7D54}"/>
            </c:ext>
          </c:extLst>
        </c:ser>
        <c:ser>
          <c:idx val="2"/>
          <c:order val="2"/>
          <c:tx>
            <c:strRef>
              <c:f>'Outputs - FTESummaryGraphs'!$D$80</c:f>
              <c:strCache>
                <c:ptCount val="1"/>
                <c:pt idx="0">
                  <c:v>eSystems (Paperless) Rework FTEs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FTESummaryGraphs'!$E$80:$N$80</c:f>
            </c:numRef>
          </c:val>
          <c:smooth val="0"/>
          <c:extLst xmlns:c16r2="http://schemas.microsoft.com/office/drawing/2015/06/chart">
            <c:ext xmlns:c16="http://schemas.microsoft.com/office/drawing/2014/chart" uri="{C3380CC4-5D6E-409C-BE32-E72D297353CC}">
              <c16:uniqueId val="{00000002-7CB2-47EE-A402-AAA316CC7D54}"/>
            </c:ext>
          </c:extLst>
        </c:ser>
        <c:dLbls>
          <c:showLegendKey val="0"/>
          <c:showVal val="0"/>
          <c:showCatName val="0"/>
          <c:showSerName val="0"/>
          <c:showPercent val="0"/>
          <c:showBubbleSize val="0"/>
        </c:dLbls>
        <c:marker val="1"/>
        <c:smooth val="0"/>
        <c:axId val="472558184"/>
        <c:axId val="472558576"/>
      </c:lineChart>
      <c:catAx>
        <c:axId val="472558184"/>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8576"/>
        <c:crosses val="autoZero"/>
        <c:auto val="1"/>
        <c:lblAlgn val="ctr"/>
        <c:lblOffset val="100"/>
        <c:noMultiLvlLbl val="1"/>
      </c:catAx>
      <c:valAx>
        <c:axId val="472558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8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Lease Related "Induced"</a:t>
            </a:r>
            <a:r>
              <a:rPr lang="en-AU" baseline="0"/>
              <a:t> FTE Comparisons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FTESummaryGraphs'!$D$71</c:f>
              <c:strCache>
                <c:ptCount val="1"/>
                <c:pt idx="0">
                  <c:v>pSystems Lease Related FTEs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FTESummaryGraphs'!$E$71:$N$71</c:f>
            </c:numRef>
          </c:val>
          <c:smooth val="0"/>
          <c:extLst xmlns:c16r2="http://schemas.microsoft.com/office/drawing/2015/06/chart">
            <c:ext xmlns:c16="http://schemas.microsoft.com/office/drawing/2014/chart" uri="{C3380CC4-5D6E-409C-BE32-E72D297353CC}">
              <c16:uniqueId val="{00000000-9FAC-4FD1-8162-1B95A6B78D9C}"/>
            </c:ext>
          </c:extLst>
        </c:ser>
        <c:ser>
          <c:idx val="1"/>
          <c:order val="1"/>
          <c:tx>
            <c:strRef>
              <c:f>'Outputs - FTESummaryGraphs'!$D$76</c:f>
              <c:strCache>
                <c:ptCount val="1"/>
                <c:pt idx="0">
                  <c:v>hSystems Lease Related FTEs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FTESummaryGraphs'!$E$76:$N$76</c:f>
            </c:numRef>
          </c:val>
          <c:smooth val="0"/>
          <c:extLst xmlns:c16r2="http://schemas.microsoft.com/office/drawing/2015/06/chart">
            <c:ext xmlns:c16="http://schemas.microsoft.com/office/drawing/2014/chart" uri="{C3380CC4-5D6E-409C-BE32-E72D297353CC}">
              <c16:uniqueId val="{00000001-9FAC-4FD1-8162-1B95A6B78D9C}"/>
            </c:ext>
          </c:extLst>
        </c:ser>
        <c:ser>
          <c:idx val="2"/>
          <c:order val="2"/>
          <c:tx>
            <c:strRef>
              <c:f>'Outputs - FTESummaryGraphs'!$D$81</c:f>
              <c:strCache>
                <c:ptCount val="1"/>
                <c:pt idx="0">
                  <c:v>eSystems Lease Related FTEs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FTESummaryGraphs'!$E$81:$N$81</c:f>
            </c:numRef>
          </c:val>
          <c:smooth val="0"/>
          <c:extLst xmlns:c16r2="http://schemas.microsoft.com/office/drawing/2015/06/chart">
            <c:ext xmlns:c16="http://schemas.microsoft.com/office/drawing/2014/chart" uri="{C3380CC4-5D6E-409C-BE32-E72D297353CC}">
              <c16:uniqueId val="{00000002-9FAC-4FD1-8162-1B95A6B78D9C}"/>
            </c:ext>
          </c:extLst>
        </c:ser>
        <c:dLbls>
          <c:showLegendKey val="0"/>
          <c:showVal val="0"/>
          <c:showCatName val="0"/>
          <c:showSerName val="0"/>
          <c:showPercent val="0"/>
          <c:showBubbleSize val="0"/>
        </c:dLbls>
        <c:marker val="1"/>
        <c:smooth val="0"/>
        <c:axId val="472559360"/>
        <c:axId val="472559752"/>
      </c:lineChart>
      <c:catAx>
        <c:axId val="472559360"/>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9752"/>
        <c:crosses val="autoZero"/>
        <c:auto val="1"/>
        <c:lblAlgn val="ctr"/>
        <c:lblOffset val="100"/>
        <c:noMultiLvlLbl val="1"/>
      </c:catAx>
      <c:valAx>
        <c:axId val="472559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5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Total Labor Cost Comparisons - Base Case to hSystems &amp; eSystems Best Cases</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SystemCostsGraphs'!$D$21</c:f>
              <c:strCache>
                <c:ptCount val="1"/>
                <c:pt idx="0">
                  <c:v>pSystems Cost of Labor - Base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SystemCostsGraphs'!$E$21:$N$21</c:f>
            </c:numRef>
          </c:val>
          <c:smooth val="0"/>
          <c:extLst xmlns:c16r2="http://schemas.microsoft.com/office/drawing/2015/06/chart">
            <c:ext xmlns:c16="http://schemas.microsoft.com/office/drawing/2014/chart" uri="{C3380CC4-5D6E-409C-BE32-E72D297353CC}">
              <c16:uniqueId val="{00000000-E4AE-4FDB-9095-999796ED00DC}"/>
            </c:ext>
          </c:extLst>
        </c:ser>
        <c:ser>
          <c:idx val="1"/>
          <c:order val="1"/>
          <c:tx>
            <c:strRef>
              <c:f>'Outputs - SystemCostsGraphs'!$D$25</c:f>
              <c:strCache>
                <c:ptCount val="1"/>
                <c:pt idx="0">
                  <c:v>hSystems Cost of Labor - Best Case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SystemCostsGraphs'!$E$25:$N$25</c:f>
            </c:numRef>
          </c:val>
          <c:smooth val="0"/>
          <c:extLst xmlns:c16r2="http://schemas.microsoft.com/office/drawing/2015/06/chart">
            <c:ext xmlns:c16="http://schemas.microsoft.com/office/drawing/2014/chart" uri="{C3380CC4-5D6E-409C-BE32-E72D297353CC}">
              <c16:uniqueId val="{00000001-E4AE-4FDB-9095-999796ED00DC}"/>
            </c:ext>
          </c:extLst>
        </c:ser>
        <c:ser>
          <c:idx val="2"/>
          <c:order val="2"/>
          <c:tx>
            <c:strRef>
              <c:f>'Outputs - SystemCostsGraphs'!$D$29</c:f>
              <c:strCache>
                <c:ptCount val="1"/>
                <c:pt idx="0">
                  <c:v>eSystems Cost of Labor - Best Case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SystemCostsGraphs'!$E$29:$N$29</c:f>
            </c:numRef>
          </c:val>
          <c:smooth val="0"/>
          <c:extLst xmlns:c16r2="http://schemas.microsoft.com/office/drawing/2015/06/chart">
            <c:ext xmlns:c16="http://schemas.microsoft.com/office/drawing/2014/chart" uri="{C3380CC4-5D6E-409C-BE32-E72D297353CC}">
              <c16:uniqueId val="{00000002-E4AE-4FDB-9095-999796ED00DC}"/>
            </c:ext>
          </c:extLst>
        </c:ser>
        <c:dLbls>
          <c:showLegendKey val="0"/>
          <c:showVal val="0"/>
          <c:showCatName val="0"/>
          <c:showSerName val="0"/>
          <c:showPercent val="0"/>
          <c:showBubbleSize val="0"/>
        </c:dLbls>
        <c:marker val="1"/>
        <c:smooth val="0"/>
        <c:axId val="472538976"/>
        <c:axId val="472539368"/>
      </c:lineChart>
      <c:catAx>
        <c:axId val="472538976"/>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39368"/>
        <c:crosses val="autoZero"/>
        <c:auto val="1"/>
        <c:lblAlgn val="ctr"/>
        <c:lblOffset val="100"/>
        <c:noMultiLvlLbl val="1"/>
      </c:catAx>
      <c:valAx>
        <c:axId val="472539368"/>
        <c:scaling>
          <c:orientation val="minMax"/>
          <c:max val="-2500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3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Warranty Related "Induced" FTE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FTESummaryGraphs'!$D$72</c:f>
              <c:strCache>
                <c:ptCount val="1"/>
                <c:pt idx="0">
                  <c:v>pSystems (Paper) Warranty SCL FTEs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FTESummaryGraphs'!$E$72:$N$72</c:f>
            </c:numRef>
          </c:val>
          <c:smooth val="0"/>
          <c:extLst xmlns:c16r2="http://schemas.microsoft.com/office/drawing/2015/06/chart">
            <c:ext xmlns:c16="http://schemas.microsoft.com/office/drawing/2014/chart" uri="{C3380CC4-5D6E-409C-BE32-E72D297353CC}">
              <c16:uniqueId val="{00000000-316D-4C6B-92C0-CD09AFBE96F9}"/>
            </c:ext>
          </c:extLst>
        </c:ser>
        <c:ser>
          <c:idx val="1"/>
          <c:order val="1"/>
          <c:tx>
            <c:strRef>
              <c:f>'Outputs - FTESummaryGraphs'!$D$77</c:f>
              <c:strCache>
                <c:ptCount val="1"/>
                <c:pt idx="0">
                  <c:v>hSystems (Hybrid) Warranty SCL FTEs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FTESummaryGraphs'!$E$77:$N$77</c:f>
            </c:numRef>
          </c:val>
          <c:smooth val="0"/>
          <c:extLst xmlns:c16r2="http://schemas.microsoft.com/office/drawing/2015/06/chart">
            <c:ext xmlns:c16="http://schemas.microsoft.com/office/drawing/2014/chart" uri="{C3380CC4-5D6E-409C-BE32-E72D297353CC}">
              <c16:uniqueId val="{00000001-316D-4C6B-92C0-CD09AFBE96F9}"/>
            </c:ext>
          </c:extLst>
        </c:ser>
        <c:ser>
          <c:idx val="2"/>
          <c:order val="2"/>
          <c:tx>
            <c:strRef>
              <c:f>'Outputs - FTESummaryGraphs'!$D$82</c:f>
              <c:strCache>
                <c:ptCount val="1"/>
                <c:pt idx="0">
                  <c:v>eSystems (Paperless) Warranty SCL FTEs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FTESummaryGraphs'!$E$6:$N$6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FTESummaryGraphs'!$E$82:$N$82</c:f>
            </c:numRef>
          </c:val>
          <c:smooth val="0"/>
          <c:extLst xmlns:c16r2="http://schemas.microsoft.com/office/drawing/2015/06/chart">
            <c:ext xmlns:c16="http://schemas.microsoft.com/office/drawing/2014/chart" uri="{C3380CC4-5D6E-409C-BE32-E72D297353CC}">
              <c16:uniqueId val="{00000002-316D-4C6B-92C0-CD09AFBE96F9}"/>
            </c:ext>
          </c:extLst>
        </c:ser>
        <c:dLbls>
          <c:showLegendKey val="0"/>
          <c:showVal val="0"/>
          <c:showCatName val="0"/>
          <c:showSerName val="0"/>
          <c:showPercent val="0"/>
          <c:showBubbleSize val="0"/>
        </c:dLbls>
        <c:marker val="1"/>
        <c:smooth val="0"/>
        <c:axId val="472560536"/>
        <c:axId val="472560928"/>
      </c:lineChart>
      <c:catAx>
        <c:axId val="472560536"/>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60928"/>
        <c:crosses val="autoZero"/>
        <c:auto val="1"/>
        <c:lblAlgn val="ctr"/>
        <c:lblOffset val="100"/>
        <c:noMultiLvlLbl val="1"/>
      </c:catAx>
      <c:valAx>
        <c:axId val="47256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6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Total Labor Cost Comparisons - hSystems Base Case to hSystems Best Case</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SystemCostsGraphs'!$D$23</c:f>
              <c:strCache>
                <c:ptCount val="1"/>
                <c:pt idx="0">
                  <c:v>hSystems Cost of Labor - Worst Case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SystemCostsGraphs'!$E$23:$N$23</c:f>
            </c:numRef>
          </c:val>
          <c:smooth val="0"/>
          <c:extLst xmlns:c16r2="http://schemas.microsoft.com/office/drawing/2015/06/chart">
            <c:ext xmlns:c16="http://schemas.microsoft.com/office/drawing/2014/chart" uri="{C3380CC4-5D6E-409C-BE32-E72D297353CC}">
              <c16:uniqueId val="{00000000-2D3D-440B-BFD8-C05A7610FE96}"/>
            </c:ext>
          </c:extLst>
        </c:ser>
        <c:ser>
          <c:idx val="1"/>
          <c:order val="1"/>
          <c:tx>
            <c:strRef>
              <c:f>'Outputs - SystemCostsGraphs'!$D$24</c:f>
              <c:strCache>
                <c:ptCount val="1"/>
                <c:pt idx="0">
                  <c:v>hSystems Cost of Labor - Most Likely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SystemCostsGraphs'!$E$24:$N$24</c:f>
            </c:numRef>
          </c:val>
          <c:smooth val="0"/>
          <c:extLst xmlns:c16r2="http://schemas.microsoft.com/office/drawing/2015/06/chart">
            <c:ext xmlns:c16="http://schemas.microsoft.com/office/drawing/2014/chart" uri="{C3380CC4-5D6E-409C-BE32-E72D297353CC}">
              <c16:uniqueId val="{00000001-2D3D-440B-BFD8-C05A7610FE96}"/>
            </c:ext>
          </c:extLst>
        </c:ser>
        <c:ser>
          <c:idx val="2"/>
          <c:order val="2"/>
          <c:tx>
            <c:strRef>
              <c:f>'Outputs - SystemCostsGraphs'!$D$25</c:f>
              <c:strCache>
                <c:ptCount val="1"/>
                <c:pt idx="0">
                  <c:v>hSystems Cost of Labor - Best Case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SystemCostsGraphs'!$E$25:$N$25</c:f>
            </c:numRef>
          </c:val>
          <c:smooth val="0"/>
          <c:extLst xmlns:c16r2="http://schemas.microsoft.com/office/drawing/2015/06/chart">
            <c:ext xmlns:c16="http://schemas.microsoft.com/office/drawing/2014/chart" uri="{C3380CC4-5D6E-409C-BE32-E72D297353CC}">
              <c16:uniqueId val="{00000002-2D3D-440B-BFD8-C05A7610FE96}"/>
            </c:ext>
          </c:extLst>
        </c:ser>
        <c:dLbls>
          <c:showLegendKey val="0"/>
          <c:showVal val="0"/>
          <c:showCatName val="0"/>
          <c:showSerName val="0"/>
          <c:showPercent val="0"/>
          <c:showBubbleSize val="0"/>
        </c:dLbls>
        <c:marker val="1"/>
        <c:smooth val="0"/>
        <c:axId val="472540152"/>
        <c:axId val="472540544"/>
      </c:lineChart>
      <c:catAx>
        <c:axId val="472540152"/>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0544"/>
        <c:crosses val="autoZero"/>
        <c:auto val="1"/>
        <c:lblAlgn val="ctr"/>
        <c:lblOffset val="100"/>
        <c:noMultiLvlLbl val="1"/>
      </c:catAx>
      <c:valAx>
        <c:axId val="472540544"/>
        <c:scaling>
          <c:orientation val="minMax"/>
          <c:max val="-2000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0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r>
              <a:rPr lang="en-AU" sz="1000" b="0" i="0" baseline="0">
                <a:effectLst/>
              </a:rPr>
              <a:t>Total Labor Cost Comparisons - eSystems Base Case to eSystems Best Case</a:t>
            </a:r>
            <a:endParaRPr lang="en-AU" sz="10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'Outputs - SystemCostsGraphs'!$D$27</c:f>
              <c:strCache>
                <c:ptCount val="1"/>
                <c:pt idx="0">
                  <c:v>eSystems Cost of Labor - Worst Case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SystemCostsGraphs'!$E$27:$N$27</c:f>
            </c:numRef>
          </c:val>
          <c:smooth val="0"/>
          <c:extLst xmlns:c16r2="http://schemas.microsoft.com/office/drawing/2015/06/chart">
            <c:ext xmlns:c16="http://schemas.microsoft.com/office/drawing/2014/chart" uri="{C3380CC4-5D6E-409C-BE32-E72D297353CC}">
              <c16:uniqueId val="{00000000-17D9-4047-8F23-15356DF78805}"/>
            </c:ext>
          </c:extLst>
        </c:ser>
        <c:ser>
          <c:idx val="1"/>
          <c:order val="1"/>
          <c:tx>
            <c:strRef>
              <c:f>'Outputs - SystemCostsGraphs'!$D$28</c:f>
              <c:strCache>
                <c:ptCount val="1"/>
                <c:pt idx="0">
                  <c:v>eSystems Cost of Labor - Most Likely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SystemCostsGraphs'!$E$28:$N$28</c:f>
            </c:numRef>
          </c:val>
          <c:smooth val="0"/>
          <c:extLst xmlns:c16r2="http://schemas.microsoft.com/office/drawing/2015/06/chart">
            <c:ext xmlns:c16="http://schemas.microsoft.com/office/drawing/2014/chart" uri="{C3380CC4-5D6E-409C-BE32-E72D297353CC}">
              <c16:uniqueId val="{00000001-17D9-4047-8F23-15356DF78805}"/>
            </c:ext>
          </c:extLst>
        </c:ser>
        <c:ser>
          <c:idx val="2"/>
          <c:order val="2"/>
          <c:tx>
            <c:strRef>
              <c:f>'Outputs - SystemCostsGraphs'!$D$29</c:f>
              <c:strCache>
                <c:ptCount val="1"/>
                <c:pt idx="0">
                  <c:v>eSystems Cost of Labor - Best Case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SystemCostsGraphs'!$E$29:$N$29</c:f>
            </c:numRef>
          </c:val>
          <c:smooth val="0"/>
          <c:extLst xmlns:c16r2="http://schemas.microsoft.com/office/drawing/2015/06/chart">
            <c:ext xmlns:c16="http://schemas.microsoft.com/office/drawing/2014/chart" uri="{C3380CC4-5D6E-409C-BE32-E72D297353CC}">
              <c16:uniqueId val="{00000002-17D9-4047-8F23-15356DF78805}"/>
            </c:ext>
          </c:extLst>
        </c:ser>
        <c:dLbls>
          <c:showLegendKey val="0"/>
          <c:showVal val="0"/>
          <c:showCatName val="0"/>
          <c:showSerName val="0"/>
          <c:showPercent val="0"/>
          <c:showBubbleSize val="0"/>
        </c:dLbls>
        <c:marker val="1"/>
        <c:smooth val="0"/>
        <c:axId val="472541328"/>
        <c:axId val="472541720"/>
      </c:lineChart>
      <c:catAx>
        <c:axId val="472541328"/>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1720"/>
        <c:crosses val="autoZero"/>
        <c:auto val="1"/>
        <c:lblAlgn val="ctr"/>
        <c:lblOffset val="100"/>
        <c:noMultiLvlLbl val="1"/>
      </c:catAx>
      <c:valAx>
        <c:axId val="472541720"/>
        <c:scaling>
          <c:orientation val="minMax"/>
          <c:max val="-2000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1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Total Induced Labor Cost Comparisons - Base Case to hSystems &amp; eSystems </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SystemCostsGraphs'!$D$66</c:f>
              <c:strCache>
                <c:ptCount val="1"/>
                <c:pt idx="0">
                  <c:v>pSystem Induced Labor Costs -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SystemCostsGraphs'!$E$66:$N$66</c:f>
            </c:numRef>
          </c:val>
          <c:smooth val="0"/>
          <c:extLst xmlns:c16r2="http://schemas.microsoft.com/office/drawing/2015/06/chart">
            <c:ext xmlns:c16="http://schemas.microsoft.com/office/drawing/2014/chart" uri="{C3380CC4-5D6E-409C-BE32-E72D297353CC}">
              <c16:uniqueId val="{00000000-E78E-4A1C-9E76-36FCB4150A7B}"/>
            </c:ext>
          </c:extLst>
        </c:ser>
        <c:ser>
          <c:idx val="1"/>
          <c:order val="1"/>
          <c:tx>
            <c:strRef>
              <c:f>'Outputs - SystemCostsGraphs'!$D$67</c:f>
              <c:strCache>
                <c:ptCount val="1"/>
                <c:pt idx="0">
                  <c:v>hSystem Induced Labor Costs -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SystemCostsGraphs'!$E$67:$N$67</c:f>
            </c:numRef>
          </c:val>
          <c:smooth val="0"/>
          <c:extLst xmlns:c16r2="http://schemas.microsoft.com/office/drawing/2015/06/chart">
            <c:ext xmlns:c16="http://schemas.microsoft.com/office/drawing/2014/chart" uri="{C3380CC4-5D6E-409C-BE32-E72D297353CC}">
              <c16:uniqueId val="{00000001-E78E-4A1C-9E76-36FCB4150A7B}"/>
            </c:ext>
          </c:extLst>
        </c:ser>
        <c:ser>
          <c:idx val="2"/>
          <c:order val="2"/>
          <c:tx>
            <c:strRef>
              <c:f>'Outputs - SystemCostsGraphs'!$D$68</c:f>
              <c:strCache>
                <c:ptCount val="1"/>
                <c:pt idx="0">
                  <c:v>eSystem Induced Labor Costs -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SystemCostsGraphs'!$E$68:$N$68</c:f>
            </c:numRef>
          </c:val>
          <c:smooth val="0"/>
          <c:extLst xmlns:c16r2="http://schemas.microsoft.com/office/drawing/2015/06/chart">
            <c:ext xmlns:c16="http://schemas.microsoft.com/office/drawing/2014/chart" uri="{C3380CC4-5D6E-409C-BE32-E72D297353CC}">
              <c16:uniqueId val="{00000002-E78E-4A1C-9E76-36FCB4150A7B}"/>
            </c:ext>
          </c:extLst>
        </c:ser>
        <c:dLbls>
          <c:showLegendKey val="0"/>
          <c:showVal val="0"/>
          <c:showCatName val="0"/>
          <c:showSerName val="0"/>
          <c:showPercent val="0"/>
          <c:showBubbleSize val="0"/>
        </c:dLbls>
        <c:marker val="1"/>
        <c:smooth val="0"/>
        <c:axId val="472544072"/>
        <c:axId val="472544464"/>
      </c:lineChart>
      <c:catAx>
        <c:axId val="472544072"/>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4464"/>
        <c:crosses val="autoZero"/>
        <c:auto val="1"/>
        <c:lblAlgn val="ctr"/>
        <c:lblOffset val="100"/>
        <c:noMultiLvlLbl val="1"/>
      </c:catAx>
      <c:valAx>
        <c:axId val="47254446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4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Total Induced Record Cost Comparisons - Base Case to hSystems &amp; eSystems </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SystemCostsGraphs'!$D$71</c:f>
              <c:strCache>
                <c:ptCount val="1"/>
                <c:pt idx="0">
                  <c:v>pSystems Induced Records Costs -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SystemCostsGraphs'!$E$71:$N$71</c:f>
            </c:numRef>
          </c:val>
          <c:smooth val="0"/>
          <c:extLst xmlns:c16r2="http://schemas.microsoft.com/office/drawing/2015/06/chart">
            <c:ext xmlns:c16="http://schemas.microsoft.com/office/drawing/2014/chart" uri="{C3380CC4-5D6E-409C-BE32-E72D297353CC}">
              <c16:uniqueId val="{00000000-C0EA-46DB-BFB1-3CC406041865}"/>
            </c:ext>
          </c:extLst>
        </c:ser>
        <c:ser>
          <c:idx val="1"/>
          <c:order val="1"/>
          <c:tx>
            <c:strRef>
              <c:f>'Outputs - SystemCostsGraphs'!$D$72</c:f>
              <c:strCache>
                <c:ptCount val="1"/>
                <c:pt idx="0">
                  <c:v>hSystems Induced Records Costs -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SystemCostsGraphs'!$E$72:$N$72</c:f>
            </c:numRef>
          </c:val>
          <c:smooth val="0"/>
          <c:extLst xmlns:c16r2="http://schemas.microsoft.com/office/drawing/2015/06/chart">
            <c:ext xmlns:c16="http://schemas.microsoft.com/office/drawing/2014/chart" uri="{C3380CC4-5D6E-409C-BE32-E72D297353CC}">
              <c16:uniqueId val="{00000001-C0EA-46DB-BFB1-3CC406041865}"/>
            </c:ext>
          </c:extLst>
        </c:ser>
        <c:ser>
          <c:idx val="2"/>
          <c:order val="2"/>
          <c:tx>
            <c:strRef>
              <c:f>'Outputs - SystemCostsGraphs'!$D$73</c:f>
              <c:strCache>
                <c:ptCount val="1"/>
                <c:pt idx="0">
                  <c:v>eSystems Induced Records Costs -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SystemCostsGraphs'!$E$73:$N$73</c:f>
            </c:numRef>
          </c:val>
          <c:smooth val="0"/>
          <c:extLst xmlns:c16r2="http://schemas.microsoft.com/office/drawing/2015/06/chart">
            <c:ext xmlns:c16="http://schemas.microsoft.com/office/drawing/2014/chart" uri="{C3380CC4-5D6E-409C-BE32-E72D297353CC}">
              <c16:uniqueId val="{00000002-C0EA-46DB-BFB1-3CC406041865}"/>
            </c:ext>
          </c:extLst>
        </c:ser>
        <c:dLbls>
          <c:showLegendKey val="0"/>
          <c:showVal val="0"/>
          <c:showCatName val="0"/>
          <c:showSerName val="0"/>
          <c:showPercent val="0"/>
          <c:showBubbleSize val="0"/>
        </c:dLbls>
        <c:marker val="1"/>
        <c:smooth val="0"/>
        <c:axId val="472545640"/>
        <c:axId val="472546032"/>
      </c:lineChart>
      <c:catAx>
        <c:axId val="472545640"/>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6032"/>
        <c:crosses val="autoZero"/>
        <c:auto val="1"/>
        <c:lblAlgn val="ctr"/>
        <c:lblOffset val="100"/>
        <c:noMultiLvlLbl val="1"/>
      </c:catAx>
      <c:valAx>
        <c:axId val="4725460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AU" sz="1000" b="0" i="0" baseline="0">
                <a:effectLst/>
              </a:rPr>
              <a:t>Total Induced Archive Cost Comparisons - Base Case to hSystems &amp; eSystems </a:t>
            </a:r>
            <a:endParaRPr lang="en-AU"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SystemCostsGraphs'!$D$76</c:f>
              <c:strCache>
                <c:ptCount val="1"/>
                <c:pt idx="0">
                  <c:v>pSystem Induced Costs - Archiving &amp; Retrieval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SystemCostsGraphs'!$E$76:$N$76</c:f>
            </c:numRef>
          </c:val>
          <c:smooth val="0"/>
          <c:extLst xmlns:c16r2="http://schemas.microsoft.com/office/drawing/2015/06/chart">
            <c:ext xmlns:c16="http://schemas.microsoft.com/office/drawing/2014/chart" uri="{C3380CC4-5D6E-409C-BE32-E72D297353CC}">
              <c16:uniqueId val="{00000000-A169-41DA-813F-0859B17E7156}"/>
            </c:ext>
          </c:extLst>
        </c:ser>
        <c:ser>
          <c:idx val="1"/>
          <c:order val="1"/>
          <c:tx>
            <c:strRef>
              <c:f>'Outputs - SystemCostsGraphs'!$D$77</c:f>
              <c:strCache>
                <c:ptCount val="1"/>
                <c:pt idx="0">
                  <c:v>hSystem Induced Costs - Archiving &amp; Retrieval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SystemCostsGraphs'!$E$77:$N$77</c:f>
            </c:numRef>
          </c:val>
          <c:smooth val="0"/>
          <c:extLst xmlns:c16r2="http://schemas.microsoft.com/office/drawing/2015/06/chart">
            <c:ext xmlns:c16="http://schemas.microsoft.com/office/drawing/2014/chart" uri="{C3380CC4-5D6E-409C-BE32-E72D297353CC}">
              <c16:uniqueId val="{00000001-A169-41DA-813F-0859B17E7156}"/>
            </c:ext>
          </c:extLst>
        </c:ser>
        <c:ser>
          <c:idx val="2"/>
          <c:order val="2"/>
          <c:tx>
            <c:strRef>
              <c:f>'Outputs - SystemCostsGraphs'!$D$78</c:f>
              <c:strCache>
                <c:ptCount val="1"/>
                <c:pt idx="0">
                  <c:v>eSystem Induced Costs - Archiving &amp; Retrieval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SystemCostsGraphs'!$E$78:$N$78</c:f>
            </c:numRef>
          </c:val>
          <c:smooth val="0"/>
          <c:extLst xmlns:c16r2="http://schemas.microsoft.com/office/drawing/2015/06/chart">
            <c:ext xmlns:c16="http://schemas.microsoft.com/office/drawing/2014/chart" uri="{C3380CC4-5D6E-409C-BE32-E72D297353CC}">
              <c16:uniqueId val="{00000002-A169-41DA-813F-0859B17E7156}"/>
            </c:ext>
          </c:extLst>
        </c:ser>
        <c:dLbls>
          <c:showLegendKey val="0"/>
          <c:showVal val="0"/>
          <c:showCatName val="0"/>
          <c:showSerName val="0"/>
          <c:showPercent val="0"/>
          <c:showBubbleSize val="0"/>
        </c:dLbls>
        <c:marker val="1"/>
        <c:smooth val="0"/>
        <c:axId val="472546816"/>
        <c:axId val="472547208"/>
      </c:lineChart>
      <c:catAx>
        <c:axId val="472546816"/>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7208"/>
        <c:crosses val="autoZero"/>
        <c:auto val="1"/>
        <c:lblAlgn val="ctr"/>
        <c:lblOffset val="100"/>
        <c:noMultiLvlLbl val="1"/>
      </c:catAx>
      <c:valAx>
        <c:axId val="4725472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6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SystemCostsGraphs'!$D$81</c:f>
              <c:strCache>
                <c:ptCount val="1"/>
                <c:pt idx="0">
                  <c:v>pSystems Induced Training Cost -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SystemCostsGraphs'!$E$81:$N$81</c:f>
            </c:numRef>
          </c:val>
          <c:smooth val="0"/>
          <c:extLst xmlns:c16r2="http://schemas.microsoft.com/office/drawing/2015/06/chart">
            <c:ext xmlns:c16="http://schemas.microsoft.com/office/drawing/2014/chart" uri="{C3380CC4-5D6E-409C-BE32-E72D297353CC}">
              <c16:uniqueId val="{00000000-EB78-43FB-9F62-72C0A506A45E}"/>
            </c:ext>
          </c:extLst>
        </c:ser>
        <c:dLbls>
          <c:showLegendKey val="0"/>
          <c:showVal val="0"/>
          <c:showCatName val="0"/>
          <c:showSerName val="0"/>
          <c:showPercent val="0"/>
          <c:showBubbleSize val="0"/>
        </c:dLbls>
        <c:marker val="1"/>
        <c:smooth val="0"/>
        <c:axId val="472547992"/>
        <c:axId val="472548384"/>
      </c:lineChart>
      <c:catAx>
        <c:axId val="472547992"/>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8384"/>
        <c:crosses val="autoZero"/>
        <c:auto val="1"/>
        <c:lblAlgn val="ctr"/>
        <c:lblOffset val="100"/>
        <c:noMultiLvlLbl val="1"/>
      </c:catAx>
      <c:valAx>
        <c:axId val="472548384"/>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79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hSystems Induced Training Cost - Comparisons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'Outputs - SystemCostsGraphs'!$D$83</c:f>
              <c:strCache>
                <c:ptCount val="1"/>
                <c:pt idx="0">
                  <c:v>hSystems Induced Training Cost - Worst Case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SystemCostsGraphs'!$E$83:$N$83</c:f>
            </c:numRef>
          </c:val>
          <c:smooth val="0"/>
          <c:extLst xmlns:c16r2="http://schemas.microsoft.com/office/drawing/2015/06/chart">
            <c:ext xmlns:c16="http://schemas.microsoft.com/office/drawing/2014/chart" uri="{C3380CC4-5D6E-409C-BE32-E72D297353CC}">
              <c16:uniqueId val="{00000000-87AF-4DCA-B930-D2F4A06C826F}"/>
            </c:ext>
          </c:extLst>
        </c:ser>
        <c:ser>
          <c:idx val="1"/>
          <c:order val="1"/>
          <c:tx>
            <c:strRef>
              <c:f>'Outputs - SystemCostsGraphs'!$D$84</c:f>
              <c:strCache>
                <c:ptCount val="1"/>
                <c:pt idx="0">
                  <c:v>hSystems Induced Training Cost - Most Likely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SystemCostsGraphs'!$E$84:$N$84</c:f>
            </c:numRef>
          </c:val>
          <c:smooth val="0"/>
          <c:extLst xmlns:c16r2="http://schemas.microsoft.com/office/drawing/2015/06/chart">
            <c:ext xmlns:c16="http://schemas.microsoft.com/office/drawing/2014/chart" uri="{C3380CC4-5D6E-409C-BE32-E72D297353CC}">
              <c16:uniqueId val="{00000001-87AF-4DCA-B930-D2F4A06C826F}"/>
            </c:ext>
          </c:extLst>
        </c:ser>
        <c:ser>
          <c:idx val="2"/>
          <c:order val="2"/>
          <c:tx>
            <c:strRef>
              <c:f>'Outputs - SystemCostsGraphs'!$D$85</c:f>
              <c:strCache>
                <c:ptCount val="1"/>
                <c:pt idx="0">
                  <c:v>hSystems Induced Training Cost - Best Case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'Outputs - SystemCostsGraphs'!$E$6:$N$6</c:f>
              <c:numCache>
                <c:formatCode>yyyy</c:formatCode>
                <c:ptCount val="10"/>
                <c:pt idx="0">
                  <c:v>43830</c:v>
                </c:pt>
                <c:pt idx="1">
                  <c:v>44196</c:v>
                </c:pt>
                <c:pt idx="2">
                  <c:v>44561</c:v>
                </c:pt>
                <c:pt idx="3">
                  <c:v>44926</c:v>
                </c:pt>
                <c:pt idx="4">
                  <c:v>45291</c:v>
                </c:pt>
                <c:pt idx="5">
                  <c:v>45657</c:v>
                </c:pt>
                <c:pt idx="6">
                  <c:v>46022</c:v>
                </c:pt>
                <c:pt idx="7">
                  <c:v>46387</c:v>
                </c:pt>
                <c:pt idx="8">
                  <c:v>46752</c:v>
                </c:pt>
                <c:pt idx="9">
                  <c:v>47118</c:v>
                </c:pt>
              </c:numCache>
            </c:numRef>
          </c:cat>
          <c:val>
            <c:numRef>
              <c:f>'Outputs - SystemCostsGraphs'!$E$85:$N$85</c:f>
            </c:numRef>
          </c:val>
          <c:smooth val="0"/>
          <c:extLst xmlns:c16r2="http://schemas.microsoft.com/office/drawing/2015/06/chart">
            <c:ext xmlns:c16="http://schemas.microsoft.com/office/drawing/2014/chart" uri="{C3380CC4-5D6E-409C-BE32-E72D297353CC}">
              <c16:uniqueId val="{00000002-87AF-4DCA-B930-D2F4A06C826F}"/>
            </c:ext>
          </c:extLst>
        </c:ser>
        <c:dLbls>
          <c:showLegendKey val="0"/>
          <c:showVal val="0"/>
          <c:showCatName val="0"/>
          <c:showSerName val="0"/>
          <c:showPercent val="0"/>
          <c:showBubbleSize val="0"/>
        </c:dLbls>
        <c:marker val="1"/>
        <c:smooth val="0"/>
        <c:axId val="472545248"/>
        <c:axId val="472543680"/>
      </c:lineChart>
      <c:catAx>
        <c:axId val="472545248"/>
        <c:scaling>
          <c:orientation val="minMax"/>
        </c:scaling>
        <c:delete val="0"/>
        <c:axPos val="b"/>
        <c:numFmt formatCode="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3680"/>
        <c:crosses val="autoZero"/>
        <c:auto val="1"/>
        <c:lblAlgn val="ctr"/>
        <c:lblOffset val="100"/>
        <c:noMultiLvlLbl val="1"/>
      </c:catAx>
      <c:valAx>
        <c:axId val="472543680"/>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54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26238</xdr:colOff>
      <xdr:row>7</xdr:row>
      <xdr:rowOff>133350</xdr:rowOff>
    </xdr:from>
    <xdr:to>
      <xdr:col>5</xdr:col>
      <xdr:colOff>419684</xdr:colOff>
      <xdr:row>24</xdr:row>
      <xdr:rowOff>105752</xdr:rowOff>
    </xdr:to>
    <xdr:grpSp>
      <xdr:nvGrpSpPr>
        <xdr:cNvPr id="5" name="Group 4">
          <a:extLst>
            <a:ext uri="{FF2B5EF4-FFF2-40B4-BE49-F238E27FC236}">
              <a16:creationId xmlns:a16="http://schemas.microsoft.com/office/drawing/2014/main" xmlns="" id="{2C44A247-9A9D-4A4F-AB90-DA2E177674BC}"/>
            </a:ext>
          </a:extLst>
        </xdr:cNvPr>
        <xdr:cNvGrpSpPr/>
      </xdr:nvGrpSpPr>
      <xdr:grpSpPr>
        <a:xfrm>
          <a:off x="26238" y="2362200"/>
          <a:ext cx="6127496" cy="2725127"/>
          <a:chOff x="1895071" y="1027364"/>
          <a:chExt cx="6127496" cy="2725127"/>
        </a:xfrm>
      </xdr:grpSpPr>
      <xdr:sp macro="" textlink="">
        <xdr:nvSpPr>
          <xdr:cNvPr id="6" name="Rectangle: Rounded Corners 5">
            <a:extLst>
              <a:ext uri="{FF2B5EF4-FFF2-40B4-BE49-F238E27FC236}">
                <a16:creationId xmlns:a16="http://schemas.microsoft.com/office/drawing/2014/main" xmlns="" id="{4E040E65-34CE-451B-AAB5-72E6139EA68E}"/>
              </a:ext>
            </a:extLst>
          </xdr:cNvPr>
          <xdr:cNvSpPr/>
        </xdr:nvSpPr>
        <xdr:spPr>
          <a:xfrm>
            <a:off x="1895071" y="1027364"/>
            <a:ext cx="6127496" cy="2725127"/>
          </a:xfrm>
          <a:prstGeom prst="roundRect">
            <a:avLst>
              <a:gd name="adj" fmla="val 2439"/>
            </a:avLst>
          </a:prstGeom>
          <a:solidFill>
            <a:schemeClr val="accent5">
              <a:lumMod val="20000"/>
              <a:lumOff val="80000"/>
            </a:schemeClr>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350" b="1">
                <a:solidFill>
                  <a:srgbClr val="002060"/>
                </a:solidFill>
                <a:latin typeface="Arial" panose="020B0604020202020204" pitchFamily="34" charset="0"/>
                <a:cs typeface="Arial" panose="020B0604020202020204" pitchFamily="34" charset="0"/>
              </a:rPr>
              <a:t>Template Workbook Tabs</a:t>
            </a:r>
          </a:p>
          <a:p>
            <a:endParaRPr lang="en-AU" sz="1350">
              <a:solidFill>
                <a:srgbClr val="002060"/>
              </a:solidFill>
              <a:latin typeface="Arial" panose="020B0604020202020204" pitchFamily="34" charset="0"/>
              <a:cs typeface="Arial" panose="020B0604020202020204" pitchFamily="34" charset="0"/>
            </a:endParaRPr>
          </a:p>
          <a:p>
            <a:r>
              <a:rPr lang="en-AU" sz="1350">
                <a:solidFill>
                  <a:srgbClr val="002060"/>
                </a:solidFill>
                <a:latin typeface="Arial" panose="020B0604020202020204" pitchFamily="34" charset="0"/>
                <a:cs typeface="Arial" panose="020B0604020202020204" pitchFamily="34" charset="0"/>
              </a:rPr>
              <a:t>Yellow Tab:		Information	</a:t>
            </a:r>
          </a:p>
          <a:p>
            <a:endParaRPr lang="en-AU" sz="1350">
              <a:solidFill>
                <a:srgbClr val="002060"/>
              </a:solidFill>
              <a:latin typeface="Arial" panose="020B0604020202020204" pitchFamily="34" charset="0"/>
              <a:cs typeface="Arial" panose="020B0604020202020204" pitchFamily="34" charset="0"/>
            </a:endParaRPr>
          </a:p>
          <a:p>
            <a:r>
              <a:rPr lang="en-AU" sz="1350">
                <a:solidFill>
                  <a:srgbClr val="002060"/>
                </a:solidFill>
                <a:latin typeface="Arial" panose="020B0604020202020204" pitchFamily="34" charset="0"/>
                <a:cs typeface="Arial" panose="020B0604020202020204" pitchFamily="34" charset="0"/>
              </a:rPr>
              <a:t>Red Tab:		Disclaimer	</a:t>
            </a:r>
          </a:p>
          <a:p>
            <a:endParaRPr lang="en-AU" sz="1350">
              <a:solidFill>
                <a:srgbClr val="002060"/>
              </a:solidFill>
              <a:latin typeface="Arial" panose="020B0604020202020204" pitchFamily="34" charset="0"/>
              <a:cs typeface="Arial" panose="020B0604020202020204" pitchFamily="34" charset="0"/>
            </a:endParaRPr>
          </a:p>
          <a:p>
            <a:r>
              <a:rPr lang="en-AU" sz="1350">
                <a:solidFill>
                  <a:srgbClr val="002060"/>
                </a:solidFill>
                <a:latin typeface="Arial" panose="020B0604020202020204" pitchFamily="34" charset="0"/>
                <a:cs typeface="Arial" panose="020B0604020202020204" pitchFamily="34" charset="0"/>
              </a:rPr>
              <a:t>Blue Tabs:		Data Inputs</a:t>
            </a:r>
          </a:p>
          <a:p>
            <a:endParaRPr lang="en-AU" sz="1350">
              <a:solidFill>
                <a:srgbClr val="002060"/>
              </a:solidFill>
              <a:latin typeface="Arial" panose="020B0604020202020204" pitchFamily="34" charset="0"/>
              <a:cs typeface="Arial" panose="020B0604020202020204" pitchFamily="34" charset="0"/>
            </a:endParaRPr>
          </a:p>
          <a:p>
            <a:r>
              <a:rPr lang="en-AU" sz="1350">
                <a:solidFill>
                  <a:srgbClr val="002060"/>
                </a:solidFill>
                <a:latin typeface="Arial" panose="020B0604020202020204" pitchFamily="34" charset="0"/>
                <a:cs typeface="Arial" panose="020B0604020202020204" pitchFamily="34" charset="0"/>
              </a:rPr>
              <a:t>Grey Tabs:		Data Input &amp; Calculation </a:t>
            </a:r>
          </a:p>
          <a:p>
            <a:endParaRPr lang="en-AU" sz="1350">
              <a:solidFill>
                <a:srgbClr val="002060"/>
              </a:solidFill>
              <a:latin typeface="Arial" panose="020B0604020202020204" pitchFamily="34" charset="0"/>
              <a:cs typeface="Arial" panose="020B0604020202020204" pitchFamily="34" charset="0"/>
            </a:endParaRPr>
          </a:p>
          <a:p>
            <a:r>
              <a:rPr lang="en-AU" sz="1350">
                <a:solidFill>
                  <a:srgbClr val="002060"/>
                </a:solidFill>
                <a:latin typeface="Arial" panose="020B0604020202020204" pitchFamily="34" charset="0"/>
                <a:cs typeface="Arial" panose="020B0604020202020204" pitchFamily="34" charset="0"/>
              </a:rPr>
              <a:t>Green Tabs:	Output Tables &amp; Sample Graphs					</a:t>
            </a:r>
          </a:p>
        </xdr:txBody>
      </xdr:sp>
      <xdr:pic>
        <xdr:nvPicPr>
          <xdr:cNvPr id="7" name="Picture 6">
            <a:extLst>
              <a:ext uri="{FF2B5EF4-FFF2-40B4-BE49-F238E27FC236}">
                <a16:creationId xmlns:a16="http://schemas.microsoft.com/office/drawing/2014/main" xmlns="" id="{F71274B9-3DAD-4F02-8D94-9B9081F6F13F}"/>
              </a:ext>
            </a:extLst>
          </xdr:cNvPr>
          <xdr:cNvPicPr>
            <a:picLocks noChangeAspect="1"/>
          </xdr:cNvPicPr>
        </xdr:nvPicPr>
        <xdr:blipFill>
          <a:blip xmlns:r="http://schemas.openxmlformats.org/officeDocument/2006/relationships" r:embed="rId1"/>
          <a:stretch>
            <a:fillRect/>
          </a:stretch>
        </xdr:blipFill>
        <xdr:spPr>
          <a:xfrm>
            <a:off x="6801167" y="1856033"/>
            <a:ext cx="1121569" cy="307181"/>
          </a:xfrm>
          <a:prstGeom prst="rect">
            <a:avLst/>
          </a:prstGeom>
          <a:ln>
            <a:solidFill>
              <a:schemeClr val="accent1"/>
            </a:solidFill>
          </a:ln>
        </xdr:spPr>
      </xdr:pic>
      <xdr:pic>
        <xdr:nvPicPr>
          <xdr:cNvPr id="8" name="Picture 7">
            <a:extLst>
              <a:ext uri="{FF2B5EF4-FFF2-40B4-BE49-F238E27FC236}">
                <a16:creationId xmlns:a16="http://schemas.microsoft.com/office/drawing/2014/main" xmlns="" id="{E7B454EC-D221-422A-9881-33A0C85A345D}"/>
              </a:ext>
            </a:extLst>
          </xdr:cNvPr>
          <xdr:cNvPicPr>
            <a:picLocks noChangeAspect="1"/>
          </xdr:cNvPicPr>
        </xdr:nvPicPr>
        <xdr:blipFill>
          <a:blip xmlns:r="http://schemas.openxmlformats.org/officeDocument/2006/relationships" r:embed="rId2"/>
          <a:stretch>
            <a:fillRect/>
          </a:stretch>
        </xdr:blipFill>
        <xdr:spPr>
          <a:xfrm>
            <a:off x="6043930" y="2254057"/>
            <a:ext cx="1878806" cy="314325"/>
          </a:xfrm>
          <a:prstGeom prst="rect">
            <a:avLst/>
          </a:prstGeom>
          <a:ln>
            <a:solidFill>
              <a:schemeClr val="accent1"/>
            </a:solidFill>
          </a:ln>
        </xdr:spPr>
      </xdr:pic>
      <xdr:pic>
        <xdr:nvPicPr>
          <xdr:cNvPr id="9" name="Picture 8">
            <a:extLst>
              <a:ext uri="{FF2B5EF4-FFF2-40B4-BE49-F238E27FC236}">
                <a16:creationId xmlns:a16="http://schemas.microsoft.com/office/drawing/2014/main" xmlns="" id="{AB721B87-9C6C-4145-B62D-7BDEC4B996B3}"/>
              </a:ext>
            </a:extLst>
          </xdr:cNvPr>
          <xdr:cNvPicPr>
            <a:picLocks noChangeAspect="1"/>
          </xdr:cNvPicPr>
        </xdr:nvPicPr>
        <xdr:blipFill>
          <a:blip xmlns:r="http://schemas.openxmlformats.org/officeDocument/2006/relationships" r:embed="rId3"/>
          <a:stretch>
            <a:fillRect/>
          </a:stretch>
        </xdr:blipFill>
        <xdr:spPr>
          <a:xfrm>
            <a:off x="6129655" y="2659225"/>
            <a:ext cx="1793081" cy="357188"/>
          </a:xfrm>
          <a:prstGeom prst="rect">
            <a:avLst/>
          </a:prstGeom>
          <a:ln>
            <a:solidFill>
              <a:schemeClr val="accent1"/>
            </a:solidFill>
          </a:ln>
        </xdr:spPr>
      </xdr:pic>
      <xdr:pic>
        <xdr:nvPicPr>
          <xdr:cNvPr id="10" name="Picture 9">
            <a:extLst>
              <a:ext uri="{FF2B5EF4-FFF2-40B4-BE49-F238E27FC236}">
                <a16:creationId xmlns:a16="http://schemas.microsoft.com/office/drawing/2014/main" xmlns="" id="{F98FE85A-1990-4E55-AFE4-85D8EE1EDEE3}"/>
              </a:ext>
            </a:extLst>
          </xdr:cNvPr>
          <xdr:cNvPicPr>
            <a:picLocks noChangeAspect="1"/>
          </xdr:cNvPicPr>
        </xdr:nvPicPr>
        <xdr:blipFill>
          <a:blip xmlns:r="http://schemas.openxmlformats.org/officeDocument/2006/relationships" r:embed="rId4"/>
          <a:stretch>
            <a:fillRect/>
          </a:stretch>
        </xdr:blipFill>
        <xdr:spPr>
          <a:xfrm>
            <a:off x="5936773" y="3107255"/>
            <a:ext cx="1985963" cy="335756"/>
          </a:xfrm>
          <a:prstGeom prst="rect">
            <a:avLst/>
          </a:prstGeom>
          <a:ln>
            <a:solidFill>
              <a:schemeClr val="accent1"/>
            </a:solidFill>
          </a:ln>
        </xdr:spPr>
      </xdr:pic>
      <xdr:pic>
        <xdr:nvPicPr>
          <xdr:cNvPr id="11" name="Picture 10">
            <a:extLst>
              <a:ext uri="{FF2B5EF4-FFF2-40B4-BE49-F238E27FC236}">
                <a16:creationId xmlns:a16="http://schemas.microsoft.com/office/drawing/2014/main" xmlns="" id="{2E16D20A-F953-440B-9A5C-53458DA65B38}"/>
              </a:ext>
            </a:extLst>
          </xdr:cNvPr>
          <xdr:cNvPicPr>
            <a:picLocks noChangeAspect="1"/>
          </xdr:cNvPicPr>
        </xdr:nvPicPr>
        <xdr:blipFill>
          <a:blip xmlns:r="http://schemas.openxmlformats.org/officeDocument/2006/relationships" r:embed="rId5"/>
          <a:stretch>
            <a:fillRect/>
          </a:stretch>
        </xdr:blipFill>
        <xdr:spPr>
          <a:xfrm>
            <a:off x="7036821" y="1474848"/>
            <a:ext cx="885915" cy="290342"/>
          </a:xfrm>
          <a:prstGeom prst="rect">
            <a:avLst/>
          </a:prstGeom>
          <a:ln>
            <a:solidFill>
              <a:schemeClr val="accent1"/>
            </a:solidFill>
          </a:ln>
        </xdr:spPr>
      </xdr:pic>
    </xdr:grpSp>
    <xdr:clientData/>
  </xdr:twoCellAnchor>
  <xdr:twoCellAnchor>
    <xdr:from>
      <xdr:col>0</xdr:col>
      <xdr:colOff>36386</xdr:colOff>
      <xdr:row>25</xdr:row>
      <xdr:rowOff>112955</xdr:rowOff>
    </xdr:from>
    <xdr:to>
      <xdr:col>5</xdr:col>
      <xdr:colOff>447637</xdr:colOff>
      <xdr:row>42</xdr:row>
      <xdr:rowOff>97571</xdr:rowOff>
    </xdr:to>
    <xdr:pic>
      <xdr:nvPicPr>
        <xdr:cNvPr id="14" name="Picture 13">
          <a:extLst>
            <a:ext uri="{FF2B5EF4-FFF2-40B4-BE49-F238E27FC236}">
              <a16:creationId xmlns:a16="http://schemas.microsoft.com/office/drawing/2014/main" xmlns="" id="{003368E6-E3F7-4512-BE83-0A4023C6C5D9}"/>
            </a:ext>
          </a:extLst>
        </xdr:cNvPr>
        <xdr:cNvPicPr>
          <a:picLocks noChangeAspect="1"/>
        </xdr:cNvPicPr>
      </xdr:nvPicPr>
      <xdr:blipFill>
        <a:blip xmlns:r="http://schemas.openxmlformats.org/officeDocument/2006/relationships" r:embed="rId6"/>
        <a:stretch>
          <a:fillRect/>
        </a:stretch>
      </xdr:blipFill>
      <xdr:spPr>
        <a:xfrm>
          <a:off x="36386" y="5256455"/>
          <a:ext cx="6145301" cy="2737341"/>
        </a:xfrm>
        <a:prstGeom prst="rect">
          <a:avLst/>
        </a:prstGeom>
        <a:ln>
          <a:noFill/>
        </a:ln>
      </xdr:spPr>
    </xdr:pic>
    <xdr:clientData/>
  </xdr:twoCellAnchor>
  <xdr:twoCellAnchor>
    <xdr:from>
      <xdr:col>5</xdr:col>
      <xdr:colOff>676276</xdr:colOff>
      <xdr:row>7</xdr:row>
      <xdr:rowOff>133350</xdr:rowOff>
    </xdr:from>
    <xdr:to>
      <xdr:col>10</xdr:col>
      <xdr:colOff>1438276</xdr:colOff>
      <xdr:row>24</xdr:row>
      <xdr:rowOff>117966</xdr:rowOff>
    </xdr:to>
    <xdr:pic>
      <xdr:nvPicPr>
        <xdr:cNvPr id="15" name="Picture 14">
          <a:extLst>
            <a:ext uri="{FF2B5EF4-FFF2-40B4-BE49-F238E27FC236}">
              <a16:creationId xmlns:a16="http://schemas.microsoft.com/office/drawing/2014/main" xmlns="" id="{71F88F1C-4072-4B76-A95D-21D9D05DAF16}"/>
            </a:ext>
          </a:extLst>
        </xdr:cNvPr>
        <xdr:cNvPicPr>
          <a:picLocks noChangeAspect="1"/>
        </xdr:cNvPicPr>
      </xdr:nvPicPr>
      <xdr:blipFill>
        <a:blip xmlns:r="http://schemas.openxmlformats.org/officeDocument/2006/relationships" r:embed="rId7"/>
        <a:stretch>
          <a:fillRect/>
        </a:stretch>
      </xdr:blipFill>
      <xdr:spPr>
        <a:xfrm>
          <a:off x="6410326" y="2362200"/>
          <a:ext cx="6057900" cy="2737341"/>
        </a:xfrm>
        <a:prstGeom prst="rect">
          <a:avLst/>
        </a:prstGeom>
        <a:ln>
          <a:noFill/>
        </a:ln>
      </xdr:spPr>
    </xdr:pic>
    <xdr:clientData/>
  </xdr:twoCellAnchor>
  <xdr:twoCellAnchor>
    <xdr:from>
      <xdr:col>5</xdr:col>
      <xdr:colOff>609601</xdr:colOff>
      <xdr:row>25</xdr:row>
      <xdr:rowOff>113906</xdr:rowOff>
    </xdr:from>
    <xdr:to>
      <xdr:col>10</xdr:col>
      <xdr:colOff>1466851</xdr:colOff>
      <xdr:row>42</xdr:row>
      <xdr:rowOff>86104</xdr:rowOff>
    </xdr:to>
    <xdr:pic>
      <xdr:nvPicPr>
        <xdr:cNvPr id="12" name="Picture 11">
          <a:extLst>
            <a:ext uri="{FF2B5EF4-FFF2-40B4-BE49-F238E27FC236}">
              <a16:creationId xmlns:a16="http://schemas.microsoft.com/office/drawing/2014/main" xmlns="" id="{F16DC024-7476-4A2D-A9AD-41CFE60D4BD1}"/>
            </a:ext>
          </a:extLst>
        </xdr:cNvPr>
        <xdr:cNvPicPr>
          <a:picLocks noChangeAspect="1"/>
        </xdr:cNvPicPr>
      </xdr:nvPicPr>
      <xdr:blipFill>
        <a:blip xmlns:r="http://schemas.openxmlformats.org/officeDocument/2006/relationships" r:embed="rId8"/>
        <a:stretch>
          <a:fillRect/>
        </a:stretch>
      </xdr:blipFill>
      <xdr:spPr>
        <a:xfrm>
          <a:off x="6343651" y="5257406"/>
          <a:ext cx="6153150" cy="2724923"/>
        </a:xfrm>
        <a:prstGeom prst="rect">
          <a:avLst/>
        </a:prstGeom>
      </xdr:spPr>
    </xdr:pic>
    <xdr:clientData/>
  </xdr:twoCellAnchor>
  <xdr:twoCellAnchor>
    <xdr:from>
      <xdr:col>1</xdr:col>
      <xdr:colOff>2209800</xdr:colOff>
      <xdr:row>43</xdr:row>
      <xdr:rowOff>57150</xdr:rowOff>
    </xdr:from>
    <xdr:to>
      <xdr:col>7</xdr:col>
      <xdr:colOff>1869034</xdr:colOff>
      <xdr:row>60</xdr:row>
      <xdr:rowOff>41766</xdr:rowOff>
    </xdr:to>
    <xdr:pic>
      <xdr:nvPicPr>
        <xdr:cNvPr id="16" name="Picture 15">
          <a:extLst>
            <a:ext uri="{FF2B5EF4-FFF2-40B4-BE49-F238E27FC236}">
              <a16:creationId xmlns:a16="http://schemas.microsoft.com/office/drawing/2014/main" xmlns="" id="{4BC15B75-466E-4301-A2BF-02B9EB830B58}"/>
            </a:ext>
          </a:extLst>
        </xdr:cNvPr>
        <xdr:cNvPicPr>
          <a:picLocks noChangeAspect="1"/>
        </xdr:cNvPicPr>
      </xdr:nvPicPr>
      <xdr:blipFill>
        <a:blip xmlns:r="http://schemas.openxmlformats.org/officeDocument/2006/relationships" r:embed="rId9"/>
        <a:stretch>
          <a:fillRect/>
        </a:stretch>
      </xdr:blipFill>
      <xdr:spPr>
        <a:xfrm>
          <a:off x="2924175" y="8115300"/>
          <a:ext cx="6583909" cy="2737341"/>
        </a:xfrm>
        <a:prstGeom prst="rect">
          <a:avLst/>
        </a:prstGeom>
      </xdr:spPr>
    </xdr:pic>
    <xdr:clientData/>
  </xdr:twoCellAnchor>
  <xdr:twoCellAnchor editAs="oneCell">
    <xdr:from>
      <xdr:col>0</xdr:col>
      <xdr:colOff>0</xdr:colOff>
      <xdr:row>87</xdr:row>
      <xdr:rowOff>4084</xdr:rowOff>
    </xdr:from>
    <xdr:to>
      <xdr:col>5</xdr:col>
      <xdr:colOff>390525</xdr:colOff>
      <xdr:row>111</xdr:row>
      <xdr:rowOff>101061</xdr:rowOff>
    </xdr:to>
    <xdr:pic>
      <xdr:nvPicPr>
        <xdr:cNvPr id="26" name="Picture 25">
          <a:extLst>
            <a:ext uri="{FF2B5EF4-FFF2-40B4-BE49-F238E27FC236}">
              <a16:creationId xmlns:a16="http://schemas.microsoft.com/office/drawing/2014/main" xmlns="" id="{D453BB27-9F64-4CC3-A581-206E9524CB54}"/>
            </a:ext>
          </a:extLst>
        </xdr:cNvPr>
        <xdr:cNvPicPr>
          <a:picLocks noChangeAspect="1"/>
        </xdr:cNvPicPr>
      </xdr:nvPicPr>
      <xdr:blipFill>
        <a:blip xmlns:r="http://schemas.openxmlformats.org/officeDocument/2006/relationships" r:embed="rId10"/>
        <a:stretch>
          <a:fillRect/>
        </a:stretch>
      </xdr:blipFill>
      <xdr:spPr>
        <a:xfrm>
          <a:off x="0" y="15186934"/>
          <a:ext cx="6124575" cy="3983177"/>
        </a:xfrm>
        <a:prstGeom prst="rect">
          <a:avLst/>
        </a:prstGeom>
      </xdr:spPr>
    </xdr:pic>
    <xdr:clientData/>
  </xdr:twoCellAnchor>
  <xdr:twoCellAnchor editAs="oneCell">
    <xdr:from>
      <xdr:col>0</xdr:col>
      <xdr:colOff>0</xdr:colOff>
      <xdr:row>61</xdr:row>
      <xdr:rowOff>66674</xdr:rowOff>
    </xdr:from>
    <xdr:to>
      <xdr:col>5</xdr:col>
      <xdr:colOff>410366</xdr:colOff>
      <xdr:row>86</xdr:row>
      <xdr:rowOff>19050</xdr:rowOff>
    </xdr:to>
    <xdr:pic>
      <xdr:nvPicPr>
        <xdr:cNvPr id="29" name="Picture 28">
          <a:extLst>
            <a:ext uri="{FF2B5EF4-FFF2-40B4-BE49-F238E27FC236}">
              <a16:creationId xmlns:a16="http://schemas.microsoft.com/office/drawing/2014/main" xmlns="" id="{9D595143-D281-4DCC-BF56-190804F45D4D}"/>
            </a:ext>
          </a:extLst>
        </xdr:cNvPr>
        <xdr:cNvPicPr>
          <a:picLocks noChangeAspect="1"/>
        </xdr:cNvPicPr>
      </xdr:nvPicPr>
      <xdr:blipFill>
        <a:blip xmlns:r="http://schemas.openxmlformats.org/officeDocument/2006/relationships" r:embed="rId11"/>
        <a:stretch>
          <a:fillRect/>
        </a:stretch>
      </xdr:blipFill>
      <xdr:spPr>
        <a:xfrm>
          <a:off x="0" y="11039474"/>
          <a:ext cx="6144416" cy="4000501"/>
        </a:xfrm>
        <a:prstGeom prst="rect">
          <a:avLst/>
        </a:prstGeom>
      </xdr:spPr>
    </xdr:pic>
    <xdr:clientData/>
  </xdr:twoCellAnchor>
  <xdr:twoCellAnchor editAs="oneCell">
    <xdr:from>
      <xdr:col>5</xdr:col>
      <xdr:colOff>523875</xdr:colOff>
      <xdr:row>61</xdr:row>
      <xdr:rowOff>66675</xdr:rowOff>
    </xdr:from>
    <xdr:to>
      <xdr:col>10</xdr:col>
      <xdr:colOff>1371600</xdr:colOff>
      <xdr:row>86</xdr:row>
      <xdr:rowOff>18536</xdr:rowOff>
    </xdr:to>
    <xdr:pic>
      <xdr:nvPicPr>
        <xdr:cNvPr id="31" name="Picture 30">
          <a:extLst>
            <a:ext uri="{FF2B5EF4-FFF2-40B4-BE49-F238E27FC236}">
              <a16:creationId xmlns:a16="http://schemas.microsoft.com/office/drawing/2014/main" xmlns="" id="{59B4854E-2051-409F-8E71-B23DEB95B8FC}"/>
            </a:ext>
          </a:extLst>
        </xdr:cNvPr>
        <xdr:cNvPicPr>
          <a:picLocks noChangeAspect="1"/>
        </xdr:cNvPicPr>
      </xdr:nvPicPr>
      <xdr:blipFill>
        <a:blip xmlns:r="http://schemas.openxmlformats.org/officeDocument/2006/relationships" r:embed="rId12"/>
        <a:stretch>
          <a:fillRect/>
        </a:stretch>
      </xdr:blipFill>
      <xdr:spPr>
        <a:xfrm>
          <a:off x="6257925" y="11039475"/>
          <a:ext cx="6143625" cy="3999986"/>
        </a:xfrm>
        <a:prstGeom prst="rect">
          <a:avLst/>
        </a:prstGeom>
      </xdr:spPr>
    </xdr:pic>
    <xdr:clientData/>
  </xdr:twoCellAnchor>
  <xdr:twoCellAnchor editAs="oneCell">
    <xdr:from>
      <xdr:col>5</xdr:col>
      <xdr:colOff>523875</xdr:colOff>
      <xdr:row>86</xdr:row>
      <xdr:rowOff>152400</xdr:rowOff>
    </xdr:from>
    <xdr:to>
      <xdr:col>10</xdr:col>
      <xdr:colOff>1387019</xdr:colOff>
      <xdr:row>111</xdr:row>
      <xdr:rowOff>114300</xdr:rowOff>
    </xdr:to>
    <xdr:pic>
      <xdr:nvPicPr>
        <xdr:cNvPr id="2" name="Picture 1">
          <a:extLst>
            <a:ext uri="{FF2B5EF4-FFF2-40B4-BE49-F238E27FC236}">
              <a16:creationId xmlns:a16="http://schemas.microsoft.com/office/drawing/2014/main" xmlns="" id="{F4E2AFFA-ED7E-4356-9ECE-05C3CF76DC14}"/>
            </a:ext>
          </a:extLst>
        </xdr:cNvPr>
        <xdr:cNvPicPr>
          <a:picLocks noChangeAspect="1"/>
        </xdr:cNvPicPr>
      </xdr:nvPicPr>
      <xdr:blipFill>
        <a:blip xmlns:r="http://schemas.openxmlformats.org/officeDocument/2006/relationships" r:embed="rId13"/>
        <a:stretch>
          <a:fillRect/>
        </a:stretch>
      </xdr:blipFill>
      <xdr:spPr>
        <a:xfrm>
          <a:off x="6257925" y="15173325"/>
          <a:ext cx="6159044" cy="4010025"/>
        </a:xfrm>
        <a:prstGeom prst="rect">
          <a:avLst/>
        </a:prstGeom>
      </xdr:spPr>
    </xdr:pic>
    <xdr:clientData/>
  </xdr:twoCellAnchor>
  <xdr:twoCellAnchor editAs="oneCell">
    <xdr:from>
      <xdr:col>0</xdr:col>
      <xdr:colOff>28575</xdr:colOff>
      <xdr:row>0</xdr:row>
      <xdr:rowOff>28575</xdr:rowOff>
    </xdr:from>
    <xdr:to>
      <xdr:col>0</xdr:col>
      <xdr:colOff>623492</xdr:colOff>
      <xdr:row>1</xdr:row>
      <xdr:rowOff>28575</xdr:rowOff>
    </xdr:to>
    <xdr:pic>
      <xdr:nvPicPr>
        <xdr:cNvPr id="20" name="Picture 19">
          <a:extLst>
            <a:ext uri="{FF2B5EF4-FFF2-40B4-BE49-F238E27FC236}">
              <a16:creationId xmlns:a16="http://schemas.microsoft.com/office/drawing/2014/main" xmlns="" id="{E97AAAEF-F8BC-4398-BB0D-28240C5092F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28575" y="28575"/>
          <a:ext cx="594917" cy="381000"/>
        </a:xfrm>
        <a:prstGeom prst="rect">
          <a:avLst/>
        </a:prstGeom>
        <a:ln w="28575">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66677</xdr:colOff>
      <xdr:row>335</xdr:row>
      <xdr:rowOff>47618</xdr:rowOff>
    </xdr:from>
    <xdr:to>
      <xdr:col>13</xdr:col>
      <xdr:colOff>1381124</xdr:colOff>
      <xdr:row>338</xdr:row>
      <xdr:rowOff>158653</xdr:rowOff>
    </xdr:to>
    <xdr:grpSp>
      <xdr:nvGrpSpPr>
        <xdr:cNvPr id="6" name="Group 5">
          <a:extLst>
            <a:ext uri="{FF2B5EF4-FFF2-40B4-BE49-F238E27FC236}">
              <a16:creationId xmlns:a16="http://schemas.microsoft.com/office/drawing/2014/main" xmlns="" id="{FBBDFDE1-9DC9-4D4D-A0DC-0EB5F2338D48}"/>
            </a:ext>
          </a:extLst>
        </xdr:cNvPr>
        <xdr:cNvGrpSpPr/>
      </xdr:nvGrpSpPr>
      <xdr:grpSpPr>
        <a:xfrm>
          <a:off x="8877302" y="21821768"/>
          <a:ext cx="18792822" cy="653960"/>
          <a:chOff x="9374946" y="9362272"/>
          <a:chExt cx="16406788" cy="269882"/>
        </a:xfrm>
      </xdr:grpSpPr>
      <xdr:sp macro="" textlink="">
        <xdr:nvSpPr>
          <xdr:cNvPr id="7" name="Right Brace 6">
            <a:extLst>
              <a:ext uri="{FF2B5EF4-FFF2-40B4-BE49-F238E27FC236}">
                <a16:creationId xmlns:a16="http://schemas.microsoft.com/office/drawing/2014/main" xmlns="" id="{62715C17-8FFF-40FC-8C04-600CF24F89F6}"/>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8" name="Rectangle 7">
            <a:extLst>
              <a:ext uri="{FF2B5EF4-FFF2-40B4-BE49-F238E27FC236}">
                <a16:creationId xmlns:a16="http://schemas.microsoft.com/office/drawing/2014/main" xmlns="" id="{762D7A04-6A01-4698-AA48-94988452AE2C}"/>
              </a:ext>
            </a:extLst>
          </xdr:cNvPr>
          <xdr:cNvSpPr/>
        </xdr:nvSpPr>
        <xdr:spPr>
          <a:xfrm>
            <a:off x="12759418" y="9362272"/>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38100</xdr:rowOff>
    </xdr:from>
    <xdr:to>
      <xdr:col>0</xdr:col>
      <xdr:colOff>642542</xdr:colOff>
      <xdr:row>1</xdr:row>
      <xdr:rowOff>123825</xdr:rowOff>
    </xdr:to>
    <xdr:pic>
      <xdr:nvPicPr>
        <xdr:cNvPr id="5" name="Picture 4">
          <a:extLst>
            <a:ext uri="{FF2B5EF4-FFF2-40B4-BE49-F238E27FC236}">
              <a16:creationId xmlns:a16="http://schemas.microsoft.com/office/drawing/2014/main" xmlns="" id="{28903B2D-D116-40D4-AE1F-1E5C2142EF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66677</xdr:colOff>
      <xdr:row>985</xdr:row>
      <xdr:rowOff>47618</xdr:rowOff>
    </xdr:from>
    <xdr:to>
      <xdr:col>13</xdr:col>
      <xdr:colOff>1381124</xdr:colOff>
      <xdr:row>988</xdr:row>
      <xdr:rowOff>158653</xdr:rowOff>
    </xdr:to>
    <xdr:grpSp>
      <xdr:nvGrpSpPr>
        <xdr:cNvPr id="3" name="Group 2">
          <a:extLst>
            <a:ext uri="{FF2B5EF4-FFF2-40B4-BE49-F238E27FC236}">
              <a16:creationId xmlns:a16="http://schemas.microsoft.com/office/drawing/2014/main" xmlns="" id="{A73086C9-64B4-42CF-BEE0-A73C9F84379B}"/>
            </a:ext>
          </a:extLst>
        </xdr:cNvPr>
        <xdr:cNvGrpSpPr/>
      </xdr:nvGrpSpPr>
      <xdr:grpSpPr>
        <a:xfrm>
          <a:off x="9210677" y="12020543"/>
          <a:ext cx="18792822" cy="653960"/>
          <a:chOff x="9374946" y="9362272"/>
          <a:chExt cx="16406788" cy="269882"/>
        </a:xfrm>
      </xdr:grpSpPr>
      <xdr:sp macro="" textlink="">
        <xdr:nvSpPr>
          <xdr:cNvPr id="4" name="Right Brace 3">
            <a:extLst>
              <a:ext uri="{FF2B5EF4-FFF2-40B4-BE49-F238E27FC236}">
                <a16:creationId xmlns:a16="http://schemas.microsoft.com/office/drawing/2014/main" xmlns="" id="{2FFAC195-B49F-4D05-8888-591228E77439}"/>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5" name="Rectangle 4">
            <a:extLst>
              <a:ext uri="{FF2B5EF4-FFF2-40B4-BE49-F238E27FC236}">
                <a16:creationId xmlns:a16="http://schemas.microsoft.com/office/drawing/2014/main" xmlns="" id="{B73B2020-7CF7-4A5D-8F21-0B6EB2430A99}"/>
              </a:ext>
            </a:extLst>
          </xdr:cNvPr>
          <xdr:cNvSpPr/>
        </xdr:nvSpPr>
        <xdr:spPr>
          <a:xfrm>
            <a:off x="12759418" y="9362272"/>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47625</xdr:rowOff>
    </xdr:from>
    <xdr:to>
      <xdr:col>0</xdr:col>
      <xdr:colOff>642542</xdr:colOff>
      <xdr:row>1</xdr:row>
      <xdr:rowOff>133350</xdr:rowOff>
    </xdr:to>
    <xdr:pic>
      <xdr:nvPicPr>
        <xdr:cNvPr id="6" name="Picture 5">
          <a:extLst>
            <a:ext uri="{FF2B5EF4-FFF2-40B4-BE49-F238E27FC236}">
              <a16:creationId xmlns:a16="http://schemas.microsoft.com/office/drawing/2014/main" xmlns="" id="{DCB1C8F9-BD61-4551-92FD-EEA28503B4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47625"/>
          <a:ext cx="594917" cy="466725"/>
        </a:xfrm>
        <a:prstGeom prst="rect">
          <a:avLst/>
        </a:prstGeom>
        <a:ln w="28575">
          <a:solidFill>
            <a:schemeClr val="tx2"/>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66677</xdr:colOff>
      <xdr:row>61</xdr:row>
      <xdr:rowOff>76339</xdr:rowOff>
    </xdr:from>
    <xdr:to>
      <xdr:col>13</xdr:col>
      <xdr:colOff>1047749</xdr:colOff>
      <xdr:row>62</xdr:row>
      <xdr:rowOff>158792</xdr:rowOff>
    </xdr:to>
    <xdr:grpSp>
      <xdr:nvGrpSpPr>
        <xdr:cNvPr id="5" name="Group 4">
          <a:extLst>
            <a:ext uri="{FF2B5EF4-FFF2-40B4-BE49-F238E27FC236}">
              <a16:creationId xmlns:a16="http://schemas.microsoft.com/office/drawing/2014/main" xmlns="" id="{649B0066-D993-4F2F-83EE-D7BC2B6E6137}"/>
            </a:ext>
          </a:extLst>
        </xdr:cNvPr>
        <xdr:cNvGrpSpPr/>
      </xdr:nvGrpSpPr>
      <xdr:grpSpPr>
        <a:xfrm>
          <a:off x="9210677" y="5276989"/>
          <a:ext cx="15459072" cy="263428"/>
          <a:chOff x="9374946" y="9401776"/>
          <a:chExt cx="16406788" cy="230378"/>
        </a:xfrm>
      </xdr:grpSpPr>
      <xdr:sp macro="" textlink="">
        <xdr:nvSpPr>
          <xdr:cNvPr id="6" name="Right Brace 5">
            <a:extLst>
              <a:ext uri="{FF2B5EF4-FFF2-40B4-BE49-F238E27FC236}">
                <a16:creationId xmlns:a16="http://schemas.microsoft.com/office/drawing/2014/main" xmlns="" id="{3E98EBA5-F107-45E1-868E-3ABC67F8E99F}"/>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7" name="Rectangle 6">
            <a:extLst>
              <a:ext uri="{FF2B5EF4-FFF2-40B4-BE49-F238E27FC236}">
                <a16:creationId xmlns:a16="http://schemas.microsoft.com/office/drawing/2014/main" xmlns="" id="{99B69B08-7619-4327-8790-776F464A71DA}"/>
              </a:ext>
            </a:extLst>
          </xdr:cNvPr>
          <xdr:cNvSpPr/>
        </xdr:nvSpPr>
        <xdr:spPr>
          <a:xfrm>
            <a:off x="12759417" y="9401776"/>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38100</xdr:rowOff>
    </xdr:from>
    <xdr:to>
      <xdr:col>0</xdr:col>
      <xdr:colOff>642542</xdr:colOff>
      <xdr:row>1</xdr:row>
      <xdr:rowOff>123825</xdr:rowOff>
    </xdr:to>
    <xdr:pic>
      <xdr:nvPicPr>
        <xdr:cNvPr id="8" name="Picture 7">
          <a:extLst>
            <a:ext uri="{FF2B5EF4-FFF2-40B4-BE49-F238E27FC236}">
              <a16:creationId xmlns:a16="http://schemas.microsoft.com/office/drawing/2014/main" xmlns="" id="{3F092E88-A51A-4696-9970-72430B8328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66677</xdr:colOff>
      <xdr:row>227</xdr:row>
      <xdr:rowOff>76339</xdr:rowOff>
    </xdr:from>
    <xdr:to>
      <xdr:col>13</xdr:col>
      <xdr:colOff>1047749</xdr:colOff>
      <xdr:row>228</xdr:row>
      <xdr:rowOff>158792</xdr:rowOff>
    </xdr:to>
    <xdr:grpSp>
      <xdr:nvGrpSpPr>
        <xdr:cNvPr id="5" name="Group 4">
          <a:extLst>
            <a:ext uri="{FF2B5EF4-FFF2-40B4-BE49-F238E27FC236}">
              <a16:creationId xmlns:a16="http://schemas.microsoft.com/office/drawing/2014/main" xmlns="" id="{2A29F058-D48E-47BE-B8CE-2E7DB03F38E0}"/>
            </a:ext>
          </a:extLst>
        </xdr:cNvPr>
        <xdr:cNvGrpSpPr/>
      </xdr:nvGrpSpPr>
      <xdr:grpSpPr>
        <a:xfrm>
          <a:off x="8858252" y="8353564"/>
          <a:ext cx="18449922" cy="263428"/>
          <a:chOff x="9374946" y="9401776"/>
          <a:chExt cx="16406788" cy="230378"/>
        </a:xfrm>
      </xdr:grpSpPr>
      <xdr:sp macro="" textlink="">
        <xdr:nvSpPr>
          <xdr:cNvPr id="6" name="Right Brace 5">
            <a:extLst>
              <a:ext uri="{FF2B5EF4-FFF2-40B4-BE49-F238E27FC236}">
                <a16:creationId xmlns:a16="http://schemas.microsoft.com/office/drawing/2014/main" xmlns="" id="{9E11D659-AA7E-40EF-9EB1-D14C5C515299}"/>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7" name="Rectangle 6">
            <a:extLst>
              <a:ext uri="{FF2B5EF4-FFF2-40B4-BE49-F238E27FC236}">
                <a16:creationId xmlns:a16="http://schemas.microsoft.com/office/drawing/2014/main" xmlns="" id="{E681071C-766E-4A73-8EAC-6425A55C3866}"/>
              </a:ext>
            </a:extLst>
          </xdr:cNvPr>
          <xdr:cNvSpPr/>
        </xdr:nvSpPr>
        <xdr:spPr>
          <a:xfrm>
            <a:off x="12759417" y="9401776"/>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47625</xdr:rowOff>
    </xdr:from>
    <xdr:to>
      <xdr:col>0</xdr:col>
      <xdr:colOff>642542</xdr:colOff>
      <xdr:row>1</xdr:row>
      <xdr:rowOff>133350</xdr:rowOff>
    </xdr:to>
    <xdr:pic>
      <xdr:nvPicPr>
        <xdr:cNvPr id="8" name="Picture 7">
          <a:extLst>
            <a:ext uri="{FF2B5EF4-FFF2-40B4-BE49-F238E27FC236}">
              <a16:creationId xmlns:a16="http://schemas.microsoft.com/office/drawing/2014/main" xmlns="" id="{B8595CF9-B927-49F1-9EA4-12FFF9E32B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47625"/>
          <a:ext cx="594917" cy="466725"/>
        </a:xfrm>
        <a:prstGeom prst="rect">
          <a:avLst/>
        </a:prstGeom>
        <a:ln w="28575">
          <a:solidFill>
            <a:schemeClr val="tx2"/>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66677</xdr:colOff>
      <xdr:row>381</xdr:row>
      <xdr:rowOff>76339</xdr:rowOff>
    </xdr:from>
    <xdr:to>
      <xdr:col>13</xdr:col>
      <xdr:colOff>1047749</xdr:colOff>
      <xdr:row>382</xdr:row>
      <xdr:rowOff>158792</xdr:rowOff>
    </xdr:to>
    <xdr:grpSp>
      <xdr:nvGrpSpPr>
        <xdr:cNvPr id="5" name="Group 4">
          <a:extLst>
            <a:ext uri="{FF2B5EF4-FFF2-40B4-BE49-F238E27FC236}">
              <a16:creationId xmlns:a16="http://schemas.microsoft.com/office/drawing/2014/main" xmlns="" id="{ED64EE89-B184-4677-9C1D-2FC38F44308B}"/>
            </a:ext>
          </a:extLst>
        </xdr:cNvPr>
        <xdr:cNvGrpSpPr/>
      </xdr:nvGrpSpPr>
      <xdr:grpSpPr>
        <a:xfrm>
          <a:off x="8858252" y="7124839"/>
          <a:ext cx="15449547" cy="263428"/>
          <a:chOff x="9374946" y="9401776"/>
          <a:chExt cx="16406788" cy="230378"/>
        </a:xfrm>
      </xdr:grpSpPr>
      <xdr:sp macro="" textlink="">
        <xdr:nvSpPr>
          <xdr:cNvPr id="9" name="Right Brace 8">
            <a:extLst>
              <a:ext uri="{FF2B5EF4-FFF2-40B4-BE49-F238E27FC236}">
                <a16:creationId xmlns:a16="http://schemas.microsoft.com/office/drawing/2014/main" xmlns="" id="{6B28F169-58D2-44CE-A27E-C2E423DF8B24}"/>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10" name="Rectangle 9">
            <a:extLst>
              <a:ext uri="{FF2B5EF4-FFF2-40B4-BE49-F238E27FC236}">
                <a16:creationId xmlns:a16="http://schemas.microsoft.com/office/drawing/2014/main" xmlns="" id="{99F88FCA-D0E7-401E-8C92-27A7C4543587}"/>
              </a:ext>
            </a:extLst>
          </xdr:cNvPr>
          <xdr:cNvSpPr/>
        </xdr:nvSpPr>
        <xdr:spPr>
          <a:xfrm>
            <a:off x="12759417" y="9401776"/>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38100</xdr:rowOff>
    </xdr:from>
    <xdr:to>
      <xdr:col>0</xdr:col>
      <xdr:colOff>642542</xdr:colOff>
      <xdr:row>1</xdr:row>
      <xdr:rowOff>123825</xdr:rowOff>
    </xdr:to>
    <xdr:pic>
      <xdr:nvPicPr>
        <xdr:cNvPr id="6" name="Picture 5">
          <a:extLst>
            <a:ext uri="{FF2B5EF4-FFF2-40B4-BE49-F238E27FC236}">
              <a16:creationId xmlns:a16="http://schemas.microsoft.com/office/drawing/2014/main" xmlns="" id="{09618722-2584-4E6C-9030-C18916683D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66677</xdr:colOff>
      <xdr:row>386</xdr:row>
      <xdr:rowOff>76339</xdr:rowOff>
    </xdr:from>
    <xdr:to>
      <xdr:col>13</xdr:col>
      <xdr:colOff>1047749</xdr:colOff>
      <xdr:row>387</xdr:row>
      <xdr:rowOff>158792</xdr:rowOff>
    </xdr:to>
    <xdr:grpSp>
      <xdr:nvGrpSpPr>
        <xdr:cNvPr id="5" name="Group 4">
          <a:extLst>
            <a:ext uri="{FF2B5EF4-FFF2-40B4-BE49-F238E27FC236}">
              <a16:creationId xmlns:a16="http://schemas.microsoft.com/office/drawing/2014/main" xmlns="" id="{1F900114-6A3E-4ECA-97EB-4B76C1892761}"/>
            </a:ext>
          </a:extLst>
        </xdr:cNvPr>
        <xdr:cNvGrpSpPr/>
      </xdr:nvGrpSpPr>
      <xdr:grpSpPr>
        <a:xfrm>
          <a:off x="9191627" y="11334889"/>
          <a:ext cx="18792822" cy="263428"/>
          <a:chOff x="9374946" y="9401776"/>
          <a:chExt cx="16406788" cy="230378"/>
        </a:xfrm>
      </xdr:grpSpPr>
      <xdr:sp macro="" textlink="">
        <xdr:nvSpPr>
          <xdr:cNvPr id="6" name="Right Brace 5">
            <a:extLst>
              <a:ext uri="{FF2B5EF4-FFF2-40B4-BE49-F238E27FC236}">
                <a16:creationId xmlns:a16="http://schemas.microsoft.com/office/drawing/2014/main" xmlns="" id="{095111F2-2ADF-4685-84FA-EC32017BB0CE}"/>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7" name="Rectangle 6">
            <a:extLst>
              <a:ext uri="{FF2B5EF4-FFF2-40B4-BE49-F238E27FC236}">
                <a16:creationId xmlns:a16="http://schemas.microsoft.com/office/drawing/2014/main" xmlns="" id="{95AB4337-C85D-4005-A150-F4DD92E17CCE}"/>
              </a:ext>
            </a:extLst>
          </xdr:cNvPr>
          <xdr:cNvSpPr/>
        </xdr:nvSpPr>
        <xdr:spPr>
          <a:xfrm>
            <a:off x="12759417" y="9401776"/>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28575</xdr:colOff>
      <xdr:row>0</xdr:row>
      <xdr:rowOff>28575</xdr:rowOff>
    </xdr:from>
    <xdr:to>
      <xdr:col>0</xdr:col>
      <xdr:colOff>623492</xdr:colOff>
      <xdr:row>1</xdr:row>
      <xdr:rowOff>114300</xdr:rowOff>
    </xdr:to>
    <xdr:pic>
      <xdr:nvPicPr>
        <xdr:cNvPr id="8" name="Picture 7">
          <a:extLst>
            <a:ext uri="{FF2B5EF4-FFF2-40B4-BE49-F238E27FC236}">
              <a16:creationId xmlns:a16="http://schemas.microsoft.com/office/drawing/2014/main" xmlns="" id="{02D1B646-AF1F-4934-9D82-2C9B51A487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575" y="28575"/>
          <a:ext cx="594917" cy="466725"/>
        </a:xfrm>
        <a:prstGeom prst="rect">
          <a:avLst/>
        </a:prstGeom>
        <a:ln w="28575">
          <a:solidFill>
            <a:schemeClr val="tx2"/>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633017</xdr:colOff>
      <xdr:row>1</xdr:row>
      <xdr:rowOff>123825</xdr:rowOff>
    </xdr:to>
    <xdr:pic>
      <xdr:nvPicPr>
        <xdr:cNvPr id="2" name="Picture 1">
          <a:extLst>
            <a:ext uri="{FF2B5EF4-FFF2-40B4-BE49-F238E27FC236}">
              <a16:creationId xmlns:a16="http://schemas.microsoft.com/office/drawing/2014/main" xmlns="" id="{DE1089B9-6B9C-4BCD-B6E5-7971589F1F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38100"/>
          <a:ext cx="594917" cy="466725"/>
        </a:xfrm>
        <a:prstGeom prst="rect">
          <a:avLst/>
        </a:prstGeom>
        <a:ln w="28575">
          <a:solidFill>
            <a:schemeClr val="tx2"/>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633017</xdr:colOff>
      <xdr:row>1</xdr:row>
      <xdr:rowOff>123825</xdr:rowOff>
    </xdr:to>
    <xdr:pic>
      <xdr:nvPicPr>
        <xdr:cNvPr id="2" name="Picture 1">
          <a:extLst>
            <a:ext uri="{FF2B5EF4-FFF2-40B4-BE49-F238E27FC236}">
              <a16:creationId xmlns:a16="http://schemas.microsoft.com/office/drawing/2014/main" xmlns="" id="{3DAE615C-BB52-4428-8278-08013625E9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38100"/>
          <a:ext cx="594917" cy="466725"/>
        </a:xfrm>
        <a:prstGeom prst="rect">
          <a:avLst/>
        </a:prstGeom>
        <a:ln w="28575">
          <a:solidFill>
            <a:schemeClr val="tx2"/>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642542</xdr:colOff>
      <xdr:row>1</xdr:row>
      <xdr:rowOff>123825</xdr:rowOff>
    </xdr:to>
    <xdr:pic>
      <xdr:nvPicPr>
        <xdr:cNvPr id="2" name="Picture 1">
          <a:extLst>
            <a:ext uri="{FF2B5EF4-FFF2-40B4-BE49-F238E27FC236}">
              <a16:creationId xmlns:a16="http://schemas.microsoft.com/office/drawing/2014/main" xmlns="" id="{6C29EB47-210E-488B-982B-E4A40FDECF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333374</xdr:colOff>
      <xdr:row>31</xdr:row>
      <xdr:rowOff>38098</xdr:rowOff>
    </xdr:from>
    <xdr:to>
      <xdr:col>3</xdr:col>
      <xdr:colOff>2790149</xdr:colOff>
      <xdr:row>54</xdr:row>
      <xdr:rowOff>161924</xdr:rowOff>
    </xdr:to>
    <xdr:graphicFrame macro="">
      <xdr:nvGraphicFramePr>
        <xdr:cNvPr id="2" name="Chart 1">
          <a:extLst>
            <a:ext uri="{FF2B5EF4-FFF2-40B4-BE49-F238E27FC236}">
              <a16:creationId xmlns:a16="http://schemas.microsoft.com/office/drawing/2014/main" xmlns="" id="{4F90EB5D-72DC-43A9-BC5C-B682FDFF342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2838450</xdr:colOff>
      <xdr:row>31</xdr:row>
      <xdr:rowOff>33337</xdr:rowOff>
    </xdr:from>
    <xdr:to>
      <xdr:col>7</xdr:col>
      <xdr:colOff>199350</xdr:colOff>
      <xdr:row>54</xdr:row>
      <xdr:rowOff>142875</xdr:rowOff>
    </xdr:to>
    <xdr:graphicFrame macro="">
      <xdr:nvGraphicFramePr>
        <xdr:cNvPr id="4" name="Chart 3">
          <a:extLst>
            <a:ext uri="{FF2B5EF4-FFF2-40B4-BE49-F238E27FC236}">
              <a16:creationId xmlns:a16="http://schemas.microsoft.com/office/drawing/2014/main" xmlns="" id="{2068B13C-896E-4EEE-90C2-9A05060D2AB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295275</xdr:colOff>
      <xdr:row>31</xdr:row>
      <xdr:rowOff>33336</xdr:rowOff>
    </xdr:from>
    <xdr:to>
      <xdr:col>11</xdr:col>
      <xdr:colOff>170775</xdr:colOff>
      <xdr:row>54</xdr:row>
      <xdr:rowOff>161924</xdr:rowOff>
    </xdr:to>
    <xdr:graphicFrame macro="">
      <xdr:nvGraphicFramePr>
        <xdr:cNvPr id="5" name="Chart 4">
          <a:extLst>
            <a:ext uri="{FF2B5EF4-FFF2-40B4-BE49-F238E27FC236}">
              <a16:creationId xmlns:a16="http://schemas.microsoft.com/office/drawing/2014/main" xmlns="" id="{F2D982D5-AA29-460C-8C5E-6282C63D48F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342900</xdr:colOff>
      <xdr:row>31</xdr:row>
      <xdr:rowOff>28575</xdr:rowOff>
    </xdr:from>
    <xdr:to>
      <xdr:col>15</xdr:col>
      <xdr:colOff>218400</xdr:colOff>
      <xdr:row>54</xdr:row>
      <xdr:rowOff>152400</xdr:rowOff>
    </xdr:to>
    <xdr:graphicFrame macro="">
      <xdr:nvGraphicFramePr>
        <xdr:cNvPr id="6" name="Chart 5">
          <a:extLst>
            <a:ext uri="{FF2B5EF4-FFF2-40B4-BE49-F238E27FC236}">
              <a16:creationId xmlns:a16="http://schemas.microsoft.com/office/drawing/2014/main" xmlns="" id="{588FE052-16BC-499F-89B6-E3A1254D37B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377825</xdr:colOff>
      <xdr:row>120</xdr:row>
      <xdr:rowOff>11113</xdr:rowOff>
    </xdr:from>
    <xdr:to>
      <xdr:col>3</xdr:col>
      <xdr:colOff>2479794</xdr:colOff>
      <xdr:row>140</xdr:row>
      <xdr:rowOff>18419</xdr:rowOff>
    </xdr:to>
    <xdr:graphicFrame macro="">
      <xdr:nvGraphicFramePr>
        <xdr:cNvPr id="10" name="Chart 9">
          <a:extLst>
            <a:ext uri="{FF2B5EF4-FFF2-40B4-BE49-F238E27FC236}">
              <a16:creationId xmlns:a16="http://schemas.microsoft.com/office/drawing/2014/main" xmlns="" id="{4829DB00-FFEB-40F3-8796-3D42E1EF61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2613421</xdr:colOff>
      <xdr:row>119</xdr:row>
      <xdr:rowOff>158352</xdr:rowOff>
    </xdr:from>
    <xdr:to>
      <xdr:col>6</xdr:col>
      <xdr:colOff>988219</xdr:colOff>
      <xdr:row>140</xdr:row>
      <xdr:rowOff>11905</xdr:rowOff>
    </xdr:to>
    <xdr:graphicFrame macro="">
      <xdr:nvGraphicFramePr>
        <xdr:cNvPr id="11" name="Chart 10">
          <a:extLst>
            <a:ext uri="{FF2B5EF4-FFF2-40B4-BE49-F238E27FC236}">
              <a16:creationId xmlns:a16="http://schemas.microsoft.com/office/drawing/2014/main" xmlns="" id="{7BEAC2EC-D3C3-4E0C-8F53-6D1CB4F5B1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1113234</xdr:colOff>
      <xdr:row>119</xdr:row>
      <xdr:rowOff>158353</xdr:rowOff>
    </xdr:from>
    <xdr:to>
      <xdr:col>10</xdr:col>
      <xdr:colOff>1262062</xdr:colOff>
      <xdr:row>139</xdr:row>
      <xdr:rowOff>166686</xdr:rowOff>
    </xdr:to>
    <xdr:graphicFrame macro="">
      <xdr:nvGraphicFramePr>
        <xdr:cNvPr id="12" name="Chart 11">
          <a:extLst>
            <a:ext uri="{FF2B5EF4-FFF2-40B4-BE49-F238E27FC236}">
              <a16:creationId xmlns:a16="http://schemas.microsoft.com/office/drawing/2014/main" xmlns="" id="{496F675E-71F2-4D7D-8FE2-8983A27D7F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375394</xdr:colOff>
      <xdr:row>141</xdr:row>
      <xdr:rowOff>1118</xdr:rowOff>
    </xdr:from>
    <xdr:to>
      <xdr:col>3</xdr:col>
      <xdr:colOff>2465294</xdr:colOff>
      <xdr:row>161</xdr:row>
      <xdr:rowOff>134471</xdr:rowOff>
    </xdr:to>
    <xdr:graphicFrame macro="">
      <xdr:nvGraphicFramePr>
        <xdr:cNvPr id="17" name="Chart 16">
          <a:extLst>
            <a:ext uri="{FF2B5EF4-FFF2-40B4-BE49-F238E27FC236}">
              <a16:creationId xmlns:a16="http://schemas.microsoft.com/office/drawing/2014/main" xmlns="" id="{26E0E649-91A2-4271-81D0-39F76F3657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2594158</xdr:colOff>
      <xdr:row>141</xdr:row>
      <xdr:rowOff>1119</xdr:rowOff>
    </xdr:from>
    <xdr:to>
      <xdr:col>7</xdr:col>
      <xdr:colOff>605117</xdr:colOff>
      <xdr:row>161</xdr:row>
      <xdr:rowOff>134471</xdr:rowOff>
    </xdr:to>
    <xdr:graphicFrame macro="">
      <xdr:nvGraphicFramePr>
        <xdr:cNvPr id="18" name="Chart 17">
          <a:extLst>
            <a:ext uri="{FF2B5EF4-FFF2-40B4-BE49-F238E27FC236}">
              <a16:creationId xmlns:a16="http://schemas.microsoft.com/office/drawing/2014/main" xmlns="" id="{27FC6461-70F7-4046-A8E5-19F4AA8F2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745189</xdr:colOff>
      <xdr:row>141</xdr:row>
      <xdr:rowOff>1120</xdr:rowOff>
    </xdr:from>
    <xdr:to>
      <xdr:col>12</xdr:col>
      <xdr:colOff>257735</xdr:colOff>
      <xdr:row>161</xdr:row>
      <xdr:rowOff>145677</xdr:rowOff>
    </xdr:to>
    <xdr:graphicFrame macro="">
      <xdr:nvGraphicFramePr>
        <xdr:cNvPr id="19" name="Chart 18">
          <a:extLst>
            <a:ext uri="{FF2B5EF4-FFF2-40B4-BE49-F238E27FC236}">
              <a16:creationId xmlns:a16="http://schemas.microsoft.com/office/drawing/2014/main" xmlns="" id="{D4464337-6236-4405-B743-7588B2BBA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375395</xdr:colOff>
      <xdr:row>162</xdr:row>
      <xdr:rowOff>146798</xdr:rowOff>
    </xdr:from>
    <xdr:to>
      <xdr:col>3</xdr:col>
      <xdr:colOff>2454087</xdr:colOff>
      <xdr:row>183</xdr:row>
      <xdr:rowOff>0</xdr:rowOff>
    </xdr:to>
    <xdr:graphicFrame macro="">
      <xdr:nvGraphicFramePr>
        <xdr:cNvPr id="20" name="Chart 19">
          <a:extLst>
            <a:ext uri="{FF2B5EF4-FFF2-40B4-BE49-F238E27FC236}">
              <a16:creationId xmlns:a16="http://schemas.microsoft.com/office/drawing/2014/main" xmlns="" id="{F44CBC13-C683-4131-9482-6B2A3C10F0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2616573</xdr:colOff>
      <xdr:row>162</xdr:row>
      <xdr:rowOff>146796</xdr:rowOff>
    </xdr:from>
    <xdr:to>
      <xdr:col>7</xdr:col>
      <xdr:colOff>627529</xdr:colOff>
      <xdr:row>183</xdr:row>
      <xdr:rowOff>22411</xdr:rowOff>
    </xdr:to>
    <xdr:graphicFrame macro="">
      <xdr:nvGraphicFramePr>
        <xdr:cNvPr id="21" name="Chart 20">
          <a:extLst>
            <a:ext uri="{FF2B5EF4-FFF2-40B4-BE49-F238E27FC236}">
              <a16:creationId xmlns:a16="http://schemas.microsoft.com/office/drawing/2014/main" xmlns="" id="{A71CB780-904B-47FC-BB8E-EF066F26A0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745188</xdr:colOff>
      <xdr:row>162</xdr:row>
      <xdr:rowOff>146797</xdr:rowOff>
    </xdr:from>
    <xdr:to>
      <xdr:col>12</xdr:col>
      <xdr:colOff>1243852</xdr:colOff>
      <xdr:row>183</xdr:row>
      <xdr:rowOff>11206</xdr:rowOff>
    </xdr:to>
    <xdr:graphicFrame macro="">
      <xdr:nvGraphicFramePr>
        <xdr:cNvPr id="22" name="Chart 21">
          <a:extLst>
            <a:ext uri="{FF2B5EF4-FFF2-40B4-BE49-F238E27FC236}">
              <a16:creationId xmlns:a16="http://schemas.microsoft.com/office/drawing/2014/main" xmlns="" id="{950F4BB2-EF49-4835-980E-2BCC1910AA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47625</xdr:colOff>
      <xdr:row>0</xdr:row>
      <xdr:rowOff>38100</xdr:rowOff>
    </xdr:from>
    <xdr:to>
      <xdr:col>0</xdr:col>
      <xdr:colOff>642542</xdr:colOff>
      <xdr:row>1</xdr:row>
      <xdr:rowOff>123825</xdr:rowOff>
    </xdr:to>
    <xdr:pic>
      <xdr:nvPicPr>
        <xdr:cNvPr id="15" name="Picture 14">
          <a:extLst>
            <a:ext uri="{FF2B5EF4-FFF2-40B4-BE49-F238E27FC236}">
              <a16:creationId xmlns:a16="http://schemas.microsoft.com/office/drawing/2014/main" xmlns="" id="{C9FF6135-873F-4029-A45B-43FF6A6749E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182563</xdr:rowOff>
    </xdr:from>
    <xdr:to>
      <xdr:col>7</xdr:col>
      <xdr:colOff>607316</xdr:colOff>
      <xdr:row>51</xdr:row>
      <xdr:rowOff>85852</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a:stretch>
          <a:fillRect/>
        </a:stretch>
      </xdr:blipFill>
      <xdr:spPr>
        <a:xfrm>
          <a:off x="5991225" y="1725613"/>
          <a:ext cx="3674366" cy="7475664"/>
        </a:xfrm>
        <a:prstGeom prst="rect">
          <a:avLst/>
        </a:prstGeom>
      </xdr:spPr>
    </xdr:pic>
    <xdr:clientData/>
  </xdr:twoCellAnchor>
  <xdr:twoCellAnchor editAs="oneCell">
    <xdr:from>
      <xdr:col>0</xdr:col>
      <xdr:colOff>33732</xdr:colOff>
      <xdr:row>0</xdr:row>
      <xdr:rowOff>28575</xdr:rowOff>
    </xdr:from>
    <xdr:to>
      <xdr:col>0</xdr:col>
      <xdr:colOff>628649</xdr:colOff>
      <xdr:row>1</xdr:row>
      <xdr:rowOff>76200</xdr:rowOff>
    </xdr:to>
    <xdr:pic>
      <xdr:nvPicPr>
        <xdr:cNvPr id="3" name="Picture 2">
          <a:extLst>
            <a:ext uri="{FF2B5EF4-FFF2-40B4-BE49-F238E27FC236}">
              <a16:creationId xmlns:a16="http://schemas.microsoft.com/office/drawing/2014/main" xmlns="" id="{4A9E999D-6965-4A8B-BD39-152803C104F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732" y="28575"/>
          <a:ext cx="594917" cy="466725"/>
        </a:xfrm>
        <a:prstGeom prst="rect">
          <a:avLst/>
        </a:prstGeom>
        <a:ln w="28575">
          <a:solidFill>
            <a:schemeClr val="tx2"/>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85</xdr:row>
      <xdr:rowOff>0</xdr:rowOff>
    </xdr:from>
    <xdr:to>
      <xdr:col>3</xdr:col>
      <xdr:colOff>2018625</xdr:colOff>
      <xdr:row>107</xdr:row>
      <xdr:rowOff>152400</xdr:rowOff>
    </xdr:to>
    <xdr:graphicFrame macro="">
      <xdr:nvGraphicFramePr>
        <xdr:cNvPr id="3" name="Chart 2">
          <a:extLst>
            <a:ext uri="{FF2B5EF4-FFF2-40B4-BE49-F238E27FC236}">
              <a16:creationId xmlns:a16="http://schemas.microsoft.com/office/drawing/2014/main" xmlns="" id="{67E7D2BE-467D-4D9B-9DD8-10F49978CB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30</xdr:row>
      <xdr:rowOff>147636</xdr:rowOff>
    </xdr:from>
    <xdr:to>
      <xdr:col>3</xdr:col>
      <xdr:colOff>2757675</xdr:colOff>
      <xdr:row>57</xdr:row>
      <xdr:rowOff>104774</xdr:rowOff>
    </xdr:to>
    <xdr:graphicFrame macro="">
      <xdr:nvGraphicFramePr>
        <xdr:cNvPr id="4" name="Chart 1">
          <a:extLst>
            <a:ext uri="{FF2B5EF4-FFF2-40B4-BE49-F238E27FC236}">
              <a16:creationId xmlns:a16="http://schemas.microsoft.com/office/drawing/2014/main" xmlns="" id="{C4599A0A-F2D0-418B-93A2-05F8B5796A8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2900361</xdr:colOff>
      <xdr:row>30</xdr:row>
      <xdr:rowOff>138112</xdr:rowOff>
    </xdr:from>
    <xdr:to>
      <xdr:col>7</xdr:col>
      <xdr:colOff>523874</xdr:colOff>
      <xdr:row>57</xdr:row>
      <xdr:rowOff>104775</xdr:rowOff>
    </xdr:to>
    <xdr:graphicFrame macro="">
      <xdr:nvGraphicFramePr>
        <xdr:cNvPr id="5" name="Chart 4">
          <a:extLst>
            <a:ext uri="{FF2B5EF4-FFF2-40B4-BE49-F238E27FC236}">
              <a16:creationId xmlns:a16="http://schemas.microsoft.com/office/drawing/2014/main" xmlns="" id="{4821C89E-2AB6-412C-A14C-63CB99BBA2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661987</xdr:colOff>
      <xdr:row>30</xdr:row>
      <xdr:rowOff>138112</xdr:rowOff>
    </xdr:from>
    <xdr:to>
      <xdr:col>12</xdr:col>
      <xdr:colOff>0</xdr:colOff>
      <xdr:row>57</xdr:row>
      <xdr:rowOff>85725</xdr:rowOff>
    </xdr:to>
    <xdr:graphicFrame macro="">
      <xdr:nvGraphicFramePr>
        <xdr:cNvPr id="6" name="Chart 5">
          <a:extLst>
            <a:ext uri="{FF2B5EF4-FFF2-40B4-BE49-F238E27FC236}">
              <a16:creationId xmlns:a16="http://schemas.microsoft.com/office/drawing/2014/main" xmlns="" id="{4D65E870-CE67-4C17-9BCF-ECFE7BF917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2133598</xdr:colOff>
      <xdr:row>85</xdr:row>
      <xdr:rowOff>4762</xdr:rowOff>
    </xdr:from>
    <xdr:to>
      <xdr:col>6</xdr:col>
      <xdr:colOff>875623</xdr:colOff>
      <xdr:row>107</xdr:row>
      <xdr:rowOff>152400</xdr:rowOff>
    </xdr:to>
    <xdr:graphicFrame macro="">
      <xdr:nvGraphicFramePr>
        <xdr:cNvPr id="7" name="Chart 6">
          <a:extLst>
            <a:ext uri="{FF2B5EF4-FFF2-40B4-BE49-F238E27FC236}">
              <a16:creationId xmlns:a16="http://schemas.microsoft.com/office/drawing/2014/main" xmlns="" id="{813E8B19-1F28-46D6-A5D7-295F4C657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981075</xdr:colOff>
      <xdr:row>85</xdr:row>
      <xdr:rowOff>14286</xdr:rowOff>
    </xdr:from>
    <xdr:to>
      <xdr:col>10</xdr:col>
      <xdr:colOff>856575</xdr:colOff>
      <xdr:row>107</xdr:row>
      <xdr:rowOff>152399</xdr:rowOff>
    </xdr:to>
    <xdr:graphicFrame macro="">
      <xdr:nvGraphicFramePr>
        <xdr:cNvPr id="8" name="Chart 7">
          <a:extLst>
            <a:ext uri="{FF2B5EF4-FFF2-40B4-BE49-F238E27FC236}">
              <a16:creationId xmlns:a16="http://schemas.microsoft.com/office/drawing/2014/main" xmlns="" id="{C64FFDCF-D9EB-4A87-8D18-5C2F4518B1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962025</xdr:colOff>
      <xdr:row>85</xdr:row>
      <xdr:rowOff>14287</xdr:rowOff>
    </xdr:from>
    <xdr:to>
      <xdr:col>14</xdr:col>
      <xdr:colOff>837525</xdr:colOff>
      <xdr:row>108</xdr:row>
      <xdr:rowOff>0</xdr:rowOff>
    </xdr:to>
    <xdr:graphicFrame macro="">
      <xdr:nvGraphicFramePr>
        <xdr:cNvPr id="9" name="Chart 8">
          <a:extLst>
            <a:ext uri="{FF2B5EF4-FFF2-40B4-BE49-F238E27FC236}">
              <a16:creationId xmlns:a16="http://schemas.microsoft.com/office/drawing/2014/main" xmlns="" id="{576B46DE-42C5-4DA4-9027-EB5BFDB149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38100</xdr:rowOff>
    </xdr:from>
    <xdr:to>
      <xdr:col>0</xdr:col>
      <xdr:colOff>633017</xdr:colOff>
      <xdr:row>1</xdr:row>
      <xdr:rowOff>123825</xdr:rowOff>
    </xdr:to>
    <xdr:pic>
      <xdr:nvPicPr>
        <xdr:cNvPr id="10" name="Picture 9">
          <a:extLst>
            <a:ext uri="{FF2B5EF4-FFF2-40B4-BE49-F238E27FC236}">
              <a16:creationId xmlns:a16="http://schemas.microsoft.com/office/drawing/2014/main" xmlns="" id="{51AB7C96-C391-48E4-89FA-EB78DD2B536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8100" y="38100"/>
          <a:ext cx="594917" cy="466725"/>
        </a:xfrm>
        <a:prstGeom prst="rect">
          <a:avLst/>
        </a:prstGeom>
        <a:ln w="28575">
          <a:solidFill>
            <a:schemeClr val="tx2"/>
          </a:solidFill>
        </a:ln>
      </xdr:spPr>
    </xdr:pic>
    <xdr:clientData/>
  </xdr:twoCellAnchor>
</xdr:wsDr>
</file>

<file path=xl/drawings/drawing21.xml><?xml version="1.0" encoding="utf-8"?>
<c:userShapes xmlns:c="http://schemas.openxmlformats.org/drawingml/2006/chart">
  <cdr:relSizeAnchor xmlns:cdr="http://schemas.openxmlformats.org/drawingml/2006/chartDrawing">
    <cdr:from>
      <cdr:x>0.27756</cdr:x>
      <cdr:y>0.52659</cdr:y>
    </cdr:from>
    <cdr:to>
      <cdr:x>0.86797</cdr:x>
      <cdr:y>0.70775</cdr:y>
    </cdr:to>
    <cdr:sp macro="" textlink="">
      <cdr:nvSpPr>
        <cdr:cNvPr id="2" name="Rectangle: Rounded Corners 1">
          <a:extLst xmlns:a="http://schemas.openxmlformats.org/drawingml/2006/main">
            <a:ext uri="{FF2B5EF4-FFF2-40B4-BE49-F238E27FC236}">
              <a16:creationId xmlns:a16="http://schemas.microsoft.com/office/drawing/2014/main" xmlns="" id="{FF06CD5B-CEE9-47E0-99D0-C04D7AE492DB}"/>
            </a:ext>
          </a:extLst>
        </cdr:cNvPr>
        <cdr:cNvSpPr/>
      </cdr:nvSpPr>
      <cdr:spPr>
        <a:xfrm xmlns:a="http://schemas.openxmlformats.org/drawingml/2006/main" rot="20527721">
          <a:off x="1571706" y="2284696"/>
          <a:ext cx="3343275" cy="785967"/>
        </a:xfrm>
        <a:prstGeom xmlns:a="http://schemas.openxmlformats.org/drawingml/2006/main" prst="roundRect">
          <a:avLst/>
        </a:prstGeom>
        <a:ln xmlns:a="http://schemas.openxmlformats.org/drawingml/2006/mai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en-US" sz="1000" b="1">
              <a:solidFill>
                <a:schemeClr val="accent2">
                  <a:lumMod val="75000"/>
                </a:schemeClr>
              </a:solidFill>
              <a:latin typeface="Arial" panose="020B0604020202020204" pitchFamily="34" charset="0"/>
              <a:cs typeface="Arial" panose="020B0604020202020204" pitchFamily="34" charset="0"/>
            </a:rPr>
            <a:t>Note</a:t>
          </a:r>
          <a:r>
            <a:rPr lang="en-US" sz="1000" b="1">
              <a:solidFill>
                <a:schemeClr val="tx1"/>
              </a:solidFill>
              <a:latin typeface="Arial" panose="020B0604020202020204" pitchFamily="34" charset="0"/>
              <a:cs typeface="Arial" panose="020B0604020202020204" pitchFamily="34" charset="0"/>
            </a:rPr>
            <a:t>: </a:t>
          </a:r>
          <a:r>
            <a:rPr lang="en-US" sz="1000" b="0">
              <a:solidFill>
                <a:schemeClr val="tx1"/>
              </a:solidFill>
              <a:latin typeface="Arial" panose="020B0604020202020204" pitchFamily="34" charset="0"/>
              <a:cs typeface="Arial" panose="020B0604020202020204" pitchFamily="34" charset="0"/>
            </a:rPr>
            <a:t>In worst</a:t>
          </a:r>
          <a:r>
            <a:rPr lang="en-US" sz="1000" b="0" baseline="0">
              <a:solidFill>
                <a:schemeClr val="tx1"/>
              </a:solidFill>
              <a:latin typeface="Arial" panose="020B0604020202020204" pitchFamily="34" charset="0"/>
              <a:cs typeface="Arial" panose="020B0604020202020204" pitchFamily="34" charset="0"/>
            </a:rPr>
            <a:t> case, there may be no change from pSystems (Base Case) to hSystems &amp; eSystems. If this is the situation, then the graph series plot lines will overlay each other</a:t>
          </a:r>
          <a:endParaRPr lang="en-US" sz="1000" b="0">
            <a:solidFill>
              <a:schemeClr val="tx1"/>
            </a:solidFill>
            <a:latin typeface="Arial" panose="020B0604020202020204" pitchFamily="34" charset="0"/>
            <a:cs typeface="Arial" panose="020B060402020202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9525</xdr:colOff>
      <xdr:row>61</xdr:row>
      <xdr:rowOff>152400</xdr:rowOff>
    </xdr:from>
    <xdr:to>
      <xdr:col>2</xdr:col>
      <xdr:colOff>3295362</xdr:colOff>
      <xdr:row>73</xdr:row>
      <xdr:rowOff>94965</xdr:rowOff>
    </xdr:to>
    <xdr:grpSp>
      <xdr:nvGrpSpPr>
        <xdr:cNvPr id="2" name="Group 1">
          <a:extLst>
            <a:ext uri="{FF2B5EF4-FFF2-40B4-BE49-F238E27FC236}">
              <a16:creationId xmlns:a16="http://schemas.microsoft.com/office/drawing/2014/main" xmlns="" id="{AA8B4660-46EA-4AB6-8D0E-FFD053D3C535}"/>
            </a:ext>
          </a:extLst>
        </xdr:cNvPr>
        <xdr:cNvGrpSpPr/>
      </xdr:nvGrpSpPr>
      <xdr:grpSpPr>
        <a:xfrm>
          <a:off x="3390900" y="17059275"/>
          <a:ext cx="3666837" cy="2276190"/>
          <a:chOff x="3390900" y="21135975"/>
          <a:chExt cx="5600412" cy="2276190"/>
        </a:xfrm>
      </xdr:grpSpPr>
      <xdr:pic>
        <xdr:nvPicPr>
          <xdr:cNvPr id="3" name="Picture 2">
            <a:extLst>
              <a:ext uri="{FF2B5EF4-FFF2-40B4-BE49-F238E27FC236}">
                <a16:creationId xmlns:a16="http://schemas.microsoft.com/office/drawing/2014/main" xmlns="" id="{391E48B5-E7F4-4D1E-8FFF-5C862C1C09BA}"/>
              </a:ext>
            </a:extLst>
          </xdr:cNvPr>
          <xdr:cNvPicPr>
            <a:picLocks noChangeAspect="1"/>
          </xdr:cNvPicPr>
        </xdr:nvPicPr>
        <xdr:blipFill>
          <a:blip xmlns:r="http://schemas.openxmlformats.org/officeDocument/2006/relationships" r:embed="rId1"/>
          <a:stretch>
            <a:fillRect/>
          </a:stretch>
        </xdr:blipFill>
        <xdr:spPr>
          <a:xfrm>
            <a:off x="6686550" y="21831300"/>
            <a:ext cx="2304762" cy="733333"/>
          </a:xfrm>
          <a:prstGeom prst="rect">
            <a:avLst/>
          </a:prstGeom>
        </xdr:spPr>
      </xdr:pic>
      <xdr:grpSp>
        <xdr:nvGrpSpPr>
          <xdr:cNvPr id="4" name="Group 3">
            <a:extLst>
              <a:ext uri="{FF2B5EF4-FFF2-40B4-BE49-F238E27FC236}">
                <a16:creationId xmlns:a16="http://schemas.microsoft.com/office/drawing/2014/main" xmlns="" id="{87FCDD13-1FB6-4F53-A455-BA417091DAC4}"/>
              </a:ext>
            </a:extLst>
          </xdr:cNvPr>
          <xdr:cNvGrpSpPr/>
        </xdr:nvGrpSpPr>
        <xdr:grpSpPr>
          <a:xfrm>
            <a:off x="3390900" y="21135975"/>
            <a:ext cx="5219700" cy="2276190"/>
            <a:chOff x="5829300" y="21088350"/>
            <a:chExt cx="5219700" cy="2276190"/>
          </a:xfrm>
        </xdr:grpSpPr>
        <xdr:pic>
          <xdr:nvPicPr>
            <xdr:cNvPr id="5" name="Picture 4">
              <a:extLst>
                <a:ext uri="{FF2B5EF4-FFF2-40B4-BE49-F238E27FC236}">
                  <a16:creationId xmlns:a16="http://schemas.microsoft.com/office/drawing/2014/main" xmlns="" id="{80B0617A-1A77-4704-8BBC-4A02B0BE4CDE}"/>
                </a:ext>
              </a:extLst>
            </xdr:cNvPr>
            <xdr:cNvPicPr>
              <a:picLocks noChangeAspect="1"/>
            </xdr:cNvPicPr>
          </xdr:nvPicPr>
          <xdr:blipFill>
            <a:blip xmlns:r="http://schemas.openxmlformats.org/officeDocument/2006/relationships" r:embed="rId2"/>
            <a:stretch>
              <a:fillRect/>
            </a:stretch>
          </xdr:blipFill>
          <xdr:spPr>
            <a:xfrm>
              <a:off x="5829300" y="21088350"/>
              <a:ext cx="2923809" cy="2276190"/>
            </a:xfrm>
            <a:prstGeom prst="rect">
              <a:avLst/>
            </a:prstGeom>
          </xdr:spPr>
        </xdr:pic>
        <xdr:sp macro="" textlink="">
          <xdr:nvSpPr>
            <xdr:cNvPr id="6" name="Oval 5">
              <a:extLst>
                <a:ext uri="{FF2B5EF4-FFF2-40B4-BE49-F238E27FC236}">
                  <a16:creationId xmlns:a16="http://schemas.microsoft.com/office/drawing/2014/main" xmlns="" id="{04F42445-D2CB-4FF5-9C3B-D40839416020}"/>
                </a:ext>
              </a:extLst>
            </xdr:cNvPr>
            <xdr:cNvSpPr/>
          </xdr:nvSpPr>
          <xdr:spPr>
            <a:xfrm>
              <a:off x="5905500" y="21202650"/>
              <a:ext cx="1495425" cy="723901"/>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sp macro="" textlink="">
          <xdr:nvSpPr>
            <xdr:cNvPr id="7" name="Oval 6">
              <a:extLst>
                <a:ext uri="{FF2B5EF4-FFF2-40B4-BE49-F238E27FC236}">
                  <a16:creationId xmlns:a16="http://schemas.microsoft.com/office/drawing/2014/main" xmlns="" id="{FB4D3CED-B1AA-446B-BA01-2256DF7C5C64}"/>
                </a:ext>
              </a:extLst>
            </xdr:cNvPr>
            <xdr:cNvSpPr/>
          </xdr:nvSpPr>
          <xdr:spPr>
            <a:xfrm>
              <a:off x="9553575" y="21745575"/>
              <a:ext cx="1495425" cy="723901"/>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grpSp>
    </xdr:grpSp>
    <xdr:clientData/>
  </xdr:twoCellAnchor>
  <xdr:twoCellAnchor>
    <xdr:from>
      <xdr:col>1</xdr:col>
      <xdr:colOff>0</xdr:colOff>
      <xdr:row>15</xdr:row>
      <xdr:rowOff>0</xdr:rowOff>
    </xdr:from>
    <xdr:to>
      <xdr:col>3</xdr:col>
      <xdr:colOff>1265955</xdr:colOff>
      <xdr:row>22</xdr:row>
      <xdr:rowOff>142715</xdr:rowOff>
    </xdr:to>
    <xdr:grpSp>
      <xdr:nvGrpSpPr>
        <xdr:cNvPr id="8" name="Group 7">
          <a:extLst>
            <a:ext uri="{FF2B5EF4-FFF2-40B4-BE49-F238E27FC236}">
              <a16:creationId xmlns:a16="http://schemas.microsoft.com/office/drawing/2014/main" xmlns="" id="{6B5699C4-9EFB-44A6-9F7C-7064721638A1}"/>
            </a:ext>
          </a:extLst>
        </xdr:cNvPr>
        <xdr:cNvGrpSpPr/>
      </xdr:nvGrpSpPr>
      <xdr:grpSpPr>
        <a:xfrm>
          <a:off x="3381375" y="7600950"/>
          <a:ext cx="5028330" cy="1276190"/>
          <a:chOff x="3381375" y="6410325"/>
          <a:chExt cx="6961905" cy="1276190"/>
        </a:xfrm>
      </xdr:grpSpPr>
      <xdr:pic>
        <xdr:nvPicPr>
          <xdr:cNvPr id="9" name="Picture 8">
            <a:extLst>
              <a:ext uri="{FF2B5EF4-FFF2-40B4-BE49-F238E27FC236}">
                <a16:creationId xmlns:a16="http://schemas.microsoft.com/office/drawing/2014/main" xmlns="" id="{A43D5C1D-1D04-4DB6-8E94-FE883B261D40}"/>
              </a:ext>
            </a:extLst>
          </xdr:cNvPr>
          <xdr:cNvPicPr>
            <a:picLocks noChangeAspect="1"/>
          </xdr:cNvPicPr>
        </xdr:nvPicPr>
        <xdr:blipFill>
          <a:blip xmlns:r="http://schemas.openxmlformats.org/officeDocument/2006/relationships" r:embed="rId3"/>
          <a:stretch>
            <a:fillRect/>
          </a:stretch>
        </xdr:blipFill>
        <xdr:spPr>
          <a:xfrm>
            <a:off x="3381375" y="6410325"/>
            <a:ext cx="6961905" cy="1276190"/>
          </a:xfrm>
          <a:prstGeom prst="rect">
            <a:avLst/>
          </a:prstGeom>
          <a:ln>
            <a:solidFill>
              <a:schemeClr val="accent5">
                <a:lumMod val="75000"/>
              </a:schemeClr>
            </a:solidFill>
          </a:ln>
        </xdr:spPr>
      </xdr:pic>
      <xdr:sp macro="" textlink="">
        <xdr:nvSpPr>
          <xdr:cNvPr id="10" name="Oval 9">
            <a:extLst>
              <a:ext uri="{FF2B5EF4-FFF2-40B4-BE49-F238E27FC236}">
                <a16:creationId xmlns:a16="http://schemas.microsoft.com/office/drawing/2014/main" xmlns="" id="{6087EBDE-A424-44E9-9AEF-A0213B1FDC20}"/>
              </a:ext>
            </a:extLst>
          </xdr:cNvPr>
          <xdr:cNvSpPr/>
        </xdr:nvSpPr>
        <xdr:spPr>
          <a:xfrm>
            <a:off x="8343900" y="6705600"/>
            <a:ext cx="600075" cy="847725"/>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grpSp>
    <xdr:clientData/>
  </xdr:twoCellAnchor>
  <xdr:twoCellAnchor editAs="oneCell">
    <xdr:from>
      <xdr:col>0</xdr:col>
      <xdr:colOff>3362325</xdr:colOff>
      <xdr:row>24</xdr:row>
      <xdr:rowOff>19050</xdr:rowOff>
    </xdr:from>
    <xdr:to>
      <xdr:col>4</xdr:col>
      <xdr:colOff>817080</xdr:colOff>
      <xdr:row>57</xdr:row>
      <xdr:rowOff>75431</xdr:rowOff>
    </xdr:to>
    <xdr:pic>
      <xdr:nvPicPr>
        <xdr:cNvPr id="11" name="Picture 10">
          <a:extLst>
            <a:ext uri="{FF2B5EF4-FFF2-40B4-BE49-F238E27FC236}">
              <a16:creationId xmlns:a16="http://schemas.microsoft.com/office/drawing/2014/main" xmlns="" id="{1806CCD1-DA6D-466E-A0BA-37BF9B5B8EC1}"/>
            </a:ext>
          </a:extLst>
        </xdr:cNvPr>
        <xdr:cNvPicPr>
          <a:picLocks noChangeAspect="1"/>
        </xdr:cNvPicPr>
      </xdr:nvPicPr>
      <xdr:blipFill>
        <a:blip xmlns:r="http://schemas.openxmlformats.org/officeDocument/2006/relationships" r:embed="rId4"/>
        <a:stretch>
          <a:fillRect/>
        </a:stretch>
      </xdr:blipFill>
      <xdr:spPr>
        <a:xfrm>
          <a:off x="3362325" y="13801725"/>
          <a:ext cx="6979755" cy="5399906"/>
        </a:xfrm>
        <a:prstGeom prst="rect">
          <a:avLst/>
        </a:prstGeom>
        <a:ln>
          <a:solidFill>
            <a:schemeClr val="accent5">
              <a:lumMod val="75000"/>
            </a:schemeClr>
          </a:solidFill>
        </a:ln>
      </xdr:spPr>
    </xdr:pic>
    <xdr:clientData/>
  </xdr:twoCellAnchor>
  <xdr:twoCellAnchor>
    <xdr:from>
      <xdr:col>2</xdr:col>
      <xdr:colOff>2495550</xdr:colOff>
      <xdr:row>10</xdr:row>
      <xdr:rowOff>1885950</xdr:rowOff>
    </xdr:from>
    <xdr:to>
      <xdr:col>3</xdr:col>
      <xdr:colOff>1018937</xdr:colOff>
      <xdr:row>10</xdr:row>
      <xdr:rowOff>2247855</xdr:rowOff>
    </xdr:to>
    <xdr:grpSp>
      <xdr:nvGrpSpPr>
        <xdr:cNvPr id="12" name="Group 11">
          <a:extLst>
            <a:ext uri="{FF2B5EF4-FFF2-40B4-BE49-F238E27FC236}">
              <a16:creationId xmlns:a16="http://schemas.microsoft.com/office/drawing/2014/main" xmlns="" id="{7617CD70-0A21-4E03-9B08-246908368182}"/>
            </a:ext>
          </a:extLst>
        </xdr:cNvPr>
        <xdr:cNvGrpSpPr/>
      </xdr:nvGrpSpPr>
      <xdr:grpSpPr>
        <a:xfrm>
          <a:off x="6257925" y="6153150"/>
          <a:ext cx="1904762" cy="361905"/>
          <a:chOff x="6267450" y="10439400"/>
          <a:chExt cx="1904762" cy="361905"/>
        </a:xfrm>
      </xdr:grpSpPr>
      <xdr:pic>
        <xdr:nvPicPr>
          <xdr:cNvPr id="13" name="Picture 12">
            <a:extLst>
              <a:ext uri="{FF2B5EF4-FFF2-40B4-BE49-F238E27FC236}">
                <a16:creationId xmlns:a16="http://schemas.microsoft.com/office/drawing/2014/main" xmlns="" id="{1E05CEA5-49EC-4A24-A94D-61652FAF58A1}"/>
              </a:ext>
            </a:extLst>
          </xdr:cNvPr>
          <xdr:cNvPicPr>
            <a:picLocks noChangeAspect="1"/>
          </xdr:cNvPicPr>
        </xdr:nvPicPr>
        <xdr:blipFill>
          <a:blip xmlns:r="http://schemas.openxmlformats.org/officeDocument/2006/relationships" r:embed="rId5"/>
          <a:stretch>
            <a:fillRect/>
          </a:stretch>
        </xdr:blipFill>
        <xdr:spPr>
          <a:xfrm>
            <a:off x="6267450" y="10439400"/>
            <a:ext cx="1904762" cy="361905"/>
          </a:xfrm>
          <a:prstGeom prst="rect">
            <a:avLst/>
          </a:prstGeom>
        </xdr:spPr>
      </xdr:pic>
      <xdr:sp macro="" textlink="">
        <xdr:nvSpPr>
          <xdr:cNvPr id="14" name="Oval 13">
            <a:extLst>
              <a:ext uri="{FF2B5EF4-FFF2-40B4-BE49-F238E27FC236}">
                <a16:creationId xmlns:a16="http://schemas.microsoft.com/office/drawing/2014/main" xmlns="" id="{5ABF89D9-378B-4E15-847D-CE9404697150}"/>
              </a:ext>
            </a:extLst>
          </xdr:cNvPr>
          <xdr:cNvSpPr/>
        </xdr:nvSpPr>
        <xdr:spPr>
          <a:xfrm>
            <a:off x="6581775" y="10448925"/>
            <a:ext cx="714375" cy="266701"/>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grpSp>
    <xdr:clientData/>
  </xdr:twoCellAnchor>
  <xdr:twoCellAnchor>
    <xdr:from>
      <xdr:col>4</xdr:col>
      <xdr:colOff>1038225</xdr:colOff>
      <xdr:row>10</xdr:row>
      <xdr:rowOff>809625</xdr:rowOff>
    </xdr:from>
    <xdr:to>
      <xdr:col>5</xdr:col>
      <xdr:colOff>1037225</xdr:colOff>
      <xdr:row>10</xdr:row>
      <xdr:rowOff>1942873</xdr:rowOff>
    </xdr:to>
    <xdr:grpSp>
      <xdr:nvGrpSpPr>
        <xdr:cNvPr id="15" name="Group 14">
          <a:extLst>
            <a:ext uri="{FF2B5EF4-FFF2-40B4-BE49-F238E27FC236}">
              <a16:creationId xmlns:a16="http://schemas.microsoft.com/office/drawing/2014/main" xmlns="" id="{C11853D0-7426-4653-99DF-948F929F9536}"/>
            </a:ext>
          </a:extLst>
        </xdr:cNvPr>
        <xdr:cNvGrpSpPr/>
      </xdr:nvGrpSpPr>
      <xdr:grpSpPr>
        <a:xfrm>
          <a:off x="10563225" y="5076825"/>
          <a:ext cx="1046750" cy="1133248"/>
          <a:chOff x="10448925" y="9991725"/>
          <a:chExt cx="1046750" cy="1133248"/>
        </a:xfrm>
      </xdr:grpSpPr>
      <xdr:pic>
        <xdr:nvPicPr>
          <xdr:cNvPr id="16" name="Picture 15">
            <a:extLst>
              <a:ext uri="{FF2B5EF4-FFF2-40B4-BE49-F238E27FC236}">
                <a16:creationId xmlns:a16="http://schemas.microsoft.com/office/drawing/2014/main" xmlns="" id="{8BA4E5AD-9C29-45D5-A1BD-210865D46FCA}"/>
              </a:ext>
            </a:extLst>
          </xdr:cNvPr>
          <xdr:cNvPicPr>
            <a:picLocks noChangeAspect="1"/>
          </xdr:cNvPicPr>
        </xdr:nvPicPr>
        <xdr:blipFill>
          <a:blip xmlns:r="http://schemas.openxmlformats.org/officeDocument/2006/relationships" r:embed="rId6"/>
          <a:stretch>
            <a:fillRect/>
          </a:stretch>
        </xdr:blipFill>
        <xdr:spPr>
          <a:xfrm>
            <a:off x="10487025" y="9991725"/>
            <a:ext cx="1008650" cy="1133248"/>
          </a:xfrm>
          <a:prstGeom prst="rect">
            <a:avLst/>
          </a:prstGeom>
        </xdr:spPr>
      </xdr:pic>
      <xdr:sp macro="" textlink="">
        <xdr:nvSpPr>
          <xdr:cNvPr id="17" name="Oval 16">
            <a:extLst>
              <a:ext uri="{FF2B5EF4-FFF2-40B4-BE49-F238E27FC236}">
                <a16:creationId xmlns:a16="http://schemas.microsoft.com/office/drawing/2014/main" xmlns="" id="{1636758B-E85A-4CCF-8C40-CDE3E2F328EC}"/>
              </a:ext>
            </a:extLst>
          </xdr:cNvPr>
          <xdr:cNvSpPr/>
        </xdr:nvSpPr>
        <xdr:spPr>
          <a:xfrm>
            <a:off x="10448925" y="10734675"/>
            <a:ext cx="504825" cy="266701"/>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grpSp>
    <xdr:clientData/>
  </xdr:twoCellAnchor>
  <xdr:twoCellAnchor>
    <xdr:from>
      <xdr:col>2</xdr:col>
      <xdr:colOff>685800</xdr:colOff>
      <xdr:row>14</xdr:row>
      <xdr:rowOff>142875</xdr:rowOff>
    </xdr:from>
    <xdr:to>
      <xdr:col>2</xdr:col>
      <xdr:colOff>1323975</xdr:colOff>
      <xdr:row>16</xdr:row>
      <xdr:rowOff>133350</xdr:rowOff>
    </xdr:to>
    <xdr:sp macro="" textlink="">
      <xdr:nvSpPr>
        <xdr:cNvPr id="18" name="Oval 17">
          <a:extLst>
            <a:ext uri="{FF2B5EF4-FFF2-40B4-BE49-F238E27FC236}">
              <a16:creationId xmlns:a16="http://schemas.microsoft.com/office/drawing/2014/main" xmlns="" id="{AB622698-B625-4971-8E3B-F4ECA135224D}"/>
            </a:ext>
          </a:extLst>
        </xdr:cNvPr>
        <xdr:cNvSpPr/>
      </xdr:nvSpPr>
      <xdr:spPr>
        <a:xfrm>
          <a:off x="6381750" y="12306300"/>
          <a:ext cx="638175" cy="314325"/>
        </a:xfrm>
        <a:prstGeom prst="ellipse">
          <a:avLst/>
        </a:prstGeom>
        <a:noFill/>
        <a:ln w="2857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clientData/>
  </xdr:twoCellAnchor>
  <xdr:twoCellAnchor>
    <xdr:from>
      <xdr:col>1</xdr:col>
      <xdr:colOff>38100</xdr:colOff>
      <xdr:row>58</xdr:row>
      <xdr:rowOff>142875</xdr:rowOff>
    </xdr:from>
    <xdr:to>
      <xdr:col>2</xdr:col>
      <xdr:colOff>3256886</xdr:colOff>
      <xdr:row>59</xdr:row>
      <xdr:rowOff>1942855</xdr:rowOff>
    </xdr:to>
    <xdr:grpSp>
      <xdr:nvGrpSpPr>
        <xdr:cNvPr id="19" name="Group 18">
          <a:extLst>
            <a:ext uri="{FF2B5EF4-FFF2-40B4-BE49-F238E27FC236}">
              <a16:creationId xmlns:a16="http://schemas.microsoft.com/office/drawing/2014/main" xmlns="" id="{6AFD4B13-26CE-4B07-8CC6-35EB80234BC2}"/>
            </a:ext>
          </a:extLst>
        </xdr:cNvPr>
        <xdr:cNvGrpSpPr/>
      </xdr:nvGrpSpPr>
      <xdr:grpSpPr>
        <a:xfrm>
          <a:off x="3419475" y="14706600"/>
          <a:ext cx="3599786" cy="1961905"/>
          <a:chOff x="3419475" y="18783300"/>
          <a:chExt cx="5533361" cy="1961905"/>
        </a:xfrm>
      </xdr:grpSpPr>
      <xdr:sp macro="" textlink="">
        <xdr:nvSpPr>
          <xdr:cNvPr id="20" name="Arrow: Right 19">
            <a:extLst>
              <a:ext uri="{FF2B5EF4-FFF2-40B4-BE49-F238E27FC236}">
                <a16:creationId xmlns:a16="http://schemas.microsoft.com/office/drawing/2014/main" xmlns="" id="{DE26996F-D962-46E7-B1A0-D62259E146D1}"/>
              </a:ext>
            </a:extLst>
          </xdr:cNvPr>
          <xdr:cNvSpPr/>
        </xdr:nvSpPr>
        <xdr:spPr>
          <a:xfrm>
            <a:off x="3419475" y="19783425"/>
            <a:ext cx="219075" cy="342900"/>
          </a:xfrm>
          <a:prstGeom prst="rightArrow">
            <a:avLst/>
          </a:prstGeom>
          <a:solidFill>
            <a:srgbClr val="FF0000"/>
          </a:solidFill>
          <a:ln>
            <a:solidFill>
              <a:schemeClr val="accent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pic>
        <xdr:nvPicPr>
          <xdr:cNvPr id="21" name="Picture 20">
            <a:extLst>
              <a:ext uri="{FF2B5EF4-FFF2-40B4-BE49-F238E27FC236}">
                <a16:creationId xmlns:a16="http://schemas.microsoft.com/office/drawing/2014/main" xmlns="" id="{E1F80EF5-4E60-4500-9270-87247754275D}"/>
              </a:ext>
            </a:extLst>
          </xdr:cNvPr>
          <xdr:cNvPicPr>
            <a:picLocks noChangeAspect="1"/>
          </xdr:cNvPicPr>
        </xdr:nvPicPr>
        <xdr:blipFill>
          <a:blip xmlns:r="http://schemas.openxmlformats.org/officeDocument/2006/relationships" r:embed="rId7"/>
          <a:stretch>
            <a:fillRect/>
          </a:stretch>
        </xdr:blipFill>
        <xdr:spPr>
          <a:xfrm>
            <a:off x="3638550" y="18783300"/>
            <a:ext cx="5314286" cy="1961905"/>
          </a:xfrm>
          <a:prstGeom prst="rect">
            <a:avLst/>
          </a:prstGeom>
          <a:ln>
            <a:solidFill>
              <a:schemeClr val="accent1"/>
            </a:solidFill>
          </a:ln>
        </xdr:spPr>
      </xdr:pic>
    </xdr:grpSp>
    <xdr:clientData/>
  </xdr:twoCellAnchor>
  <xdr:twoCellAnchor>
    <xdr:from>
      <xdr:col>1</xdr:col>
      <xdr:colOff>1581150</xdr:colOff>
      <xdr:row>64</xdr:row>
      <xdr:rowOff>142876</xdr:rowOff>
    </xdr:from>
    <xdr:to>
      <xdr:col>2</xdr:col>
      <xdr:colOff>1419225</xdr:colOff>
      <xdr:row>65</xdr:row>
      <xdr:rowOff>133351</xdr:rowOff>
    </xdr:to>
    <xdr:cxnSp macro="">
      <xdr:nvCxnSpPr>
        <xdr:cNvPr id="22" name="Connector: Curved 21">
          <a:extLst>
            <a:ext uri="{FF2B5EF4-FFF2-40B4-BE49-F238E27FC236}">
              <a16:creationId xmlns:a16="http://schemas.microsoft.com/office/drawing/2014/main" xmlns="" id="{02040449-8B59-4D81-BDE8-647D9B6C3232}"/>
            </a:ext>
          </a:extLst>
        </xdr:cNvPr>
        <xdr:cNvCxnSpPr>
          <a:stCxn id="6" idx="6"/>
          <a:endCxn id="7" idx="2"/>
        </xdr:cNvCxnSpPr>
      </xdr:nvCxnSpPr>
      <xdr:spPr>
        <a:xfrm>
          <a:off x="4962525" y="22259926"/>
          <a:ext cx="2152650" cy="542925"/>
        </a:xfrm>
        <a:prstGeom prst="curvedConnector3">
          <a:avLst/>
        </a:prstGeom>
        <a:ln>
          <a:solidFill>
            <a:srgbClr val="FF0000"/>
          </a:solidFill>
          <a:prstDash val="sysDot"/>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285750</xdr:colOff>
      <xdr:row>74</xdr:row>
      <xdr:rowOff>133350</xdr:rowOff>
    </xdr:from>
    <xdr:to>
      <xdr:col>2</xdr:col>
      <xdr:colOff>2799988</xdr:colOff>
      <xdr:row>79</xdr:row>
      <xdr:rowOff>3090</xdr:rowOff>
    </xdr:to>
    <xdr:pic>
      <xdr:nvPicPr>
        <xdr:cNvPr id="23" name="Picture 22">
          <a:extLst>
            <a:ext uri="{FF2B5EF4-FFF2-40B4-BE49-F238E27FC236}">
              <a16:creationId xmlns:a16="http://schemas.microsoft.com/office/drawing/2014/main" xmlns="" id="{BF0B51AC-E290-4305-9487-411323ABBC2C}"/>
            </a:ext>
          </a:extLst>
        </xdr:cNvPr>
        <xdr:cNvPicPr>
          <a:picLocks noChangeAspect="1"/>
        </xdr:cNvPicPr>
      </xdr:nvPicPr>
      <xdr:blipFill>
        <a:blip xmlns:r="http://schemas.openxmlformats.org/officeDocument/2006/relationships" r:embed="rId8"/>
        <a:stretch>
          <a:fillRect/>
        </a:stretch>
      </xdr:blipFill>
      <xdr:spPr>
        <a:xfrm>
          <a:off x="3667125" y="24260175"/>
          <a:ext cx="2895238" cy="679365"/>
        </a:xfrm>
        <a:prstGeom prst="rect">
          <a:avLst/>
        </a:prstGeom>
      </xdr:spPr>
    </xdr:pic>
    <xdr:clientData/>
  </xdr:twoCellAnchor>
  <xdr:twoCellAnchor editAs="oneCell">
    <xdr:from>
      <xdr:col>0</xdr:col>
      <xdr:colOff>38100</xdr:colOff>
      <xdr:row>0</xdr:row>
      <xdr:rowOff>47625</xdr:rowOff>
    </xdr:from>
    <xdr:to>
      <xdr:col>0</xdr:col>
      <xdr:colOff>633017</xdr:colOff>
      <xdr:row>1</xdr:row>
      <xdr:rowOff>133350</xdr:rowOff>
    </xdr:to>
    <xdr:pic>
      <xdr:nvPicPr>
        <xdr:cNvPr id="24" name="Picture 23">
          <a:extLst>
            <a:ext uri="{FF2B5EF4-FFF2-40B4-BE49-F238E27FC236}">
              <a16:creationId xmlns:a16="http://schemas.microsoft.com/office/drawing/2014/main" xmlns="" id="{E24A70B2-E717-4C60-ADCB-0974F68DC6E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8100" y="47625"/>
          <a:ext cx="594917" cy="466725"/>
        </a:xfrm>
        <a:prstGeom prst="rect">
          <a:avLst/>
        </a:prstGeom>
        <a:ln w="28575">
          <a:solidFill>
            <a:schemeClr val="tx2"/>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1676400</xdr:colOff>
      <xdr:row>34</xdr:row>
      <xdr:rowOff>28575</xdr:rowOff>
    </xdr:from>
    <xdr:to>
      <xdr:col>1</xdr:col>
      <xdr:colOff>1790700</xdr:colOff>
      <xdr:row>34</xdr:row>
      <xdr:rowOff>142875</xdr:rowOff>
    </xdr:to>
    <xdr:sp macro="" textlink="">
      <xdr:nvSpPr>
        <xdr:cNvPr id="8" name="Diamond 7">
          <a:extLst>
            <a:ext uri="{FF2B5EF4-FFF2-40B4-BE49-F238E27FC236}">
              <a16:creationId xmlns:a16="http://schemas.microsoft.com/office/drawing/2014/main" xmlns="" id="{00000000-0008-0000-0300-000008000000}"/>
            </a:ext>
          </a:extLst>
        </xdr:cNvPr>
        <xdr:cNvSpPr/>
      </xdr:nvSpPr>
      <xdr:spPr>
        <a:xfrm>
          <a:off x="5057775" y="5915025"/>
          <a:ext cx="114300" cy="114300"/>
        </a:xfrm>
        <a:prstGeom prst="diamond">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AU" sz="1100"/>
        </a:p>
      </xdr:txBody>
    </xdr:sp>
    <xdr:clientData/>
  </xdr:twoCellAnchor>
  <xdr:twoCellAnchor editAs="oneCell">
    <xdr:from>
      <xdr:col>0</xdr:col>
      <xdr:colOff>57150</xdr:colOff>
      <xdr:row>0</xdr:row>
      <xdr:rowOff>47625</xdr:rowOff>
    </xdr:from>
    <xdr:to>
      <xdr:col>0</xdr:col>
      <xdr:colOff>652067</xdr:colOff>
      <xdr:row>1</xdr:row>
      <xdr:rowOff>133350</xdr:rowOff>
    </xdr:to>
    <xdr:pic>
      <xdr:nvPicPr>
        <xdr:cNvPr id="3" name="Picture 2">
          <a:extLst>
            <a:ext uri="{FF2B5EF4-FFF2-40B4-BE49-F238E27FC236}">
              <a16:creationId xmlns:a16="http://schemas.microsoft.com/office/drawing/2014/main" xmlns="" id="{B242AB3D-C69E-4595-9742-5FF51DEE33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47625"/>
          <a:ext cx="594917" cy="466725"/>
        </a:xfrm>
        <a:prstGeom prst="rect">
          <a:avLst/>
        </a:prstGeom>
        <a:ln w="28575">
          <a:solidFill>
            <a:schemeClr val="tx2"/>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633017</xdr:colOff>
      <xdr:row>1</xdr:row>
      <xdr:rowOff>114300</xdr:rowOff>
    </xdr:to>
    <xdr:pic>
      <xdr:nvPicPr>
        <xdr:cNvPr id="2" name="Picture 1">
          <a:extLst>
            <a:ext uri="{FF2B5EF4-FFF2-40B4-BE49-F238E27FC236}">
              <a16:creationId xmlns:a16="http://schemas.microsoft.com/office/drawing/2014/main" xmlns="" id="{00B46778-B67B-484F-A45C-8B10F40D63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28575"/>
          <a:ext cx="594917" cy="466725"/>
        </a:xfrm>
        <a:prstGeom prst="rect">
          <a:avLst/>
        </a:prstGeom>
        <a:ln w="28575">
          <a:solidFill>
            <a:schemeClr val="tx2"/>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623492</xdr:colOff>
      <xdr:row>1</xdr:row>
      <xdr:rowOff>114300</xdr:rowOff>
    </xdr:to>
    <xdr:pic>
      <xdr:nvPicPr>
        <xdr:cNvPr id="2" name="Picture 1">
          <a:extLst>
            <a:ext uri="{FF2B5EF4-FFF2-40B4-BE49-F238E27FC236}">
              <a16:creationId xmlns:a16="http://schemas.microsoft.com/office/drawing/2014/main" xmlns="" id="{904C2297-0015-4D55-9C1D-D2BCB9865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575" y="28575"/>
          <a:ext cx="594917" cy="466725"/>
        </a:xfrm>
        <a:prstGeom prst="rect">
          <a:avLst/>
        </a:prstGeom>
        <a:ln w="28575">
          <a:solidFill>
            <a:schemeClr val="tx2"/>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633017</xdr:colOff>
      <xdr:row>1</xdr:row>
      <xdr:rowOff>123825</xdr:rowOff>
    </xdr:to>
    <xdr:pic>
      <xdr:nvPicPr>
        <xdr:cNvPr id="2" name="Picture 1">
          <a:extLst>
            <a:ext uri="{FF2B5EF4-FFF2-40B4-BE49-F238E27FC236}">
              <a16:creationId xmlns:a16="http://schemas.microsoft.com/office/drawing/2014/main" xmlns="" id="{FE4F1380-EAE7-4B1B-B7CF-A47E8F473A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38100"/>
          <a:ext cx="594917" cy="466725"/>
        </a:xfrm>
        <a:prstGeom prst="rect">
          <a:avLst/>
        </a:prstGeom>
        <a:ln w="28575">
          <a:solidFill>
            <a:schemeClr val="tx2"/>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642542</xdr:colOff>
      <xdr:row>1</xdr:row>
      <xdr:rowOff>123825</xdr:rowOff>
    </xdr:to>
    <xdr:pic>
      <xdr:nvPicPr>
        <xdr:cNvPr id="2" name="Picture 1">
          <a:extLst>
            <a:ext uri="{FF2B5EF4-FFF2-40B4-BE49-F238E27FC236}">
              <a16:creationId xmlns:a16="http://schemas.microsoft.com/office/drawing/2014/main" xmlns="" id="{BD644BD2-D0D5-4FA5-AC60-E97B2820F0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1304926</xdr:colOff>
      <xdr:row>676</xdr:row>
      <xdr:rowOff>152400</xdr:rowOff>
    </xdr:from>
    <xdr:to>
      <xdr:col>0</xdr:col>
      <xdr:colOff>2978978</xdr:colOff>
      <xdr:row>687</xdr:row>
      <xdr:rowOff>19050</xdr:rowOff>
    </xdr:to>
    <xdr:pic>
      <xdr:nvPicPr>
        <xdr:cNvPr id="6" name="Picture 5">
          <a:extLst>
            <a:ext uri="{FF2B5EF4-FFF2-40B4-BE49-F238E27FC236}">
              <a16:creationId xmlns:a16="http://schemas.microsoft.com/office/drawing/2014/main" xmlns="" id="{9C06CE7A-9FA4-42D9-89D2-9F31628DC9CE}"/>
            </a:ext>
          </a:extLst>
        </xdr:cNvPr>
        <xdr:cNvPicPr>
          <a:picLocks noChangeAspect="1"/>
        </xdr:cNvPicPr>
      </xdr:nvPicPr>
      <xdr:blipFill>
        <a:blip xmlns:r="http://schemas.openxmlformats.org/officeDocument/2006/relationships" r:embed="rId1"/>
        <a:stretch>
          <a:fillRect/>
        </a:stretch>
      </xdr:blipFill>
      <xdr:spPr>
        <a:xfrm>
          <a:off x="1304926" y="107241975"/>
          <a:ext cx="1674052" cy="1752600"/>
        </a:xfrm>
        <a:prstGeom prst="rect">
          <a:avLst/>
        </a:prstGeom>
      </xdr:spPr>
    </xdr:pic>
    <xdr:clientData/>
  </xdr:twoCellAnchor>
  <xdr:twoCellAnchor>
    <xdr:from>
      <xdr:col>3</xdr:col>
      <xdr:colOff>66677</xdr:colOff>
      <xdr:row>828</xdr:row>
      <xdr:rowOff>47618</xdr:rowOff>
    </xdr:from>
    <xdr:to>
      <xdr:col>13</xdr:col>
      <xdr:colOff>1047749</xdr:colOff>
      <xdr:row>831</xdr:row>
      <xdr:rowOff>158653</xdr:rowOff>
    </xdr:to>
    <xdr:grpSp>
      <xdr:nvGrpSpPr>
        <xdr:cNvPr id="7" name="Group 6">
          <a:extLst>
            <a:ext uri="{FF2B5EF4-FFF2-40B4-BE49-F238E27FC236}">
              <a16:creationId xmlns:a16="http://schemas.microsoft.com/office/drawing/2014/main" xmlns="" id="{B024FAFE-102A-4D8F-BFDB-DCBFAF2FDA75}"/>
            </a:ext>
          </a:extLst>
        </xdr:cNvPr>
        <xdr:cNvGrpSpPr/>
      </xdr:nvGrpSpPr>
      <xdr:grpSpPr>
        <a:xfrm>
          <a:off x="9210677" y="20897843"/>
          <a:ext cx="15459072" cy="653960"/>
          <a:chOff x="9374946" y="9362272"/>
          <a:chExt cx="16406788" cy="269882"/>
        </a:xfrm>
      </xdr:grpSpPr>
      <xdr:sp macro="" textlink="">
        <xdr:nvSpPr>
          <xdr:cNvPr id="8" name="Right Brace 7">
            <a:extLst>
              <a:ext uri="{FF2B5EF4-FFF2-40B4-BE49-F238E27FC236}">
                <a16:creationId xmlns:a16="http://schemas.microsoft.com/office/drawing/2014/main" xmlns="" id="{EE4F229D-28BB-43B9-8535-5FFA785C22FB}"/>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9" name="Rectangle 8">
            <a:extLst>
              <a:ext uri="{FF2B5EF4-FFF2-40B4-BE49-F238E27FC236}">
                <a16:creationId xmlns:a16="http://schemas.microsoft.com/office/drawing/2014/main" xmlns="" id="{48454B6B-3809-4665-80AC-2F2F35110730}"/>
              </a:ext>
            </a:extLst>
          </xdr:cNvPr>
          <xdr:cNvSpPr/>
        </xdr:nvSpPr>
        <xdr:spPr>
          <a:xfrm>
            <a:off x="12759418" y="9362272"/>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28575</xdr:colOff>
      <xdr:row>0</xdr:row>
      <xdr:rowOff>28575</xdr:rowOff>
    </xdr:from>
    <xdr:to>
      <xdr:col>0</xdr:col>
      <xdr:colOff>623492</xdr:colOff>
      <xdr:row>1</xdr:row>
      <xdr:rowOff>114300</xdr:rowOff>
    </xdr:to>
    <xdr:pic>
      <xdr:nvPicPr>
        <xdr:cNvPr id="10" name="Picture 9">
          <a:extLst>
            <a:ext uri="{FF2B5EF4-FFF2-40B4-BE49-F238E27FC236}">
              <a16:creationId xmlns:a16="http://schemas.microsoft.com/office/drawing/2014/main" xmlns="" id="{639C71BF-DBA5-4B53-AB12-C40805C7877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575" y="28575"/>
          <a:ext cx="594917" cy="466725"/>
        </a:xfrm>
        <a:prstGeom prst="rect">
          <a:avLst/>
        </a:prstGeom>
        <a:ln w="28575">
          <a:solidFill>
            <a:schemeClr val="tx2"/>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66677</xdr:colOff>
      <xdr:row>104</xdr:row>
      <xdr:rowOff>47618</xdr:rowOff>
    </xdr:from>
    <xdr:to>
      <xdr:col>13</xdr:col>
      <xdr:colOff>1047749</xdr:colOff>
      <xdr:row>107</xdr:row>
      <xdr:rowOff>158653</xdr:rowOff>
    </xdr:to>
    <xdr:grpSp>
      <xdr:nvGrpSpPr>
        <xdr:cNvPr id="5" name="Group 4">
          <a:extLst>
            <a:ext uri="{FF2B5EF4-FFF2-40B4-BE49-F238E27FC236}">
              <a16:creationId xmlns:a16="http://schemas.microsoft.com/office/drawing/2014/main" xmlns="" id="{E7D35BBA-C5D9-4888-9D97-4F00AF3DCF15}"/>
            </a:ext>
          </a:extLst>
        </xdr:cNvPr>
        <xdr:cNvGrpSpPr/>
      </xdr:nvGrpSpPr>
      <xdr:grpSpPr>
        <a:xfrm>
          <a:off x="9210677" y="9429743"/>
          <a:ext cx="15459072" cy="653960"/>
          <a:chOff x="9374946" y="9362272"/>
          <a:chExt cx="16406788" cy="269882"/>
        </a:xfrm>
      </xdr:grpSpPr>
      <xdr:sp macro="" textlink="">
        <xdr:nvSpPr>
          <xdr:cNvPr id="6" name="Right Brace 5">
            <a:extLst>
              <a:ext uri="{FF2B5EF4-FFF2-40B4-BE49-F238E27FC236}">
                <a16:creationId xmlns:a16="http://schemas.microsoft.com/office/drawing/2014/main" xmlns="" id="{02EA030B-0FB5-4A89-86AD-099D51CF709D}"/>
              </a:ext>
            </a:extLst>
          </xdr:cNvPr>
          <xdr:cNvSpPr/>
        </xdr:nvSpPr>
        <xdr:spPr>
          <a:xfrm rot="16200000">
            <a:off x="17502357" y="1352777"/>
            <a:ext cx="151966" cy="16406788"/>
          </a:xfrm>
          <a:prstGeom prst="rightBrace">
            <a:avLst/>
          </a:prstGeom>
          <a:ln>
            <a:solidFill>
              <a:schemeClr val="tx1"/>
            </a:solidFill>
            <a:prstDash val="sysDash"/>
          </a:ln>
        </xdr:spPr>
        <xdr:style>
          <a:lnRef idx="2">
            <a:schemeClr val="dk1"/>
          </a:lnRef>
          <a:fillRef idx="0">
            <a:schemeClr val="dk1"/>
          </a:fillRef>
          <a:effectRef idx="1">
            <a:schemeClr val="dk1"/>
          </a:effectRef>
          <a:fontRef idx="minor">
            <a:schemeClr val="tx1"/>
          </a:fontRef>
        </xdr:style>
        <xdr:txBody>
          <a:bodyPr rtlCol="0" anchor="ctr"/>
          <a:lstStyle/>
          <a:p>
            <a:pPr algn="l"/>
            <a:endParaRPr lang="en-AU" sz="1100"/>
          </a:p>
        </xdr:txBody>
      </xdr:sp>
      <xdr:sp macro="" textlink="">
        <xdr:nvSpPr>
          <xdr:cNvPr id="7" name="Rectangle 6">
            <a:extLst>
              <a:ext uri="{FF2B5EF4-FFF2-40B4-BE49-F238E27FC236}">
                <a16:creationId xmlns:a16="http://schemas.microsoft.com/office/drawing/2014/main" xmlns="" id="{0DDE2A94-5904-4FED-97F4-B4DA5CA30B2A}"/>
              </a:ext>
            </a:extLst>
          </xdr:cNvPr>
          <xdr:cNvSpPr/>
        </xdr:nvSpPr>
        <xdr:spPr>
          <a:xfrm>
            <a:off x="12759418" y="9362272"/>
            <a:ext cx="9629530" cy="79493"/>
          </a:xfrm>
          <a:prstGeom prst="rect">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AU" sz="1000">
                <a:solidFill>
                  <a:schemeClr val="lt1"/>
                </a:solidFill>
                <a:effectLst/>
                <a:latin typeface="+mn-lt"/>
                <a:ea typeface="+mn-ea"/>
                <a:cs typeface="+mn-cs"/>
              </a:rPr>
              <a:t>Range Name includes Description in Column D.  Ranges referenced are used in Cash Flow (CF) Tabs</a:t>
            </a:r>
            <a:endParaRPr lang="en-AU" sz="1000">
              <a:effectLst/>
            </a:endParaRPr>
          </a:p>
        </xdr:txBody>
      </xdr:sp>
    </xdr:grpSp>
    <xdr:clientData/>
  </xdr:twoCellAnchor>
  <xdr:twoCellAnchor editAs="oneCell">
    <xdr:from>
      <xdr:col>0</xdr:col>
      <xdr:colOff>47625</xdr:colOff>
      <xdr:row>0</xdr:row>
      <xdr:rowOff>38100</xdr:rowOff>
    </xdr:from>
    <xdr:to>
      <xdr:col>0</xdr:col>
      <xdr:colOff>642542</xdr:colOff>
      <xdr:row>1</xdr:row>
      <xdr:rowOff>123825</xdr:rowOff>
    </xdr:to>
    <xdr:pic>
      <xdr:nvPicPr>
        <xdr:cNvPr id="8" name="Picture 7">
          <a:extLst>
            <a:ext uri="{FF2B5EF4-FFF2-40B4-BE49-F238E27FC236}">
              <a16:creationId xmlns:a16="http://schemas.microsoft.com/office/drawing/2014/main" xmlns="" id="{CA8FE92A-AC18-42C7-A663-75FCDD1530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38100"/>
          <a:ext cx="594917" cy="466725"/>
        </a:xfrm>
        <a:prstGeom prst="rect">
          <a:avLst/>
        </a:prstGeom>
        <a:ln w="28575">
          <a:solidFill>
            <a:schemeClr val="tx2"/>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E6"/>
  <sheetViews>
    <sheetView showGridLines="0" workbookViewId="0">
      <selection activeCell="O17" sqref="O17"/>
    </sheetView>
  </sheetViews>
  <sheetFormatPr defaultRowHeight="12.75" x14ac:dyDescent="0.2"/>
  <cols>
    <col min="1" max="1" width="10.7109375" customWidth="1"/>
    <col min="2" max="2" width="47.85546875" customWidth="1"/>
    <col min="6" max="6" width="11" bestFit="1" customWidth="1"/>
    <col min="7" max="7" width="17.5703125" customWidth="1"/>
    <col min="8" max="8" width="32.5703125" customWidth="1"/>
    <col min="11" max="11" width="22.42578125" customWidth="1"/>
    <col min="13" max="13" width="3.85546875" customWidth="1"/>
    <col min="14" max="14" width="33.28515625" customWidth="1"/>
  </cols>
  <sheetData>
    <row r="1" spans="1:31" s="8" customFormat="1" ht="30" customHeight="1" x14ac:dyDescent="0.2">
      <c r="A1" s="1349"/>
      <c r="B1" s="1351" t="s">
        <v>4382</v>
      </c>
      <c r="C1" s="1349"/>
      <c r="D1" s="1349"/>
      <c r="E1" s="1349"/>
      <c r="F1" s="1349"/>
      <c r="G1" s="1349"/>
      <c r="H1" s="1349"/>
      <c r="I1" s="1349"/>
      <c r="J1" s="1349"/>
      <c r="K1" s="1349"/>
      <c r="L1" s="1349"/>
      <c r="M1" s="1349"/>
      <c r="N1" s="1350"/>
      <c r="O1" s="23"/>
      <c r="P1" s="23"/>
      <c r="Q1" s="23"/>
      <c r="R1" s="23"/>
      <c r="S1" s="23"/>
      <c r="T1" s="23"/>
      <c r="U1" s="23"/>
      <c r="V1" s="23"/>
      <c r="W1" s="23"/>
      <c r="X1" s="23"/>
      <c r="Y1" s="23"/>
      <c r="Z1" s="23"/>
      <c r="AA1" s="23"/>
      <c r="AB1" s="23"/>
      <c r="AC1" s="23"/>
      <c r="AD1" s="23"/>
      <c r="AE1" s="17"/>
    </row>
    <row r="2" spans="1:31" s="140" customFormat="1" ht="45" customHeight="1" x14ac:dyDescent="0.3">
      <c r="A2" s="1352" t="str">
        <f>CompanyOrg</f>
        <v>IATA</v>
      </c>
      <c r="B2" s="1352"/>
      <c r="C2" s="1352"/>
      <c r="D2" s="1352"/>
      <c r="E2" s="1352"/>
      <c r="F2" s="1352"/>
      <c r="G2" s="1352"/>
      <c r="H2" s="1352"/>
      <c r="I2" s="1352"/>
      <c r="J2" s="1352"/>
      <c r="K2" s="1353"/>
      <c r="L2" s="1354" t="s">
        <v>16</v>
      </c>
      <c r="M2" s="1354"/>
      <c r="N2" s="1354"/>
      <c r="O2" s="1192"/>
      <c r="P2" s="1192"/>
      <c r="Q2" s="1192"/>
      <c r="R2" s="1192"/>
      <c r="S2" s="1192"/>
      <c r="T2" s="1192"/>
      <c r="U2" s="1192"/>
      <c r="V2" s="1192"/>
      <c r="W2" s="1192"/>
      <c r="X2" s="1192"/>
      <c r="Y2" s="1192"/>
      <c r="Z2" s="1192"/>
      <c r="AA2" s="1192"/>
      <c r="AB2" s="1192"/>
      <c r="AC2" s="1192"/>
      <c r="AD2" s="1192"/>
      <c r="AE2" s="1192"/>
    </row>
    <row r="3" spans="1:31" s="139" customFormat="1" ht="20.25" customHeight="1" x14ac:dyDescent="0.2">
      <c r="A3" s="1355" t="str">
        <f>CaseSubject</f>
        <v>IATA PAO:TO Business Case Support Template</v>
      </c>
      <c r="B3" s="1355"/>
      <c r="C3" s="1355"/>
      <c r="D3" s="1355"/>
      <c r="E3" s="1355"/>
      <c r="F3" s="1355"/>
      <c r="G3" s="1355"/>
      <c r="H3" s="1355"/>
      <c r="I3" s="1355"/>
      <c r="J3" s="1355"/>
      <c r="K3" s="1356"/>
      <c r="L3" s="1359" t="str">
        <f>VersionNo</f>
        <v>Initial Release November 2018</v>
      </c>
      <c r="M3" s="1359"/>
      <c r="N3" s="1359"/>
      <c r="O3" s="12"/>
      <c r="P3" s="12"/>
      <c r="Q3" s="12"/>
      <c r="R3" s="12"/>
      <c r="S3" s="12"/>
      <c r="T3" s="12"/>
      <c r="U3" s="12"/>
      <c r="V3" s="12"/>
      <c r="W3" s="12"/>
      <c r="X3" s="12"/>
      <c r="Y3" s="12"/>
      <c r="Z3" s="12"/>
      <c r="AA3" s="12"/>
      <c r="AB3" s="12"/>
      <c r="AC3" s="12"/>
      <c r="AD3" s="12"/>
      <c r="AE3" s="12"/>
    </row>
    <row r="4" spans="1:31" s="3" customFormat="1" ht="14.1" customHeight="1" x14ac:dyDescent="0.2">
      <c r="A4" s="1357"/>
      <c r="B4" s="1357"/>
      <c r="C4" s="1357"/>
      <c r="D4" s="1357"/>
      <c r="E4" s="1357"/>
      <c r="F4" s="1357"/>
      <c r="G4" s="1357"/>
      <c r="H4" s="1357"/>
      <c r="I4" s="1357"/>
      <c r="J4" s="1357"/>
      <c r="K4" s="1358"/>
      <c r="L4" s="1359"/>
      <c r="M4" s="1359"/>
      <c r="N4" s="1359"/>
      <c r="O4" s="19"/>
      <c r="P4" s="19"/>
      <c r="Q4" s="19"/>
      <c r="R4" s="19"/>
      <c r="S4" s="19"/>
      <c r="T4" s="19"/>
      <c r="U4" s="19"/>
      <c r="V4" s="19"/>
      <c r="W4" s="19"/>
      <c r="X4" s="19"/>
      <c r="Y4" s="19"/>
      <c r="Z4" s="19"/>
      <c r="AA4" s="19"/>
      <c r="AB4" s="19"/>
      <c r="AC4" s="19"/>
      <c r="AD4" s="19"/>
      <c r="AE4" s="19"/>
    </row>
    <row r="5" spans="1:31" ht="20.25" x14ac:dyDescent="0.2">
      <c r="A5" s="1280"/>
      <c r="B5" s="18"/>
      <c r="C5" s="18"/>
      <c r="D5" s="1284"/>
      <c r="E5" s="18"/>
      <c r="F5" s="18"/>
      <c r="G5" s="18"/>
      <c r="H5" s="18"/>
      <c r="I5" s="18"/>
      <c r="J5" s="18"/>
      <c r="K5" s="18"/>
      <c r="L5" s="18"/>
      <c r="M5" s="18"/>
    </row>
    <row r="6" spans="1:31" ht="33.75" x14ac:dyDescent="0.2">
      <c r="A6" s="1360" t="s">
        <v>4382</v>
      </c>
      <c r="B6" s="1360"/>
      <c r="C6" s="1360"/>
      <c r="D6" s="1360"/>
      <c r="E6" s="1360"/>
      <c r="F6" s="1360"/>
      <c r="G6" s="1360"/>
      <c r="H6" s="1360"/>
      <c r="I6" s="1360"/>
      <c r="J6" s="1360"/>
      <c r="K6" s="1360"/>
      <c r="L6" s="1360"/>
      <c r="M6" s="1360"/>
      <c r="N6" s="1360"/>
    </row>
  </sheetData>
  <sheetProtection sort="0" autoFilter="0" pivotTables="0"/>
  <mergeCells count="5">
    <mergeCell ref="A2:K2"/>
    <mergeCell ref="L2:N2"/>
    <mergeCell ref="A3:K4"/>
    <mergeCell ref="L3:N4"/>
    <mergeCell ref="A6:N6"/>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text="eSystems " id="{4136B9A8-B722-44A6-A4FE-F55BE1823F04}">
            <xm:f>NOT(ISERROR(SEARCH("eSystems ",Inputs_Salaries!XFB7)))</xm:f>
            <x14:dxf>
              <font>
                <b/>
                <i val="0"/>
                <color rgb="FFC00000"/>
              </font>
            </x14:dxf>
          </x14:cfRule>
          <x14:cfRule type="containsText" priority="2" operator="containsText" text="hSystems " id="{A4A8987E-701A-43A6-B0E8-488539E86399}">
            <xm:f>NOT(ISERROR(SEARCH("hSystems ",Inputs_Salaries!XFB7)))</xm:f>
            <x14:dxf>
              <font>
                <b/>
                <i val="0"/>
                <color rgb="FF0070C0"/>
              </font>
            </x14:dxf>
          </x14:cfRule>
          <xm:sqref>XFB1:XFD4</xm:sqref>
        </x14:conditionalFormatting>
        <x14:conditionalFormatting xmlns:xm="http://schemas.microsoft.com/office/excel/2006/main">
          <x14:cfRule type="containsText" priority="99246" operator="containsText" text="eSystems " id="{4136B9A8-B722-44A6-A4FE-F55BE1823F04}">
            <xm:f>NOT(ISERROR(SEARCH("eSystems ",Inputs_Salaries!B7)))</xm:f>
            <x14:dxf>
              <font>
                <b/>
                <i val="0"/>
                <color rgb="FFC00000"/>
              </font>
            </x14:dxf>
          </x14:cfRule>
          <x14:cfRule type="containsText" priority="99247" operator="containsText" text="hSystems " id="{A4A8987E-701A-43A6-B0E8-488539E86399}">
            <xm:f>NOT(ISERROR(SEARCH("hSystems ",Inputs_Salaries!B7)))</xm:f>
            <x14:dxf>
              <font>
                <b/>
                <i val="0"/>
                <color rgb="FF0070C0"/>
              </font>
            </x14:dxf>
          </x14:cfRule>
          <xm:sqref>A1:N4</xm:sqref>
        </x14:conditionalFormatting>
        <x14:conditionalFormatting xmlns:xm="http://schemas.microsoft.com/office/excel/2006/main">
          <x14:cfRule type="containsText" priority="99250" operator="containsText" text="eSystems " id="{4136B9A8-B722-44A6-A4FE-F55BE1823F04}">
            <xm:f>NOT(ISERROR(SEARCH("eSystems ",Inputs_Salaries!Q7)))</xm:f>
            <x14:dxf>
              <font>
                <b/>
                <i val="0"/>
                <color rgb="FFC00000"/>
              </font>
            </x14:dxf>
          </x14:cfRule>
          <x14:cfRule type="containsText" priority="99251" operator="containsText" text="hSystems " id="{A4A8987E-701A-43A6-B0E8-488539E86399}">
            <xm:f>NOT(ISERROR(SEARCH("hSystems ",Inputs_Salaries!Q7)))</xm:f>
            <x14:dxf>
              <font>
                <b/>
                <i val="0"/>
                <color rgb="FF0070C0"/>
              </font>
            </x14:dxf>
          </x14:cfRule>
          <xm:sqref>O1:XFA4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sheetPr>
  <dimension ref="A1:AK366"/>
  <sheetViews>
    <sheetView zoomScaleNormal="100" workbookViewId="0"/>
  </sheetViews>
  <sheetFormatPr defaultColWidth="11" defaultRowHeight="12.75" outlineLevelRow="1" x14ac:dyDescent="0.2"/>
  <cols>
    <col min="1" max="1" width="75.7109375" style="3" customWidth="1"/>
    <col min="2" max="2" width="5.7109375" style="3" customWidth="1"/>
    <col min="3" max="3" width="50.7109375" style="3" customWidth="1"/>
    <col min="4" max="4" width="75.7109375" style="3" customWidth="1"/>
    <col min="5" max="7" width="20.7109375" style="3" customWidth="1"/>
    <col min="8" max="8" width="20.7109375" style="16" customWidth="1"/>
    <col min="9" max="14" width="20.7109375" style="3" customWidth="1"/>
    <col min="15" max="15" width="38.140625" style="3" customWidth="1"/>
    <col min="16" max="16" width="58" style="3" customWidth="1"/>
    <col min="17" max="17" width="11" style="3"/>
    <col min="18" max="18" width="66.5703125" style="3" customWidth="1"/>
    <col min="19" max="16384" width="11" style="3"/>
  </cols>
  <sheetData>
    <row r="1" spans="1:33" s="8" customFormat="1" ht="30" customHeight="1" x14ac:dyDescent="0.2">
      <c r="A1" s="1183" t="s">
        <v>66</v>
      </c>
      <c r="B1" s="155"/>
      <c r="C1" s="1182" t="s">
        <v>4261</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ht="13.5" customHeight="1" x14ac:dyDescent="0.2">
      <c r="A5" s="19"/>
      <c r="D5" s="19"/>
      <c r="E5" s="12"/>
      <c r="F5" s="12"/>
      <c r="G5" s="12"/>
      <c r="H5" s="12"/>
      <c r="I5" s="12"/>
      <c r="J5" s="19"/>
      <c r="K5" s="19"/>
      <c r="L5" s="19"/>
      <c r="M5" s="19"/>
      <c r="N5" s="19"/>
      <c r="O5" s="19"/>
      <c r="P5" s="19"/>
      <c r="Q5" s="19"/>
      <c r="R5" s="19"/>
      <c r="S5" s="19"/>
      <c r="T5" s="19"/>
      <c r="U5" s="19"/>
      <c r="V5" s="19"/>
      <c r="W5" s="19"/>
      <c r="X5" s="19"/>
      <c r="Y5" s="19"/>
      <c r="Z5" s="19"/>
      <c r="AA5" s="19"/>
      <c r="AB5" s="19"/>
      <c r="AC5" s="19"/>
      <c r="AD5" s="19"/>
      <c r="AE5" s="19"/>
      <c r="AF5" s="19"/>
      <c r="AG5" s="19"/>
    </row>
    <row r="6" spans="1:33" ht="13.5" customHeight="1" x14ac:dyDescent="0.2">
      <c r="A6" s="19"/>
      <c r="C6" s="215" t="s">
        <v>218</v>
      </c>
      <c r="D6" s="214" t="s">
        <v>69</v>
      </c>
      <c r="E6" s="12"/>
      <c r="F6" s="12"/>
      <c r="G6" s="12"/>
      <c r="H6" s="12"/>
      <c r="I6" s="12"/>
      <c r="J6" s="19"/>
      <c r="K6" s="19"/>
      <c r="L6" s="19"/>
      <c r="M6" s="19"/>
      <c r="N6" s="19"/>
      <c r="O6" s="19"/>
      <c r="P6" s="19"/>
      <c r="Q6" s="19"/>
      <c r="R6" s="19"/>
      <c r="S6" s="19"/>
      <c r="T6" s="19"/>
      <c r="U6" s="19"/>
      <c r="V6" s="19"/>
      <c r="W6" s="19"/>
      <c r="X6" s="19"/>
      <c r="Y6" s="19"/>
      <c r="Z6" s="19"/>
      <c r="AA6" s="19"/>
      <c r="AB6" s="19"/>
      <c r="AC6" s="19"/>
      <c r="AD6" s="19"/>
      <c r="AE6" s="19"/>
      <c r="AF6" s="19"/>
      <c r="AG6" s="19"/>
    </row>
    <row r="7" spans="1:33" ht="13.5" customHeight="1" x14ac:dyDescent="0.2">
      <c r="A7" s="19"/>
      <c r="C7" s="214"/>
      <c r="D7" s="720"/>
      <c r="E7" s="12"/>
      <c r="F7" s="12"/>
      <c r="G7" s="12"/>
      <c r="H7" s="12"/>
      <c r="I7" s="12"/>
      <c r="J7" s="19"/>
      <c r="K7" s="19"/>
      <c r="L7" s="19"/>
      <c r="M7" s="19"/>
      <c r="N7" s="19"/>
      <c r="O7" s="19"/>
      <c r="P7" s="19"/>
      <c r="Q7" s="19"/>
      <c r="R7" s="19"/>
      <c r="S7" s="19"/>
      <c r="T7" s="19"/>
      <c r="U7" s="19"/>
      <c r="V7" s="19"/>
      <c r="W7" s="19"/>
      <c r="X7" s="19"/>
      <c r="Y7" s="19"/>
      <c r="Z7" s="19"/>
      <c r="AA7" s="19"/>
      <c r="AB7" s="19"/>
      <c r="AC7" s="19"/>
      <c r="AD7" s="19"/>
      <c r="AE7" s="19"/>
      <c r="AF7" s="19"/>
      <c r="AG7" s="19"/>
    </row>
    <row r="8" spans="1:33" ht="13.5" customHeight="1" x14ac:dyDescent="0.2">
      <c r="A8" s="1404" t="s">
        <v>4211</v>
      </c>
      <c r="D8" s="1044" t="s">
        <v>22</v>
      </c>
      <c r="E8" s="42" t="s">
        <v>12</v>
      </c>
      <c r="F8" s="42" t="s">
        <v>11</v>
      </c>
      <c r="G8" s="42" t="s">
        <v>10</v>
      </c>
      <c r="H8" s="42" t="s">
        <v>39</v>
      </c>
      <c r="I8" s="42" t="s">
        <v>40</v>
      </c>
      <c r="J8" s="42" t="s">
        <v>41</v>
      </c>
      <c r="K8" s="42" t="s">
        <v>42</v>
      </c>
      <c r="L8" s="42" t="s">
        <v>43</v>
      </c>
      <c r="M8" s="42" t="s">
        <v>44</v>
      </c>
      <c r="N8" s="42" t="s">
        <v>45</v>
      </c>
      <c r="O8" s="19"/>
      <c r="P8" s="19"/>
      <c r="Q8" s="19"/>
      <c r="R8" s="19"/>
      <c r="S8" s="19"/>
      <c r="T8" s="19"/>
      <c r="U8" s="19"/>
      <c r="V8" s="19"/>
      <c r="W8" s="19"/>
      <c r="X8" s="19"/>
      <c r="Y8" s="19"/>
      <c r="Z8" s="19"/>
      <c r="AA8" s="19"/>
      <c r="AB8" s="19"/>
      <c r="AC8" s="19"/>
      <c r="AD8" s="19"/>
      <c r="AE8" s="19"/>
      <c r="AF8" s="19"/>
      <c r="AG8" s="19"/>
    </row>
    <row r="9" spans="1:33" ht="13.5" customHeight="1" x14ac:dyDescent="0.2">
      <c r="A9" s="1405"/>
      <c r="D9" s="720"/>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9"/>
      <c r="P9" s="19"/>
      <c r="Q9" s="19"/>
      <c r="R9" s="19"/>
      <c r="S9" s="19"/>
      <c r="T9" s="19"/>
      <c r="U9" s="19"/>
      <c r="V9" s="19"/>
      <c r="W9" s="19"/>
      <c r="X9" s="19"/>
      <c r="Y9" s="19"/>
      <c r="Z9" s="19"/>
      <c r="AA9" s="19"/>
      <c r="AB9" s="19"/>
      <c r="AC9" s="19"/>
      <c r="AD9" s="19"/>
      <c r="AE9" s="19"/>
      <c r="AF9" s="19"/>
      <c r="AG9" s="19"/>
    </row>
    <row r="10" spans="1:33" ht="13.5" customHeight="1" x14ac:dyDescent="0.2">
      <c r="A10" s="1405"/>
      <c r="D10" s="720"/>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9"/>
      <c r="P10" s="19"/>
      <c r="Q10" s="19"/>
      <c r="R10" s="19"/>
      <c r="S10" s="19"/>
      <c r="T10" s="19"/>
      <c r="U10" s="19"/>
      <c r="V10" s="19"/>
      <c r="W10" s="19"/>
      <c r="X10" s="19"/>
      <c r="Y10" s="19"/>
      <c r="Z10" s="19"/>
      <c r="AA10" s="19"/>
      <c r="AB10" s="19"/>
      <c r="AC10" s="19"/>
      <c r="AD10" s="19"/>
      <c r="AE10" s="19"/>
      <c r="AF10" s="19"/>
      <c r="AG10" s="19"/>
    </row>
    <row r="11" spans="1:33" ht="13.5" customHeight="1" x14ac:dyDescent="0.2">
      <c r="A11" s="1406"/>
      <c r="D11" s="721"/>
      <c r="E11" s="12"/>
      <c r="F11" s="12"/>
      <c r="G11" s="12"/>
      <c r="H11" s="12"/>
      <c r="I11" s="12"/>
      <c r="J11" s="19"/>
      <c r="K11" s="19"/>
      <c r="L11" s="19"/>
      <c r="M11" s="19"/>
      <c r="N11" s="19"/>
      <c r="O11" s="19"/>
      <c r="P11" s="19"/>
      <c r="Q11" s="19"/>
      <c r="R11" s="19"/>
      <c r="S11" s="19"/>
      <c r="T11" s="19"/>
      <c r="U11" s="19"/>
      <c r="V11" s="19"/>
      <c r="W11" s="19"/>
      <c r="X11" s="19"/>
      <c r="Y11" s="19"/>
      <c r="Z11" s="19"/>
      <c r="AA11" s="19"/>
      <c r="AB11" s="19"/>
      <c r="AC11" s="19"/>
      <c r="AD11" s="19"/>
      <c r="AE11" s="19"/>
      <c r="AF11" s="19"/>
      <c r="AG11" s="19"/>
    </row>
    <row r="12" spans="1:33" customFormat="1" ht="14.1" customHeight="1" x14ac:dyDescent="0.2">
      <c r="A12" s="63"/>
      <c r="B12" s="63"/>
      <c r="C12" s="3"/>
      <c r="D12" s="12"/>
      <c r="E12" s="3"/>
      <c r="F12" s="3"/>
      <c r="G12" s="3"/>
      <c r="H12" s="16"/>
      <c r="I12" s="3"/>
      <c r="J12" s="3"/>
      <c r="K12" s="3"/>
      <c r="L12" s="3"/>
      <c r="M12" s="3"/>
      <c r="N12" s="3"/>
      <c r="O12" s="3"/>
      <c r="P12" s="18"/>
      <c r="Q12" s="18"/>
      <c r="R12" s="18"/>
      <c r="S12" s="18"/>
      <c r="T12" s="18"/>
      <c r="U12" s="18"/>
      <c r="V12" s="18"/>
      <c r="W12" s="18"/>
      <c r="X12" s="18"/>
      <c r="Y12" s="18"/>
      <c r="Z12" s="18"/>
      <c r="AA12" s="18"/>
      <c r="AB12" s="18"/>
      <c r="AC12" s="18"/>
      <c r="AD12" s="18"/>
      <c r="AE12" s="18"/>
      <c r="AF12" s="18"/>
      <c r="AG12" s="18"/>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88" customFormat="1" x14ac:dyDescent="0.2">
      <c r="D14" s="1038"/>
    </row>
    <row r="15" spans="1:33" s="217" customFormat="1" ht="20.100000000000001" customHeight="1" x14ac:dyDescent="0.2">
      <c r="A15" s="1400" t="s">
        <v>4262</v>
      </c>
      <c r="B15" s="72"/>
      <c r="C15" s="1058" t="s">
        <v>4261</v>
      </c>
      <c r="D15" s="218"/>
      <c r="E15" s="218"/>
      <c r="F15" s="218"/>
      <c r="G15" s="218"/>
      <c r="H15" s="218"/>
      <c r="I15" s="218"/>
      <c r="J15" s="218"/>
      <c r="K15" s="218"/>
      <c r="L15" s="218"/>
      <c r="M15" s="218"/>
      <c r="N15" s="218"/>
      <c r="O15" s="219"/>
      <c r="P15" s="219"/>
    </row>
    <row r="16" spans="1:33" s="203" customFormat="1" x14ac:dyDescent="0.2">
      <c r="A16" s="1407"/>
      <c r="B16" s="72"/>
      <c r="C16" s="204"/>
      <c r="D16" s="723"/>
      <c r="E16" s="210"/>
      <c r="F16" s="210"/>
      <c r="G16" s="210"/>
      <c r="H16" s="210"/>
      <c r="I16" s="210"/>
      <c r="J16" s="210"/>
      <c r="K16" s="210"/>
      <c r="L16" s="210"/>
      <c r="M16" s="210"/>
      <c r="N16" s="210"/>
      <c r="O16" s="210"/>
      <c r="P16" s="210"/>
    </row>
    <row r="17" spans="1:33" s="203" customFormat="1" ht="59.25" customHeight="1" x14ac:dyDescent="0.2">
      <c r="A17" s="1408"/>
      <c r="B17" s="72"/>
      <c r="C17" s="204"/>
      <c r="D17" s="723"/>
      <c r="E17" s="210"/>
      <c r="F17" s="210"/>
      <c r="G17" s="210"/>
      <c r="H17" s="210"/>
      <c r="I17" s="210"/>
      <c r="J17" s="210"/>
      <c r="K17" s="210"/>
      <c r="L17" s="210"/>
      <c r="M17" s="210"/>
      <c r="N17" s="210"/>
      <c r="O17" s="210"/>
      <c r="P17" s="210"/>
    </row>
    <row r="18" spans="1:33" customFormat="1" ht="14.1" customHeight="1" x14ac:dyDescent="0.2">
      <c r="A18" s="19"/>
      <c r="B18" s="19"/>
      <c r="C18" s="12"/>
      <c r="D18" s="12"/>
      <c r="E18" s="3"/>
      <c r="F18" s="3"/>
      <c r="G18" s="3"/>
      <c r="H18" s="16"/>
      <c r="I18" s="3"/>
      <c r="J18" s="3"/>
      <c r="K18" s="3"/>
      <c r="L18" s="3"/>
      <c r="M18" s="3"/>
      <c r="N18" s="3"/>
      <c r="O18" s="3"/>
      <c r="P18" s="18"/>
      <c r="Q18" s="18"/>
      <c r="R18" s="18"/>
      <c r="S18" s="18"/>
      <c r="T18" s="18"/>
      <c r="U18" s="18"/>
      <c r="V18" s="18"/>
      <c r="W18" s="18"/>
      <c r="X18" s="18"/>
      <c r="Y18" s="18"/>
      <c r="Z18" s="18"/>
      <c r="AA18" s="18"/>
      <c r="AB18" s="18"/>
      <c r="AC18" s="18"/>
      <c r="AD18" s="18"/>
      <c r="AE18" s="18"/>
      <c r="AF18" s="18"/>
      <c r="AG18" s="18"/>
    </row>
    <row r="19" spans="1:33" s="122" customFormat="1" ht="15.75" x14ac:dyDescent="0.2">
      <c r="A19" s="1043">
        <v>2</v>
      </c>
      <c r="B19" s="1039"/>
      <c r="C19" s="1039"/>
      <c r="D19" s="1039"/>
      <c r="E19" s="1039"/>
      <c r="F19" s="1039"/>
      <c r="G19" s="1039"/>
      <c r="H19" s="1039"/>
      <c r="I19" s="1039"/>
      <c r="J19" s="1039"/>
      <c r="K19" s="1039"/>
      <c r="L19" s="1039"/>
      <c r="M19" s="1039"/>
      <c r="N19" s="1039"/>
      <c r="O19" s="1039"/>
      <c r="P19" s="206"/>
      <c r="Q19" s="206"/>
      <c r="R19" s="206"/>
      <c r="S19" s="206"/>
      <c r="T19" s="206"/>
      <c r="U19" s="206"/>
      <c r="V19" s="206"/>
      <c r="W19" s="206"/>
      <c r="X19" s="206"/>
      <c r="Y19" s="206"/>
      <c r="Z19" s="206"/>
      <c r="AA19" s="206"/>
      <c r="AB19" s="206"/>
      <c r="AC19" s="206"/>
      <c r="AD19" s="206"/>
      <c r="AE19" s="206"/>
      <c r="AF19" s="206"/>
    </row>
    <row r="20" spans="1:33" s="18" customFormat="1" ht="13.5" thickBot="1" x14ac:dyDescent="0.25">
      <c r="A20" s="13"/>
      <c r="B20" s="3"/>
      <c r="C20" s="30"/>
      <c r="D20" s="30"/>
      <c r="E20" s="23"/>
      <c r="F20" s="23"/>
      <c r="G20" s="23"/>
      <c r="H20" s="23"/>
      <c r="I20" s="23"/>
      <c r="J20" s="23"/>
      <c r="K20" s="23"/>
      <c r="L20" s="23"/>
      <c r="M20" s="23"/>
      <c r="N20" s="23"/>
      <c r="O20" s="23"/>
      <c r="P20" s="12"/>
      <c r="Q20" s="12"/>
    </row>
    <row r="21" spans="1:33" s="18" customFormat="1" ht="20.100000000000001" customHeight="1" x14ac:dyDescent="0.2">
      <c r="A21" s="1397" t="s">
        <v>4268</v>
      </c>
      <c r="B21" s="267"/>
      <c r="C21" s="967" t="s">
        <v>4264</v>
      </c>
      <c r="D21" s="23"/>
      <c r="E21" s="23"/>
      <c r="F21" s="23"/>
      <c r="G21" s="23"/>
      <c r="H21" s="23"/>
      <c r="I21" s="23"/>
      <c r="J21" s="23"/>
      <c r="K21" s="23"/>
      <c r="L21" s="23"/>
      <c r="M21" s="23"/>
      <c r="N21" s="23"/>
      <c r="O21" s="23"/>
      <c r="P21" s="12"/>
      <c r="Q21" s="12"/>
    </row>
    <row r="22" spans="1:33" s="18" customFormat="1" ht="12" customHeight="1" x14ac:dyDescent="0.2">
      <c r="A22" s="1398"/>
      <c r="B22" s="267"/>
      <c r="C22" s="267"/>
      <c r="D22" s="30"/>
      <c r="E22" s="23"/>
      <c r="F22" s="23"/>
      <c r="G22" s="23"/>
      <c r="H22" s="23"/>
      <c r="I22" s="23"/>
      <c r="J22" s="23"/>
      <c r="K22" s="23"/>
      <c r="L22" s="23"/>
      <c r="M22" s="23"/>
      <c r="N22" s="23"/>
      <c r="O22" s="23"/>
      <c r="P22" s="12"/>
      <c r="Q22" s="12"/>
    </row>
    <row r="23" spans="1:33" s="18" customFormat="1" ht="20.25" customHeight="1" x14ac:dyDescent="0.2">
      <c r="A23" s="1399"/>
      <c r="B23" s="267"/>
      <c r="C23" s="267"/>
      <c r="D23" s="30"/>
      <c r="E23" s="23"/>
      <c r="F23" s="23"/>
      <c r="G23" s="23"/>
      <c r="H23" s="23"/>
      <c r="I23" s="23"/>
      <c r="J23" s="23"/>
      <c r="K23" s="23"/>
      <c r="L23" s="23"/>
      <c r="M23" s="23"/>
      <c r="N23" s="23"/>
      <c r="O23" s="23"/>
      <c r="P23" s="12"/>
      <c r="Q23" s="12"/>
    </row>
    <row r="24" spans="1:33" s="18" customFormat="1" ht="12" customHeight="1" x14ac:dyDescent="0.2">
      <c r="B24" s="267"/>
      <c r="C24" s="267"/>
      <c r="D24" s="30"/>
      <c r="E24" s="23"/>
      <c r="F24" s="23"/>
      <c r="G24" s="23"/>
      <c r="H24" s="23"/>
      <c r="I24" s="23"/>
      <c r="J24" s="23"/>
      <c r="K24" s="23"/>
      <c r="L24" s="23"/>
      <c r="M24" s="23"/>
      <c r="N24" s="23"/>
      <c r="O24" s="23"/>
      <c r="P24" s="12"/>
      <c r="Q24" s="12"/>
    </row>
    <row r="25" spans="1:33" s="18" customFormat="1" ht="12" hidden="1" customHeight="1" outlineLevel="1" thickBot="1" x14ac:dyDescent="0.25">
      <c r="B25" s="267"/>
      <c r="C25" s="267"/>
      <c r="D25" s="30"/>
      <c r="E25" s="23"/>
      <c r="F25" s="23"/>
      <c r="G25" s="23"/>
      <c r="H25" s="23"/>
      <c r="I25" s="23"/>
      <c r="J25" s="23"/>
      <c r="K25" s="23"/>
      <c r="L25" s="23"/>
      <c r="M25" s="23"/>
      <c r="N25" s="23"/>
      <c r="O25" s="23"/>
      <c r="P25" s="12"/>
      <c r="Q25" s="12"/>
    </row>
    <row r="26" spans="1:33" customFormat="1" ht="20.25" hidden="1" customHeight="1" outlineLevel="1" x14ac:dyDescent="0.2">
      <c r="A26" s="1397" t="s">
        <v>4265</v>
      </c>
      <c r="B26" s="3"/>
      <c r="C26" s="912" t="str">
        <f>Scenario1&amp;" Average Error Rates"</f>
        <v>pSystems (Paper) Average Error Rates</v>
      </c>
      <c r="D26" s="310"/>
      <c r="E26" s="240"/>
      <c r="F26" s="240"/>
      <c r="G26" s="240"/>
      <c r="H26" s="240"/>
      <c r="I26" s="240"/>
      <c r="J26" s="240"/>
      <c r="K26" s="240"/>
      <c r="L26" s="240"/>
      <c r="M26" s="240"/>
      <c r="N26" s="240"/>
      <c r="O26" s="435"/>
      <c r="P26" s="18"/>
      <c r="Q26" s="18"/>
      <c r="R26" s="18"/>
      <c r="S26" s="18"/>
      <c r="T26" s="18"/>
      <c r="U26" s="18"/>
      <c r="V26" s="18"/>
      <c r="W26" s="18"/>
      <c r="X26" s="18"/>
      <c r="Y26" s="18"/>
      <c r="Z26" s="18"/>
      <c r="AA26" s="18"/>
      <c r="AB26" s="18"/>
      <c r="AC26" s="18"/>
      <c r="AD26" s="18"/>
      <c r="AE26" s="18"/>
      <c r="AF26" s="18"/>
      <c r="AG26" s="18"/>
    </row>
    <row r="27" spans="1:33" s="142" customFormat="1" ht="18" hidden="1" customHeight="1" outlineLevel="1" x14ac:dyDescent="0.2">
      <c r="A27" s="1398"/>
      <c r="B27" s="138"/>
      <c r="C27" s="235"/>
      <c r="D27" s="537" t="s">
        <v>1004</v>
      </c>
      <c r="E27" s="536">
        <v>1.4999999999999999E-2</v>
      </c>
      <c r="F27" s="536">
        <v>1.4999999999999999E-2</v>
      </c>
      <c r="G27" s="536">
        <v>1.4999999999999999E-2</v>
      </c>
      <c r="H27" s="536">
        <v>1.4999999999999999E-2</v>
      </c>
      <c r="I27" s="536">
        <v>1.4999999999999999E-2</v>
      </c>
      <c r="J27" s="536">
        <v>1.4999999999999999E-2</v>
      </c>
      <c r="K27" s="536">
        <v>1.4999999999999999E-2</v>
      </c>
      <c r="L27" s="536">
        <v>1.4999999999999999E-2</v>
      </c>
      <c r="M27" s="536">
        <v>1.4999999999999999E-2</v>
      </c>
      <c r="N27" s="536">
        <v>1.4999999999999999E-2</v>
      </c>
      <c r="O27" s="535" t="s">
        <v>1016</v>
      </c>
    </row>
    <row r="28" spans="1:33" s="142" customFormat="1" ht="18" hidden="1" customHeight="1" outlineLevel="1" x14ac:dyDescent="0.2">
      <c r="A28" s="1398"/>
      <c r="B28" s="138"/>
      <c r="C28" s="235"/>
      <c r="D28" s="537" t="s">
        <v>1005</v>
      </c>
      <c r="E28" s="536">
        <v>1.4999999999999999E-2</v>
      </c>
      <c r="F28" s="536">
        <v>1.4999999999999999E-2</v>
      </c>
      <c r="G28" s="536">
        <v>1.4999999999999999E-2</v>
      </c>
      <c r="H28" s="536">
        <v>1.4999999999999999E-2</v>
      </c>
      <c r="I28" s="536">
        <v>1.4999999999999999E-2</v>
      </c>
      <c r="J28" s="536">
        <v>1.4999999999999999E-2</v>
      </c>
      <c r="K28" s="536">
        <v>1.4999999999999999E-2</v>
      </c>
      <c r="L28" s="536">
        <v>1.4999999999999999E-2</v>
      </c>
      <c r="M28" s="536">
        <v>1.4999999999999999E-2</v>
      </c>
      <c r="N28" s="536">
        <v>1.4999999999999999E-2</v>
      </c>
      <c r="O28" s="535" t="s">
        <v>1017</v>
      </c>
    </row>
    <row r="29" spans="1:33" s="142" customFormat="1" ht="18" hidden="1" customHeight="1" outlineLevel="1" x14ac:dyDescent="0.2">
      <c r="A29" s="1398"/>
      <c r="B29" s="138"/>
      <c r="C29" s="235"/>
      <c r="D29" s="537" t="s">
        <v>1006</v>
      </c>
      <c r="E29" s="536">
        <v>1.4999999999999999E-2</v>
      </c>
      <c r="F29" s="536">
        <v>1.4999999999999999E-2</v>
      </c>
      <c r="G29" s="536">
        <v>1.4999999999999999E-2</v>
      </c>
      <c r="H29" s="536">
        <v>1.4999999999999999E-2</v>
      </c>
      <c r="I29" s="536">
        <v>1.4999999999999999E-2</v>
      </c>
      <c r="J29" s="536">
        <v>1.4999999999999999E-2</v>
      </c>
      <c r="K29" s="536">
        <v>1.4999999999999999E-2</v>
      </c>
      <c r="L29" s="536">
        <v>1.4999999999999999E-2</v>
      </c>
      <c r="M29" s="536">
        <v>1.4999999999999999E-2</v>
      </c>
      <c r="N29" s="536">
        <v>1.4999999999999999E-2</v>
      </c>
      <c r="O29" s="535" t="s">
        <v>1018</v>
      </c>
    </row>
    <row r="30" spans="1:33" s="142" customFormat="1" ht="18" hidden="1" customHeight="1" outlineLevel="1" x14ac:dyDescent="0.2">
      <c r="A30" s="1398"/>
      <c r="B30" s="138"/>
      <c r="C30" s="235"/>
      <c r="D30" s="537" t="s">
        <v>1007</v>
      </c>
      <c r="E30" s="536">
        <v>1.4999999999999999E-2</v>
      </c>
      <c r="F30" s="536">
        <v>1.4999999999999999E-2</v>
      </c>
      <c r="G30" s="536">
        <v>1.4999999999999999E-2</v>
      </c>
      <c r="H30" s="536">
        <v>1.4999999999999999E-2</v>
      </c>
      <c r="I30" s="536">
        <v>1.4999999999999999E-2</v>
      </c>
      <c r="J30" s="536">
        <v>1.4999999999999999E-2</v>
      </c>
      <c r="K30" s="536">
        <v>1.4999999999999999E-2</v>
      </c>
      <c r="L30" s="536">
        <v>1.4999999999999999E-2</v>
      </c>
      <c r="M30" s="536">
        <v>1.4999999999999999E-2</v>
      </c>
      <c r="N30" s="536">
        <v>1.4999999999999999E-2</v>
      </c>
      <c r="O30" s="535" t="s">
        <v>1019</v>
      </c>
    </row>
    <row r="31" spans="1:33" s="142" customFormat="1" ht="18" hidden="1" customHeight="1" outlineLevel="1" x14ac:dyDescent="0.2">
      <c r="A31" s="1398"/>
      <c r="B31" s="138"/>
      <c r="C31" s="235"/>
      <c r="D31" s="537" t="s">
        <v>1008</v>
      </c>
      <c r="E31" s="536">
        <v>1.4999999999999999E-2</v>
      </c>
      <c r="F31" s="536">
        <v>1.4999999999999999E-2</v>
      </c>
      <c r="G31" s="536">
        <v>1.4999999999999999E-2</v>
      </c>
      <c r="H31" s="536">
        <v>1.4999999999999999E-2</v>
      </c>
      <c r="I31" s="536">
        <v>1.4999999999999999E-2</v>
      </c>
      <c r="J31" s="536">
        <v>1.4999999999999999E-2</v>
      </c>
      <c r="K31" s="536">
        <v>1.4999999999999999E-2</v>
      </c>
      <c r="L31" s="536">
        <v>1.4999999999999999E-2</v>
      </c>
      <c r="M31" s="536">
        <v>1.4999999999999999E-2</v>
      </c>
      <c r="N31" s="536">
        <v>1.4999999999999999E-2</v>
      </c>
      <c r="O31" s="535" t="s">
        <v>1020</v>
      </c>
    </row>
    <row r="32" spans="1:33" s="142" customFormat="1" ht="18" hidden="1" customHeight="1" outlineLevel="1" x14ac:dyDescent="0.2">
      <c r="A32" s="1398"/>
      <c r="B32" s="138"/>
      <c r="C32" s="235"/>
      <c r="D32" s="537" t="s">
        <v>1009</v>
      </c>
      <c r="E32" s="536">
        <v>1.4999999999999999E-2</v>
      </c>
      <c r="F32" s="536">
        <v>1.4999999999999999E-2</v>
      </c>
      <c r="G32" s="536">
        <v>1.4999999999999999E-2</v>
      </c>
      <c r="H32" s="536">
        <v>1.4999999999999999E-2</v>
      </c>
      <c r="I32" s="536">
        <v>1.4999999999999999E-2</v>
      </c>
      <c r="J32" s="536">
        <v>1.4999999999999999E-2</v>
      </c>
      <c r="K32" s="536">
        <v>1.4999999999999999E-2</v>
      </c>
      <c r="L32" s="536">
        <v>1.4999999999999999E-2</v>
      </c>
      <c r="M32" s="536">
        <v>1.4999999999999999E-2</v>
      </c>
      <c r="N32" s="536">
        <v>1.4999999999999999E-2</v>
      </c>
      <c r="O32" s="535" t="s">
        <v>1021</v>
      </c>
    </row>
    <row r="33" spans="1:15" s="142" customFormat="1" ht="18" hidden="1" customHeight="1" outlineLevel="1" x14ac:dyDescent="0.2">
      <c r="A33" s="1398"/>
      <c r="B33" s="138"/>
      <c r="C33" s="235"/>
      <c r="D33" s="537" t="s">
        <v>1010</v>
      </c>
      <c r="E33" s="536">
        <v>1.4999999999999999E-2</v>
      </c>
      <c r="F33" s="536">
        <v>1.4999999999999999E-2</v>
      </c>
      <c r="G33" s="536">
        <v>1.4999999999999999E-2</v>
      </c>
      <c r="H33" s="536">
        <v>1.4999999999999999E-2</v>
      </c>
      <c r="I33" s="536">
        <v>1.4999999999999999E-2</v>
      </c>
      <c r="J33" s="536">
        <v>1.4999999999999999E-2</v>
      </c>
      <c r="K33" s="536">
        <v>1.4999999999999999E-2</v>
      </c>
      <c r="L33" s="536">
        <v>1.4999999999999999E-2</v>
      </c>
      <c r="M33" s="536">
        <v>1.4999999999999999E-2</v>
      </c>
      <c r="N33" s="536">
        <v>1.4999999999999999E-2</v>
      </c>
      <c r="O33" s="535" t="s">
        <v>1022</v>
      </c>
    </row>
    <row r="34" spans="1:15" s="142" customFormat="1" ht="18" hidden="1" customHeight="1" outlineLevel="1" x14ac:dyDescent="0.2">
      <c r="A34" s="1398"/>
      <c r="B34" s="138"/>
      <c r="C34" s="235"/>
      <c r="D34" s="537" t="s">
        <v>1011</v>
      </c>
      <c r="E34" s="536">
        <v>1.4999999999999999E-2</v>
      </c>
      <c r="F34" s="536">
        <v>1.4999999999999999E-2</v>
      </c>
      <c r="G34" s="536">
        <v>1.4999999999999999E-2</v>
      </c>
      <c r="H34" s="536">
        <v>1.4999999999999999E-2</v>
      </c>
      <c r="I34" s="536">
        <v>1.4999999999999999E-2</v>
      </c>
      <c r="J34" s="536">
        <v>1.4999999999999999E-2</v>
      </c>
      <c r="K34" s="536">
        <v>1.4999999999999999E-2</v>
      </c>
      <c r="L34" s="536">
        <v>1.4999999999999999E-2</v>
      </c>
      <c r="M34" s="536">
        <v>1.4999999999999999E-2</v>
      </c>
      <c r="N34" s="536">
        <v>1.4999999999999999E-2</v>
      </c>
      <c r="O34" s="535" t="s">
        <v>1023</v>
      </c>
    </row>
    <row r="35" spans="1:15" s="142" customFormat="1" ht="18" hidden="1" customHeight="1" outlineLevel="1" x14ac:dyDescent="0.2">
      <c r="A35" s="1398"/>
      <c r="B35" s="138"/>
      <c r="C35" s="235"/>
      <c r="D35" s="537" t="s">
        <v>1012</v>
      </c>
      <c r="E35" s="536">
        <v>1.4999999999999999E-2</v>
      </c>
      <c r="F35" s="536">
        <v>1.4999999999999999E-2</v>
      </c>
      <c r="G35" s="536">
        <v>1.4999999999999999E-2</v>
      </c>
      <c r="H35" s="536">
        <v>1.4999999999999999E-2</v>
      </c>
      <c r="I35" s="536">
        <v>1.4999999999999999E-2</v>
      </c>
      <c r="J35" s="536">
        <v>1.4999999999999999E-2</v>
      </c>
      <c r="K35" s="536">
        <v>1.4999999999999999E-2</v>
      </c>
      <c r="L35" s="536">
        <v>1.4999999999999999E-2</v>
      </c>
      <c r="M35" s="536">
        <v>1.4999999999999999E-2</v>
      </c>
      <c r="N35" s="536">
        <v>1.4999999999999999E-2</v>
      </c>
      <c r="O35" s="535" t="s">
        <v>1024</v>
      </c>
    </row>
    <row r="36" spans="1:15" s="142" customFormat="1" ht="18" hidden="1" customHeight="1" outlineLevel="1" x14ac:dyDescent="0.2">
      <c r="A36" s="1398"/>
      <c r="B36" s="138"/>
      <c r="C36" s="235"/>
      <c r="D36" s="537" t="s">
        <v>1013</v>
      </c>
      <c r="E36" s="536">
        <v>1.4999999999999999E-2</v>
      </c>
      <c r="F36" s="536">
        <v>1.4999999999999999E-2</v>
      </c>
      <c r="G36" s="536">
        <v>1.4999999999999999E-2</v>
      </c>
      <c r="H36" s="536">
        <v>1.4999999999999999E-2</v>
      </c>
      <c r="I36" s="536">
        <v>1.4999999999999999E-2</v>
      </c>
      <c r="J36" s="536">
        <v>1.4999999999999999E-2</v>
      </c>
      <c r="K36" s="536">
        <v>1.4999999999999999E-2</v>
      </c>
      <c r="L36" s="536">
        <v>1.4999999999999999E-2</v>
      </c>
      <c r="M36" s="536">
        <v>1.4999999999999999E-2</v>
      </c>
      <c r="N36" s="536">
        <v>1.4999999999999999E-2</v>
      </c>
      <c r="O36" s="535" t="s">
        <v>1025</v>
      </c>
    </row>
    <row r="37" spans="1:15" s="142" customFormat="1" ht="18" hidden="1" customHeight="1" outlineLevel="1" x14ac:dyDescent="0.2">
      <c r="A37" s="1398"/>
      <c r="B37" s="138"/>
      <c r="C37" s="235"/>
      <c r="D37" s="537" t="s">
        <v>1014</v>
      </c>
      <c r="E37" s="536">
        <v>0</v>
      </c>
      <c r="F37" s="536">
        <v>0</v>
      </c>
      <c r="G37" s="536">
        <v>0</v>
      </c>
      <c r="H37" s="536">
        <v>0</v>
      </c>
      <c r="I37" s="536">
        <v>0</v>
      </c>
      <c r="J37" s="536">
        <v>0</v>
      </c>
      <c r="K37" s="536">
        <v>0</v>
      </c>
      <c r="L37" s="536">
        <v>0</v>
      </c>
      <c r="M37" s="536">
        <v>0</v>
      </c>
      <c r="N37" s="536">
        <v>0</v>
      </c>
      <c r="O37" s="535" t="s">
        <v>1026</v>
      </c>
    </row>
    <row r="38" spans="1:15" s="142" customFormat="1" ht="18" hidden="1" customHeight="1" outlineLevel="1" x14ac:dyDescent="0.2">
      <c r="A38" s="1399"/>
      <c r="B38" s="138"/>
      <c r="C38" s="235"/>
      <c r="D38" s="537" t="s">
        <v>1015</v>
      </c>
      <c r="E38" s="536">
        <v>0</v>
      </c>
      <c r="F38" s="536">
        <v>0</v>
      </c>
      <c r="G38" s="536">
        <v>0</v>
      </c>
      <c r="H38" s="536">
        <v>0</v>
      </c>
      <c r="I38" s="536">
        <v>0</v>
      </c>
      <c r="J38" s="536">
        <v>0</v>
      </c>
      <c r="K38" s="536">
        <v>0</v>
      </c>
      <c r="L38" s="536">
        <v>0</v>
      </c>
      <c r="M38" s="536">
        <v>0</v>
      </c>
      <c r="N38" s="536">
        <v>0</v>
      </c>
      <c r="O38" s="535" t="s">
        <v>1027</v>
      </c>
    </row>
    <row r="39" spans="1:15" s="138" customFormat="1" ht="18" hidden="1" customHeight="1" outlineLevel="1" x14ac:dyDescent="0.2">
      <c r="A39" s="1024"/>
      <c r="C39" s="235"/>
      <c r="D39" s="537"/>
      <c r="E39" s="539"/>
      <c r="F39" s="539"/>
      <c r="G39" s="539"/>
      <c r="H39" s="539"/>
      <c r="I39" s="539"/>
      <c r="J39" s="539"/>
      <c r="K39" s="539"/>
      <c r="L39" s="539"/>
      <c r="M39" s="539"/>
      <c r="N39" s="539"/>
      <c r="O39" s="535"/>
    </row>
    <row r="40" spans="1:15" s="138" customFormat="1" ht="18" hidden="1" customHeight="1" outlineLevel="1" x14ac:dyDescent="0.2">
      <c r="A40" s="1397" t="s">
        <v>4263</v>
      </c>
      <c r="C40" s="991" t="str">
        <f>Scenario1&amp;" Required Error Rework Calculations"</f>
        <v>pSystems (Paper) Required Error Rework Calculations</v>
      </c>
      <c r="D40" s="537"/>
      <c r="E40" s="539"/>
      <c r="F40" s="539"/>
      <c r="G40" s="539"/>
      <c r="H40" s="539"/>
      <c r="I40" s="539"/>
      <c r="J40" s="539"/>
      <c r="K40" s="539"/>
      <c r="L40" s="539"/>
      <c r="M40" s="539"/>
      <c r="N40" s="539"/>
      <c r="O40" s="535"/>
    </row>
    <row r="41" spans="1:15" s="142" customFormat="1" ht="18" hidden="1" customHeight="1" outlineLevel="1" x14ac:dyDescent="0.2">
      <c r="A41" s="1398"/>
      <c r="B41" s="138"/>
      <c r="C41" s="235"/>
      <c r="D41" s="537" t="s">
        <v>1054</v>
      </c>
      <c r="E41" s="433">
        <f t="shared" ref="E41:N41" si="0">pSystemsPaperPercentErrorHM*pSystemsFleetPaperHMTotal</f>
        <v>4709.25</v>
      </c>
      <c r="F41" s="433">
        <f t="shared" si="0"/>
        <v>4326.3116883116891</v>
      </c>
      <c r="G41" s="433">
        <f t="shared" si="0"/>
        <v>4036.4375000000005</v>
      </c>
      <c r="H41" s="433">
        <f t="shared" si="0"/>
        <v>4670.0109890109889</v>
      </c>
      <c r="I41" s="433">
        <f t="shared" si="0"/>
        <v>4847.1428571428569</v>
      </c>
      <c r="J41" s="433">
        <f t="shared" si="0"/>
        <v>5026.857142857144</v>
      </c>
      <c r="K41" s="433">
        <f t="shared" si="0"/>
        <v>5208.6696428571431</v>
      </c>
      <c r="L41" s="433">
        <f t="shared" si="0"/>
        <v>5392.2100840336125</v>
      </c>
      <c r="M41" s="433">
        <f t="shared" si="0"/>
        <v>5577.1904761904761</v>
      </c>
      <c r="N41" s="433">
        <f t="shared" si="0"/>
        <v>5763.3834586466164</v>
      </c>
      <c r="O41" s="535" t="s">
        <v>1067</v>
      </c>
    </row>
    <row r="42" spans="1:15" s="142" customFormat="1" ht="18" hidden="1" customHeight="1" outlineLevel="1" x14ac:dyDescent="0.2">
      <c r="A42" s="1398"/>
      <c r="B42" s="138"/>
      <c r="C42" s="235"/>
      <c r="D42" s="537" t="s">
        <v>1055</v>
      </c>
      <c r="E42" s="433">
        <f t="shared" ref="E42:N42" si="1">pSystemsPaperPercentErrorLM*pSystemsFleetPaperLMTotal</f>
        <v>23402.34</v>
      </c>
      <c r="F42" s="433">
        <f t="shared" si="1"/>
        <v>23404.68</v>
      </c>
      <c r="G42" s="433">
        <f t="shared" si="1"/>
        <v>23407.02</v>
      </c>
      <c r="H42" s="433">
        <f t="shared" si="1"/>
        <v>23409.360000000001</v>
      </c>
      <c r="I42" s="433">
        <f t="shared" si="1"/>
        <v>23411.7</v>
      </c>
      <c r="J42" s="433">
        <f t="shared" si="1"/>
        <v>23414.04</v>
      </c>
      <c r="K42" s="433">
        <f t="shared" si="1"/>
        <v>23416.379999999997</v>
      </c>
      <c r="L42" s="433">
        <f t="shared" si="1"/>
        <v>23418.719999999998</v>
      </c>
      <c r="M42" s="433">
        <f t="shared" si="1"/>
        <v>23421.059999999998</v>
      </c>
      <c r="N42" s="433">
        <f t="shared" si="1"/>
        <v>23423.399999999998</v>
      </c>
      <c r="O42" s="535" t="s">
        <v>1068</v>
      </c>
    </row>
    <row r="43" spans="1:15" s="142" customFormat="1" ht="18" hidden="1" customHeight="1" outlineLevel="1" x14ac:dyDescent="0.2">
      <c r="A43" s="1398"/>
      <c r="B43" s="138"/>
      <c r="C43" s="235"/>
      <c r="D43" s="537" t="s">
        <v>1056</v>
      </c>
      <c r="E43" s="433">
        <f t="shared" ref="E43:N43" si="2">pSystemsPaperPercentErrorENG*pSystemsFleetPaperENGTotal</f>
        <v>28217.564999999999</v>
      </c>
      <c r="F43" s="433">
        <f t="shared" si="2"/>
        <v>28220.129999999997</v>
      </c>
      <c r="G43" s="433">
        <f t="shared" si="2"/>
        <v>28222.695</v>
      </c>
      <c r="H43" s="433">
        <f t="shared" si="2"/>
        <v>28225.26</v>
      </c>
      <c r="I43" s="433">
        <f t="shared" si="2"/>
        <v>28227.825000000001</v>
      </c>
      <c r="J43" s="433">
        <f t="shared" si="2"/>
        <v>28230.39</v>
      </c>
      <c r="K43" s="433">
        <f t="shared" si="2"/>
        <v>28232.954999999998</v>
      </c>
      <c r="L43" s="433">
        <f t="shared" si="2"/>
        <v>28235.52</v>
      </c>
      <c r="M43" s="433">
        <f t="shared" si="2"/>
        <v>28238.084999999999</v>
      </c>
      <c r="N43" s="433">
        <f t="shared" si="2"/>
        <v>28240.649999999998</v>
      </c>
      <c r="O43" s="535" t="s">
        <v>1069</v>
      </c>
    </row>
    <row r="44" spans="1:15" s="142" customFormat="1" ht="18" hidden="1" customHeight="1" outlineLevel="1" x14ac:dyDescent="0.2">
      <c r="A44" s="1398"/>
      <c r="B44" s="138"/>
      <c r="C44" s="235"/>
      <c r="D44" s="537" t="s">
        <v>1057</v>
      </c>
      <c r="E44" s="433">
        <f t="shared" ref="E44:N44" si="3">pSystemsPaperPercentErrorPLG*pSystemsFleetPaperPLGTotal</f>
        <v>25742.34</v>
      </c>
      <c r="F44" s="433">
        <f t="shared" si="3"/>
        <v>25744.68</v>
      </c>
      <c r="G44" s="433">
        <f t="shared" si="3"/>
        <v>25747.02</v>
      </c>
      <c r="H44" s="433">
        <f t="shared" si="3"/>
        <v>25749.360000000001</v>
      </c>
      <c r="I44" s="433">
        <f t="shared" si="3"/>
        <v>25751.7</v>
      </c>
      <c r="J44" s="433">
        <f t="shared" si="3"/>
        <v>25754.039999999997</v>
      </c>
      <c r="K44" s="433">
        <f t="shared" si="3"/>
        <v>25756.379999999997</v>
      </c>
      <c r="L44" s="433">
        <f t="shared" si="3"/>
        <v>25758.719999999998</v>
      </c>
      <c r="M44" s="433">
        <f t="shared" si="3"/>
        <v>25761.059999999998</v>
      </c>
      <c r="N44" s="433">
        <f t="shared" si="3"/>
        <v>25763.399999999998</v>
      </c>
      <c r="O44" s="535" t="s">
        <v>1070</v>
      </c>
    </row>
    <row r="45" spans="1:15" s="142" customFormat="1" ht="18" hidden="1" customHeight="1" outlineLevel="1" x14ac:dyDescent="0.2">
      <c r="A45" s="1398"/>
      <c r="B45" s="138"/>
      <c r="C45" s="235"/>
      <c r="D45" s="537" t="s">
        <v>1058</v>
      </c>
      <c r="E45" s="433">
        <f t="shared" ref="E45:N45" si="4">pSystemsPaperPercentErrorCRT*pSystemsFleetPaperCRTTotal</f>
        <v>28082.34</v>
      </c>
      <c r="F45" s="433">
        <f t="shared" si="4"/>
        <v>28084.68</v>
      </c>
      <c r="G45" s="433">
        <f t="shared" si="4"/>
        <v>28087.02</v>
      </c>
      <c r="H45" s="433">
        <f t="shared" si="4"/>
        <v>28089.360000000001</v>
      </c>
      <c r="I45" s="433">
        <f t="shared" si="4"/>
        <v>28091.7</v>
      </c>
      <c r="J45" s="433">
        <f t="shared" si="4"/>
        <v>28094.039999999997</v>
      </c>
      <c r="K45" s="433">
        <f t="shared" si="4"/>
        <v>28096.379999999997</v>
      </c>
      <c r="L45" s="433">
        <f t="shared" si="4"/>
        <v>28098.719999999998</v>
      </c>
      <c r="M45" s="433">
        <f t="shared" si="4"/>
        <v>28101.059999999998</v>
      </c>
      <c r="N45" s="433">
        <f t="shared" si="4"/>
        <v>28103.399999999998</v>
      </c>
      <c r="O45" s="535" t="s">
        <v>1071</v>
      </c>
    </row>
    <row r="46" spans="1:15" s="142" customFormat="1" ht="18" hidden="1" customHeight="1" outlineLevel="1" x14ac:dyDescent="0.2">
      <c r="A46" s="1398"/>
      <c r="B46" s="138"/>
      <c r="C46" s="235"/>
      <c r="D46" s="537" t="s">
        <v>1059</v>
      </c>
      <c r="E46" s="433">
        <f t="shared" ref="E46:N46" si="5">pSystemsPaperPercentErrorSCL*pSystemsFleetPaperSCLTotal</f>
        <v>30422.34</v>
      </c>
      <c r="F46" s="433">
        <f t="shared" si="5"/>
        <v>30424.68</v>
      </c>
      <c r="G46" s="433">
        <f t="shared" si="5"/>
        <v>30427.02</v>
      </c>
      <c r="H46" s="433">
        <f t="shared" si="5"/>
        <v>30429.360000000001</v>
      </c>
      <c r="I46" s="433">
        <f t="shared" si="5"/>
        <v>30431.699999999997</v>
      </c>
      <c r="J46" s="433">
        <f t="shared" si="5"/>
        <v>30434.039999999997</v>
      </c>
      <c r="K46" s="433">
        <f t="shared" si="5"/>
        <v>30436.379999999997</v>
      </c>
      <c r="L46" s="433">
        <f t="shared" si="5"/>
        <v>30438.719999999998</v>
      </c>
      <c r="M46" s="433">
        <f t="shared" si="5"/>
        <v>30441.059999999998</v>
      </c>
      <c r="N46" s="433">
        <f t="shared" si="5"/>
        <v>30443.399999999998</v>
      </c>
      <c r="O46" s="535" t="s">
        <v>1072</v>
      </c>
    </row>
    <row r="47" spans="1:15" s="142" customFormat="1" ht="18" hidden="1" customHeight="1" outlineLevel="1" x14ac:dyDescent="0.2">
      <c r="A47" s="1398"/>
      <c r="B47" s="138"/>
      <c r="C47" s="235"/>
      <c r="D47" s="537" t="s">
        <v>1060</v>
      </c>
      <c r="E47" s="433">
        <f t="shared" ref="E47:N47" si="6">pSystemsPaperPercentErrorQSC*pSystemsFleetPaperQSCTotal</f>
        <v>32762.34</v>
      </c>
      <c r="F47" s="433">
        <f t="shared" si="6"/>
        <v>32764.68</v>
      </c>
      <c r="G47" s="433">
        <f t="shared" si="6"/>
        <v>32767.02</v>
      </c>
      <c r="H47" s="433">
        <f t="shared" si="6"/>
        <v>32769.360000000001</v>
      </c>
      <c r="I47" s="433">
        <f t="shared" si="6"/>
        <v>32771.699999999997</v>
      </c>
      <c r="J47" s="433">
        <f t="shared" si="6"/>
        <v>32774.04</v>
      </c>
      <c r="K47" s="433">
        <f t="shared" si="6"/>
        <v>32776.379999999997</v>
      </c>
      <c r="L47" s="433">
        <f t="shared" si="6"/>
        <v>32778.720000000001</v>
      </c>
      <c r="M47" s="433">
        <f t="shared" si="6"/>
        <v>32781.06</v>
      </c>
      <c r="N47" s="433">
        <f t="shared" si="6"/>
        <v>32783.4</v>
      </c>
      <c r="O47" s="535" t="s">
        <v>1073</v>
      </c>
    </row>
    <row r="48" spans="1:15" s="142" customFormat="1" ht="18" hidden="1" customHeight="1" outlineLevel="1" x14ac:dyDescent="0.2">
      <c r="A48" s="1398"/>
      <c r="B48" s="138"/>
      <c r="C48" s="235"/>
      <c r="D48" s="537" t="s">
        <v>1061</v>
      </c>
      <c r="E48" s="433">
        <f t="shared" ref="E48:N48" si="7">pSystemsPaperPercentErrorEM*pSystemsFleetPaperEMTotal</f>
        <v>35102.339999999997</v>
      </c>
      <c r="F48" s="433">
        <f t="shared" si="7"/>
        <v>35104.68</v>
      </c>
      <c r="G48" s="433">
        <f t="shared" si="7"/>
        <v>35107.019999999997</v>
      </c>
      <c r="H48" s="433">
        <f t="shared" si="7"/>
        <v>35109.360000000001</v>
      </c>
      <c r="I48" s="433">
        <f t="shared" si="7"/>
        <v>35111.699999999997</v>
      </c>
      <c r="J48" s="433">
        <f t="shared" si="7"/>
        <v>35114.04</v>
      </c>
      <c r="K48" s="433">
        <f t="shared" si="7"/>
        <v>35116.379999999997</v>
      </c>
      <c r="L48" s="433">
        <f t="shared" si="7"/>
        <v>35118.720000000001</v>
      </c>
      <c r="M48" s="433">
        <f t="shared" si="7"/>
        <v>35121.06</v>
      </c>
      <c r="N48" s="433">
        <f t="shared" si="7"/>
        <v>35123.4</v>
      </c>
      <c r="O48" s="535" t="s">
        <v>1074</v>
      </c>
    </row>
    <row r="49" spans="1:33" s="142" customFormat="1" ht="18" hidden="1" customHeight="1" outlineLevel="1" x14ac:dyDescent="0.2">
      <c r="A49" s="1398"/>
      <c r="B49" s="138"/>
      <c r="C49" s="235"/>
      <c r="D49" s="537" t="s">
        <v>1062</v>
      </c>
      <c r="E49" s="433">
        <f t="shared" ref="E49:N49" si="8">pSystemsPaperPercentErrorCM*pSystemsFleetPaperCMTotal</f>
        <v>35102.339999999997</v>
      </c>
      <c r="F49" s="433">
        <f t="shared" si="8"/>
        <v>35104.68</v>
      </c>
      <c r="G49" s="433">
        <f t="shared" si="8"/>
        <v>35107.019999999997</v>
      </c>
      <c r="H49" s="433">
        <f t="shared" si="8"/>
        <v>35109.360000000001</v>
      </c>
      <c r="I49" s="433">
        <f t="shared" si="8"/>
        <v>35111.699999999997</v>
      </c>
      <c r="J49" s="433">
        <f t="shared" si="8"/>
        <v>35114.04</v>
      </c>
      <c r="K49" s="433">
        <f t="shared" si="8"/>
        <v>35116.379999999997</v>
      </c>
      <c r="L49" s="433">
        <f t="shared" si="8"/>
        <v>35118.720000000001</v>
      </c>
      <c r="M49" s="433">
        <f t="shared" si="8"/>
        <v>35121.06</v>
      </c>
      <c r="N49" s="433">
        <f t="shared" si="8"/>
        <v>35123.4</v>
      </c>
      <c r="O49" s="535" t="s">
        <v>1075</v>
      </c>
    </row>
    <row r="50" spans="1:33" s="142" customFormat="1" ht="18" hidden="1" customHeight="1" outlineLevel="1" x14ac:dyDescent="0.2">
      <c r="A50" s="1398"/>
      <c r="B50" s="138"/>
      <c r="C50" s="235"/>
      <c r="D50" s="537" t="s">
        <v>1063</v>
      </c>
      <c r="E50" s="433">
        <f t="shared" ref="E50:N50" si="9">pSystemsPaperPercentErrorSMCS*pSystemsFleetPaperSMCSTotal</f>
        <v>35102.339999999997</v>
      </c>
      <c r="F50" s="433">
        <f t="shared" si="9"/>
        <v>35104.68</v>
      </c>
      <c r="G50" s="433">
        <f t="shared" si="9"/>
        <v>35107.019999999997</v>
      </c>
      <c r="H50" s="433">
        <f t="shared" si="9"/>
        <v>35109.360000000001</v>
      </c>
      <c r="I50" s="433">
        <f t="shared" si="9"/>
        <v>35111.699999999997</v>
      </c>
      <c r="J50" s="433">
        <f t="shared" si="9"/>
        <v>35114.04</v>
      </c>
      <c r="K50" s="433">
        <f t="shared" si="9"/>
        <v>35116.379999999997</v>
      </c>
      <c r="L50" s="433">
        <f t="shared" si="9"/>
        <v>35118.720000000001</v>
      </c>
      <c r="M50" s="433">
        <f t="shared" si="9"/>
        <v>35121.06</v>
      </c>
      <c r="N50" s="433">
        <f t="shared" si="9"/>
        <v>35123.4</v>
      </c>
      <c r="O50" s="535" t="s">
        <v>1076</v>
      </c>
    </row>
    <row r="51" spans="1:33" s="142" customFormat="1" ht="18" hidden="1" customHeight="1" outlineLevel="1" x14ac:dyDescent="0.2">
      <c r="A51" s="1398"/>
      <c r="B51" s="138"/>
      <c r="C51" s="235"/>
      <c r="D51" s="537" t="s">
        <v>1064</v>
      </c>
      <c r="E51" s="433">
        <f t="shared" ref="E51:N51" si="10">pSystemsPaperPercentErrorO1*pSystemsFleetPaperO1Total</f>
        <v>0</v>
      </c>
      <c r="F51" s="433">
        <f t="shared" si="10"/>
        <v>0</v>
      </c>
      <c r="G51" s="433">
        <f t="shared" si="10"/>
        <v>0</v>
      </c>
      <c r="H51" s="433">
        <f t="shared" si="10"/>
        <v>0</v>
      </c>
      <c r="I51" s="433">
        <f t="shared" si="10"/>
        <v>0</v>
      </c>
      <c r="J51" s="433">
        <f t="shared" si="10"/>
        <v>0</v>
      </c>
      <c r="K51" s="433">
        <f t="shared" si="10"/>
        <v>0</v>
      </c>
      <c r="L51" s="433">
        <f t="shared" si="10"/>
        <v>0</v>
      </c>
      <c r="M51" s="433">
        <f t="shared" si="10"/>
        <v>0</v>
      </c>
      <c r="N51" s="433">
        <f t="shared" si="10"/>
        <v>0</v>
      </c>
      <c r="O51" s="535" t="s">
        <v>1077</v>
      </c>
    </row>
    <row r="52" spans="1:33" s="142" customFormat="1" ht="18" hidden="1" customHeight="1" outlineLevel="1" x14ac:dyDescent="0.2">
      <c r="A52" s="1398"/>
      <c r="B52" s="138"/>
      <c r="C52" s="235"/>
      <c r="D52" s="537" t="s">
        <v>1065</v>
      </c>
      <c r="E52" s="433">
        <f t="shared" ref="E52:N52" si="11">pSystemsPaperPercentErrorO2*pSystemsFleetPaperO2Total</f>
        <v>0</v>
      </c>
      <c r="F52" s="433">
        <f t="shared" si="11"/>
        <v>0</v>
      </c>
      <c r="G52" s="433">
        <f t="shared" si="11"/>
        <v>0</v>
      </c>
      <c r="H52" s="433">
        <f t="shared" si="11"/>
        <v>0</v>
      </c>
      <c r="I52" s="433">
        <f t="shared" si="11"/>
        <v>0</v>
      </c>
      <c r="J52" s="433">
        <f t="shared" si="11"/>
        <v>0</v>
      </c>
      <c r="K52" s="433">
        <f t="shared" si="11"/>
        <v>0</v>
      </c>
      <c r="L52" s="433">
        <f t="shared" si="11"/>
        <v>0</v>
      </c>
      <c r="M52" s="433">
        <f t="shared" si="11"/>
        <v>0</v>
      </c>
      <c r="N52" s="433">
        <f t="shared" si="11"/>
        <v>0</v>
      </c>
      <c r="O52" s="535" t="s">
        <v>1078</v>
      </c>
    </row>
    <row r="53" spans="1:33" s="142" customFormat="1" ht="18" hidden="1" customHeight="1" outlineLevel="1" x14ac:dyDescent="0.2">
      <c r="A53" s="1398"/>
      <c r="B53" s="138"/>
      <c r="C53" s="235"/>
      <c r="D53" s="538" t="s">
        <v>1066</v>
      </c>
      <c r="E53" s="504">
        <f>SUM(E41:E52)</f>
        <v>278645.53499999997</v>
      </c>
      <c r="F53" s="504">
        <f t="shared" ref="F53:M53" si="12">SUM(F41:F52)</f>
        <v>278283.88168831164</v>
      </c>
      <c r="G53" s="504">
        <f t="shared" si="12"/>
        <v>278015.29249999998</v>
      </c>
      <c r="H53" s="504">
        <f t="shared" si="12"/>
        <v>278670.15098901093</v>
      </c>
      <c r="I53" s="504">
        <f t="shared" si="12"/>
        <v>278868.56785714289</v>
      </c>
      <c r="J53" s="504">
        <f t="shared" si="12"/>
        <v>279069.56714285718</v>
      </c>
      <c r="K53" s="504">
        <f t="shared" si="12"/>
        <v>279272.66464285715</v>
      </c>
      <c r="L53" s="504">
        <f t="shared" si="12"/>
        <v>279477.49008403358</v>
      </c>
      <c r="M53" s="504">
        <f t="shared" si="12"/>
        <v>279683.75547619048</v>
      </c>
      <c r="N53" s="504">
        <f t="shared" ref="N53" si="13">SUM(N41:N52)</f>
        <v>279891.23345864657</v>
      </c>
      <c r="O53" s="535" t="s">
        <v>1028</v>
      </c>
    </row>
    <row r="54" spans="1:33" s="142" customFormat="1" ht="18" hidden="1" customHeight="1" outlineLevel="1" x14ac:dyDescent="0.2">
      <c r="A54" s="1398"/>
      <c r="B54" s="138"/>
      <c r="C54" s="235"/>
      <c r="D54" s="537"/>
      <c r="E54" s="139"/>
      <c r="F54" s="139"/>
      <c r="G54" s="139"/>
      <c r="H54" s="139"/>
      <c r="I54" s="139"/>
      <c r="J54" s="139"/>
      <c r="K54" s="139"/>
      <c r="L54" s="139"/>
      <c r="M54" s="139"/>
      <c r="N54" s="139"/>
      <c r="O54" s="141"/>
    </row>
    <row r="55" spans="1:33" s="18" customFormat="1" ht="13.5" hidden="1" outlineLevel="1" thickBot="1" x14ac:dyDescent="0.25">
      <c r="A55" s="1399"/>
      <c r="B55" s="3"/>
      <c r="C55" s="170"/>
      <c r="D55" s="529"/>
      <c r="E55" s="526"/>
      <c r="F55" s="526"/>
      <c r="G55" s="526"/>
      <c r="H55" s="526"/>
      <c r="I55" s="526"/>
      <c r="J55" s="526"/>
      <c r="K55" s="526"/>
      <c r="L55" s="526"/>
      <c r="M55" s="526"/>
      <c r="N55" s="526"/>
      <c r="O55" s="527"/>
      <c r="P55" s="12"/>
      <c r="Q55" s="12"/>
    </row>
    <row r="56" spans="1:33" s="8" customFormat="1" ht="14.1" hidden="1" customHeight="1" outlineLevel="1" thickBot="1" x14ac:dyDescent="0.3">
      <c r="A56" s="1025"/>
      <c r="B56" s="194"/>
      <c r="C56" s="24"/>
      <c r="D56" s="195"/>
      <c r="E56" s="196"/>
      <c r="F56" s="196"/>
      <c r="G56" s="196"/>
      <c r="H56" s="196"/>
      <c r="I56" s="196"/>
      <c r="J56" s="196"/>
      <c r="K56" s="196"/>
      <c r="L56" s="196"/>
      <c r="M56" s="196"/>
      <c r="N56" s="196"/>
      <c r="O56" s="196"/>
      <c r="P56" s="17"/>
      <c r="Q56" s="17"/>
      <c r="R56" s="17"/>
      <c r="S56" s="17"/>
      <c r="T56" s="17"/>
      <c r="U56" s="17"/>
      <c r="V56" s="17"/>
      <c r="W56" s="17"/>
      <c r="X56" s="17"/>
      <c r="Y56" s="17"/>
      <c r="Z56" s="17"/>
      <c r="AA56" s="17"/>
      <c r="AB56" s="17"/>
      <c r="AC56" s="17"/>
      <c r="AD56" s="17"/>
      <c r="AE56" s="17"/>
      <c r="AF56" s="17"/>
      <c r="AG56" s="17"/>
    </row>
    <row r="57" spans="1:33" s="8" customFormat="1" ht="20.25" hidden="1" outlineLevel="1" x14ac:dyDescent="0.25">
      <c r="A57" s="1025"/>
      <c r="B57" s="194"/>
      <c r="C57" s="920" t="str">
        <f>Scenario2&amp;" Average Error Rates"</f>
        <v>hSystems (Hybrid) Average Error Rates</v>
      </c>
      <c r="D57" s="310"/>
      <c r="E57" s="240"/>
      <c r="F57" s="240"/>
      <c r="G57" s="240"/>
      <c r="H57" s="240"/>
      <c r="I57" s="240"/>
      <c r="J57" s="240"/>
      <c r="K57" s="240"/>
      <c r="L57" s="240"/>
      <c r="M57" s="240"/>
      <c r="N57" s="240"/>
      <c r="O57" s="435"/>
      <c r="P57" s="17"/>
      <c r="Q57" s="17"/>
      <c r="R57" s="17"/>
      <c r="S57" s="17"/>
      <c r="T57" s="17"/>
      <c r="U57" s="17"/>
      <c r="V57" s="17"/>
      <c r="W57" s="17"/>
      <c r="X57" s="17"/>
      <c r="Y57" s="17"/>
      <c r="Z57" s="17"/>
      <c r="AA57" s="17"/>
      <c r="AB57" s="17"/>
      <c r="AC57" s="17"/>
      <c r="AD57" s="17"/>
      <c r="AE57" s="17"/>
      <c r="AF57" s="17"/>
      <c r="AG57" s="17"/>
    </row>
    <row r="58" spans="1:33" s="8" customFormat="1" ht="20.25" hidden="1" outlineLevel="1" x14ac:dyDescent="0.25">
      <c r="A58" s="1025"/>
      <c r="B58" s="194"/>
      <c r="C58" s="540"/>
      <c r="D58" s="53"/>
      <c r="E58" s="12"/>
      <c r="F58" s="12"/>
      <c r="G58" s="12"/>
      <c r="H58" s="12"/>
      <c r="I58" s="12"/>
      <c r="J58" s="12"/>
      <c r="K58" s="12"/>
      <c r="L58" s="12"/>
      <c r="M58" s="12"/>
      <c r="N58" s="12"/>
      <c r="O58" s="70"/>
      <c r="P58" s="17"/>
      <c r="Q58" s="17"/>
      <c r="R58" s="17"/>
      <c r="S58" s="17"/>
      <c r="T58" s="17"/>
      <c r="U58" s="17"/>
      <c r="V58" s="17"/>
      <c r="W58" s="17"/>
      <c r="X58" s="17"/>
      <c r="Y58" s="17"/>
      <c r="Z58" s="17"/>
      <c r="AA58" s="17"/>
      <c r="AB58" s="17"/>
      <c r="AC58" s="17"/>
      <c r="AD58" s="17"/>
      <c r="AE58" s="17"/>
      <c r="AF58" s="17"/>
      <c r="AG58" s="17"/>
    </row>
    <row r="59" spans="1:33" s="142" customFormat="1" ht="18" hidden="1" customHeight="1" outlineLevel="1" x14ac:dyDescent="0.2">
      <c r="A59" s="1025"/>
      <c r="B59" s="138"/>
      <c r="C59" s="235"/>
      <c r="D59" s="537" t="s">
        <v>1079</v>
      </c>
      <c r="E59" s="536">
        <v>0.01</v>
      </c>
      <c r="F59" s="536">
        <v>0.01</v>
      </c>
      <c r="G59" s="536">
        <v>0.01</v>
      </c>
      <c r="H59" s="536">
        <v>0.01</v>
      </c>
      <c r="I59" s="536">
        <v>0.01</v>
      </c>
      <c r="J59" s="536">
        <v>0.01</v>
      </c>
      <c r="K59" s="536">
        <v>0.01</v>
      </c>
      <c r="L59" s="536">
        <v>0.01</v>
      </c>
      <c r="M59" s="536">
        <v>0.01</v>
      </c>
      <c r="N59" s="536">
        <v>0.01</v>
      </c>
      <c r="O59" s="535" t="s">
        <v>1080</v>
      </c>
    </row>
    <row r="60" spans="1:33" s="142" customFormat="1" ht="18" hidden="1" customHeight="1" outlineLevel="1" x14ac:dyDescent="0.2">
      <c r="A60" s="1025"/>
      <c r="B60" s="138"/>
      <c r="C60" s="235"/>
      <c r="D60" s="537" t="s">
        <v>1081</v>
      </c>
      <c r="E60" s="536">
        <v>0.01</v>
      </c>
      <c r="F60" s="536">
        <v>0.01</v>
      </c>
      <c r="G60" s="536">
        <v>0.01</v>
      </c>
      <c r="H60" s="536">
        <v>0.01</v>
      </c>
      <c r="I60" s="536">
        <v>0.01</v>
      </c>
      <c r="J60" s="536">
        <v>0.01</v>
      </c>
      <c r="K60" s="536">
        <v>0.01</v>
      </c>
      <c r="L60" s="536">
        <v>0.01</v>
      </c>
      <c r="M60" s="536">
        <v>0.01</v>
      </c>
      <c r="N60" s="536">
        <v>0.01</v>
      </c>
      <c r="O60" s="535" t="s">
        <v>1082</v>
      </c>
    </row>
    <row r="61" spans="1:33" s="142" customFormat="1" ht="18" hidden="1" customHeight="1" outlineLevel="1" x14ac:dyDescent="0.2">
      <c r="A61" s="1025"/>
      <c r="B61" s="138"/>
      <c r="C61" s="235"/>
      <c r="D61" s="537" t="s">
        <v>1083</v>
      </c>
      <c r="E61" s="536">
        <v>0.01</v>
      </c>
      <c r="F61" s="536">
        <v>0.01</v>
      </c>
      <c r="G61" s="536">
        <v>0.01</v>
      </c>
      <c r="H61" s="536">
        <v>0.01</v>
      </c>
      <c r="I61" s="536">
        <v>0.01</v>
      </c>
      <c r="J61" s="536">
        <v>0.01</v>
      </c>
      <c r="K61" s="536">
        <v>0.01</v>
      </c>
      <c r="L61" s="536">
        <v>0.01</v>
      </c>
      <c r="M61" s="536">
        <v>0.01</v>
      </c>
      <c r="N61" s="536">
        <v>0.01</v>
      </c>
      <c r="O61" s="535" t="s">
        <v>1084</v>
      </c>
    </row>
    <row r="62" spans="1:33" s="142" customFormat="1" ht="18" hidden="1" customHeight="1" outlineLevel="1" x14ac:dyDescent="0.2">
      <c r="A62" s="1025"/>
      <c r="B62" s="138"/>
      <c r="C62" s="235"/>
      <c r="D62" s="537" t="s">
        <v>1085</v>
      </c>
      <c r="E62" s="536">
        <v>0.01</v>
      </c>
      <c r="F62" s="536">
        <v>0.01</v>
      </c>
      <c r="G62" s="536">
        <v>0.01</v>
      </c>
      <c r="H62" s="536">
        <v>0.01</v>
      </c>
      <c r="I62" s="536">
        <v>0.01</v>
      </c>
      <c r="J62" s="536">
        <v>0.01</v>
      </c>
      <c r="K62" s="536">
        <v>0.01</v>
      </c>
      <c r="L62" s="536">
        <v>0.01</v>
      </c>
      <c r="M62" s="536">
        <v>0.01</v>
      </c>
      <c r="N62" s="536">
        <v>0.01</v>
      </c>
      <c r="O62" s="535" t="s">
        <v>1086</v>
      </c>
    </row>
    <row r="63" spans="1:33" s="142" customFormat="1" ht="18" hidden="1" customHeight="1" outlineLevel="1" x14ac:dyDescent="0.2">
      <c r="A63" s="1025"/>
      <c r="B63" s="138"/>
      <c r="C63" s="235"/>
      <c r="D63" s="537" t="s">
        <v>1087</v>
      </c>
      <c r="E63" s="536">
        <v>0.01</v>
      </c>
      <c r="F63" s="536">
        <v>0.01</v>
      </c>
      <c r="G63" s="536">
        <v>0.01</v>
      </c>
      <c r="H63" s="536">
        <v>0.01</v>
      </c>
      <c r="I63" s="536">
        <v>0.01</v>
      </c>
      <c r="J63" s="536">
        <v>0.01</v>
      </c>
      <c r="K63" s="536">
        <v>0.01</v>
      </c>
      <c r="L63" s="536">
        <v>0.01</v>
      </c>
      <c r="M63" s="536">
        <v>0.01</v>
      </c>
      <c r="N63" s="536">
        <v>0.01</v>
      </c>
      <c r="O63" s="535" t="s">
        <v>1088</v>
      </c>
    </row>
    <row r="64" spans="1:33" s="142" customFormat="1" ht="18" hidden="1" customHeight="1" outlineLevel="1" x14ac:dyDescent="0.2">
      <c r="A64" s="1025"/>
      <c r="B64" s="138"/>
      <c r="C64" s="235"/>
      <c r="D64" s="537" t="s">
        <v>1089</v>
      </c>
      <c r="E64" s="536">
        <v>0.01</v>
      </c>
      <c r="F64" s="536">
        <v>0.01</v>
      </c>
      <c r="G64" s="536">
        <v>0.01</v>
      </c>
      <c r="H64" s="536">
        <v>0.01</v>
      </c>
      <c r="I64" s="536">
        <v>0.01</v>
      </c>
      <c r="J64" s="536">
        <v>0.01</v>
      </c>
      <c r="K64" s="536">
        <v>0.01</v>
      </c>
      <c r="L64" s="536">
        <v>0.01</v>
      </c>
      <c r="M64" s="536">
        <v>0.01</v>
      </c>
      <c r="N64" s="536">
        <v>0.01</v>
      </c>
      <c r="O64" s="535" t="s">
        <v>1090</v>
      </c>
    </row>
    <row r="65" spans="1:15" s="142" customFormat="1" ht="18" hidden="1" customHeight="1" outlineLevel="1" x14ac:dyDescent="0.2">
      <c r="A65" s="1025"/>
      <c r="B65" s="138"/>
      <c r="C65" s="235"/>
      <c r="D65" s="537" t="s">
        <v>1091</v>
      </c>
      <c r="E65" s="536">
        <v>0.01</v>
      </c>
      <c r="F65" s="536">
        <v>0.01</v>
      </c>
      <c r="G65" s="536">
        <v>0.01</v>
      </c>
      <c r="H65" s="536">
        <v>0.01</v>
      </c>
      <c r="I65" s="536">
        <v>0.01</v>
      </c>
      <c r="J65" s="536">
        <v>0.01</v>
      </c>
      <c r="K65" s="536">
        <v>0.01</v>
      </c>
      <c r="L65" s="536">
        <v>0.01</v>
      </c>
      <c r="M65" s="536">
        <v>0.01</v>
      </c>
      <c r="N65" s="536">
        <v>0.01</v>
      </c>
      <c r="O65" s="535" t="s">
        <v>1092</v>
      </c>
    </row>
    <row r="66" spans="1:15" s="142" customFormat="1" ht="18" hidden="1" customHeight="1" outlineLevel="1" x14ac:dyDescent="0.2">
      <c r="A66" s="1025"/>
      <c r="B66" s="138"/>
      <c r="C66" s="235"/>
      <c r="D66" s="537" t="s">
        <v>1093</v>
      </c>
      <c r="E66" s="536">
        <v>0.01</v>
      </c>
      <c r="F66" s="536">
        <v>0.01</v>
      </c>
      <c r="G66" s="536">
        <v>0.01</v>
      </c>
      <c r="H66" s="536">
        <v>0.01</v>
      </c>
      <c r="I66" s="536">
        <v>0.01</v>
      </c>
      <c r="J66" s="536">
        <v>0.01</v>
      </c>
      <c r="K66" s="536">
        <v>0.01</v>
      </c>
      <c r="L66" s="536">
        <v>0.01</v>
      </c>
      <c r="M66" s="536">
        <v>0.01</v>
      </c>
      <c r="N66" s="536">
        <v>0.01</v>
      </c>
      <c r="O66" s="535" t="s">
        <v>1094</v>
      </c>
    </row>
    <row r="67" spans="1:15" s="142" customFormat="1" ht="18" hidden="1" customHeight="1" outlineLevel="1" x14ac:dyDescent="0.2">
      <c r="A67" s="1025"/>
      <c r="B67" s="138"/>
      <c r="C67" s="235"/>
      <c r="D67" s="537" t="s">
        <v>1095</v>
      </c>
      <c r="E67" s="536">
        <v>0.01</v>
      </c>
      <c r="F67" s="536">
        <v>0.01</v>
      </c>
      <c r="G67" s="536">
        <v>0.01</v>
      </c>
      <c r="H67" s="536">
        <v>0.01</v>
      </c>
      <c r="I67" s="536">
        <v>0.01</v>
      </c>
      <c r="J67" s="536">
        <v>0.01</v>
      </c>
      <c r="K67" s="536">
        <v>0.01</v>
      </c>
      <c r="L67" s="536">
        <v>0.01</v>
      </c>
      <c r="M67" s="536">
        <v>0.01</v>
      </c>
      <c r="N67" s="536">
        <v>0.01</v>
      </c>
      <c r="O67" s="535" t="s">
        <v>1096</v>
      </c>
    </row>
    <row r="68" spans="1:15" s="142" customFormat="1" ht="18" hidden="1" customHeight="1" outlineLevel="1" x14ac:dyDescent="0.2">
      <c r="A68" s="1025"/>
      <c r="B68" s="138"/>
      <c r="C68" s="235"/>
      <c r="D68" s="537" t="s">
        <v>1097</v>
      </c>
      <c r="E68" s="536">
        <v>0.01</v>
      </c>
      <c r="F68" s="536">
        <v>0.01</v>
      </c>
      <c r="G68" s="536">
        <v>0.01</v>
      </c>
      <c r="H68" s="536">
        <v>0.01</v>
      </c>
      <c r="I68" s="536">
        <v>0.01</v>
      </c>
      <c r="J68" s="536">
        <v>0.01</v>
      </c>
      <c r="K68" s="536">
        <v>0.01</v>
      </c>
      <c r="L68" s="536">
        <v>0.01</v>
      </c>
      <c r="M68" s="536">
        <v>0.01</v>
      </c>
      <c r="N68" s="536">
        <v>0.01</v>
      </c>
      <c r="O68" s="535" t="s">
        <v>1098</v>
      </c>
    </row>
    <row r="69" spans="1:15" s="142" customFormat="1" ht="18" hidden="1" customHeight="1" outlineLevel="1" x14ac:dyDescent="0.2">
      <c r="A69" s="1025"/>
      <c r="B69" s="138"/>
      <c r="C69" s="235"/>
      <c r="D69" s="537" t="s">
        <v>1099</v>
      </c>
      <c r="E69" s="536">
        <v>0</v>
      </c>
      <c r="F69" s="536">
        <v>0</v>
      </c>
      <c r="G69" s="536">
        <v>0</v>
      </c>
      <c r="H69" s="536">
        <v>0</v>
      </c>
      <c r="I69" s="536">
        <v>0</v>
      </c>
      <c r="J69" s="536">
        <v>0</v>
      </c>
      <c r="K69" s="536">
        <v>0</v>
      </c>
      <c r="L69" s="536">
        <v>0</v>
      </c>
      <c r="M69" s="536">
        <v>0</v>
      </c>
      <c r="N69" s="536">
        <v>0</v>
      </c>
      <c r="O69" s="535" t="s">
        <v>1100</v>
      </c>
    </row>
    <row r="70" spans="1:15" s="142" customFormat="1" ht="18" hidden="1" customHeight="1" outlineLevel="1" x14ac:dyDescent="0.2">
      <c r="A70" s="1025"/>
      <c r="B70" s="138"/>
      <c r="C70" s="235"/>
      <c r="D70" s="537" t="s">
        <v>1101</v>
      </c>
      <c r="E70" s="536">
        <v>0</v>
      </c>
      <c r="F70" s="536">
        <v>0</v>
      </c>
      <c r="G70" s="536">
        <v>0</v>
      </c>
      <c r="H70" s="536">
        <v>0</v>
      </c>
      <c r="I70" s="536">
        <v>0</v>
      </c>
      <c r="J70" s="536">
        <v>0</v>
      </c>
      <c r="K70" s="536">
        <v>0</v>
      </c>
      <c r="L70" s="536">
        <v>0</v>
      </c>
      <c r="M70" s="536">
        <v>0</v>
      </c>
      <c r="N70" s="536">
        <v>0</v>
      </c>
      <c r="O70" s="535" t="s">
        <v>1102</v>
      </c>
    </row>
    <row r="71" spans="1:15" s="138" customFormat="1" ht="18" hidden="1" customHeight="1" outlineLevel="1" thickBot="1" x14ac:dyDescent="0.25">
      <c r="A71" s="1025"/>
      <c r="C71" s="235"/>
      <c r="D71" s="537"/>
      <c r="E71" s="539"/>
      <c r="F71" s="539"/>
      <c r="G71" s="539"/>
      <c r="H71" s="539"/>
      <c r="I71" s="539"/>
      <c r="J71" s="539"/>
      <c r="K71" s="539"/>
      <c r="L71" s="539"/>
      <c r="M71" s="539"/>
      <c r="N71" s="539"/>
      <c r="O71" s="535"/>
    </row>
    <row r="72" spans="1:15" s="138" customFormat="1" ht="18" hidden="1" customHeight="1" outlineLevel="1" x14ac:dyDescent="0.2">
      <c r="A72" s="1025"/>
      <c r="C72" s="920" t="str">
        <f>Scenario2&amp;" Required Error Rework Calculations"</f>
        <v>hSystems (Hybrid) Required Error Rework Calculations</v>
      </c>
      <c r="D72" s="537"/>
      <c r="E72" s="539"/>
      <c r="F72" s="539"/>
      <c r="G72" s="539"/>
      <c r="H72" s="539"/>
      <c r="I72" s="539"/>
      <c r="J72" s="539"/>
      <c r="K72" s="539"/>
      <c r="L72" s="539"/>
      <c r="M72" s="539"/>
      <c r="N72" s="539"/>
      <c r="O72" s="535"/>
    </row>
    <row r="73" spans="1:15" s="142" customFormat="1" ht="18" hidden="1" customHeight="1" outlineLevel="1" x14ac:dyDescent="0.2">
      <c r="A73" s="1025"/>
      <c r="B73" s="138"/>
      <c r="C73" s="235"/>
      <c r="D73" s="537" t="s">
        <v>1103</v>
      </c>
      <c r="E73" s="433">
        <f t="shared" ref="E73:N73" si="14">hSystemsPaperPercentErrorHM*hSystemsFleetPaperHMTotal</f>
        <v>3139.5</v>
      </c>
      <c r="F73" s="433">
        <f t="shared" si="14"/>
        <v>1442.1038961038962</v>
      </c>
      <c r="G73" s="433">
        <f t="shared" si="14"/>
        <v>1210.9312500000001</v>
      </c>
      <c r="H73" s="433">
        <f t="shared" si="14"/>
        <v>1245.3362637362641</v>
      </c>
      <c r="I73" s="433">
        <f t="shared" si="14"/>
        <v>1292.5714285714287</v>
      </c>
      <c r="J73" s="433">
        <f t="shared" si="14"/>
        <v>1340.4952380952384</v>
      </c>
      <c r="K73" s="433">
        <f t="shared" si="14"/>
        <v>1388.9785714285715</v>
      </c>
      <c r="L73" s="433">
        <f t="shared" si="14"/>
        <v>1437.9226890756304</v>
      </c>
      <c r="M73" s="433">
        <f t="shared" si="14"/>
        <v>1487.2507936507939</v>
      </c>
      <c r="N73" s="433">
        <f t="shared" si="14"/>
        <v>1536.9022556390978</v>
      </c>
      <c r="O73" s="535" t="s">
        <v>1104</v>
      </c>
    </row>
    <row r="74" spans="1:15" s="142" customFormat="1" ht="18" hidden="1" customHeight="1" outlineLevel="1" x14ac:dyDescent="0.2">
      <c r="A74" s="1025"/>
      <c r="B74" s="138"/>
      <c r="C74" s="235"/>
      <c r="D74" s="537" t="s">
        <v>1105</v>
      </c>
      <c r="E74" s="433">
        <f t="shared" ref="E74:N74" si="15">hSystemsPaperPercentErrorLM*hSystemsFleetPaperLMTotal</f>
        <v>15601.56</v>
      </c>
      <c r="F74" s="433">
        <f t="shared" si="15"/>
        <v>7801.56</v>
      </c>
      <c r="G74" s="433">
        <f t="shared" si="15"/>
        <v>7022.1059999999998</v>
      </c>
      <c r="H74" s="433">
        <f t="shared" si="15"/>
        <v>6242.4960000000001</v>
      </c>
      <c r="I74" s="433">
        <f t="shared" si="15"/>
        <v>6243.12</v>
      </c>
      <c r="J74" s="433">
        <f t="shared" si="15"/>
        <v>6243.7440000000006</v>
      </c>
      <c r="K74" s="433">
        <f t="shared" si="15"/>
        <v>6244.3680000000004</v>
      </c>
      <c r="L74" s="433">
        <f t="shared" si="15"/>
        <v>6244.9920000000011</v>
      </c>
      <c r="M74" s="433">
        <f t="shared" si="15"/>
        <v>6245.616</v>
      </c>
      <c r="N74" s="433">
        <f t="shared" si="15"/>
        <v>6246.24</v>
      </c>
      <c r="O74" s="535" t="s">
        <v>1106</v>
      </c>
    </row>
    <row r="75" spans="1:15" s="142" customFormat="1" ht="18" hidden="1" customHeight="1" outlineLevel="1" x14ac:dyDescent="0.2">
      <c r="A75" s="1025"/>
      <c r="B75" s="138"/>
      <c r="C75" s="235"/>
      <c r="D75" s="537" t="s">
        <v>1107</v>
      </c>
      <c r="E75" s="433">
        <f t="shared" ref="E75:N75" si="16">hSystemsPaperPercentErrorENG*hSystemsFleetPaperENGTotal</f>
        <v>18811.71</v>
      </c>
      <c r="F75" s="433">
        <f t="shared" si="16"/>
        <v>9406.7100000000009</v>
      </c>
      <c r="G75" s="433">
        <f t="shared" si="16"/>
        <v>8466.8084999999992</v>
      </c>
      <c r="H75" s="433">
        <f t="shared" si="16"/>
        <v>7526.7360000000008</v>
      </c>
      <c r="I75" s="433">
        <f t="shared" si="16"/>
        <v>7527.42</v>
      </c>
      <c r="J75" s="433">
        <f t="shared" si="16"/>
        <v>7528.1040000000003</v>
      </c>
      <c r="K75" s="433">
        <f t="shared" si="16"/>
        <v>7528.7880000000005</v>
      </c>
      <c r="L75" s="433">
        <f t="shared" si="16"/>
        <v>7529.4720000000007</v>
      </c>
      <c r="M75" s="433">
        <f t="shared" si="16"/>
        <v>7530.1560000000009</v>
      </c>
      <c r="N75" s="433">
        <f t="shared" si="16"/>
        <v>7530.84</v>
      </c>
      <c r="O75" s="535" t="s">
        <v>1108</v>
      </c>
    </row>
    <row r="76" spans="1:15" s="142" customFormat="1" ht="18" hidden="1" customHeight="1" outlineLevel="1" x14ac:dyDescent="0.2">
      <c r="A76" s="1025"/>
      <c r="B76" s="138"/>
      <c r="C76" s="235"/>
      <c r="D76" s="537" t="s">
        <v>1109</v>
      </c>
      <c r="E76" s="433">
        <f t="shared" ref="E76:N76" si="17">hSystemsPaperPercentErrorPLG*hSystemsFleetPaperPLGTotal</f>
        <v>17161.560000000001</v>
      </c>
      <c r="F76" s="433">
        <f t="shared" si="17"/>
        <v>8581.56</v>
      </c>
      <c r="G76" s="433">
        <f t="shared" si="17"/>
        <v>7724.1059999999998</v>
      </c>
      <c r="H76" s="433">
        <f t="shared" si="17"/>
        <v>6866.496000000001</v>
      </c>
      <c r="I76" s="433">
        <f t="shared" si="17"/>
        <v>6867.12</v>
      </c>
      <c r="J76" s="433">
        <f t="shared" si="17"/>
        <v>6867.7440000000006</v>
      </c>
      <c r="K76" s="433">
        <f t="shared" si="17"/>
        <v>6868.3680000000004</v>
      </c>
      <c r="L76" s="433">
        <f t="shared" si="17"/>
        <v>6868.9920000000011</v>
      </c>
      <c r="M76" s="433">
        <f t="shared" si="17"/>
        <v>6869.6160000000009</v>
      </c>
      <c r="N76" s="433">
        <f t="shared" si="17"/>
        <v>6870.24</v>
      </c>
      <c r="O76" s="535" t="s">
        <v>1110</v>
      </c>
    </row>
    <row r="77" spans="1:15" s="142" customFormat="1" ht="18" hidden="1" customHeight="1" outlineLevel="1" x14ac:dyDescent="0.2">
      <c r="A77" s="1025"/>
      <c r="B77" s="138"/>
      <c r="C77" s="235"/>
      <c r="D77" s="537" t="s">
        <v>1111</v>
      </c>
      <c r="E77" s="433">
        <f t="shared" ref="E77:N77" si="18">hSystemsPaperPercentErrorCRT*hSystemsFleetPaperCRTTotal</f>
        <v>18721.560000000001</v>
      </c>
      <c r="F77" s="433">
        <f t="shared" si="18"/>
        <v>9361.56</v>
      </c>
      <c r="G77" s="433">
        <f t="shared" si="18"/>
        <v>8426.1059999999998</v>
      </c>
      <c r="H77" s="433">
        <f t="shared" si="18"/>
        <v>7490.496000000001</v>
      </c>
      <c r="I77" s="433">
        <f t="shared" si="18"/>
        <v>7491.12</v>
      </c>
      <c r="J77" s="433">
        <f t="shared" si="18"/>
        <v>7491.7440000000006</v>
      </c>
      <c r="K77" s="433">
        <f t="shared" si="18"/>
        <v>7492.3680000000004</v>
      </c>
      <c r="L77" s="433">
        <f t="shared" si="18"/>
        <v>7492.9920000000011</v>
      </c>
      <c r="M77" s="433">
        <f t="shared" si="18"/>
        <v>7493.6160000000009</v>
      </c>
      <c r="N77" s="433">
        <f t="shared" si="18"/>
        <v>7494.24</v>
      </c>
      <c r="O77" s="535" t="s">
        <v>1112</v>
      </c>
    </row>
    <row r="78" spans="1:15" s="142" customFormat="1" ht="18" hidden="1" customHeight="1" outlineLevel="1" x14ac:dyDescent="0.2">
      <c r="A78" s="1025"/>
      <c r="B78" s="138"/>
      <c r="C78" s="235"/>
      <c r="D78" s="537" t="s">
        <v>1113</v>
      </c>
      <c r="E78" s="433">
        <f t="shared" ref="E78:N78" si="19">hSystemsPaperPercentErrorSCL*hSystemsFleetPaperSCLTotal</f>
        <v>20281.560000000001</v>
      </c>
      <c r="F78" s="433">
        <f t="shared" si="19"/>
        <v>10141.56</v>
      </c>
      <c r="G78" s="433">
        <f t="shared" si="19"/>
        <v>9128.1059999999998</v>
      </c>
      <c r="H78" s="433">
        <f t="shared" si="19"/>
        <v>8114.496000000001</v>
      </c>
      <c r="I78" s="433">
        <f t="shared" si="19"/>
        <v>8115.12</v>
      </c>
      <c r="J78" s="433">
        <f t="shared" si="19"/>
        <v>8115.7440000000006</v>
      </c>
      <c r="K78" s="433">
        <f t="shared" si="19"/>
        <v>8116.3680000000004</v>
      </c>
      <c r="L78" s="433">
        <f t="shared" si="19"/>
        <v>8116.9920000000011</v>
      </c>
      <c r="M78" s="433">
        <f t="shared" si="19"/>
        <v>8117.6160000000009</v>
      </c>
      <c r="N78" s="433">
        <f t="shared" si="19"/>
        <v>8118.24</v>
      </c>
      <c r="O78" s="535" t="s">
        <v>1114</v>
      </c>
    </row>
    <row r="79" spans="1:15" s="142" customFormat="1" ht="18" hidden="1" customHeight="1" outlineLevel="1" x14ac:dyDescent="0.2">
      <c r="A79" s="1025"/>
      <c r="B79" s="138"/>
      <c r="C79" s="235"/>
      <c r="D79" s="537" t="s">
        <v>1115</v>
      </c>
      <c r="E79" s="433">
        <f t="shared" ref="E79:N79" si="20">hSystemsPaperPercentErrorQSC*hSystemsFleetPaperQSCTotal</f>
        <v>21841.56</v>
      </c>
      <c r="F79" s="433">
        <f t="shared" si="20"/>
        <v>10921.56</v>
      </c>
      <c r="G79" s="433">
        <f t="shared" si="20"/>
        <v>9830.1059999999998</v>
      </c>
      <c r="H79" s="433">
        <f t="shared" si="20"/>
        <v>8738.496000000001</v>
      </c>
      <c r="I79" s="433">
        <f t="shared" si="20"/>
        <v>8739.1200000000008</v>
      </c>
      <c r="J79" s="433">
        <f t="shared" si="20"/>
        <v>8739.7440000000006</v>
      </c>
      <c r="K79" s="433">
        <f t="shared" si="20"/>
        <v>8740.3680000000004</v>
      </c>
      <c r="L79" s="433">
        <f t="shared" si="20"/>
        <v>8740.9920000000002</v>
      </c>
      <c r="M79" s="433">
        <f t="shared" si="20"/>
        <v>8741.6160000000018</v>
      </c>
      <c r="N79" s="433">
        <f t="shared" si="20"/>
        <v>8742.24</v>
      </c>
      <c r="O79" s="535" t="s">
        <v>1116</v>
      </c>
    </row>
    <row r="80" spans="1:15" s="142" customFormat="1" ht="18" hidden="1" customHeight="1" outlineLevel="1" x14ac:dyDescent="0.2">
      <c r="A80" s="1025"/>
      <c r="B80" s="138"/>
      <c r="C80" s="235"/>
      <c r="D80" s="537" t="s">
        <v>1117</v>
      </c>
      <c r="E80" s="433">
        <f t="shared" ref="E80:N80" si="21">hSystemsPaperPercentErrorEM*hSystemsFleetPaperEMTotal</f>
        <v>23401.56</v>
      </c>
      <c r="F80" s="433">
        <f t="shared" si="21"/>
        <v>11701.56</v>
      </c>
      <c r="G80" s="433">
        <f t="shared" si="21"/>
        <v>10532.106000000002</v>
      </c>
      <c r="H80" s="433">
        <f t="shared" si="21"/>
        <v>9362.496000000001</v>
      </c>
      <c r="I80" s="433">
        <f t="shared" si="21"/>
        <v>9363.1200000000008</v>
      </c>
      <c r="J80" s="433">
        <f t="shared" si="21"/>
        <v>9363.7440000000006</v>
      </c>
      <c r="K80" s="433">
        <f t="shared" si="21"/>
        <v>9364.3680000000004</v>
      </c>
      <c r="L80" s="433">
        <f t="shared" si="21"/>
        <v>9364.9920000000002</v>
      </c>
      <c r="M80" s="433">
        <f t="shared" si="21"/>
        <v>9365.6160000000018</v>
      </c>
      <c r="N80" s="433">
        <f t="shared" si="21"/>
        <v>9366.24</v>
      </c>
      <c r="O80" s="535" t="s">
        <v>1118</v>
      </c>
    </row>
    <row r="81" spans="1:33" s="142" customFormat="1" ht="18" hidden="1" customHeight="1" outlineLevel="1" x14ac:dyDescent="0.2">
      <c r="A81" s="1025"/>
      <c r="B81" s="138"/>
      <c r="C81" s="235"/>
      <c r="D81" s="537" t="s">
        <v>1119</v>
      </c>
      <c r="E81" s="433">
        <f t="shared" ref="E81:N81" si="22">hSystemsPaperPercentErrorCM*hSystemsFleetPaperCMTotal</f>
        <v>23401.56</v>
      </c>
      <c r="F81" s="433">
        <f t="shared" si="22"/>
        <v>11701.56</v>
      </c>
      <c r="G81" s="433">
        <f t="shared" si="22"/>
        <v>10532.106000000002</v>
      </c>
      <c r="H81" s="433">
        <f t="shared" si="22"/>
        <v>9362.496000000001</v>
      </c>
      <c r="I81" s="433">
        <f t="shared" si="22"/>
        <v>9363.1200000000008</v>
      </c>
      <c r="J81" s="433">
        <f t="shared" si="22"/>
        <v>9363.7440000000006</v>
      </c>
      <c r="K81" s="433">
        <f t="shared" si="22"/>
        <v>9364.3680000000004</v>
      </c>
      <c r="L81" s="433">
        <f t="shared" si="22"/>
        <v>9364.9920000000002</v>
      </c>
      <c r="M81" s="433">
        <f t="shared" si="22"/>
        <v>9365.6160000000018</v>
      </c>
      <c r="N81" s="433">
        <f t="shared" si="22"/>
        <v>9366.24</v>
      </c>
      <c r="O81" s="535" t="s">
        <v>1120</v>
      </c>
    </row>
    <row r="82" spans="1:33" s="142" customFormat="1" ht="18" hidden="1" customHeight="1" outlineLevel="1" x14ac:dyDescent="0.2">
      <c r="A82" s="1025"/>
      <c r="B82" s="138"/>
      <c r="C82" s="235"/>
      <c r="D82" s="537" t="s">
        <v>1121</v>
      </c>
      <c r="E82" s="433">
        <f t="shared" ref="E82:N82" si="23">hSystemsPaperPercentErrorSMCS*hSystemsFleetPaperSMCSTotal</f>
        <v>23401.56</v>
      </c>
      <c r="F82" s="433">
        <f t="shared" si="23"/>
        <v>11701.56</v>
      </c>
      <c r="G82" s="433">
        <f t="shared" si="23"/>
        <v>10532.106000000002</v>
      </c>
      <c r="H82" s="433">
        <f t="shared" si="23"/>
        <v>9362.496000000001</v>
      </c>
      <c r="I82" s="433">
        <f t="shared" si="23"/>
        <v>9363.1200000000008</v>
      </c>
      <c r="J82" s="433">
        <f t="shared" si="23"/>
        <v>9363.7440000000006</v>
      </c>
      <c r="K82" s="433">
        <f t="shared" si="23"/>
        <v>9364.3680000000004</v>
      </c>
      <c r="L82" s="433">
        <f t="shared" si="23"/>
        <v>9364.9920000000002</v>
      </c>
      <c r="M82" s="433">
        <f t="shared" si="23"/>
        <v>9365.6160000000018</v>
      </c>
      <c r="N82" s="433">
        <f t="shared" si="23"/>
        <v>9366.24</v>
      </c>
      <c r="O82" s="535" t="s">
        <v>1122</v>
      </c>
    </row>
    <row r="83" spans="1:33" s="142" customFormat="1" ht="18" hidden="1" customHeight="1" outlineLevel="1" x14ac:dyDescent="0.2">
      <c r="A83" s="1025"/>
      <c r="B83" s="138"/>
      <c r="C83" s="235"/>
      <c r="D83" s="537" t="s">
        <v>1123</v>
      </c>
      <c r="E83" s="433">
        <f t="shared" ref="E83:N83" si="24">hSystemsPaperPercentErrorO1*hSystemsFleetPaperO1Total</f>
        <v>0</v>
      </c>
      <c r="F83" s="433">
        <f t="shared" si="24"/>
        <v>0</v>
      </c>
      <c r="G83" s="433">
        <f t="shared" si="24"/>
        <v>0</v>
      </c>
      <c r="H83" s="433">
        <f t="shared" si="24"/>
        <v>0</v>
      </c>
      <c r="I83" s="433">
        <f t="shared" si="24"/>
        <v>0</v>
      </c>
      <c r="J83" s="433">
        <f t="shared" si="24"/>
        <v>0</v>
      </c>
      <c r="K83" s="433">
        <f t="shared" si="24"/>
        <v>0</v>
      </c>
      <c r="L83" s="433">
        <f t="shared" si="24"/>
        <v>0</v>
      </c>
      <c r="M83" s="433">
        <f t="shared" si="24"/>
        <v>0</v>
      </c>
      <c r="N83" s="433">
        <f t="shared" si="24"/>
        <v>0</v>
      </c>
      <c r="O83" s="535" t="s">
        <v>1124</v>
      </c>
    </row>
    <row r="84" spans="1:33" s="142" customFormat="1" ht="18" hidden="1" customHeight="1" outlineLevel="1" x14ac:dyDescent="0.2">
      <c r="A84" s="1025"/>
      <c r="B84" s="138"/>
      <c r="C84" s="235"/>
      <c r="D84" s="537" t="s">
        <v>1125</v>
      </c>
      <c r="E84" s="433">
        <f t="shared" ref="E84:N84" si="25">hSystemsPaperPercentErrorO2*hSystemsFleetPaperO2Total</f>
        <v>0</v>
      </c>
      <c r="F84" s="433">
        <f t="shared" si="25"/>
        <v>0</v>
      </c>
      <c r="G84" s="433">
        <f t="shared" si="25"/>
        <v>0</v>
      </c>
      <c r="H84" s="433">
        <f t="shared" si="25"/>
        <v>0</v>
      </c>
      <c r="I84" s="433">
        <f t="shared" si="25"/>
        <v>0</v>
      </c>
      <c r="J84" s="433">
        <f t="shared" si="25"/>
        <v>0</v>
      </c>
      <c r="K84" s="433">
        <f t="shared" si="25"/>
        <v>0</v>
      </c>
      <c r="L84" s="433">
        <f t="shared" si="25"/>
        <v>0</v>
      </c>
      <c r="M84" s="433">
        <f t="shared" si="25"/>
        <v>0</v>
      </c>
      <c r="N84" s="433">
        <f t="shared" si="25"/>
        <v>0</v>
      </c>
      <c r="O84" s="535" t="s">
        <v>1126</v>
      </c>
    </row>
    <row r="85" spans="1:33" s="142" customFormat="1" ht="18" hidden="1" customHeight="1" outlineLevel="1" x14ac:dyDescent="0.2">
      <c r="A85" s="1025"/>
      <c r="B85" s="138"/>
      <c r="C85" s="235"/>
      <c r="D85" s="541" t="s">
        <v>1127</v>
      </c>
      <c r="E85" s="504">
        <f>SUM(E73:E84)</f>
        <v>185763.69</v>
      </c>
      <c r="F85" s="504">
        <f t="shared" ref="F85" si="26">SUM(F73:F84)</f>
        <v>92761.293896103889</v>
      </c>
      <c r="G85" s="504">
        <f t="shared" ref="G85" si="27">SUM(G73:G84)</f>
        <v>83404.587750000006</v>
      </c>
      <c r="H85" s="504">
        <f t="shared" ref="H85" si="28">SUM(H73:H84)</f>
        <v>74312.040263736271</v>
      </c>
      <c r="I85" s="504">
        <f t="shared" ref="I85" si="29">SUM(I73:I84)</f>
        <v>74364.951428571439</v>
      </c>
      <c r="J85" s="504">
        <f t="shared" ref="J85" si="30">SUM(J73:J84)</f>
        <v>74418.551238095242</v>
      </c>
      <c r="K85" s="504">
        <f t="shared" ref="K85" si="31">SUM(K73:K84)</f>
        <v>74472.710571428586</v>
      </c>
      <c r="L85" s="504">
        <f t="shared" ref="L85" si="32">SUM(L73:L84)</f>
        <v>74527.330689075636</v>
      </c>
      <c r="M85" s="504">
        <f t="shared" ref="M85:N85" si="33">SUM(M73:M84)</f>
        <v>74582.334793650807</v>
      </c>
      <c r="N85" s="504">
        <f t="shared" si="33"/>
        <v>74637.662255639094</v>
      </c>
      <c r="O85" s="535" t="s">
        <v>1128</v>
      </c>
    </row>
    <row r="86" spans="1:33" s="18" customFormat="1" ht="13.5" hidden="1" outlineLevel="1" thickBot="1" x14ac:dyDescent="0.25">
      <c r="A86" s="1025"/>
      <c r="B86" s="3"/>
      <c r="C86" s="170"/>
      <c r="D86" s="529"/>
      <c r="E86" s="526"/>
      <c r="F86" s="526"/>
      <c r="G86" s="526"/>
      <c r="H86" s="526"/>
      <c r="I86" s="526"/>
      <c r="J86" s="526"/>
      <c r="K86" s="526"/>
      <c r="L86" s="526"/>
      <c r="M86" s="526"/>
      <c r="N86" s="526"/>
      <c r="O86" s="527"/>
      <c r="P86" s="12"/>
      <c r="Q86" s="12"/>
    </row>
    <row r="87" spans="1:33" s="8" customFormat="1" ht="21" hidden="1" outlineLevel="1" thickBot="1" x14ac:dyDescent="0.3">
      <c r="A87" s="1025"/>
      <c r="B87" s="194"/>
      <c r="D87" s="310"/>
      <c r="E87" s="240"/>
      <c r="F87" s="240"/>
      <c r="G87" s="240"/>
      <c r="H87" s="240"/>
      <c r="I87" s="240"/>
      <c r="J87" s="240"/>
      <c r="K87" s="240"/>
      <c r="L87" s="240"/>
      <c r="M87" s="240"/>
      <c r="N87" s="240"/>
      <c r="O87" s="240"/>
      <c r="P87" s="17"/>
      <c r="Q87" s="17"/>
      <c r="R87" s="17"/>
      <c r="S87" s="17"/>
      <c r="T87" s="17"/>
      <c r="U87" s="17"/>
      <c r="V87" s="17"/>
      <c r="W87" s="17"/>
      <c r="X87" s="17"/>
      <c r="Y87" s="17"/>
      <c r="Z87" s="17"/>
      <c r="AA87" s="17"/>
      <c r="AB87" s="17"/>
      <c r="AC87" s="17"/>
      <c r="AD87" s="17"/>
      <c r="AE87" s="17"/>
      <c r="AF87" s="17"/>
      <c r="AG87" s="17"/>
    </row>
    <row r="88" spans="1:33" s="8" customFormat="1" ht="20.25" hidden="1" outlineLevel="1" x14ac:dyDescent="0.25">
      <c r="A88" s="1025"/>
      <c r="B88" s="194"/>
      <c r="C88" s="933" t="str">
        <f>Scenario3&amp;" Average Error Rates"</f>
        <v>eSystems (Paperless) Average Error Rates</v>
      </c>
      <c r="D88" s="310"/>
      <c r="E88" s="240"/>
      <c r="F88" s="240"/>
      <c r="G88" s="240"/>
      <c r="H88" s="240"/>
      <c r="I88" s="240"/>
      <c r="J88" s="240"/>
      <c r="K88" s="240"/>
      <c r="L88" s="240"/>
      <c r="M88" s="240"/>
      <c r="N88" s="240"/>
      <c r="O88" s="435"/>
      <c r="P88" s="17"/>
      <c r="Q88" s="17"/>
      <c r="R88" s="17"/>
      <c r="S88" s="17"/>
      <c r="T88" s="17"/>
      <c r="U88" s="17"/>
      <c r="V88" s="17"/>
      <c r="W88" s="17"/>
      <c r="X88" s="17"/>
      <c r="Y88" s="17"/>
      <c r="Z88" s="17"/>
      <c r="AA88" s="17"/>
      <c r="AB88" s="17"/>
      <c r="AC88" s="17"/>
      <c r="AD88" s="17"/>
      <c r="AE88" s="17"/>
      <c r="AF88" s="17"/>
      <c r="AG88" s="17"/>
    </row>
    <row r="89" spans="1:33" s="142" customFormat="1" ht="18" hidden="1" customHeight="1" outlineLevel="1" x14ac:dyDescent="0.2">
      <c r="A89" s="1025"/>
      <c r="B89" s="138"/>
      <c r="C89" s="235"/>
      <c r="D89" s="537" t="s">
        <v>1180</v>
      </c>
      <c r="E89" s="536">
        <v>5.0000000000000001E-3</v>
      </c>
      <c r="F89" s="536">
        <v>5.0000000000000001E-3</v>
      </c>
      <c r="G89" s="536">
        <v>5.0000000000000001E-3</v>
      </c>
      <c r="H89" s="536">
        <v>5.0000000000000001E-3</v>
      </c>
      <c r="I89" s="536">
        <v>5.0000000000000001E-3</v>
      </c>
      <c r="J89" s="536">
        <v>5.0000000000000001E-3</v>
      </c>
      <c r="K89" s="536">
        <v>5.0000000000000001E-3</v>
      </c>
      <c r="L89" s="536">
        <v>5.0000000000000001E-3</v>
      </c>
      <c r="M89" s="536">
        <v>5.0000000000000001E-3</v>
      </c>
      <c r="N89" s="536">
        <v>5.0000000000000001E-3</v>
      </c>
      <c r="O89" s="535" t="s">
        <v>1181</v>
      </c>
    </row>
    <row r="90" spans="1:33" s="142" customFormat="1" ht="18" hidden="1" customHeight="1" outlineLevel="1" x14ac:dyDescent="0.2">
      <c r="A90" s="1025"/>
      <c r="B90" s="138"/>
      <c r="C90" s="235"/>
      <c r="D90" s="537" t="s">
        <v>1182</v>
      </c>
      <c r="E90" s="536">
        <v>5.0000000000000001E-3</v>
      </c>
      <c r="F90" s="536">
        <v>5.0000000000000001E-3</v>
      </c>
      <c r="G90" s="536">
        <v>5.0000000000000001E-3</v>
      </c>
      <c r="H90" s="536">
        <v>5.0000000000000001E-3</v>
      </c>
      <c r="I90" s="536">
        <v>5.0000000000000001E-3</v>
      </c>
      <c r="J90" s="536">
        <v>5.0000000000000001E-3</v>
      </c>
      <c r="K90" s="536">
        <v>5.0000000000000001E-3</v>
      </c>
      <c r="L90" s="536">
        <v>5.0000000000000001E-3</v>
      </c>
      <c r="M90" s="536">
        <v>5.0000000000000001E-3</v>
      </c>
      <c r="N90" s="536">
        <v>5.0000000000000001E-3</v>
      </c>
      <c r="O90" s="535" t="s">
        <v>1183</v>
      </c>
    </row>
    <row r="91" spans="1:33" s="142" customFormat="1" ht="18" hidden="1" customHeight="1" outlineLevel="1" x14ac:dyDescent="0.2">
      <c r="A91" s="1025"/>
      <c r="B91" s="138"/>
      <c r="C91" s="235"/>
      <c r="D91" s="537" t="s">
        <v>1184</v>
      </c>
      <c r="E91" s="536">
        <v>5.0000000000000001E-3</v>
      </c>
      <c r="F91" s="536">
        <v>5.0000000000000001E-3</v>
      </c>
      <c r="G91" s="536">
        <v>5.0000000000000001E-3</v>
      </c>
      <c r="H91" s="536">
        <v>5.0000000000000001E-3</v>
      </c>
      <c r="I91" s="536">
        <v>5.0000000000000001E-3</v>
      </c>
      <c r="J91" s="536">
        <v>5.0000000000000001E-3</v>
      </c>
      <c r="K91" s="536">
        <v>5.0000000000000001E-3</v>
      </c>
      <c r="L91" s="536">
        <v>5.0000000000000001E-3</v>
      </c>
      <c r="M91" s="536">
        <v>5.0000000000000001E-3</v>
      </c>
      <c r="N91" s="536">
        <v>5.0000000000000001E-3</v>
      </c>
      <c r="O91" s="535" t="s">
        <v>1185</v>
      </c>
    </row>
    <row r="92" spans="1:33" s="142" customFormat="1" ht="18" hidden="1" customHeight="1" outlineLevel="1" x14ac:dyDescent="0.2">
      <c r="A92" s="1025"/>
      <c r="B92" s="138"/>
      <c r="C92" s="235"/>
      <c r="D92" s="537" t="s">
        <v>1186</v>
      </c>
      <c r="E92" s="536">
        <v>5.0000000000000001E-3</v>
      </c>
      <c r="F92" s="536">
        <v>5.0000000000000001E-3</v>
      </c>
      <c r="G92" s="536">
        <v>5.0000000000000001E-3</v>
      </c>
      <c r="H92" s="536">
        <v>5.0000000000000001E-3</v>
      </c>
      <c r="I92" s="536">
        <v>5.0000000000000001E-3</v>
      </c>
      <c r="J92" s="536">
        <v>5.0000000000000001E-3</v>
      </c>
      <c r="K92" s="536">
        <v>5.0000000000000001E-3</v>
      </c>
      <c r="L92" s="536">
        <v>5.0000000000000001E-3</v>
      </c>
      <c r="M92" s="536">
        <v>5.0000000000000001E-3</v>
      </c>
      <c r="N92" s="536">
        <v>5.0000000000000001E-3</v>
      </c>
      <c r="O92" s="535" t="s">
        <v>1187</v>
      </c>
    </row>
    <row r="93" spans="1:33" s="142" customFormat="1" ht="18" hidden="1" customHeight="1" outlineLevel="1" x14ac:dyDescent="0.2">
      <c r="A93" s="1025"/>
      <c r="B93" s="138"/>
      <c r="C93" s="235"/>
      <c r="D93" s="537" t="s">
        <v>1188</v>
      </c>
      <c r="E93" s="536">
        <v>5.0000000000000001E-3</v>
      </c>
      <c r="F93" s="536">
        <v>5.0000000000000001E-3</v>
      </c>
      <c r="G93" s="536">
        <v>5.0000000000000001E-3</v>
      </c>
      <c r="H93" s="536">
        <v>5.0000000000000001E-3</v>
      </c>
      <c r="I93" s="536">
        <v>5.0000000000000001E-3</v>
      </c>
      <c r="J93" s="536">
        <v>5.0000000000000001E-3</v>
      </c>
      <c r="K93" s="536">
        <v>5.0000000000000001E-3</v>
      </c>
      <c r="L93" s="536">
        <v>5.0000000000000001E-3</v>
      </c>
      <c r="M93" s="536">
        <v>5.0000000000000001E-3</v>
      </c>
      <c r="N93" s="536">
        <v>5.0000000000000001E-3</v>
      </c>
      <c r="O93" s="535" t="s">
        <v>1189</v>
      </c>
    </row>
    <row r="94" spans="1:33" s="142" customFormat="1" ht="18" hidden="1" customHeight="1" outlineLevel="1" x14ac:dyDescent="0.2">
      <c r="A94" s="1025"/>
      <c r="B94" s="138"/>
      <c r="C94" s="235"/>
      <c r="D94" s="537" t="s">
        <v>1190</v>
      </c>
      <c r="E94" s="536">
        <v>5.0000000000000001E-3</v>
      </c>
      <c r="F94" s="536">
        <v>5.0000000000000001E-3</v>
      </c>
      <c r="G94" s="536">
        <v>5.0000000000000001E-3</v>
      </c>
      <c r="H94" s="536">
        <v>5.0000000000000001E-3</v>
      </c>
      <c r="I94" s="536">
        <v>5.0000000000000001E-3</v>
      </c>
      <c r="J94" s="536">
        <v>5.0000000000000001E-3</v>
      </c>
      <c r="K94" s="536">
        <v>5.0000000000000001E-3</v>
      </c>
      <c r="L94" s="536">
        <v>5.0000000000000001E-3</v>
      </c>
      <c r="M94" s="536">
        <v>5.0000000000000001E-3</v>
      </c>
      <c r="N94" s="536">
        <v>5.0000000000000001E-3</v>
      </c>
      <c r="O94" s="535" t="s">
        <v>1191</v>
      </c>
    </row>
    <row r="95" spans="1:33" s="142" customFormat="1" ht="18" hidden="1" customHeight="1" outlineLevel="1" x14ac:dyDescent="0.2">
      <c r="A95" s="1025"/>
      <c r="B95" s="138"/>
      <c r="C95" s="235"/>
      <c r="D95" s="537" t="s">
        <v>1192</v>
      </c>
      <c r="E95" s="536">
        <v>5.0000000000000001E-3</v>
      </c>
      <c r="F95" s="536">
        <v>5.0000000000000001E-3</v>
      </c>
      <c r="G95" s="536">
        <v>5.0000000000000001E-3</v>
      </c>
      <c r="H95" s="536">
        <v>5.0000000000000001E-3</v>
      </c>
      <c r="I95" s="536">
        <v>5.0000000000000001E-3</v>
      </c>
      <c r="J95" s="536">
        <v>5.0000000000000001E-3</v>
      </c>
      <c r="K95" s="536">
        <v>5.0000000000000001E-3</v>
      </c>
      <c r="L95" s="536">
        <v>5.0000000000000001E-3</v>
      </c>
      <c r="M95" s="536">
        <v>5.0000000000000001E-3</v>
      </c>
      <c r="N95" s="536">
        <v>5.0000000000000001E-3</v>
      </c>
      <c r="O95" s="535" t="s">
        <v>1193</v>
      </c>
    </row>
    <row r="96" spans="1:33" s="142" customFormat="1" ht="18" hidden="1" customHeight="1" outlineLevel="1" x14ac:dyDescent="0.2">
      <c r="A96" s="1025"/>
      <c r="B96" s="138"/>
      <c r="C96" s="235"/>
      <c r="D96" s="537" t="s">
        <v>1194</v>
      </c>
      <c r="E96" s="536">
        <v>5.0000000000000001E-3</v>
      </c>
      <c r="F96" s="536">
        <v>5.0000000000000001E-3</v>
      </c>
      <c r="G96" s="536">
        <v>5.0000000000000001E-3</v>
      </c>
      <c r="H96" s="536">
        <v>5.0000000000000001E-3</v>
      </c>
      <c r="I96" s="536">
        <v>5.0000000000000001E-3</v>
      </c>
      <c r="J96" s="536">
        <v>5.0000000000000001E-3</v>
      </c>
      <c r="K96" s="536">
        <v>5.0000000000000001E-3</v>
      </c>
      <c r="L96" s="536">
        <v>5.0000000000000001E-3</v>
      </c>
      <c r="M96" s="536">
        <v>5.0000000000000001E-3</v>
      </c>
      <c r="N96" s="536">
        <v>5.0000000000000001E-3</v>
      </c>
      <c r="O96" s="535" t="s">
        <v>1195</v>
      </c>
    </row>
    <row r="97" spans="1:15" s="142" customFormat="1" ht="18" hidden="1" customHeight="1" outlineLevel="1" x14ac:dyDescent="0.2">
      <c r="A97" s="1025"/>
      <c r="B97" s="138"/>
      <c r="C97" s="235"/>
      <c r="D97" s="537" t="s">
        <v>1196</v>
      </c>
      <c r="E97" s="536">
        <v>5.0000000000000001E-3</v>
      </c>
      <c r="F97" s="536">
        <v>5.0000000000000001E-3</v>
      </c>
      <c r="G97" s="536">
        <v>5.0000000000000001E-3</v>
      </c>
      <c r="H97" s="536">
        <v>5.0000000000000001E-3</v>
      </c>
      <c r="I97" s="536">
        <v>5.0000000000000001E-3</v>
      </c>
      <c r="J97" s="536">
        <v>5.0000000000000001E-3</v>
      </c>
      <c r="K97" s="536">
        <v>5.0000000000000001E-3</v>
      </c>
      <c r="L97" s="536">
        <v>5.0000000000000001E-3</v>
      </c>
      <c r="M97" s="536">
        <v>5.0000000000000001E-3</v>
      </c>
      <c r="N97" s="536">
        <v>5.0000000000000001E-3</v>
      </c>
      <c r="O97" s="535" t="s">
        <v>1197</v>
      </c>
    </row>
    <row r="98" spans="1:15" s="142" customFormat="1" ht="18" hidden="1" customHeight="1" outlineLevel="1" x14ac:dyDescent="0.2">
      <c r="A98" s="1025"/>
      <c r="B98" s="138"/>
      <c r="C98" s="235"/>
      <c r="D98" s="537" t="s">
        <v>1198</v>
      </c>
      <c r="E98" s="536">
        <v>5.0000000000000001E-3</v>
      </c>
      <c r="F98" s="536">
        <v>5.0000000000000001E-3</v>
      </c>
      <c r="G98" s="536">
        <v>5.0000000000000001E-3</v>
      </c>
      <c r="H98" s="536">
        <v>5.0000000000000001E-3</v>
      </c>
      <c r="I98" s="536">
        <v>5.0000000000000001E-3</v>
      </c>
      <c r="J98" s="536">
        <v>5.0000000000000001E-3</v>
      </c>
      <c r="K98" s="536">
        <v>5.0000000000000001E-3</v>
      </c>
      <c r="L98" s="536">
        <v>5.0000000000000001E-3</v>
      </c>
      <c r="M98" s="536">
        <v>5.0000000000000001E-3</v>
      </c>
      <c r="N98" s="536">
        <v>5.0000000000000001E-3</v>
      </c>
      <c r="O98" s="535" t="s">
        <v>1199</v>
      </c>
    </row>
    <row r="99" spans="1:15" s="142" customFormat="1" ht="18" hidden="1" customHeight="1" outlineLevel="1" x14ac:dyDescent="0.2">
      <c r="A99" s="1025"/>
      <c r="B99" s="138"/>
      <c r="C99" s="235"/>
      <c r="D99" s="537" t="s">
        <v>1200</v>
      </c>
      <c r="E99" s="536">
        <v>0</v>
      </c>
      <c r="F99" s="536">
        <v>0</v>
      </c>
      <c r="G99" s="536">
        <v>0</v>
      </c>
      <c r="H99" s="536">
        <v>0</v>
      </c>
      <c r="I99" s="536">
        <v>0</v>
      </c>
      <c r="J99" s="536">
        <v>0</v>
      </c>
      <c r="K99" s="536">
        <v>0</v>
      </c>
      <c r="L99" s="536">
        <v>0</v>
      </c>
      <c r="M99" s="536">
        <v>0</v>
      </c>
      <c r="N99" s="536">
        <v>0</v>
      </c>
      <c r="O99" s="535" t="s">
        <v>1201</v>
      </c>
    </row>
    <row r="100" spans="1:15" s="142" customFormat="1" ht="18" hidden="1" customHeight="1" outlineLevel="1" x14ac:dyDescent="0.2">
      <c r="A100" s="1025"/>
      <c r="B100" s="138"/>
      <c r="C100" s="235"/>
      <c r="D100" s="537" t="s">
        <v>1202</v>
      </c>
      <c r="E100" s="536">
        <v>0</v>
      </c>
      <c r="F100" s="536">
        <v>0</v>
      </c>
      <c r="G100" s="536">
        <v>0</v>
      </c>
      <c r="H100" s="536">
        <v>0</v>
      </c>
      <c r="I100" s="536">
        <v>0</v>
      </c>
      <c r="J100" s="536">
        <v>0</v>
      </c>
      <c r="K100" s="536">
        <v>0</v>
      </c>
      <c r="L100" s="536">
        <v>0</v>
      </c>
      <c r="M100" s="536">
        <v>0</v>
      </c>
      <c r="N100" s="536">
        <v>0</v>
      </c>
      <c r="O100" s="535" t="s">
        <v>1203</v>
      </c>
    </row>
    <row r="101" spans="1:15" s="138" customFormat="1" ht="18" hidden="1" customHeight="1" outlineLevel="1" x14ac:dyDescent="0.2">
      <c r="A101" s="1025"/>
      <c r="C101" s="235"/>
      <c r="D101" s="537"/>
      <c r="E101" s="539"/>
      <c r="F101" s="539"/>
      <c r="G101" s="539"/>
      <c r="H101" s="539"/>
      <c r="I101" s="539"/>
      <c r="J101" s="539"/>
      <c r="K101" s="539"/>
      <c r="L101" s="539"/>
      <c r="M101" s="539"/>
      <c r="N101" s="539"/>
      <c r="O101" s="535"/>
    </row>
    <row r="102" spans="1:15" s="138" customFormat="1" ht="18" hidden="1" customHeight="1" outlineLevel="1" x14ac:dyDescent="0.2">
      <c r="A102" s="1025"/>
      <c r="C102" s="992" t="str">
        <f>Scenario3&amp;" Required Error Rework Calculations"</f>
        <v>eSystems (Paperless) Required Error Rework Calculations</v>
      </c>
      <c r="D102" s="537"/>
      <c r="E102" s="539"/>
      <c r="F102" s="539"/>
      <c r="G102" s="539"/>
      <c r="H102" s="539"/>
      <c r="I102" s="539"/>
      <c r="J102" s="539"/>
      <c r="K102" s="539"/>
      <c r="L102" s="539"/>
      <c r="M102" s="539"/>
      <c r="N102" s="539"/>
      <c r="O102" s="535"/>
    </row>
    <row r="103" spans="1:15" s="142" customFormat="1" ht="18" hidden="1" customHeight="1" outlineLevel="1" x14ac:dyDescent="0.2">
      <c r="A103" s="1025"/>
      <c r="B103" s="138"/>
      <c r="C103" s="235"/>
      <c r="D103" s="537" t="s">
        <v>1204</v>
      </c>
      <c r="E103" s="433">
        <f t="shared" ref="E103:N103" si="34">eSystemsPaperPercentErrorHM*eSystemsFleetPaperHMTotal</f>
        <v>1569.75</v>
      </c>
      <c r="F103" s="433">
        <f t="shared" si="34"/>
        <v>57.684155844155846</v>
      </c>
      <c r="G103" s="433">
        <f t="shared" si="34"/>
        <v>40.364375000000003</v>
      </c>
      <c r="H103" s="433">
        <f t="shared" si="34"/>
        <v>54.483461538461555</v>
      </c>
      <c r="I103" s="433">
        <f t="shared" si="34"/>
        <v>48.471428571428568</v>
      </c>
      <c r="J103" s="433">
        <f t="shared" si="34"/>
        <v>41.8904761904762</v>
      </c>
      <c r="K103" s="433">
        <f t="shared" si="34"/>
        <v>34.724464285714291</v>
      </c>
      <c r="L103" s="433">
        <f t="shared" si="34"/>
        <v>26.961050420168064</v>
      </c>
      <c r="M103" s="433">
        <f t="shared" si="34"/>
        <v>18.590634920634923</v>
      </c>
      <c r="N103" s="433">
        <f t="shared" si="34"/>
        <v>9.6056390977443602</v>
      </c>
      <c r="O103" s="535" t="s">
        <v>1205</v>
      </c>
    </row>
    <row r="104" spans="1:15" s="142" customFormat="1" ht="18" hidden="1" customHeight="1" outlineLevel="1" x14ac:dyDescent="0.2">
      <c r="A104" s="1025"/>
      <c r="B104" s="138"/>
      <c r="C104" s="235"/>
      <c r="D104" s="537" t="s">
        <v>1206</v>
      </c>
      <c r="E104" s="433">
        <f t="shared" ref="E104:N104" si="35">eSystemsPaperPercentErrorLM*eSystemsFleetPaperLMTotal</f>
        <v>7800.78</v>
      </c>
      <c r="F104" s="433">
        <f t="shared" si="35"/>
        <v>312.06240000000003</v>
      </c>
      <c r="G104" s="433">
        <f t="shared" si="35"/>
        <v>234.0702</v>
      </c>
      <c r="H104" s="433">
        <f t="shared" si="35"/>
        <v>273.10920000000004</v>
      </c>
      <c r="I104" s="433">
        <f t="shared" si="35"/>
        <v>234.11700000000002</v>
      </c>
      <c r="J104" s="433">
        <f t="shared" si="35"/>
        <v>195.11700000000002</v>
      </c>
      <c r="K104" s="433">
        <f t="shared" si="35"/>
        <v>156.10920000000002</v>
      </c>
      <c r="L104" s="433">
        <f t="shared" si="35"/>
        <v>117.0936</v>
      </c>
      <c r="M104" s="433">
        <f t="shared" si="35"/>
        <v>78.0702</v>
      </c>
      <c r="N104" s="433">
        <f t="shared" si="35"/>
        <v>39.039000000000001</v>
      </c>
      <c r="O104" s="535" t="s">
        <v>1207</v>
      </c>
    </row>
    <row r="105" spans="1:15" s="142" customFormat="1" ht="18" hidden="1" customHeight="1" outlineLevel="1" x14ac:dyDescent="0.2">
      <c r="A105" s="1025"/>
      <c r="B105" s="138"/>
      <c r="C105" s="235"/>
      <c r="D105" s="537" t="s">
        <v>1208</v>
      </c>
      <c r="E105" s="433">
        <f t="shared" ref="E105:N105" si="36">eSystemsPaperPercentErrorENG*eSystemsFleetPaperENGTotal</f>
        <v>9405.8549999999996</v>
      </c>
      <c r="F105" s="433">
        <f t="shared" si="36"/>
        <v>376.26840000000004</v>
      </c>
      <c r="G105" s="433">
        <f t="shared" si="36"/>
        <v>282.22694999999999</v>
      </c>
      <c r="H105" s="433">
        <f t="shared" si="36"/>
        <v>329.29470000000003</v>
      </c>
      <c r="I105" s="433">
        <f t="shared" si="36"/>
        <v>282.27825000000001</v>
      </c>
      <c r="J105" s="433">
        <f t="shared" si="36"/>
        <v>235.25325000000001</v>
      </c>
      <c r="K105" s="433">
        <f t="shared" si="36"/>
        <v>188.21970000000002</v>
      </c>
      <c r="L105" s="433">
        <f t="shared" si="36"/>
        <v>141.17760000000001</v>
      </c>
      <c r="M105" s="433">
        <f t="shared" si="36"/>
        <v>94.126949999999994</v>
      </c>
      <c r="N105" s="433">
        <f t="shared" si="36"/>
        <v>47.067750000000004</v>
      </c>
      <c r="O105" s="535" t="s">
        <v>1209</v>
      </c>
    </row>
    <row r="106" spans="1:15" s="142" customFormat="1" ht="18" hidden="1" customHeight="1" outlineLevel="1" x14ac:dyDescent="0.2">
      <c r="A106" s="1025"/>
      <c r="B106" s="138"/>
      <c r="C106" s="235"/>
      <c r="D106" s="537" t="s">
        <v>1210</v>
      </c>
      <c r="E106" s="433">
        <f t="shared" ref="E106:N106" si="37">eSystemsPaperPercentErrorPLG*eSystemsFleetPaperPLGTotal</f>
        <v>8580.7800000000007</v>
      </c>
      <c r="F106" s="433">
        <f t="shared" si="37"/>
        <v>343.26240000000001</v>
      </c>
      <c r="G106" s="433">
        <f t="shared" si="37"/>
        <v>257.47020000000003</v>
      </c>
      <c r="H106" s="433">
        <f t="shared" si="37"/>
        <v>300.4092</v>
      </c>
      <c r="I106" s="433">
        <f t="shared" si="37"/>
        <v>257.517</v>
      </c>
      <c r="J106" s="433">
        <f t="shared" si="37"/>
        <v>214.61700000000002</v>
      </c>
      <c r="K106" s="433">
        <f t="shared" si="37"/>
        <v>171.70920000000001</v>
      </c>
      <c r="L106" s="433">
        <f t="shared" si="37"/>
        <v>128.7936</v>
      </c>
      <c r="M106" s="433">
        <f t="shared" si="37"/>
        <v>85.870200000000011</v>
      </c>
      <c r="N106" s="433">
        <f t="shared" si="37"/>
        <v>42.939</v>
      </c>
      <c r="O106" s="535" t="s">
        <v>1211</v>
      </c>
    </row>
    <row r="107" spans="1:15" s="142" customFormat="1" ht="18" hidden="1" customHeight="1" outlineLevel="1" x14ac:dyDescent="0.2">
      <c r="A107" s="1025"/>
      <c r="B107" s="138"/>
      <c r="C107" s="235"/>
      <c r="D107" s="537" t="s">
        <v>1212</v>
      </c>
      <c r="E107" s="433">
        <f t="shared" ref="E107:N107" si="38">eSystemsPaperPercentErrorCRT*eSystemsFleetPaperCRTTotal</f>
        <v>9360.7800000000007</v>
      </c>
      <c r="F107" s="433">
        <f t="shared" si="38"/>
        <v>374.4624</v>
      </c>
      <c r="G107" s="433">
        <f t="shared" si="38"/>
        <v>280.87020000000001</v>
      </c>
      <c r="H107" s="433">
        <f t="shared" si="38"/>
        <v>327.70920000000007</v>
      </c>
      <c r="I107" s="433">
        <f t="shared" si="38"/>
        <v>280.91700000000003</v>
      </c>
      <c r="J107" s="433">
        <f t="shared" si="38"/>
        <v>234.11700000000002</v>
      </c>
      <c r="K107" s="433">
        <f t="shared" si="38"/>
        <v>187.30920000000003</v>
      </c>
      <c r="L107" s="433">
        <f t="shared" si="38"/>
        <v>140.49359999999999</v>
      </c>
      <c r="M107" s="433">
        <f t="shared" si="38"/>
        <v>93.670200000000008</v>
      </c>
      <c r="N107" s="433">
        <f t="shared" si="38"/>
        <v>46.839000000000006</v>
      </c>
      <c r="O107" s="535" t="s">
        <v>1213</v>
      </c>
    </row>
    <row r="108" spans="1:15" s="142" customFormat="1" ht="18" hidden="1" customHeight="1" outlineLevel="1" x14ac:dyDescent="0.2">
      <c r="A108" s="1025"/>
      <c r="B108" s="138"/>
      <c r="C108" s="235"/>
      <c r="D108" s="537" t="s">
        <v>1214</v>
      </c>
      <c r="E108" s="433">
        <f t="shared" ref="E108:N108" si="39">eSystemsPaperPercentErrorSCL*eSystemsFleetPaperSCLTotal</f>
        <v>10140.780000000001</v>
      </c>
      <c r="F108" s="433">
        <f t="shared" si="39"/>
        <v>405.66239999999999</v>
      </c>
      <c r="G108" s="433">
        <f t="shared" si="39"/>
        <v>304.27019999999999</v>
      </c>
      <c r="H108" s="433">
        <f t="shared" si="39"/>
        <v>355.00920000000008</v>
      </c>
      <c r="I108" s="433">
        <f t="shared" si="39"/>
        <v>304.31699999999995</v>
      </c>
      <c r="J108" s="433">
        <f t="shared" si="39"/>
        <v>253.61700000000002</v>
      </c>
      <c r="K108" s="433">
        <f t="shared" si="39"/>
        <v>202.90920000000003</v>
      </c>
      <c r="L108" s="433">
        <f t="shared" si="39"/>
        <v>152.1936</v>
      </c>
      <c r="M108" s="433">
        <f t="shared" si="39"/>
        <v>101.47020000000001</v>
      </c>
      <c r="N108" s="433">
        <f t="shared" si="39"/>
        <v>50.739000000000004</v>
      </c>
      <c r="O108" s="535" t="s">
        <v>1215</v>
      </c>
    </row>
    <row r="109" spans="1:15" s="142" customFormat="1" ht="18" hidden="1" customHeight="1" outlineLevel="1" x14ac:dyDescent="0.2">
      <c r="A109" s="1025"/>
      <c r="B109" s="138"/>
      <c r="C109" s="235"/>
      <c r="D109" s="537" t="s">
        <v>1216</v>
      </c>
      <c r="E109" s="433">
        <f t="shared" ref="E109:N109" si="40">eSystemsPaperPercentErrorQSC*eSystemsFleetPaperQSCTotal</f>
        <v>10920.78</v>
      </c>
      <c r="F109" s="433">
        <f t="shared" si="40"/>
        <v>436.86239999999998</v>
      </c>
      <c r="G109" s="433">
        <f t="shared" si="40"/>
        <v>327.67020000000002</v>
      </c>
      <c r="H109" s="433">
        <f t="shared" si="40"/>
        <v>382.30920000000009</v>
      </c>
      <c r="I109" s="433">
        <f t="shared" si="40"/>
        <v>327.71699999999998</v>
      </c>
      <c r="J109" s="433">
        <f t="shared" si="40"/>
        <v>273.11700000000002</v>
      </c>
      <c r="K109" s="433">
        <f t="shared" si="40"/>
        <v>218.50920000000002</v>
      </c>
      <c r="L109" s="433">
        <f t="shared" si="40"/>
        <v>163.89360000000002</v>
      </c>
      <c r="M109" s="433">
        <f t="shared" si="40"/>
        <v>109.2702</v>
      </c>
      <c r="N109" s="433">
        <f t="shared" si="40"/>
        <v>54.63900000000001</v>
      </c>
      <c r="O109" s="535" t="s">
        <v>1217</v>
      </c>
    </row>
    <row r="110" spans="1:15" s="142" customFormat="1" ht="18" hidden="1" customHeight="1" outlineLevel="1" x14ac:dyDescent="0.2">
      <c r="A110" s="1025"/>
      <c r="B110" s="138"/>
      <c r="C110" s="235"/>
      <c r="D110" s="537" t="s">
        <v>1218</v>
      </c>
      <c r="E110" s="433">
        <f t="shared" ref="E110:N110" si="41">eSystemsPaperPercentErrorEM*eSystemsFleetPaperEMTotal</f>
        <v>11700.78</v>
      </c>
      <c r="F110" s="433">
        <f t="shared" si="41"/>
        <v>468.06239999999997</v>
      </c>
      <c r="G110" s="433">
        <f t="shared" si="41"/>
        <v>351.0702</v>
      </c>
      <c r="H110" s="433">
        <f t="shared" si="41"/>
        <v>409.60920000000004</v>
      </c>
      <c r="I110" s="433">
        <f t="shared" si="41"/>
        <v>351.11699999999996</v>
      </c>
      <c r="J110" s="433">
        <f t="shared" si="41"/>
        <v>292.61700000000002</v>
      </c>
      <c r="K110" s="433">
        <f t="shared" si="41"/>
        <v>234.10920000000002</v>
      </c>
      <c r="L110" s="433">
        <f t="shared" si="41"/>
        <v>175.59360000000001</v>
      </c>
      <c r="M110" s="433">
        <f t="shared" si="41"/>
        <v>117.0702</v>
      </c>
      <c r="N110" s="433">
        <f t="shared" si="41"/>
        <v>58.539000000000009</v>
      </c>
      <c r="O110" s="535" t="s">
        <v>1219</v>
      </c>
    </row>
    <row r="111" spans="1:15" s="142" customFormat="1" ht="18" hidden="1" customHeight="1" outlineLevel="1" x14ac:dyDescent="0.2">
      <c r="A111" s="1025"/>
      <c r="B111" s="138"/>
      <c r="C111" s="235"/>
      <c r="D111" s="537" t="s">
        <v>1220</v>
      </c>
      <c r="E111" s="433">
        <f t="shared" ref="E111:N111" si="42">eSystemsPaperPercentErrorCM*eSystemsFleetPaperCMTotal</f>
        <v>11700.78</v>
      </c>
      <c r="F111" s="433">
        <f t="shared" si="42"/>
        <v>468.06239999999997</v>
      </c>
      <c r="G111" s="433">
        <f t="shared" si="42"/>
        <v>351.0702</v>
      </c>
      <c r="H111" s="433">
        <f t="shared" si="42"/>
        <v>409.60920000000004</v>
      </c>
      <c r="I111" s="433">
        <f t="shared" si="42"/>
        <v>351.11699999999996</v>
      </c>
      <c r="J111" s="433">
        <f t="shared" si="42"/>
        <v>292.61700000000002</v>
      </c>
      <c r="K111" s="433">
        <f t="shared" si="42"/>
        <v>234.10920000000002</v>
      </c>
      <c r="L111" s="433">
        <f t="shared" si="42"/>
        <v>175.59360000000001</v>
      </c>
      <c r="M111" s="433">
        <f t="shared" si="42"/>
        <v>117.0702</v>
      </c>
      <c r="N111" s="433">
        <f t="shared" si="42"/>
        <v>58.539000000000009</v>
      </c>
      <c r="O111" s="535" t="s">
        <v>1221</v>
      </c>
    </row>
    <row r="112" spans="1:15" s="142" customFormat="1" ht="18" hidden="1" customHeight="1" outlineLevel="1" x14ac:dyDescent="0.2">
      <c r="A112" s="1025"/>
      <c r="B112" s="138"/>
      <c r="C112" s="235"/>
      <c r="D112" s="537" t="s">
        <v>1222</v>
      </c>
      <c r="E112" s="433">
        <f t="shared" ref="E112:N112" si="43">eSystemsPaperPercentErrorSMCS*eSystemsFleetPaperSMCSTotal</f>
        <v>11700.78</v>
      </c>
      <c r="F112" s="433">
        <f t="shared" si="43"/>
        <v>468.06239999999997</v>
      </c>
      <c r="G112" s="433">
        <f t="shared" si="43"/>
        <v>351.0702</v>
      </c>
      <c r="H112" s="433">
        <f t="shared" si="43"/>
        <v>409.60920000000004</v>
      </c>
      <c r="I112" s="433">
        <f t="shared" si="43"/>
        <v>351.11699999999996</v>
      </c>
      <c r="J112" s="433">
        <f t="shared" si="43"/>
        <v>292.61700000000002</v>
      </c>
      <c r="K112" s="433">
        <f t="shared" si="43"/>
        <v>234.10920000000002</v>
      </c>
      <c r="L112" s="433">
        <f t="shared" si="43"/>
        <v>175.59360000000001</v>
      </c>
      <c r="M112" s="433">
        <f t="shared" si="43"/>
        <v>117.0702</v>
      </c>
      <c r="N112" s="433">
        <f t="shared" si="43"/>
        <v>58.539000000000009</v>
      </c>
      <c r="O112" s="535" t="s">
        <v>1223</v>
      </c>
    </row>
    <row r="113" spans="1:33" s="142" customFormat="1" ht="18" hidden="1" customHeight="1" outlineLevel="1" x14ac:dyDescent="0.2">
      <c r="A113" s="1025"/>
      <c r="B113" s="138"/>
      <c r="C113" s="235"/>
      <c r="D113" s="537" t="s">
        <v>1224</v>
      </c>
      <c r="E113" s="433">
        <f t="shared" ref="E113:N113" si="44">eSystemsPaperPercentErrorO1*eSystemsFleetPaperO1Total</f>
        <v>0</v>
      </c>
      <c r="F113" s="433">
        <f t="shared" si="44"/>
        <v>0</v>
      </c>
      <c r="G113" s="433">
        <f t="shared" si="44"/>
        <v>0</v>
      </c>
      <c r="H113" s="433">
        <f t="shared" si="44"/>
        <v>0</v>
      </c>
      <c r="I113" s="433">
        <f t="shared" si="44"/>
        <v>0</v>
      </c>
      <c r="J113" s="433">
        <f t="shared" si="44"/>
        <v>0</v>
      </c>
      <c r="K113" s="433">
        <f t="shared" si="44"/>
        <v>0</v>
      </c>
      <c r="L113" s="433">
        <f t="shared" si="44"/>
        <v>0</v>
      </c>
      <c r="M113" s="433">
        <f t="shared" si="44"/>
        <v>0</v>
      </c>
      <c r="N113" s="433">
        <f t="shared" si="44"/>
        <v>0</v>
      </c>
      <c r="O113" s="535" t="s">
        <v>1225</v>
      </c>
    </row>
    <row r="114" spans="1:33" s="142" customFormat="1" ht="18" hidden="1" customHeight="1" outlineLevel="1" x14ac:dyDescent="0.2">
      <c r="A114" s="1025"/>
      <c r="B114" s="138"/>
      <c r="C114" s="235"/>
      <c r="D114" s="537" t="s">
        <v>1226</v>
      </c>
      <c r="E114" s="433">
        <f t="shared" ref="E114:N114" si="45">eSystemsPaperPercentErrorO2*eSystemsFleetPaperO2Total</f>
        <v>0</v>
      </c>
      <c r="F114" s="433">
        <f t="shared" si="45"/>
        <v>0</v>
      </c>
      <c r="G114" s="433">
        <f t="shared" si="45"/>
        <v>0</v>
      </c>
      <c r="H114" s="433">
        <f t="shared" si="45"/>
        <v>0</v>
      </c>
      <c r="I114" s="433">
        <f t="shared" si="45"/>
        <v>0</v>
      </c>
      <c r="J114" s="433">
        <f t="shared" si="45"/>
        <v>0</v>
      </c>
      <c r="K114" s="433">
        <f t="shared" si="45"/>
        <v>0</v>
      </c>
      <c r="L114" s="433">
        <f t="shared" si="45"/>
        <v>0</v>
      </c>
      <c r="M114" s="433">
        <f t="shared" si="45"/>
        <v>0</v>
      </c>
      <c r="N114" s="433">
        <f t="shared" si="45"/>
        <v>0</v>
      </c>
      <c r="O114" s="535" t="s">
        <v>1227</v>
      </c>
    </row>
    <row r="115" spans="1:33" s="142" customFormat="1" ht="18" hidden="1" customHeight="1" outlineLevel="1" x14ac:dyDescent="0.2">
      <c r="A115" s="1025"/>
      <c r="B115" s="138"/>
      <c r="C115" s="235"/>
      <c r="D115" s="542" t="s">
        <v>1228</v>
      </c>
      <c r="E115" s="504">
        <f>SUM(E103:E114)</f>
        <v>92881.845000000001</v>
      </c>
      <c r="F115" s="504">
        <f t="shared" ref="F115" si="46">SUM(F103:F114)</f>
        <v>3710.4517558441548</v>
      </c>
      <c r="G115" s="504">
        <f t="shared" ref="G115" si="47">SUM(G103:G114)</f>
        <v>2780.1529250000003</v>
      </c>
      <c r="H115" s="504">
        <f t="shared" ref="H115" si="48">SUM(H103:H114)</f>
        <v>3251.1517615384614</v>
      </c>
      <c r="I115" s="504">
        <f t="shared" ref="I115" si="49">SUM(I103:I114)</f>
        <v>2788.685678571429</v>
      </c>
      <c r="J115" s="504">
        <f t="shared" ref="J115" si="50">SUM(J103:J114)</f>
        <v>2325.5797261904763</v>
      </c>
      <c r="K115" s="504">
        <f t="shared" ref="K115" si="51">SUM(K103:K114)</f>
        <v>1861.8177642857147</v>
      </c>
      <c r="L115" s="504">
        <f t="shared" ref="L115" si="52">SUM(L103:L114)</f>
        <v>1397.3874504201679</v>
      </c>
      <c r="M115" s="504">
        <f t="shared" ref="M115:N115" si="53">SUM(M103:M114)</f>
        <v>932.27918492063498</v>
      </c>
      <c r="N115" s="504">
        <f t="shared" si="53"/>
        <v>466.48538909774436</v>
      </c>
      <c r="O115" s="535" t="s">
        <v>1229</v>
      </c>
    </row>
    <row r="116" spans="1:33" s="18" customFormat="1" ht="13.5" hidden="1" outlineLevel="1" thickBot="1" x14ac:dyDescent="0.25">
      <c r="A116" s="1025"/>
      <c r="B116" s="3"/>
      <c r="C116" s="170"/>
      <c r="D116" s="529"/>
      <c r="E116" s="526"/>
      <c r="F116" s="526"/>
      <c r="G116" s="526"/>
      <c r="H116" s="526"/>
      <c r="I116" s="526"/>
      <c r="J116" s="526"/>
      <c r="K116" s="526"/>
      <c r="L116" s="526"/>
      <c r="M116" s="526"/>
      <c r="N116" s="526"/>
      <c r="O116" s="527"/>
      <c r="P116" s="12"/>
      <c r="Q116" s="12"/>
    </row>
    <row r="117" spans="1:33" s="8" customFormat="1" ht="14.1" hidden="1" customHeight="1" outlineLevel="1" x14ac:dyDescent="0.25">
      <c r="A117" s="52"/>
      <c r="B117" s="194"/>
      <c r="C117" s="24"/>
      <c r="D117" s="197"/>
      <c r="E117" s="198"/>
      <c r="F117" s="198"/>
      <c r="G117" s="198"/>
      <c r="H117" s="198"/>
      <c r="I117" s="198"/>
      <c r="J117" s="198"/>
      <c r="K117" s="198"/>
      <c r="L117" s="198"/>
      <c r="M117" s="198"/>
      <c r="N117" s="198"/>
      <c r="O117" s="198"/>
      <c r="P117" s="17"/>
      <c r="Q117" s="17"/>
      <c r="R117" s="17"/>
      <c r="S117" s="17"/>
      <c r="T117" s="17"/>
      <c r="U117" s="17"/>
      <c r="V117" s="17"/>
      <c r="W117" s="17"/>
      <c r="X117" s="17"/>
      <c r="Y117" s="17"/>
      <c r="Z117" s="17"/>
      <c r="AA117" s="17"/>
      <c r="AB117" s="17"/>
      <c r="AC117" s="17"/>
      <c r="AD117" s="17"/>
      <c r="AE117" s="17"/>
      <c r="AF117" s="17"/>
      <c r="AG117" s="17"/>
    </row>
    <row r="118" spans="1:33" s="122" customFormat="1" ht="15.75" collapsed="1" x14ac:dyDescent="0.2">
      <c r="A118" s="1043">
        <v>3</v>
      </c>
      <c r="B118" s="1039"/>
      <c r="C118" s="1039"/>
      <c r="D118" s="1039"/>
      <c r="E118" s="1039"/>
      <c r="F118" s="1039"/>
      <c r="G118" s="1039"/>
      <c r="H118" s="1039"/>
      <c r="I118" s="1039"/>
      <c r="J118" s="1039"/>
      <c r="K118" s="1039"/>
      <c r="L118" s="1039"/>
      <c r="M118" s="1039"/>
      <c r="N118" s="1039"/>
      <c r="O118" s="1039"/>
      <c r="P118" s="206"/>
      <c r="Q118" s="206"/>
      <c r="R118" s="206"/>
      <c r="S118" s="206"/>
      <c r="T118" s="206"/>
      <c r="U118" s="206"/>
      <c r="V118" s="206"/>
      <c r="W118" s="206"/>
      <c r="X118" s="206"/>
      <c r="Y118" s="206"/>
      <c r="Z118" s="206"/>
      <c r="AA118" s="206"/>
      <c r="AB118" s="206"/>
      <c r="AC118" s="206"/>
      <c r="AD118" s="206"/>
      <c r="AE118" s="206"/>
      <c r="AF118" s="206"/>
    </row>
    <row r="119" spans="1:33" s="8" customFormat="1" ht="14.1" customHeight="1" thickBot="1" x14ac:dyDescent="0.3">
      <c r="A119" s="52"/>
      <c r="B119" s="194"/>
      <c r="C119" s="24"/>
      <c r="D119" s="197"/>
      <c r="E119" s="198"/>
      <c r="F119" s="198"/>
      <c r="G119" s="198"/>
      <c r="H119" s="198"/>
      <c r="I119" s="198"/>
      <c r="J119" s="198"/>
      <c r="K119" s="198"/>
      <c r="L119" s="198"/>
      <c r="M119" s="198"/>
      <c r="N119" s="198"/>
      <c r="O119" s="198"/>
      <c r="P119" s="17"/>
      <c r="Q119" s="17"/>
      <c r="R119" s="17"/>
      <c r="S119" s="17"/>
      <c r="T119" s="17"/>
      <c r="U119" s="17"/>
      <c r="V119" s="17"/>
      <c r="W119" s="17"/>
      <c r="X119" s="17"/>
      <c r="Y119" s="17"/>
      <c r="Z119" s="17"/>
      <c r="AA119" s="17"/>
      <c r="AB119" s="17"/>
      <c r="AC119" s="17"/>
      <c r="AD119" s="17"/>
      <c r="AE119" s="17"/>
      <c r="AF119" s="17"/>
      <c r="AG119" s="17"/>
    </row>
    <row r="120" spans="1:33" s="8" customFormat="1" ht="20.100000000000001" customHeight="1" x14ac:dyDescent="0.25">
      <c r="A120" s="1397" t="s">
        <v>4269</v>
      </c>
      <c r="B120" s="194"/>
      <c r="C120" s="967" t="s">
        <v>4167</v>
      </c>
      <c r="D120" s="197"/>
      <c r="E120" s="198"/>
      <c r="F120" s="198"/>
      <c r="G120" s="198"/>
      <c r="H120" s="198"/>
      <c r="I120" s="198"/>
      <c r="J120" s="198"/>
      <c r="K120" s="198"/>
      <c r="L120" s="198"/>
      <c r="M120" s="198"/>
      <c r="N120" s="198"/>
      <c r="O120" s="198"/>
      <c r="P120" s="17"/>
      <c r="Q120" s="17"/>
      <c r="R120" s="17"/>
      <c r="S120" s="17"/>
      <c r="T120" s="17"/>
      <c r="U120" s="17"/>
      <c r="V120" s="17"/>
      <c r="W120" s="17"/>
      <c r="X120" s="17"/>
      <c r="Y120" s="17"/>
      <c r="Z120" s="17"/>
      <c r="AA120" s="17"/>
      <c r="AB120" s="17"/>
      <c r="AC120" s="17"/>
      <c r="AD120" s="17"/>
      <c r="AE120" s="17"/>
      <c r="AF120" s="17"/>
      <c r="AG120" s="17"/>
    </row>
    <row r="121" spans="1:33" s="8" customFormat="1" ht="14.1" customHeight="1" x14ac:dyDescent="0.25">
      <c r="A121" s="1398"/>
      <c r="B121" s="194"/>
      <c r="C121" s="24"/>
      <c r="D121" s="197"/>
      <c r="E121" s="198"/>
      <c r="F121" s="198"/>
      <c r="G121" s="198"/>
      <c r="H121" s="198"/>
      <c r="I121" s="198"/>
      <c r="J121" s="198"/>
      <c r="K121" s="198"/>
      <c r="L121" s="198"/>
      <c r="M121" s="198"/>
      <c r="N121" s="198"/>
      <c r="O121" s="198"/>
      <c r="P121" s="17"/>
      <c r="Q121" s="17"/>
      <c r="R121" s="17"/>
      <c r="S121" s="17"/>
      <c r="T121" s="17"/>
      <c r="U121" s="17"/>
      <c r="V121" s="17"/>
      <c r="W121" s="17"/>
      <c r="X121" s="17"/>
      <c r="Y121" s="17"/>
      <c r="Z121" s="17"/>
      <c r="AA121" s="17"/>
      <c r="AB121" s="17"/>
      <c r="AC121" s="17"/>
      <c r="AD121" s="17"/>
      <c r="AE121" s="17"/>
      <c r="AF121" s="17"/>
      <c r="AG121" s="17"/>
    </row>
    <row r="122" spans="1:33" s="8" customFormat="1" ht="19.5" customHeight="1" x14ac:dyDescent="0.25">
      <c r="A122" s="1399"/>
      <c r="B122" s="194"/>
      <c r="C122" s="24"/>
      <c r="D122" s="197"/>
      <c r="E122" s="198"/>
      <c r="F122" s="198"/>
      <c r="G122" s="198"/>
      <c r="H122" s="198"/>
      <c r="I122" s="198"/>
      <c r="J122" s="198"/>
      <c r="K122" s="198"/>
      <c r="L122" s="198"/>
      <c r="M122" s="198"/>
      <c r="N122" s="198"/>
      <c r="O122" s="198"/>
      <c r="P122" s="17"/>
      <c r="Q122" s="17"/>
      <c r="R122" s="17"/>
      <c r="S122" s="17"/>
      <c r="T122" s="17"/>
      <c r="U122" s="17"/>
      <c r="V122" s="17"/>
      <c r="W122" s="17"/>
      <c r="X122" s="17"/>
      <c r="Y122" s="17"/>
      <c r="Z122" s="17"/>
      <c r="AA122" s="17"/>
      <c r="AB122" s="17"/>
      <c r="AC122" s="17"/>
      <c r="AD122" s="17"/>
      <c r="AE122" s="17"/>
      <c r="AF122" s="17"/>
      <c r="AG122" s="17"/>
    </row>
    <row r="123" spans="1:33" s="8" customFormat="1" ht="14.1" customHeight="1" x14ac:dyDescent="0.25">
      <c r="A123" s="52"/>
      <c r="B123" s="194"/>
      <c r="C123" s="24"/>
      <c r="D123" s="197"/>
      <c r="E123" s="198"/>
      <c r="F123" s="198"/>
      <c r="G123" s="198"/>
      <c r="H123" s="198"/>
      <c r="I123" s="198"/>
      <c r="J123" s="198"/>
      <c r="K123" s="198"/>
      <c r="L123" s="198"/>
      <c r="M123" s="198"/>
      <c r="N123" s="198"/>
      <c r="O123" s="198"/>
      <c r="P123" s="17"/>
      <c r="Q123" s="17"/>
      <c r="R123" s="17"/>
      <c r="S123" s="17"/>
      <c r="T123" s="17"/>
      <c r="U123" s="17"/>
      <c r="V123" s="17"/>
      <c r="W123" s="17"/>
      <c r="X123" s="17"/>
      <c r="Y123" s="17"/>
      <c r="Z123" s="17"/>
      <c r="AA123" s="17"/>
      <c r="AB123" s="17"/>
      <c r="AC123" s="17"/>
      <c r="AD123" s="17"/>
      <c r="AE123" s="17"/>
      <c r="AF123" s="17"/>
      <c r="AG123" s="17"/>
    </row>
    <row r="124" spans="1:33" s="8" customFormat="1" ht="12" hidden="1" customHeight="1" outlineLevel="1" thickBot="1" x14ac:dyDescent="0.25">
      <c r="A124" s="3"/>
      <c r="B124" s="199"/>
      <c r="C124" s="199"/>
      <c r="D124" s="199"/>
      <c r="E124" s="23"/>
      <c r="F124" s="23"/>
      <c r="G124" s="23"/>
      <c r="H124" s="23"/>
      <c r="I124" s="23"/>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row>
    <row r="125" spans="1:33" customFormat="1" ht="20.25" hidden="1" customHeight="1" outlineLevel="1" x14ac:dyDescent="0.2">
      <c r="A125" s="1394" t="s">
        <v>4266</v>
      </c>
      <c r="B125" s="199"/>
      <c r="C125" s="912" t="str">
        <f>Scenario1&amp;" Average Rework Time per Record (Hours)"</f>
        <v>pSystems (Paper) Average Rework Time per Record (Hours)</v>
      </c>
      <c r="D125" s="310"/>
      <c r="E125" s="240"/>
      <c r="F125" s="240"/>
      <c r="G125" s="240"/>
      <c r="H125" s="240"/>
      <c r="I125" s="240"/>
      <c r="J125" s="240"/>
      <c r="K125" s="240"/>
      <c r="L125" s="240"/>
      <c r="M125" s="240"/>
      <c r="N125" s="240"/>
      <c r="O125" s="435"/>
      <c r="P125" s="18"/>
      <c r="Q125" s="18"/>
      <c r="R125" s="18"/>
      <c r="S125" s="18"/>
      <c r="T125" s="18"/>
      <c r="U125" s="18"/>
      <c r="V125" s="18"/>
      <c r="W125" s="18"/>
      <c r="X125" s="18"/>
      <c r="Y125" s="18"/>
      <c r="Z125" s="18"/>
      <c r="AA125" s="18"/>
      <c r="AB125" s="18"/>
      <c r="AC125" s="18"/>
      <c r="AD125" s="18"/>
      <c r="AE125" s="18"/>
      <c r="AF125" s="18"/>
      <c r="AG125" s="18"/>
    </row>
    <row r="126" spans="1:33" s="142" customFormat="1" ht="18" hidden="1" customHeight="1" outlineLevel="1" x14ac:dyDescent="0.2">
      <c r="A126" s="1395"/>
      <c r="B126" s="138"/>
      <c r="C126" s="235"/>
      <c r="D126" s="537" t="s">
        <v>1230</v>
      </c>
      <c r="E126" s="546">
        <v>0.15</v>
      </c>
      <c r="F126" s="546">
        <v>0.15</v>
      </c>
      <c r="G126" s="546">
        <v>0.15</v>
      </c>
      <c r="H126" s="546">
        <v>0.15</v>
      </c>
      <c r="I126" s="546">
        <v>0.15</v>
      </c>
      <c r="J126" s="546">
        <v>0.15</v>
      </c>
      <c r="K126" s="546">
        <v>0.15</v>
      </c>
      <c r="L126" s="546">
        <v>0.15</v>
      </c>
      <c r="M126" s="546">
        <v>0.15</v>
      </c>
      <c r="N126" s="546">
        <v>0.15</v>
      </c>
      <c r="O126" s="535" t="s">
        <v>1242</v>
      </c>
    </row>
    <row r="127" spans="1:33" s="142" customFormat="1" ht="18" hidden="1" customHeight="1" outlineLevel="1" x14ac:dyDescent="0.2">
      <c r="A127" s="1395"/>
      <c r="B127" s="138"/>
      <c r="C127" s="235"/>
      <c r="D127" s="537" t="s">
        <v>1231</v>
      </c>
      <c r="E127" s="546">
        <v>0.15</v>
      </c>
      <c r="F127" s="546">
        <v>0.15</v>
      </c>
      <c r="G127" s="546">
        <v>0.15</v>
      </c>
      <c r="H127" s="546">
        <v>0.15</v>
      </c>
      <c r="I127" s="546">
        <v>0.15</v>
      </c>
      <c r="J127" s="546">
        <v>0.15</v>
      </c>
      <c r="K127" s="546">
        <v>0.15</v>
      </c>
      <c r="L127" s="546">
        <v>0.15</v>
      </c>
      <c r="M127" s="546">
        <v>0.15</v>
      </c>
      <c r="N127" s="546">
        <v>0.15</v>
      </c>
      <c r="O127" s="535" t="s">
        <v>1243</v>
      </c>
    </row>
    <row r="128" spans="1:33" s="142" customFormat="1" ht="18" hidden="1" customHeight="1" outlineLevel="1" x14ac:dyDescent="0.2">
      <c r="A128" s="1395"/>
      <c r="B128" s="138"/>
      <c r="C128" s="235"/>
      <c r="D128" s="537" t="s">
        <v>1232</v>
      </c>
      <c r="E128" s="546">
        <v>0.15</v>
      </c>
      <c r="F128" s="546">
        <v>0.15</v>
      </c>
      <c r="G128" s="546">
        <v>0.15</v>
      </c>
      <c r="H128" s="546">
        <v>0.15</v>
      </c>
      <c r="I128" s="546">
        <v>0.15</v>
      </c>
      <c r="J128" s="546">
        <v>0.15</v>
      </c>
      <c r="K128" s="546">
        <v>0.15</v>
      </c>
      <c r="L128" s="546">
        <v>0.15</v>
      </c>
      <c r="M128" s="546">
        <v>0.15</v>
      </c>
      <c r="N128" s="546">
        <v>0.15</v>
      </c>
      <c r="O128" s="535" t="s">
        <v>1244</v>
      </c>
    </row>
    <row r="129" spans="1:37" s="142" customFormat="1" ht="18" hidden="1" customHeight="1" outlineLevel="1" x14ac:dyDescent="0.2">
      <c r="A129" s="1395"/>
      <c r="B129" s="138"/>
      <c r="C129" s="235"/>
      <c r="D129" s="537" t="s">
        <v>1233</v>
      </c>
      <c r="E129" s="546">
        <v>0.15</v>
      </c>
      <c r="F129" s="546">
        <v>0.15</v>
      </c>
      <c r="G129" s="546">
        <v>0.15</v>
      </c>
      <c r="H129" s="546">
        <v>0.15</v>
      </c>
      <c r="I129" s="546">
        <v>0.15</v>
      </c>
      <c r="J129" s="546">
        <v>0.15</v>
      </c>
      <c r="K129" s="546">
        <v>0.15</v>
      </c>
      <c r="L129" s="546">
        <v>0.15</v>
      </c>
      <c r="M129" s="546">
        <v>0.15</v>
      </c>
      <c r="N129" s="546">
        <v>0.15</v>
      </c>
      <c r="O129" s="535" t="s">
        <v>1245</v>
      </c>
    </row>
    <row r="130" spans="1:37" s="142" customFormat="1" ht="18" hidden="1" customHeight="1" outlineLevel="1" x14ac:dyDescent="0.2">
      <c r="A130" s="1395"/>
      <c r="B130" s="138"/>
      <c r="C130" s="235"/>
      <c r="D130" s="537" t="s">
        <v>1234</v>
      </c>
      <c r="E130" s="546">
        <v>0.15</v>
      </c>
      <c r="F130" s="546">
        <v>0.15</v>
      </c>
      <c r="G130" s="546">
        <v>0.15</v>
      </c>
      <c r="H130" s="546">
        <v>0.15</v>
      </c>
      <c r="I130" s="546">
        <v>0.15</v>
      </c>
      <c r="J130" s="546">
        <v>0.15</v>
      </c>
      <c r="K130" s="546">
        <v>0.15</v>
      </c>
      <c r="L130" s="546">
        <v>0.15</v>
      </c>
      <c r="M130" s="546">
        <v>0.15</v>
      </c>
      <c r="N130" s="546">
        <v>0.15</v>
      </c>
      <c r="O130" s="535" t="s">
        <v>1246</v>
      </c>
    </row>
    <row r="131" spans="1:37" s="142" customFormat="1" ht="18" hidden="1" customHeight="1" outlineLevel="1" x14ac:dyDescent="0.2">
      <c r="A131" s="1395"/>
      <c r="B131" s="138"/>
      <c r="C131" s="235"/>
      <c r="D131" s="537" t="s">
        <v>1235</v>
      </c>
      <c r="E131" s="546">
        <v>0.15</v>
      </c>
      <c r="F131" s="546">
        <v>0.15</v>
      </c>
      <c r="G131" s="546">
        <v>0.15</v>
      </c>
      <c r="H131" s="546">
        <v>0.15</v>
      </c>
      <c r="I131" s="546">
        <v>0.15</v>
      </c>
      <c r="J131" s="546">
        <v>0.15</v>
      </c>
      <c r="K131" s="546">
        <v>0.15</v>
      </c>
      <c r="L131" s="546">
        <v>0.15</v>
      </c>
      <c r="M131" s="546">
        <v>0.15</v>
      </c>
      <c r="N131" s="546">
        <v>0.15</v>
      </c>
      <c r="O131" s="535" t="s">
        <v>1247</v>
      </c>
    </row>
    <row r="132" spans="1:37" s="142" customFormat="1" ht="18" hidden="1" customHeight="1" outlineLevel="1" x14ac:dyDescent="0.2">
      <c r="A132" s="1395"/>
      <c r="B132" s="138"/>
      <c r="C132" s="235"/>
      <c r="D132" s="537" t="s">
        <v>1236</v>
      </c>
      <c r="E132" s="546">
        <v>0.15</v>
      </c>
      <c r="F132" s="546">
        <v>0.15</v>
      </c>
      <c r="G132" s="546">
        <v>0.15</v>
      </c>
      <c r="H132" s="546">
        <v>0.15</v>
      </c>
      <c r="I132" s="546">
        <v>0.15</v>
      </c>
      <c r="J132" s="546">
        <v>0.15</v>
      </c>
      <c r="K132" s="546">
        <v>0.15</v>
      </c>
      <c r="L132" s="546">
        <v>0.15</v>
      </c>
      <c r="M132" s="546">
        <v>0.15</v>
      </c>
      <c r="N132" s="546">
        <v>0.15</v>
      </c>
      <c r="O132" s="535" t="s">
        <v>1248</v>
      </c>
    </row>
    <row r="133" spans="1:37" s="142" customFormat="1" ht="18" hidden="1" customHeight="1" outlineLevel="1" x14ac:dyDescent="0.2">
      <c r="A133" s="1395"/>
      <c r="B133" s="138"/>
      <c r="C133" s="235"/>
      <c r="D133" s="537" t="s">
        <v>1237</v>
      </c>
      <c r="E133" s="546">
        <v>0.15</v>
      </c>
      <c r="F133" s="546">
        <v>0.15</v>
      </c>
      <c r="G133" s="546">
        <v>0.15</v>
      </c>
      <c r="H133" s="546">
        <v>0.15</v>
      </c>
      <c r="I133" s="546">
        <v>0.15</v>
      </c>
      <c r="J133" s="546">
        <v>0.15</v>
      </c>
      <c r="K133" s="546">
        <v>0.15</v>
      </c>
      <c r="L133" s="546">
        <v>0.15</v>
      </c>
      <c r="M133" s="546">
        <v>0.15</v>
      </c>
      <c r="N133" s="546">
        <v>0.15</v>
      </c>
      <c r="O133" s="535" t="s">
        <v>1249</v>
      </c>
    </row>
    <row r="134" spans="1:37" s="142" customFormat="1" ht="18" hidden="1" customHeight="1" outlineLevel="1" x14ac:dyDescent="0.2">
      <c r="A134" s="1395"/>
      <c r="B134" s="138"/>
      <c r="C134" s="235"/>
      <c r="D134" s="537" t="s">
        <v>1238</v>
      </c>
      <c r="E134" s="546">
        <v>0.15</v>
      </c>
      <c r="F134" s="546">
        <v>0.15</v>
      </c>
      <c r="G134" s="546">
        <v>0.15</v>
      </c>
      <c r="H134" s="546">
        <v>0.15</v>
      </c>
      <c r="I134" s="546">
        <v>0.15</v>
      </c>
      <c r="J134" s="546">
        <v>0.15</v>
      </c>
      <c r="K134" s="546">
        <v>0.15</v>
      </c>
      <c r="L134" s="546">
        <v>0.15</v>
      </c>
      <c r="M134" s="546">
        <v>0.15</v>
      </c>
      <c r="N134" s="546">
        <v>0.15</v>
      </c>
      <c r="O134" s="535" t="s">
        <v>1250</v>
      </c>
    </row>
    <row r="135" spans="1:37" s="142" customFormat="1" ht="18" hidden="1" customHeight="1" outlineLevel="1" x14ac:dyDescent="0.2">
      <c r="A135" s="1395"/>
      <c r="B135" s="138"/>
      <c r="C135" s="235"/>
      <c r="D135" s="537" t="s">
        <v>1239</v>
      </c>
      <c r="E135" s="546">
        <v>0.15</v>
      </c>
      <c r="F135" s="546">
        <v>0.15</v>
      </c>
      <c r="G135" s="546">
        <v>0.15</v>
      </c>
      <c r="H135" s="546">
        <v>0.15</v>
      </c>
      <c r="I135" s="546">
        <v>0.15</v>
      </c>
      <c r="J135" s="546">
        <v>0.15</v>
      </c>
      <c r="K135" s="546">
        <v>0.15</v>
      </c>
      <c r="L135" s="546">
        <v>0.15</v>
      </c>
      <c r="M135" s="546">
        <v>0.15</v>
      </c>
      <c r="N135" s="546">
        <v>0.15</v>
      </c>
      <c r="O135" s="535" t="s">
        <v>1251</v>
      </c>
    </row>
    <row r="136" spans="1:37" s="142" customFormat="1" ht="18" hidden="1" customHeight="1" outlineLevel="1" x14ac:dyDescent="0.2">
      <c r="A136" s="1395"/>
      <c r="B136" s="138"/>
      <c r="C136" s="235"/>
      <c r="D136" s="537" t="s">
        <v>1240</v>
      </c>
      <c r="E136" s="546">
        <v>0.15</v>
      </c>
      <c r="F136" s="546">
        <v>0.15</v>
      </c>
      <c r="G136" s="546">
        <v>0.15</v>
      </c>
      <c r="H136" s="546">
        <v>0.15</v>
      </c>
      <c r="I136" s="546">
        <v>0.15</v>
      </c>
      <c r="J136" s="546">
        <v>0.15</v>
      </c>
      <c r="K136" s="546">
        <v>0.15</v>
      </c>
      <c r="L136" s="546">
        <v>0.15</v>
      </c>
      <c r="M136" s="546">
        <v>0.15</v>
      </c>
      <c r="N136" s="546">
        <v>0.15</v>
      </c>
      <c r="O136" s="535" t="s">
        <v>1252</v>
      </c>
    </row>
    <row r="137" spans="1:37" s="142" customFormat="1" ht="18" hidden="1" customHeight="1" outlineLevel="1" x14ac:dyDescent="0.2">
      <c r="A137" s="1395"/>
      <c r="B137" s="138"/>
      <c r="C137" s="235"/>
      <c r="D137" s="537" t="s">
        <v>1241</v>
      </c>
      <c r="E137" s="546">
        <v>0.15</v>
      </c>
      <c r="F137" s="546">
        <v>0.15</v>
      </c>
      <c r="G137" s="546">
        <v>0.15</v>
      </c>
      <c r="H137" s="546">
        <v>0.15</v>
      </c>
      <c r="I137" s="546">
        <v>0.15</v>
      </c>
      <c r="J137" s="546">
        <v>0.15</v>
      </c>
      <c r="K137" s="546">
        <v>0.15</v>
      </c>
      <c r="L137" s="546">
        <v>0.15</v>
      </c>
      <c r="M137" s="546">
        <v>0.15</v>
      </c>
      <c r="N137" s="546">
        <v>0.15</v>
      </c>
      <c r="O137" s="535" t="s">
        <v>1253</v>
      </c>
    </row>
    <row r="138" spans="1:37" s="8" customFormat="1" ht="15.75" hidden="1" customHeight="1" outlineLevel="1" thickBot="1" x14ac:dyDescent="0.25">
      <c r="A138" s="1395"/>
      <c r="B138" s="199"/>
      <c r="C138" s="314"/>
      <c r="D138" s="436"/>
      <c r="E138" s="547"/>
      <c r="F138" s="547"/>
      <c r="G138" s="547"/>
      <c r="H138" s="547"/>
      <c r="I138" s="547"/>
      <c r="J138" s="547"/>
      <c r="K138" s="547"/>
      <c r="L138" s="547"/>
      <c r="M138" s="547"/>
      <c r="N138" s="547"/>
      <c r="O138" s="548"/>
      <c r="P138" s="17"/>
      <c r="Q138" s="17"/>
      <c r="R138" s="17"/>
      <c r="S138" s="17"/>
      <c r="T138" s="17"/>
      <c r="U138" s="17"/>
      <c r="V138" s="17"/>
      <c r="W138" s="17"/>
      <c r="X138" s="17"/>
      <c r="Y138" s="17"/>
      <c r="Z138" s="17"/>
      <c r="AA138" s="17"/>
      <c r="AB138" s="17"/>
      <c r="AC138" s="17"/>
      <c r="AD138" s="17"/>
      <c r="AE138" s="17"/>
      <c r="AF138" s="17"/>
      <c r="AG138" s="17"/>
    </row>
    <row r="139" spans="1:37" s="8" customFormat="1" ht="15.75" hidden="1" customHeight="1" outlineLevel="1" thickBot="1" x14ac:dyDescent="0.25">
      <c r="A139" s="1395"/>
      <c r="B139" s="199"/>
      <c r="C139" s="199"/>
      <c r="D139" s="101"/>
      <c r="E139" s="200"/>
      <c r="F139" s="200"/>
      <c r="G139" s="200"/>
      <c r="H139" s="200"/>
      <c r="I139" s="200"/>
      <c r="J139" s="200"/>
      <c r="K139" s="200"/>
      <c r="L139" s="200"/>
      <c r="M139" s="200"/>
      <c r="N139" s="200"/>
      <c r="O139" s="200"/>
      <c r="P139" s="17"/>
      <c r="Q139" s="17"/>
      <c r="R139" s="17"/>
      <c r="S139" s="17"/>
      <c r="T139" s="17"/>
      <c r="U139" s="17"/>
      <c r="V139" s="17"/>
      <c r="W139" s="17"/>
      <c r="X139" s="17"/>
      <c r="Y139" s="17"/>
      <c r="Z139" s="17"/>
      <c r="AA139" s="17"/>
      <c r="AB139" s="17"/>
      <c r="AC139" s="17"/>
      <c r="AD139" s="17"/>
      <c r="AE139" s="17"/>
      <c r="AF139" s="17"/>
      <c r="AG139" s="17"/>
    </row>
    <row r="140" spans="1:37" s="8" customFormat="1" ht="20.25" hidden="1" outlineLevel="1" x14ac:dyDescent="0.2">
      <c r="A140" s="1395"/>
      <c r="B140" s="199"/>
      <c r="C140" s="912" t="str">
        <f>Scenario1&amp;" Average Rework Hours pa"</f>
        <v>pSystems (Paper) Average Rework Hours pa</v>
      </c>
      <c r="D140" s="310"/>
      <c r="E140" s="315"/>
      <c r="F140" s="315"/>
      <c r="G140" s="315"/>
      <c r="H140" s="315"/>
      <c r="I140" s="315"/>
      <c r="J140" s="315"/>
      <c r="K140" s="315"/>
      <c r="L140" s="315"/>
      <c r="M140" s="315"/>
      <c r="N140" s="315"/>
      <c r="O140" s="550"/>
      <c r="P140" s="23"/>
      <c r="Q140" s="23"/>
      <c r="R140" s="23"/>
      <c r="S140" s="23"/>
      <c r="T140" s="23"/>
      <c r="U140" s="23"/>
      <c r="V140" s="23"/>
      <c r="W140" s="23"/>
      <c r="X140" s="23"/>
      <c r="Y140" s="23"/>
      <c r="Z140" s="23"/>
      <c r="AA140" s="23"/>
      <c r="AB140" s="23"/>
      <c r="AC140" s="23"/>
      <c r="AD140" s="23"/>
      <c r="AE140" s="23"/>
      <c r="AF140" s="23"/>
      <c r="AG140" s="23"/>
      <c r="AH140" s="488"/>
      <c r="AI140" s="488"/>
      <c r="AJ140" s="488"/>
      <c r="AK140" s="488"/>
    </row>
    <row r="141" spans="1:37" s="8" customFormat="1" ht="14.1" hidden="1" customHeight="1" outlineLevel="1" x14ac:dyDescent="0.2">
      <c r="A141" s="1395"/>
      <c r="B141" s="102"/>
      <c r="C141" s="284"/>
      <c r="D141" s="312"/>
      <c r="E141" s="201"/>
      <c r="F141" s="201"/>
      <c r="G141" s="201"/>
      <c r="H141" s="201"/>
      <c r="I141" s="201"/>
      <c r="J141" s="201"/>
      <c r="K141" s="201"/>
      <c r="L141" s="201"/>
      <c r="M141" s="201"/>
      <c r="N141" s="201"/>
      <c r="O141" s="549"/>
      <c r="P141" s="17"/>
      <c r="Q141" s="17"/>
      <c r="R141" s="17"/>
      <c r="S141" s="17"/>
      <c r="T141" s="17"/>
      <c r="U141" s="17"/>
      <c r="V141" s="17"/>
      <c r="W141" s="17"/>
      <c r="X141" s="17"/>
      <c r="Y141" s="17"/>
      <c r="Z141" s="17"/>
      <c r="AA141" s="17"/>
      <c r="AB141" s="17"/>
      <c r="AC141" s="17"/>
      <c r="AD141" s="17"/>
      <c r="AE141" s="17"/>
      <c r="AF141" s="17"/>
      <c r="AG141" s="17"/>
    </row>
    <row r="142" spans="1:37" s="142" customFormat="1" ht="18" hidden="1" customHeight="1" outlineLevel="1" x14ac:dyDescent="0.2">
      <c r="A142" s="1395"/>
      <c r="B142" s="138"/>
      <c r="C142" s="235"/>
      <c r="D142" s="537" t="s">
        <v>1254</v>
      </c>
      <c r="E142" s="506">
        <f t="shared" ref="E142:N142" si="54">pSystemsPaperRequiredReworksHM*pSystemsReworkHoursHM</f>
        <v>706.38749999999993</v>
      </c>
      <c r="F142" s="506">
        <f t="shared" si="54"/>
        <v>648.94675324675336</v>
      </c>
      <c r="G142" s="506">
        <f t="shared" si="54"/>
        <v>605.46562500000005</v>
      </c>
      <c r="H142" s="506">
        <f t="shared" si="54"/>
        <v>700.50164835164833</v>
      </c>
      <c r="I142" s="506">
        <f t="shared" si="54"/>
        <v>727.07142857142856</v>
      </c>
      <c r="J142" s="506">
        <f t="shared" si="54"/>
        <v>754.02857142857158</v>
      </c>
      <c r="K142" s="506">
        <f t="shared" si="54"/>
        <v>781.30044642857149</v>
      </c>
      <c r="L142" s="506">
        <f t="shared" si="54"/>
        <v>808.83151260504189</v>
      </c>
      <c r="M142" s="506">
        <f t="shared" si="54"/>
        <v>836.57857142857142</v>
      </c>
      <c r="N142" s="506">
        <f t="shared" si="54"/>
        <v>864.50751879699249</v>
      </c>
      <c r="O142" s="535" t="s">
        <v>1266</v>
      </c>
    </row>
    <row r="143" spans="1:37" s="142" customFormat="1" ht="18" hidden="1" customHeight="1" outlineLevel="1" x14ac:dyDescent="0.2">
      <c r="A143" s="1395"/>
      <c r="B143" s="138"/>
      <c r="C143" s="235"/>
      <c r="D143" s="537" t="s">
        <v>1255</v>
      </c>
      <c r="E143" s="506">
        <f t="shared" ref="E143:N143" si="55">pSystemsPaperRequiredReworksLM*pSystemsReworkHoursLM</f>
        <v>3510.3510000000001</v>
      </c>
      <c r="F143" s="506">
        <f t="shared" si="55"/>
        <v>3510.7019999999998</v>
      </c>
      <c r="G143" s="506">
        <f t="shared" si="55"/>
        <v>3511.0529999999999</v>
      </c>
      <c r="H143" s="506">
        <f t="shared" si="55"/>
        <v>3511.404</v>
      </c>
      <c r="I143" s="506">
        <f t="shared" si="55"/>
        <v>3511.7550000000001</v>
      </c>
      <c r="J143" s="506">
        <f t="shared" si="55"/>
        <v>3512.1060000000002</v>
      </c>
      <c r="K143" s="506">
        <f t="shared" si="55"/>
        <v>3512.4569999999994</v>
      </c>
      <c r="L143" s="506">
        <f t="shared" si="55"/>
        <v>3512.8079999999995</v>
      </c>
      <c r="M143" s="506">
        <f t="shared" si="55"/>
        <v>3513.1589999999997</v>
      </c>
      <c r="N143" s="506">
        <f t="shared" si="55"/>
        <v>3513.5099999999998</v>
      </c>
      <c r="O143" s="535" t="s">
        <v>1267</v>
      </c>
    </row>
    <row r="144" spans="1:37" s="142" customFormat="1" ht="18" hidden="1" customHeight="1" outlineLevel="1" x14ac:dyDescent="0.2">
      <c r="A144" s="1395"/>
      <c r="B144" s="138"/>
      <c r="C144" s="235"/>
      <c r="D144" s="551" t="s">
        <v>1256</v>
      </c>
      <c r="E144" s="506">
        <f t="shared" ref="E144:N144" si="56">pSystemsPaperRequiredReworksENG*pSystemsReworkHoursENG</f>
        <v>4232.6347499999993</v>
      </c>
      <c r="F144" s="506">
        <f t="shared" si="56"/>
        <v>4233.0194999999994</v>
      </c>
      <c r="G144" s="506">
        <f t="shared" si="56"/>
        <v>4233.4042499999996</v>
      </c>
      <c r="H144" s="506">
        <f t="shared" si="56"/>
        <v>4233.7889999999998</v>
      </c>
      <c r="I144" s="506">
        <f t="shared" si="56"/>
        <v>4234.1737499999999</v>
      </c>
      <c r="J144" s="506">
        <f t="shared" si="56"/>
        <v>4234.5585000000001</v>
      </c>
      <c r="K144" s="506">
        <f t="shared" si="56"/>
        <v>4234.9432499999994</v>
      </c>
      <c r="L144" s="506">
        <f t="shared" si="56"/>
        <v>4235.3279999999995</v>
      </c>
      <c r="M144" s="506">
        <f t="shared" si="56"/>
        <v>4235.7127499999997</v>
      </c>
      <c r="N144" s="506">
        <f t="shared" si="56"/>
        <v>4236.0974999999999</v>
      </c>
      <c r="O144" s="535" t="s">
        <v>1268</v>
      </c>
    </row>
    <row r="145" spans="1:33" s="142" customFormat="1" ht="18" hidden="1" customHeight="1" outlineLevel="1" x14ac:dyDescent="0.2">
      <c r="A145" s="1395"/>
      <c r="B145" s="138"/>
      <c r="C145" s="235"/>
      <c r="D145" s="537" t="s">
        <v>1257</v>
      </c>
      <c r="E145" s="506">
        <f t="shared" ref="E145:N145" si="57">pSystemsPaperRequiredReworksPLG*pSystemsReworkHoursPLG</f>
        <v>3861.3509999999997</v>
      </c>
      <c r="F145" s="506">
        <f t="shared" si="57"/>
        <v>3861.7019999999998</v>
      </c>
      <c r="G145" s="506">
        <f t="shared" si="57"/>
        <v>3862.0529999999999</v>
      </c>
      <c r="H145" s="506">
        <f t="shared" si="57"/>
        <v>3862.404</v>
      </c>
      <c r="I145" s="506">
        <f t="shared" si="57"/>
        <v>3862.7550000000001</v>
      </c>
      <c r="J145" s="506">
        <f t="shared" si="57"/>
        <v>3863.1059999999993</v>
      </c>
      <c r="K145" s="506">
        <f t="shared" si="57"/>
        <v>3863.4569999999994</v>
      </c>
      <c r="L145" s="506">
        <f t="shared" si="57"/>
        <v>3863.8079999999995</v>
      </c>
      <c r="M145" s="506">
        <f t="shared" si="57"/>
        <v>3864.1589999999997</v>
      </c>
      <c r="N145" s="506">
        <f t="shared" si="57"/>
        <v>3864.5099999999993</v>
      </c>
      <c r="O145" s="535" t="s">
        <v>1269</v>
      </c>
    </row>
    <row r="146" spans="1:33" s="142" customFormat="1" ht="18" hidden="1" customHeight="1" outlineLevel="1" x14ac:dyDescent="0.2">
      <c r="A146" s="1395"/>
      <c r="B146" s="138"/>
      <c r="C146" s="235"/>
      <c r="D146" s="537" t="s">
        <v>1258</v>
      </c>
      <c r="E146" s="506">
        <f t="shared" ref="E146:N146" si="58">pSystemsPaperRequiredReworksCRT*pSystemsReworkHoursCRT</f>
        <v>4212.3509999999997</v>
      </c>
      <c r="F146" s="506">
        <f t="shared" si="58"/>
        <v>4212.7020000000002</v>
      </c>
      <c r="G146" s="506">
        <f t="shared" si="58"/>
        <v>4213.0529999999999</v>
      </c>
      <c r="H146" s="506">
        <f t="shared" si="58"/>
        <v>4213.4039999999995</v>
      </c>
      <c r="I146" s="506">
        <f t="shared" si="58"/>
        <v>4213.7550000000001</v>
      </c>
      <c r="J146" s="506">
        <f t="shared" si="58"/>
        <v>4214.1059999999998</v>
      </c>
      <c r="K146" s="506">
        <f t="shared" si="58"/>
        <v>4214.4569999999994</v>
      </c>
      <c r="L146" s="506">
        <f t="shared" si="58"/>
        <v>4214.8079999999991</v>
      </c>
      <c r="M146" s="506">
        <f t="shared" si="58"/>
        <v>4215.1589999999997</v>
      </c>
      <c r="N146" s="506">
        <f t="shared" si="58"/>
        <v>4215.5099999999993</v>
      </c>
      <c r="O146" s="535" t="s">
        <v>1270</v>
      </c>
    </row>
    <row r="147" spans="1:33" s="142" customFormat="1" ht="18" hidden="1" customHeight="1" outlineLevel="1" x14ac:dyDescent="0.2">
      <c r="A147" s="1395"/>
      <c r="B147" s="138"/>
      <c r="C147" s="235"/>
      <c r="D147" s="537" t="s">
        <v>1259</v>
      </c>
      <c r="E147" s="506">
        <f t="shared" ref="E147:N147" si="59">pSystemsPaperRequiredReworksSCL*pSystemsReworkHoursSCL</f>
        <v>4563.3509999999997</v>
      </c>
      <c r="F147" s="506">
        <f t="shared" si="59"/>
        <v>4563.7020000000002</v>
      </c>
      <c r="G147" s="506">
        <f t="shared" si="59"/>
        <v>4564.0529999999999</v>
      </c>
      <c r="H147" s="506">
        <f t="shared" si="59"/>
        <v>4564.4039999999995</v>
      </c>
      <c r="I147" s="506">
        <f t="shared" si="59"/>
        <v>4564.7549999999992</v>
      </c>
      <c r="J147" s="506">
        <f t="shared" si="59"/>
        <v>4565.1059999999998</v>
      </c>
      <c r="K147" s="506">
        <f t="shared" si="59"/>
        <v>4565.4569999999994</v>
      </c>
      <c r="L147" s="506">
        <f t="shared" si="59"/>
        <v>4565.8079999999991</v>
      </c>
      <c r="M147" s="506">
        <f t="shared" si="59"/>
        <v>4566.1589999999997</v>
      </c>
      <c r="N147" s="506">
        <f t="shared" si="59"/>
        <v>4566.5099999999993</v>
      </c>
      <c r="O147" s="535" t="s">
        <v>1271</v>
      </c>
    </row>
    <row r="148" spans="1:33" s="142" customFormat="1" ht="18" hidden="1" customHeight="1" outlineLevel="1" x14ac:dyDescent="0.2">
      <c r="A148" s="1395"/>
      <c r="B148" s="138"/>
      <c r="C148" s="235"/>
      <c r="D148" s="537" t="s">
        <v>1260</v>
      </c>
      <c r="E148" s="506">
        <f t="shared" ref="E148:N148" si="60">pSystemsPaperRequiredReworksQSC*pSystemsReworkHoursQSC</f>
        <v>4914.3509999999997</v>
      </c>
      <c r="F148" s="506">
        <f t="shared" si="60"/>
        <v>4914.7020000000002</v>
      </c>
      <c r="G148" s="506">
        <f t="shared" si="60"/>
        <v>4915.0529999999999</v>
      </c>
      <c r="H148" s="506">
        <f t="shared" si="60"/>
        <v>4915.4039999999995</v>
      </c>
      <c r="I148" s="506">
        <f t="shared" si="60"/>
        <v>4915.7549999999992</v>
      </c>
      <c r="J148" s="506">
        <f t="shared" si="60"/>
        <v>4916.1059999999998</v>
      </c>
      <c r="K148" s="506">
        <f t="shared" si="60"/>
        <v>4916.4569999999994</v>
      </c>
      <c r="L148" s="506">
        <f t="shared" si="60"/>
        <v>4916.808</v>
      </c>
      <c r="M148" s="506">
        <f t="shared" si="60"/>
        <v>4917.1589999999997</v>
      </c>
      <c r="N148" s="506">
        <f t="shared" si="60"/>
        <v>4917.51</v>
      </c>
      <c r="O148" s="535" t="s">
        <v>1272</v>
      </c>
    </row>
    <row r="149" spans="1:33" s="142" customFormat="1" ht="18" hidden="1" customHeight="1" outlineLevel="1" x14ac:dyDescent="0.2">
      <c r="A149" s="1395"/>
      <c r="B149" s="138"/>
      <c r="C149" s="235"/>
      <c r="D149" s="537" t="s">
        <v>1261</v>
      </c>
      <c r="E149" s="506">
        <f t="shared" ref="E149:N149" si="61">pSystemsPaperRequiredReworksEM*pSystemsReworkHoursEM</f>
        <v>5265.3509999999997</v>
      </c>
      <c r="F149" s="506">
        <f t="shared" si="61"/>
        <v>5265.7020000000002</v>
      </c>
      <c r="G149" s="506">
        <f t="shared" si="61"/>
        <v>5266.052999999999</v>
      </c>
      <c r="H149" s="506">
        <f t="shared" si="61"/>
        <v>5266.4039999999995</v>
      </c>
      <c r="I149" s="506">
        <f t="shared" si="61"/>
        <v>5266.7549999999992</v>
      </c>
      <c r="J149" s="506">
        <f t="shared" si="61"/>
        <v>5267.1059999999998</v>
      </c>
      <c r="K149" s="506">
        <f t="shared" si="61"/>
        <v>5267.4569999999994</v>
      </c>
      <c r="L149" s="506">
        <f t="shared" si="61"/>
        <v>5267.808</v>
      </c>
      <c r="M149" s="506">
        <f t="shared" si="61"/>
        <v>5268.1589999999997</v>
      </c>
      <c r="N149" s="506">
        <f t="shared" si="61"/>
        <v>5268.51</v>
      </c>
      <c r="O149" s="535" t="s">
        <v>1273</v>
      </c>
    </row>
    <row r="150" spans="1:33" s="142" customFormat="1" ht="18" hidden="1" customHeight="1" outlineLevel="1" x14ac:dyDescent="0.2">
      <c r="A150" s="1395"/>
      <c r="B150" s="138"/>
      <c r="C150" s="235"/>
      <c r="D150" s="537" t="s">
        <v>1262</v>
      </c>
      <c r="E150" s="506">
        <f t="shared" ref="E150:N150" si="62">pSystemsPaperRequiredReworksCM*pSystemsReworkHoursCM</f>
        <v>5265.3509999999997</v>
      </c>
      <c r="F150" s="506">
        <f t="shared" si="62"/>
        <v>5265.7020000000002</v>
      </c>
      <c r="G150" s="506">
        <f t="shared" si="62"/>
        <v>5266.052999999999</v>
      </c>
      <c r="H150" s="506">
        <f t="shared" si="62"/>
        <v>5266.4039999999995</v>
      </c>
      <c r="I150" s="506">
        <f t="shared" si="62"/>
        <v>5266.7549999999992</v>
      </c>
      <c r="J150" s="506">
        <f t="shared" si="62"/>
        <v>5267.1059999999998</v>
      </c>
      <c r="K150" s="506">
        <f t="shared" si="62"/>
        <v>5267.4569999999994</v>
      </c>
      <c r="L150" s="506">
        <f t="shared" si="62"/>
        <v>5267.808</v>
      </c>
      <c r="M150" s="506">
        <f t="shared" si="62"/>
        <v>5268.1589999999997</v>
      </c>
      <c r="N150" s="506">
        <f t="shared" si="62"/>
        <v>5268.51</v>
      </c>
      <c r="O150" s="535" t="s">
        <v>1274</v>
      </c>
    </row>
    <row r="151" spans="1:33" s="142" customFormat="1" ht="18" hidden="1" customHeight="1" outlineLevel="1" x14ac:dyDescent="0.2">
      <c r="A151" s="1395"/>
      <c r="B151" s="138"/>
      <c r="C151" s="235"/>
      <c r="D151" s="537" t="s">
        <v>1263</v>
      </c>
      <c r="E151" s="506">
        <f t="shared" ref="E151:N151" si="63">pSystemsPaperRequiredReworksSMCS*pSystemsReworkHoursSMCS</f>
        <v>5265.3509999999997</v>
      </c>
      <c r="F151" s="506">
        <f t="shared" si="63"/>
        <v>5265.7020000000002</v>
      </c>
      <c r="G151" s="506">
        <f t="shared" si="63"/>
        <v>5266.052999999999</v>
      </c>
      <c r="H151" s="506">
        <f t="shared" si="63"/>
        <v>5266.4039999999995</v>
      </c>
      <c r="I151" s="506">
        <f t="shared" si="63"/>
        <v>5266.7549999999992</v>
      </c>
      <c r="J151" s="506">
        <f t="shared" si="63"/>
        <v>5267.1059999999998</v>
      </c>
      <c r="K151" s="506">
        <f t="shared" si="63"/>
        <v>5267.4569999999994</v>
      </c>
      <c r="L151" s="506">
        <f t="shared" si="63"/>
        <v>5267.808</v>
      </c>
      <c r="M151" s="506">
        <f t="shared" si="63"/>
        <v>5268.1589999999997</v>
      </c>
      <c r="N151" s="506">
        <f t="shared" si="63"/>
        <v>5268.51</v>
      </c>
      <c r="O151" s="535" t="s">
        <v>1275</v>
      </c>
    </row>
    <row r="152" spans="1:33" s="142" customFormat="1" ht="18" hidden="1" customHeight="1" outlineLevel="1" x14ac:dyDescent="0.2">
      <c r="A152" s="1395"/>
      <c r="B152" s="138"/>
      <c r="C152" s="235"/>
      <c r="D152" s="537" t="s">
        <v>1264</v>
      </c>
      <c r="E152" s="506">
        <f t="shared" ref="E152:N152" si="64">pSystemsPaperRequiredReworksO1*pSystemsReworkHoursO1</f>
        <v>0</v>
      </c>
      <c r="F152" s="506">
        <f t="shared" si="64"/>
        <v>0</v>
      </c>
      <c r="G152" s="506">
        <f t="shared" si="64"/>
        <v>0</v>
      </c>
      <c r="H152" s="506">
        <f t="shared" si="64"/>
        <v>0</v>
      </c>
      <c r="I152" s="506">
        <f t="shared" si="64"/>
        <v>0</v>
      </c>
      <c r="J152" s="506">
        <f t="shared" si="64"/>
        <v>0</v>
      </c>
      <c r="K152" s="506">
        <f t="shared" si="64"/>
        <v>0</v>
      </c>
      <c r="L152" s="506">
        <f t="shared" si="64"/>
        <v>0</v>
      </c>
      <c r="M152" s="506">
        <f t="shared" si="64"/>
        <v>0</v>
      </c>
      <c r="N152" s="506">
        <f t="shared" si="64"/>
        <v>0</v>
      </c>
      <c r="O152" s="535" t="s">
        <v>1276</v>
      </c>
    </row>
    <row r="153" spans="1:33" s="142" customFormat="1" ht="18" hidden="1" customHeight="1" outlineLevel="1" x14ac:dyDescent="0.2">
      <c r="A153" s="1395"/>
      <c r="B153" s="138"/>
      <c r="C153" s="235"/>
      <c r="D153" s="537" t="s">
        <v>1265</v>
      </c>
      <c r="E153" s="506">
        <f t="shared" ref="E153:N153" si="65">pSystemsPaperRequiredReworksO2*pSystemsReworkHoursO2</f>
        <v>0</v>
      </c>
      <c r="F153" s="506">
        <f t="shared" si="65"/>
        <v>0</v>
      </c>
      <c r="G153" s="506">
        <f t="shared" si="65"/>
        <v>0</v>
      </c>
      <c r="H153" s="506">
        <f t="shared" si="65"/>
        <v>0</v>
      </c>
      <c r="I153" s="506">
        <f t="shared" si="65"/>
        <v>0</v>
      </c>
      <c r="J153" s="506">
        <f t="shared" si="65"/>
        <v>0</v>
      </c>
      <c r="K153" s="506">
        <f t="shared" si="65"/>
        <v>0</v>
      </c>
      <c r="L153" s="506">
        <f t="shared" si="65"/>
        <v>0</v>
      </c>
      <c r="M153" s="506">
        <f t="shared" si="65"/>
        <v>0</v>
      </c>
      <c r="N153" s="506">
        <f t="shared" si="65"/>
        <v>0</v>
      </c>
      <c r="O153" s="535" t="s">
        <v>1277</v>
      </c>
    </row>
    <row r="154" spans="1:33" customFormat="1" ht="14.1" hidden="1" customHeight="1" outlineLevel="1" thickBot="1" x14ac:dyDescent="0.25">
      <c r="A154" s="1396"/>
      <c r="B154" s="66"/>
      <c r="C154" s="298"/>
      <c r="D154" s="543"/>
      <c r="E154" s="544"/>
      <c r="F154" s="544"/>
      <c r="G154" s="544"/>
      <c r="H154" s="544"/>
      <c r="I154" s="544"/>
      <c r="J154" s="544"/>
      <c r="K154" s="544"/>
      <c r="L154" s="544"/>
      <c r="M154" s="544"/>
      <c r="N154" s="544"/>
      <c r="O154" s="545"/>
      <c r="P154" s="18"/>
      <c r="Q154" s="18"/>
      <c r="R154" s="18"/>
      <c r="S154" s="18"/>
      <c r="T154" s="18"/>
      <c r="U154" s="18"/>
      <c r="V154" s="18"/>
      <c r="W154" s="18"/>
      <c r="X154" s="18"/>
      <c r="Y154" s="18"/>
      <c r="Z154" s="18"/>
      <c r="AA154" s="18"/>
      <c r="AB154" s="18"/>
      <c r="AC154" s="18"/>
      <c r="AD154" s="18"/>
      <c r="AE154" s="18"/>
      <c r="AF154" s="18"/>
      <c r="AG154" s="18"/>
    </row>
    <row r="155" spans="1:33" customFormat="1" ht="14.1" hidden="1" customHeight="1" outlineLevel="1" thickBot="1" x14ac:dyDescent="0.25">
      <c r="A155" s="66"/>
      <c r="B155" s="66"/>
      <c r="C155" s="13"/>
      <c r="D155" s="313"/>
      <c r="E155" s="201"/>
      <c r="F155" s="201"/>
      <c r="G155" s="201"/>
      <c r="H155" s="201"/>
      <c r="I155" s="201"/>
      <c r="J155" s="201"/>
      <c r="K155" s="201"/>
      <c r="L155" s="201"/>
      <c r="M155" s="201"/>
      <c r="N155" s="201"/>
      <c r="O155" s="201"/>
      <c r="P155" s="18"/>
      <c r="Q155" s="18"/>
      <c r="R155" s="18"/>
      <c r="S155" s="18"/>
      <c r="T155" s="18"/>
      <c r="U155" s="18"/>
      <c r="V155" s="18"/>
      <c r="W155" s="18"/>
      <c r="X155" s="18"/>
      <c r="Y155" s="18"/>
      <c r="Z155" s="18"/>
      <c r="AA155" s="18"/>
      <c r="AB155" s="18"/>
      <c r="AC155" s="18"/>
      <c r="AD155" s="18"/>
      <c r="AE155" s="18"/>
      <c r="AF155" s="18"/>
      <c r="AG155" s="18"/>
    </row>
    <row r="156" spans="1:33" customFormat="1" ht="20.25" hidden="1" outlineLevel="1" x14ac:dyDescent="0.2">
      <c r="A156" s="66"/>
      <c r="B156" s="199"/>
      <c r="C156" s="920" t="str">
        <f>Scenario2&amp;" Average Rework Time per Record (Hours)"</f>
        <v>hSystems (Hybrid) Average Rework Time per Record (Hours)</v>
      </c>
      <c r="D156" s="310"/>
      <c r="E156" s="240"/>
      <c r="F156" s="240"/>
      <c r="G156" s="240"/>
      <c r="H156" s="240"/>
      <c r="I156" s="240"/>
      <c r="J156" s="240"/>
      <c r="K156" s="240"/>
      <c r="L156" s="240"/>
      <c r="M156" s="240"/>
      <c r="N156" s="240"/>
      <c r="O156" s="435"/>
      <c r="P156" s="18"/>
      <c r="Q156" s="18"/>
      <c r="R156" s="18"/>
      <c r="S156" s="18"/>
      <c r="T156" s="18"/>
      <c r="U156" s="18"/>
      <c r="V156" s="18"/>
      <c r="W156" s="18"/>
      <c r="X156" s="18"/>
      <c r="Y156" s="18"/>
      <c r="Z156" s="18"/>
      <c r="AA156" s="18"/>
      <c r="AB156" s="18"/>
      <c r="AC156" s="18"/>
      <c r="AD156" s="18"/>
      <c r="AE156" s="18"/>
      <c r="AF156" s="18"/>
      <c r="AG156" s="18"/>
    </row>
    <row r="157" spans="1:33" s="142" customFormat="1" ht="18" hidden="1" customHeight="1" outlineLevel="1" x14ac:dyDescent="0.2">
      <c r="A157" s="66"/>
      <c r="B157" s="138"/>
      <c r="C157" s="235"/>
      <c r="D157" s="537" t="s">
        <v>1278</v>
      </c>
      <c r="E157" s="552">
        <v>0.1</v>
      </c>
      <c r="F157" s="552">
        <v>0.1</v>
      </c>
      <c r="G157" s="552">
        <v>0.1</v>
      </c>
      <c r="H157" s="552">
        <v>0.1</v>
      </c>
      <c r="I157" s="552">
        <v>0.1</v>
      </c>
      <c r="J157" s="552">
        <v>0.1</v>
      </c>
      <c r="K157" s="552">
        <v>0.1</v>
      </c>
      <c r="L157" s="552">
        <v>0.1</v>
      </c>
      <c r="M157" s="552">
        <v>0.1</v>
      </c>
      <c r="N157" s="552">
        <v>0.1</v>
      </c>
      <c r="O157" s="535" t="s">
        <v>1279</v>
      </c>
    </row>
    <row r="158" spans="1:33" s="142" customFormat="1" ht="18" hidden="1" customHeight="1" outlineLevel="1" x14ac:dyDescent="0.2">
      <c r="A158" s="66"/>
      <c r="B158" s="138"/>
      <c r="C158" s="235"/>
      <c r="D158" s="537" t="s">
        <v>1280</v>
      </c>
      <c r="E158" s="552">
        <v>0.1</v>
      </c>
      <c r="F158" s="552">
        <v>0.1</v>
      </c>
      <c r="G158" s="552">
        <v>0.1</v>
      </c>
      <c r="H158" s="552">
        <v>0.1</v>
      </c>
      <c r="I158" s="552">
        <v>0.1</v>
      </c>
      <c r="J158" s="552">
        <v>0.1</v>
      </c>
      <c r="K158" s="552">
        <v>0.1</v>
      </c>
      <c r="L158" s="552">
        <v>0.1</v>
      </c>
      <c r="M158" s="552">
        <v>0.1</v>
      </c>
      <c r="N158" s="552">
        <v>0.1</v>
      </c>
      <c r="O158" s="535" t="s">
        <v>1281</v>
      </c>
    </row>
    <row r="159" spans="1:33" s="142" customFormat="1" ht="18" hidden="1" customHeight="1" outlineLevel="1" x14ac:dyDescent="0.2">
      <c r="A159" s="66"/>
      <c r="B159" s="138"/>
      <c r="C159" s="235"/>
      <c r="D159" s="537" t="s">
        <v>1282</v>
      </c>
      <c r="E159" s="552">
        <v>0.1</v>
      </c>
      <c r="F159" s="552">
        <v>0.1</v>
      </c>
      <c r="G159" s="552">
        <v>0.1</v>
      </c>
      <c r="H159" s="552">
        <v>0.1</v>
      </c>
      <c r="I159" s="552">
        <v>0.1</v>
      </c>
      <c r="J159" s="552">
        <v>0.1</v>
      </c>
      <c r="K159" s="552">
        <v>0.1</v>
      </c>
      <c r="L159" s="552">
        <v>0.1</v>
      </c>
      <c r="M159" s="552">
        <v>0.1</v>
      </c>
      <c r="N159" s="552">
        <v>0.1</v>
      </c>
      <c r="O159" s="535" t="s">
        <v>1283</v>
      </c>
    </row>
    <row r="160" spans="1:33" s="142" customFormat="1" ht="18" hidden="1" customHeight="1" outlineLevel="1" x14ac:dyDescent="0.2">
      <c r="A160" s="66"/>
      <c r="B160" s="138"/>
      <c r="C160" s="235"/>
      <c r="D160" s="537" t="s">
        <v>1284</v>
      </c>
      <c r="E160" s="552">
        <v>0.1</v>
      </c>
      <c r="F160" s="552">
        <v>0.1</v>
      </c>
      <c r="G160" s="552">
        <v>0.1</v>
      </c>
      <c r="H160" s="552">
        <v>0.1</v>
      </c>
      <c r="I160" s="552">
        <v>0.1</v>
      </c>
      <c r="J160" s="552">
        <v>0.1</v>
      </c>
      <c r="K160" s="552">
        <v>0.1</v>
      </c>
      <c r="L160" s="552">
        <v>0.1</v>
      </c>
      <c r="M160" s="552">
        <v>0.1</v>
      </c>
      <c r="N160" s="552">
        <v>0.1</v>
      </c>
      <c r="O160" s="535" t="s">
        <v>1285</v>
      </c>
    </row>
    <row r="161" spans="1:37" s="142" customFormat="1" ht="18" hidden="1" customHeight="1" outlineLevel="1" x14ac:dyDescent="0.2">
      <c r="A161" s="66"/>
      <c r="B161" s="138"/>
      <c r="C161" s="235"/>
      <c r="D161" s="537" t="s">
        <v>1286</v>
      </c>
      <c r="E161" s="552">
        <v>0.1</v>
      </c>
      <c r="F161" s="552">
        <v>0.1</v>
      </c>
      <c r="G161" s="552">
        <v>0.1</v>
      </c>
      <c r="H161" s="552">
        <v>0.1</v>
      </c>
      <c r="I161" s="552">
        <v>0.1</v>
      </c>
      <c r="J161" s="552">
        <v>0.1</v>
      </c>
      <c r="K161" s="552">
        <v>0.1</v>
      </c>
      <c r="L161" s="552">
        <v>0.1</v>
      </c>
      <c r="M161" s="552">
        <v>0.1</v>
      </c>
      <c r="N161" s="552">
        <v>0.1</v>
      </c>
      <c r="O161" s="535" t="s">
        <v>1287</v>
      </c>
    </row>
    <row r="162" spans="1:37" s="142" customFormat="1" ht="18" hidden="1" customHeight="1" outlineLevel="1" x14ac:dyDescent="0.2">
      <c r="A162" s="66"/>
      <c r="B162" s="138"/>
      <c r="C162" s="235"/>
      <c r="D162" s="537" t="s">
        <v>1288</v>
      </c>
      <c r="E162" s="552">
        <v>0.1</v>
      </c>
      <c r="F162" s="552">
        <v>0.1</v>
      </c>
      <c r="G162" s="552">
        <v>0.1</v>
      </c>
      <c r="H162" s="552">
        <v>0.1</v>
      </c>
      <c r="I162" s="552">
        <v>0.1</v>
      </c>
      <c r="J162" s="552">
        <v>0.1</v>
      </c>
      <c r="K162" s="552">
        <v>0.1</v>
      </c>
      <c r="L162" s="552">
        <v>0.1</v>
      </c>
      <c r="M162" s="552">
        <v>0.1</v>
      </c>
      <c r="N162" s="552">
        <v>0.1</v>
      </c>
      <c r="O162" s="535" t="s">
        <v>1289</v>
      </c>
    </row>
    <row r="163" spans="1:37" s="142" customFormat="1" ht="18" hidden="1" customHeight="1" outlineLevel="1" x14ac:dyDescent="0.2">
      <c r="A163" s="66"/>
      <c r="B163" s="138"/>
      <c r="C163" s="235"/>
      <c r="D163" s="537" t="s">
        <v>1290</v>
      </c>
      <c r="E163" s="552">
        <v>0.1</v>
      </c>
      <c r="F163" s="552">
        <v>0.1</v>
      </c>
      <c r="G163" s="552">
        <v>0.1</v>
      </c>
      <c r="H163" s="552">
        <v>0.1</v>
      </c>
      <c r="I163" s="552">
        <v>0.1</v>
      </c>
      <c r="J163" s="552">
        <v>0.1</v>
      </c>
      <c r="K163" s="552">
        <v>0.1</v>
      </c>
      <c r="L163" s="552">
        <v>0.1</v>
      </c>
      <c r="M163" s="552">
        <v>0.1</v>
      </c>
      <c r="N163" s="552">
        <v>0.1</v>
      </c>
      <c r="O163" s="535" t="s">
        <v>1291</v>
      </c>
    </row>
    <row r="164" spans="1:37" s="142" customFormat="1" ht="18" hidden="1" customHeight="1" outlineLevel="1" x14ac:dyDescent="0.2">
      <c r="A164" s="66"/>
      <c r="B164" s="138"/>
      <c r="C164" s="235"/>
      <c r="D164" s="537" t="s">
        <v>1292</v>
      </c>
      <c r="E164" s="552">
        <v>0.1</v>
      </c>
      <c r="F164" s="552">
        <v>0.1</v>
      </c>
      <c r="G164" s="552">
        <v>0.1</v>
      </c>
      <c r="H164" s="552">
        <v>0.1</v>
      </c>
      <c r="I164" s="552">
        <v>0.1</v>
      </c>
      <c r="J164" s="552">
        <v>0.1</v>
      </c>
      <c r="K164" s="552">
        <v>0.1</v>
      </c>
      <c r="L164" s="552">
        <v>0.1</v>
      </c>
      <c r="M164" s="552">
        <v>0.1</v>
      </c>
      <c r="N164" s="552">
        <v>0.1</v>
      </c>
      <c r="O164" s="535" t="s">
        <v>1293</v>
      </c>
    </row>
    <row r="165" spans="1:37" s="142" customFormat="1" ht="18" hidden="1" customHeight="1" outlineLevel="1" x14ac:dyDescent="0.2">
      <c r="A165" s="66"/>
      <c r="B165" s="138"/>
      <c r="C165" s="235"/>
      <c r="D165" s="537" t="s">
        <v>1294</v>
      </c>
      <c r="E165" s="552">
        <v>0.1</v>
      </c>
      <c r="F165" s="552">
        <v>0.1</v>
      </c>
      <c r="G165" s="552">
        <v>0.1</v>
      </c>
      <c r="H165" s="552">
        <v>0.1</v>
      </c>
      <c r="I165" s="552">
        <v>0.1</v>
      </c>
      <c r="J165" s="552">
        <v>0.1</v>
      </c>
      <c r="K165" s="552">
        <v>0.1</v>
      </c>
      <c r="L165" s="552">
        <v>0.1</v>
      </c>
      <c r="M165" s="552">
        <v>0.1</v>
      </c>
      <c r="N165" s="552">
        <v>0.1</v>
      </c>
      <c r="O165" s="535" t="s">
        <v>1295</v>
      </c>
    </row>
    <row r="166" spans="1:37" s="142" customFormat="1" ht="18" hidden="1" customHeight="1" outlineLevel="1" x14ac:dyDescent="0.2">
      <c r="A166" s="66"/>
      <c r="B166" s="138"/>
      <c r="C166" s="235"/>
      <c r="D166" s="537" t="s">
        <v>1296</v>
      </c>
      <c r="E166" s="552">
        <v>0.1</v>
      </c>
      <c r="F166" s="552">
        <v>0.1</v>
      </c>
      <c r="G166" s="552">
        <v>0.1</v>
      </c>
      <c r="H166" s="552">
        <v>0.1</v>
      </c>
      <c r="I166" s="552">
        <v>0.1</v>
      </c>
      <c r="J166" s="552">
        <v>0.1</v>
      </c>
      <c r="K166" s="552">
        <v>0.1</v>
      </c>
      <c r="L166" s="552">
        <v>0.1</v>
      </c>
      <c r="M166" s="552">
        <v>0.1</v>
      </c>
      <c r="N166" s="552">
        <v>0.1</v>
      </c>
      <c r="O166" s="535" t="s">
        <v>1297</v>
      </c>
    </row>
    <row r="167" spans="1:37" s="142" customFormat="1" ht="18" hidden="1" customHeight="1" outlineLevel="1" x14ac:dyDescent="0.2">
      <c r="A167" s="66"/>
      <c r="B167" s="138"/>
      <c r="C167" s="235"/>
      <c r="D167" s="537" t="s">
        <v>1298</v>
      </c>
      <c r="E167" s="552">
        <v>0.1</v>
      </c>
      <c r="F167" s="552">
        <v>0.1</v>
      </c>
      <c r="G167" s="552">
        <v>0.1</v>
      </c>
      <c r="H167" s="552">
        <v>0.1</v>
      </c>
      <c r="I167" s="552">
        <v>0.1</v>
      </c>
      <c r="J167" s="552">
        <v>0.1</v>
      </c>
      <c r="K167" s="552">
        <v>0.1</v>
      </c>
      <c r="L167" s="552">
        <v>0.1</v>
      </c>
      <c r="M167" s="552">
        <v>0.1</v>
      </c>
      <c r="N167" s="552">
        <v>0.1</v>
      </c>
      <c r="O167" s="535" t="s">
        <v>1299</v>
      </c>
    </row>
    <row r="168" spans="1:37" s="142" customFormat="1" ht="18" hidden="1" customHeight="1" outlineLevel="1" x14ac:dyDescent="0.2">
      <c r="A168" s="66"/>
      <c r="B168" s="138"/>
      <c r="C168" s="235"/>
      <c r="D168" s="537" t="s">
        <v>1300</v>
      </c>
      <c r="E168" s="552">
        <v>0.1</v>
      </c>
      <c r="F168" s="552">
        <v>0.1</v>
      </c>
      <c r="G168" s="552">
        <v>0.1</v>
      </c>
      <c r="H168" s="552">
        <v>0.1</v>
      </c>
      <c r="I168" s="552">
        <v>0.1</v>
      </c>
      <c r="J168" s="552">
        <v>0.1</v>
      </c>
      <c r="K168" s="552">
        <v>0.1</v>
      </c>
      <c r="L168" s="552">
        <v>0.1</v>
      </c>
      <c r="M168" s="552">
        <v>0.1</v>
      </c>
      <c r="N168" s="552">
        <v>0.1</v>
      </c>
      <c r="O168" s="535" t="s">
        <v>1301</v>
      </c>
    </row>
    <row r="169" spans="1:37" s="8" customFormat="1" ht="15.75" hidden="1" customHeight="1" outlineLevel="1" thickBot="1" x14ac:dyDescent="0.25">
      <c r="A169" s="66"/>
      <c r="B169" s="199"/>
      <c r="C169" s="314"/>
      <c r="D169" s="436"/>
      <c r="E169" s="547"/>
      <c r="F169" s="547"/>
      <c r="G169" s="547"/>
      <c r="H169" s="547"/>
      <c r="I169" s="547"/>
      <c r="J169" s="547"/>
      <c r="K169" s="547"/>
      <c r="L169" s="547"/>
      <c r="M169" s="547"/>
      <c r="N169" s="547"/>
      <c r="O169" s="548"/>
      <c r="P169" s="17"/>
      <c r="Q169" s="17"/>
      <c r="R169" s="17"/>
      <c r="S169" s="17"/>
      <c r="T169" s="17"/>
      <c r="U169" s="17"/>
      <c r="V169" s="17"/>
      <c r="W169" s="17"/>
      <c r="X169" s="17"/>
      <c r="Y169" s="17"/>
      <c r="Z169" s="17"/>
      <c r="AA169" s="17"/>
      <c r="AB169" s="17"/>
      <c r="AC169" s="17"/>
      <c r="AD169" s="17"/>
      <c r="AE169" s="17"/>
      <c r="AF169" s="17"/>
      <c r="AG169" s="17"/>
    </row>
    <row r="170" spans="1:37" s="8" customFormat="1" ht="15.75" hidden="1" customHeight="1" outlineLevel="1" thickBot="1" x14ac:dyDescent="0.25">
      <c r="A170" s="66"/>
      <c r="B170" s="199"/>
      <c r="C170" s="199"/>
      <c r="D170" s="101"/>
      <c r="E170" s="200"/>
      <c r="F170" s="200"/>
      <c r="G170" s="200"/>
      <c r="H170" s="200"/>
      <c r="I170" s="200"/>
      <c r="J170" s="200"/>
      <c r="K170" s="200"/>
      <c r="L170" s="200"/>
      <c r="M170" s="200"/>
      <c r="N170" s="200"/>
      <c r="O170" s="200"/>
      <c r="P170" s="17"/>
      <c r="Q170" s="17"/>
      <c r="R170" s="17"/>
      <c r="S170" s="17"/>
      <c r="T170" s="17"/>
      <c r="U170" s="17"/>
      <c r="V170" s="17"/>
      <c r="W170" s="17"/>
      <c r="X170" s="17"/>
      <c r="Y170" s="17"/>
      <c r="Z170" s="17"/>
      <c r="AA170" s="17"/>
      <c r="AB170" s="17"/>
      <c r="AC170" s="17"/>
      <c r="AD170" s="17"/>
      <c r="AE170" s="17"/>
      <c r="AF170" s="17"/>
      <c r="AG170" s="17"/>
    </row>
    <row r="171" spans="1:37" s="8" customFormat="1" ht="20.25" hidden="1" outlineLevel="1" x14ac:dyDescent="0.2">
      <c r="A171" s="66"/>
      <c r="B171" s="199"/>
      <c r="C171" s="920" t="str">
        <f>Scenario2&amp;" Average Rework Hours pa"</f>
        <v>hSystems (Hybrid) Average Rework Hours pa</v>
      </c>
      <c r="D171" s="310"/>
      <c r="E171" s="315"/>
      <c r="F171" s="315"/>
      <c r="G171" s="315"/>
      <c r="H171" s="315"/>
      <c r="I171" s="315"/>
      <c r="J171" s="315"/>
      <c r="K171" s="315"/>
      <c r="L171" s="315"/>
      <c r="M171" s="315"/>
      <c r="N171" s="315"/>
      <c r="O171" s="550"/>
      <c r="P171" s="23"/>
      <c r="Q171" s="23"/>
      <c r="R171" s="23"/>
      <c r="S171" s="23"/>
      <c r="T171" s="23"/>
      <c r="U171" s="23"/>
      <c r="V171" s="23"/>
      <c r="W171" s="23"/>
      <c r="X171" s="23"/>
      <c r="Y171" s="23"/>
      <c r="Z171" s="23"/>
      <c r="AA171" s="23"/>
      <c r="AB171" s="23"/>
      <c r="AC171" s="23"/>
      <c r="AD171" s="23"/>
      <c r="AE171" s="23"/>
      <c r="AF171" s="23"/>
      <c r="AG171" s="23"/>
      <c r="AH171" s="488"/>
      <c r="AI171" s="488"/>
      <c r="AJ171" s="488"/>
      <c r="AK171" s="488"/>
    </row>
    <row r="172" spans="1:37" s="8" customFormat="1" ht="14.1" hidden="1" customHeight="1" outlineLevel="1" x14ac:dyDescent="0.2">
      <c r="A172" s="66"/>
      <c r="B172" s="102"/>
      <c r="C172" s="284"/>
      <c r="D172" s="312"/>
      <c r="E172" s="201"/>
      <c r="F172" s="201"/>
      <c r="G172" s="201"/>
      <c r="H172" s="201"/>
      <c r="I172" s="201"/>
      <c r="J172" s="201"/>
      <c r="K172" s="201"/>
      <c r="L172" s="201"/>
      <c r="M172" s="201"/>
      <c r="N172" s="201"/>
      <c r="O172" s="549"/>
      <c r="P172" s="17"/>
      <c r="Q172" s="17"/>
      <c r="R172" s="17"/>
      <c r="S172" s="17"/>
      <c r="T172" s="17"/>
      <c r="U172" s="17"/>
      <c r="V172" s="17"/>
      <c r="W172" s="17"/>
      <c r="X172" s="17"/>
      <c r="Y172" s="17"/>
      <c r="Z172" s="17"/>
      <c r="AA172" s="17"/>
      <c r="AB172" s="17"/>
      <c r="AC172" s="17"/>
      <c r="AD172" s="17"/>
      <c r="AE172" s="17"/>
      <c r="AF172" s="17"/>
      <c r="AG172" s="17"/>
    </row>
    <row r="173" spans="1:37" s="142" customFormat="1" ht="18" hidden="1" customHeight="1" outlineLevel="1" x14ac:dyDescent="0.2">
      <c r="A173" s="66"/>
      <c r="B173" s="138"/>
      <c r="C173" s="235"/>
      <c r="D173" s="537" t="s">
        <v>1302</v>
      </c>
      <c r="E173" s="506">
        <f t="shared" ref="E173:N173" si="66">hSystemsPaperRequiredReworksHM*hSystemsReworkHoursHM</f>
        <v>313.95000000000005</v>
      </c>
      <c r="F173" s="506">
        <f t="shared" si="66"/>
        <v>144.21038961038963</v>
      </c>
      <c r="G173" s="506">
        <f t="shared" si="66"/>
        <v>121.09312500000001</v>
      </c>
      <c r="H173" s="506">
        <f t="shared" si="66"/>
        <v>124.53362637362642</v>
      </c>
      <c r="I173" s="506">
        <f t="shared" si="66"/>
        <v>129.25714285714287</v>
      </c>
      <c r="J173" s="506">
        <f t="shared" si="66"/>
        <v>134.04952380952383</v>
      </c>
      <c r="K173" s="506">
        <f t="shared" si="66"/>
        <v>138.89785714285716</v>
      </c>
      <c r="L173" s="506">
        <f t="shared" si="66"/>
        <v>143.79226890756306</v>
      </c>
      <c r="M173" s="506">
        <f t="shared" si="66"/>
        <v>148.72507936507938</v>
      </c>
      <c r="N173" s="506">
        <f t="shared" si="66"/>
        <v>153.69022556390979</v>
      </c>
      <c r="O173" s="535" t="s">
        <v>1303</v>
      </c>
    </row>
    <row r="174" spans="1:37" s="142" customFormat="1" ht="18" hidden="1" customHeight="1" outlineLevel="1" x14ac:dyDescent="0.2">
      <c r="A174" s="66"/>
      <c r="B174" s="138"/>
      <c r="C174" s="235"/>
      <c r="D174" s="537" t="s">
        <v>1304</v>
      </c>
      <c r="E174" s="506">
        <f t="shared" ref="E174:N174" si="67">hSystemsPaperRequiredReworksLM*hSystemsReworkHoursLM</f>
        <v>1560.1559999999999</v>
      </c>
      <c r="F174" s="506">
        <f t="shared" si="67"/>
        <v>780.15600000000006</v>
      </c>
      <c r="G174" s="506">
        <f t="shared" si="67"/>
        <v>702.2106</v>
      </c>
      <c r="H174" s="506">
        <f t="shared" si="67"/>
        <v>624.2496000000001</v>
      </c>
      <c r="I174" s="506">
        <f t="shared" si="67"/>
        <v>624.31200000000001</v>
      </c>
      <c r="J174" s="506">
        <f t="shared" si="67"/>
        <v>624.37440000000015</v>
      </c>
      <c r="K174" s="506">
        <f t="shared" si="67"/>
        <v>624.43680000000006</v>
      </c>
      <c r="L174" s="506">
        <f t="shared" si="67"/>
        <v>624.4992000000002</v>
      </c>
      <c r="M174" s="506">
        <f t="shared" si="67"/>
        <v>624.5616</v>
      </c>
      <c r="N174" s="506">
        <f t="shared" si="67"/>
        <v>624.62400000000002</v>
      </c>
      <c r="O174" s="535" t="s">
        <v>1305</v>
      </c>
    </row>
    <row r="175" spans="1:37" s="142" customFormat="1" ht="18" hidden="1" customHeight="1" outlineLevel="1" x14ac:dyDescent="0.2">
      <c r="A175" s="66"/>
      <c r="B175" s="138"/>
      <c r="C175" s="235"/>
      <c r="D175" s="551" t="s">
        <v>1306</v>
      </c>
      <c r="E175" s="506">
        <f t="shared" ref="E175:N175" si="68">hSystemsPaperRequiredReworksENG*hSystemsReworkHoursENG</f>
        <v>1881.171</v>
      </c>
      <c r="F175" s="506">
        <f t="shared" si="68"/>
        <v>940.67100000000016</v>
      </c>
      <c r="G175" s="506">
        <f t="shared" si="68"/>
        <v>846.68084999999996</v>
      </c>
      <c r="H175" s="506">
        <f t="shared" si="68"/>
        <v>752.67360000000008</v>
      </c>
      <c r="I175" s="506">
        <f t="shared" si="68"/>
        <v>752.74200000000008</v>
      </c>
      <c r="J175" s="506">
        <f t="shared" si="68"/>
        <v>752.81040000000007</v>
      </c>
      <c r="K175" s="506">
        <f t="shared" si="68"/>
        <v>752.87880000000007</v>
      </c>
      <c r="L175" s="506">
        <f t="shared" si="68"/>
        <v>752.94720000000007</v>
      </c>
      <c r="M175" s="506">
        <f t="shared" si="68"/>
        <v>753.01560000000018</v>
      </c>
      <c r="N175" s="506">
        <f t="shared" si="68"/>
        <v>753.08400000000006</v>
      </c>
      <c r="O175" s="535" t="s">
        <v>1307</v>
      </c>
    </row>
    <row r="176" spans="1:37" s="142" customFormat="1" ht="18" hidden="1" customHeight="1" outlineLevel="1" x14ac:dyDescent="0.2">
      <c r="A176" s="66"/>
      <c r="B176" s="138"/>
      <c r="C176" s="235"/>
      <c r="D176" s="537" t="s">
        <v>1308</v>
      </c>
      <c r="E176" s="506">
        <f t="shared" ref="E176:N176" si="69">hSystemsPaperRequiredReworksPLG*hSystemsReworkHoursPLG</f>
        <v>1716.1560000000002</v>
      </c>
      <c r="F176" s="506">
        <f t="shared" si="69"/>
        <v>858.15599999999995</v>
      </c>
      <c r="G176" s="506">
        <f t="shared" si="69"/>
        <v>772.41060000000004</v>
      </c>
      <c r="H176" s="506">
        <f t="shared" si="69"/>
        <v>686.64960000000019</v>
      </c>
      <c r="I176" s="506">
        <f t="shared" si="69"/>
        <v>686.71199999999999</v>
      </c>
      <c r="J176" s="506">
        <f t="shared" si="69"/>
        <v>686.77440000000013</v>
      </c>
      <c r="K176" s="506">
        <f t="shared" si="69"/>
        <v>686.83680000000004</v>
      </c>
      <c r="L176" s="506">
        <f t="shared" si="69"/>
        <v>686.89920000000018</v>
      </c>
      <c r="M176" s="506">
        <f t="shared" si="69"/>
        <v>686.96160000000009</v>
      </c>
      <c r="N176" s="506">
        <f t="shared" si="69"/>
        <v>687.024</v>
      </c>
      <c r="O176" s="535" t="s">
        <v>1309</v>
      </c>
    </row>
    <row r="177" spans="1:33" s="142" customFormat="1" ht="18" hidden="1" customHeight="1" outlineLevel="1" x14ac:dyDescent="0.2">
      <c r="A177" s="66"/>
      <c r="B177" s="138"/>
      <c r="C177" s="235"/>
      <c r="D177" s="537" t="s">
        <v>1310</v>
      </c>
      <c r="E177" s="506">
        <f t="shared" ref="E177:N177" si="70">hSystemsPaperRequiredReworksCRT*hSystemsReworkHoursCRT</f>
        <v>1872.1560000000002</v>
      </c>
      <c r="F177" s="506">
        <f t="shared" si="70"/>
        <v>936.15599999999995</v>
      </c>
      <c r="G177" s="506">
        <f t="shared" si="70"/>
        <v>842.61059999999998</v>
      </c>
      <c r="H177" s="506">
        <f t="shared" si="70"/>
        <v>749.04960000000017</v>
      </c>
      <c r="I177" s="506">
        <f t="shared" si="70"/>
        <v>749.11200000000008</v>
      </c>
      <c r="J177" s="506">
        <f t="shared" si="70"/>
        <v>749.17440000000011</v>
      </c>
      <c r="K177" s="506">
        <f t="shared" si="70"/>
        <v>749.23680000000013</v>
      </c>
      <c r="L177" s="506">
        <f t="shared" si="70"/>
        <v>749.29920000000016</v>
      </c>
      <c r="M177" s="506">
        <f t="shared" si="70"/>
        <v>749.36160000000018</v>
      </c>
      <c r="N177" s="506">
        <f t="shared" si="70"/>
        <v>749.42399999999998</v>
      </c>
      <c r="O177" s="535" t="s">
        <v>1311</v>
      </c>
    </row>
    <row r="178" spans="1:33" s="142" customFormat="1" ht="18" hidden="1" customHeight="1" outlineLevel="1" x14ac:dyDescent="0.2">
      <c r="A178" s="66"/>
      <c r="B178" s="138"/>
      <c r="C178" s="235"/>
      <c r="D178" s="537" t="s">
        <v>1312</v>
      </c>
      <c r="E178" s="506">
        <f t="shared" ref="E178:N178" si="71">hSystemsPaperRequiredReworksSCL*hSystemsReworkHoursSCL</f>
        <v>2028.1560000000002</v>
      </c>
      <c r="F178" s="506">
        <f t="shared" si="71"/>
        <v>1014.1559999999999</v>
      </c>
      <c r="G178" s="506">
        <f t="shared" si="71"/>
        <v>912.81060000000002</v>
      </c>
      <c r="H178" s="506">
        <f t="shared" si="71"/>
        <v>811.44960000000015</v>
      </c>
      <c r="I178" s="506">
        <f t="shared" si="71"/>
        <v>811.51200000000006</v>
      </c>
      <c r="J178" s="506">
        <f t="shared" si="71"/>
        <v>811.57440000000008</v>
      </c>
      <c r="K178" s="506">
        <f t="shared" si="71"/>
        <v>811.63680000000011</v>
      </c>
      <c r="L178" s="506">
        <f t="shared" si="71"/>
        <v>811.69920000000013</v>
      </c>
      <c r="M178" s="506">
        <f t="shared" si="71"/>
        <v>811.76160000000016</v>
      </c>
      <c r="N178" s="506">
        <f t="shared" si="71"/>
        <v>811.82400000000007</v>
      </c>
      <c r="O178" s="535" t="s">
        <v>1313</v>
      </c>
    </row>
    <row r="179" spans="1:33" s="142" customFormat="1" ht="18" hidden="1" customHeight="1" outlineLevel="1" x14ac:dyDescent="0.2">
      <c r="A179" s="66"/>
      <c r="B179" s="138"/>
      <c r="C179" s="235"/>
      <c r="D179" s="537" t="s">
        <v>1314</v>
      </c>
      <c r="E179" s="506">
        <f t="shared" ref="E179:N179" si="72">hSystemsPaperRequiredReworksQSC*hSystemsReworkHoursQSC</f>
        <v>2184.1560000000004</v>
      </c>
      <c r="F179" s="506">
        <f t="shared" si="72"/>
        <v>1092.1559999999999</v>
      </c>
      <c r="G179" s="506">
        <f t="shared" si="72"/>
        <v>983.01060000000007</v>
      </c>
      <c r="H179" s="506">
        <f t="shared" si="72"/>
        <v>873.84960000000012</v>
      </c>
      <c r="I179" s="506">
        <f t="shared" si="72"/>
        <v>873.91200000000015</v>
      </c>
      <c r="J179" s="506">
        <f t="shared" si="72"/>
        <v>873.97440000000006</v>
      </c>
      <c r="K179" s="506">
        <f t="shared" si="72"/>
        <v>874.03680000000008</v>
      </c>
      <c r="L179" s="506">
        <f t="shared" si="72"/>
        <v>874.09920000000011</v>
      </c>
      <c r="M179" s="506">
        <f t="shared" si="72"/>
        <v>874.16160000000025</v>
      </c>
      <c r="N179" s="506">
        <f t="shared" si="72"/>
        <v>874.22400000000005</v>
      </c>
      <c r="O179" s="535" t="s">
        <v>1315</v>
      </c>
    </row>
    <row r="180" spans="1:33" s="142" customFormat="1" ht="18" hidden="1" customHeight="1" outlineLevel="1" x14ac:dyDescent="0.2">
      <c r="A180" s="66"/>
      <c r="B180" s="138"/>
      <c r="C180" s="235"/>
      <c r="D180" s="537" t="s">
        <v>1316</v>
      </c>
      <c r="E180" s="506">
        <f t="shared" ref="E180:N180" si="73">hSystemsPaperRequiredReworksEM*hSystemsReworkHoursEM</f>
        <v>2340.1560000000004</v>
      </c>
      <c r="F180" s="506">
        <f t="shared" si="73"/>
        <v>1170.1559999999999</v>
      </c>
      <c r="G180" s="506">
        <f t="shared" si="73"/>
        <v>1053.2106000000001</v>
      </c>
      <c r="H180" s="506">
        <f t="shared" si="73"/>
        <v>936.2496000000001</v>
      </c>
      <c r="I180" s="506">
        <f t="shared" si="73"/>
        <v>936.31200000000013</v>
      </c>
      <c r="J180" s="506">
        <f t="shared" si="73"/>
        <v>936.37440000000015</v>
      </c>
      <c r="K180" s="506">
        <f t="shared" si="73"/>
        <v>936.43680000000006</v>
      </c>
      <c r="L180" s="506">
        <f t="shared" si="73"/>
        <v>936.49920000000009</v>
      </c>
      <c r="M180" s="506">
        <f t="shared" si="73"/>
        <v>936.56160000000023</v>
      </c>
      <c r="N180" s="506">
        <f t="shared" si="73"/>
        <v>936.62400000000002</v>
      </c>
      <c r="O180" s="535" t="s">
        <v>1317</v>
      </c>
    </row>
    <row r="181" spans="1:33" s="142" customFormat="1" ht="18" hidden="1" customHeight="1" outlineLevel="1" x14ac:dyDescent="0.2">
      <c r="A181" s="66"/>
      <c r="B181" s="138"/>
      <c r="C181" s="235"/>
      <c r="D181" s="537" t="s">
        <v>1318</v>
      </c>
      <c r="E181" s="506">
        <f t="shared" ref="E181:N181" si="74">hSystemsPaperRequiredReworksCM*hSystemsReworkHoursCM</f>
        <v>2340.1560000000004</v>
      </c>
      <c r="F181" s="506">
        <f t="shared" si="74"/>
        <v>1170.1559999999999</v>
      </c>
      <c r="G181" s="506">
        <f t="shared" si="74"/>
        <v>1053.2106000000001</v>
      </c>
      <c r="H181" s="506">
        <f t="shared" si="74"/>
        <v>936.2496000000001</v>
      </c>
      <c r="I181" s="506">
        <f t="shared" si="74"/>
        <v>936.31200000000013</v>
      </c>
      <c r="J181" s="506">
        <f t="shared" si="74"/>
        <v>936.37440000000015</v>
      </c>
      <c r="K181" s="506">
        <f t="shared" si="74"/>
        <v>936.43680000000006</v>
      </c>
      <c r="L181" s="506">
        <f t="shared" si="74"/>
        <v>936.49920000000009</v>
      </c>
      <c r="M181" s="506">
        <f t="shared" si="74"/>
        <v>936.56160000000023</v>
      </c>
      <c r="N181" s="506">
        <f t="shared" si="74"/>
        <v>936.62400000000002</v>
      </c>
      <c r="O181" s="535" t="s">
        <v>1319</v>
      </c>
    </row>
    <row r="182" spans="1:33" s="142" customFormat="1" ht="18" hidden="1" customHeight="1" outlineLevel="1" x14ac:dyDescent="0.2">
      <c r="A182" s="66"/>
      <c r="B182" s="138"/>
      <c r="C182" s="235"/>
      <c r="D182" s="537" t="s">
        <v>1320</v>
      </c>
      <c r="E182" s="506">
        <f t="shared" ref="E182:N182" si="75">hSystemsPaperRequiredReworksSMCS*hSystemsReworkHoursSMCS</f>
        <v>2340.1560000000004</v>
      </c>
      <c r="F182" s="506">
        <f t="shared" si="75"/>
        <v>1170.1559999999999</v>
      </c>
      <c r="G182" s="506">
        <f t="shared" si="75"/>
        <v>1053.2106000000001</v>
      </c>
      <c r="H182" s="506">
        <f t="shared" si="75"/>
        <v>936.2496000000001</v>
      </c>
      <c r="I182" s="506">
        <f t="shared" si="75"/>
        <v>936.31200000000013</v>
      </c>
      <c r="J182" s="506">
        <f t="shared" si="75"/>
        <v>936.37440000000015</v>
      </c>
      <c r="K182" s="506">
        <f t="shared" si="75"/>
        <v>936.43680000000006</v>
      </c>
      <c r="L182" s="506">
        <f t="shared" si="75"/>
        <v>936.49920000000009</v>
      </c>
      <c r="M182" s="506">
        <f t="shared" si="75"/>
        <v>936.56160000000023</v>
      </c>
      <c r="N182" s="506">
        <f t="shared" si="75"/>
        <v>936.62400000000002</v>
      </c>
      <c r="O182" s="535" t="s">
        <v>1321</v>
      </c>
    </row>
    <row r="183" spans="1:33" s="142" customFormat="1" ht="18" hidden="1" customHeight="1" outlineLevel="1" x14ac:dyDescent="0.2">
      <c r="A183" s="66"/>
      <c r="B183" s="138"/>
      <c r="C183" s="235"/>
      <c r="D183" s="537" t="s">
        <v>1322</v>
      </c>
      <c r="E183" s="506">
        <f t="shared" ref="E183:N183" si="76">hSystemsPaperRequiredReworksO1*hSystemsReworkHoursO1</f>
        <v>0</v>
      </c>
      <c r="F183" s="506">
        <f t="shared" si="76"/>
        <v>0</v>
      </c>
      <c r="G183" s="506">
        <f t="shared" si="76"/>
        <v>0</v>
      </c>
      <c r="H183" s="506">
        <f t="shared" si="76"/>
        <v>0</v>
      </c>
      <c r="I183" s="506">
        <f t="shared" si="76"/>
        <v>0</v>
      </c>
      <c r="J183" s="506">
        <f t="shared" si="76"/>
        <v>0</v>
      </c>
      <c r="K183" s="506">
        <f t="shared" si="76"/>
        <v>0</v>
      </c>
      <c r="L183" s="506">
        <f t="shared" si="76"/>
        <v>0</v>
      </c>
      <c r="M183" s="506">
        <f t="shared" si="76"/>
        <v>0</v>
      </c>
      <c r="N183" s="506">
        <f t="shared" si="76"/>
        <v>0</v>
      </c>
      <c r="O183" s="535" t="s">
        <v>1323</v>
      </c>
    </row>
    <row r="184" spans="1:33" s="142" customFormat="1" ht="18" hidden="1" customHeight="1" outlineLevel="1" x14ac:dyDescent="0.2">
      <c r="A184" s="66"/>
      <c r="B184" s="138"/>
      <c r="C184" s="235"/>
      <c r="D184" s="537" t="s">
        <v>1324</v>
      </c>
      <c r="E184" s="506">
        <f t="shared" ref="E184:N184" si="77">hSystemsPaperRequiredReworksO2*hSystemsReworkHoursO2</f>
        <v>0</v>
      </c>
      <c r="F184" s="506">
        <f t="shared" si="77"/>
        <v>0</v>
      </c>
      <c r="G184" s="506">
        <f t="shared" si="77"/>
        <v>0</v>
      </c>
      <c r="H184" s="506">
        <f t="shared" si="77"/>
        <v>0</v>
      </c>
      <c r="I184" s="506">
        <f t="shared" si="77"/>
        <v>0</v>
      </c>
      <c r="J184" s="506">
        <f t="shared" si="77"/>
        <v>0</v>
      </c>
      <c r="K184" s="506">
        <f t="shared" si="77"/>
        <v>0</v>
      </c>
      <c r="L184" s="506">
        <f t="shared" si="77"/>
        <v>0</v>
      </c>
      <c r="M184" s="506">
        <f t="shared" si="77"/>
        <v>0</v>
      </c>
      <c r="N184" s="506">
        <f t="shared" si="77"/>
        <v>0</v>
      </c>
      <c r="O184" s="535" t="s">
        <v>1325</v>
      </c>
    </row>
    <row r="185" spans="1:33" customFormat="1" ht="14.1" hidden="1" customHeight="1" outlineLevel="1" thickBot="1" x14ac:dyDescent="0.25">
      <c r="A185" s="66"/>
      <c r="B185" s="66"/>
      <c r="C185" s="298"/>
      <c r="D185" s="543"/>
      <c r="E185" s="544"/>
      <c r="F185" s="544"/>
      <c r="G185" s="544"/>
      <c r="H185" s="544"/>
      <c r="I185" s="544"/>
      <c r="J185" s="544"/>
      <c r="K185" s="544"/>
      <c r="L185" s="544"/>
      <c r="M185" s="544"/>
      <c r="N185" s="544"/>
      <c r="O185" s="545"/>
      <c r="P185" s="18"/>
      <c r="Q185" s="18"/>
      <c r="R185" s="18"/>
      <c r="S185" s="18"/>
      <c r="T185" s="18"/>
      <c r="U185" s="18"/>
      <c r="V185" s="18"/>
      <c r="W185" s="18"/>
      <c r="X185" s="18"/>
      <c r="Y185" s="18"/>
      <c r="Z185" s="18"/>
      <c r="AA185" s="18"/>
      <c r="AB185" s="18"/>
      <c r="AC185" s="18"/>
      <c r="AD185" s="18"/>
      <c r="AE185" s="18"/>
      <c r="AF185" s="18"/>
      <c r="AG185" s="18"/>
    </row>
    <row r="186" spans="1:33" customFormat="1" ht="14.1" hidden="1" customHeight="1" outlineLevel="1" thickBot="1" x14ac:dyDescent="0.25">
      <c r="A186" s="66"/>
      <c r="B186" s="66"/>
      <c r="C186" s="13"/>
      <c r="D186" s="313"/>
      <c r="E186" s="201"/>
      <c r="F186" s="201"/>
      <c r="G186" s="201"/>
      <c r="H186" s="201"/>
      <c r="I186" s="201"/>
      <c r="J186" s="201"/>
      <c r="K186" s="201"/>
      <c r="L186" s="201"/>
      <c r="M186" s="201"/>
      <c r="N186" s="201"/>
      <c r="O186" s="201"/>
      <c r="P186" s="18"/>
      <c r="Q186" s="18"/>
      <c r="R186" s="18"/>
      <c r="S186" s="18"/>
      <c r="T186" s="18"/>
      <c r="U186" s="18"/>
      <c r="V186" s="18"/>
      <c r="W186" s="18"/>
      <c r="X186" s="18"/>
      <c r="Y186" s="18"/>
      <c r="Z186" s="18"/>
      <c r="AA186" s="18"/>
      <c r="AB186" s="18"/>
      <c r="AC186" s="18"/>
      <c r="AD186" s="18"/>
      <c r="AE186" s="18"/>
      <c r="AF186" s="18"/>
      <c r="AG186" s="18"/>
    </row>
    <row r="187" spans="1:33" customFormat="1" ht="20.25" hidden="1" outlineLevel="1" x14ac:dyDescent="0.2">
      <c r="A187" s="66"/>
      <c r="B187" s="199"/>
      <c r="C187" s="933" t="str">
        <f>Scenario3&amp;" Average Rework Time per Record (Hours)"</f>
        <v>eSystems (Paperless) Average Rework Time per Record (Hours)</v>
      </c>
      <c r="D187" s="310"/>
      <c r="E187" s="240"/>
      <c r="F187" s="240"/>
      <c r="G187" s="240"/>
      <c r="H187" s="240"/>
      <c r="I187" s="240"/>
      <c r="J187" s="240"/>
      <c r="K187" s="240"/>
      <c r="L187" s="240"/>
      <c r="M187" s="240"/>
      <c r="N187" s="240"/>
      <c r="O187" s="435"/>
      <c r="P187" s="18"/>
      <c r="Q187" s="18"/>
      <c r="R187" s="18"/>
      <c r="S187" s="18"/>
      <c r="T187" s="18"/>
      <c r="U187" s="18"/>
      <c r="V187" s="18"/>
      <c r="W187" s="18"/>
      <c r="X187" s="18"/>
      <c r="Y187" s="18"/>
      <c r="Z187" s="18"/>
      <c r="AA187" s="18"/>
      <c r="AB187" s="18"/>
      <c r="AC187" s="18"/>
      <c r="AD187" s="18"/>
      <c r="AE187" s="18"/>
      <c r="AF187" s="18"/>
      <c r="AG187" s="18"/>
    </row>
    <row r="188" spans="1:33" s="142" customFormat="1" ht="18" hidden="1" customHeight="1" outlineLevel="1" x14ac:dyDescent="0.2">
      <c r="A188" s="66"/>
      <c r="B188" s="138"/>
      <c r="C188" s="235"/>
      <c r="D188" s="537" t="s">
        <v>1326</v>
      </c>
      <c r="E188" s="546">
        <v>0.05</v>
      </c>
      <c r="F188" s="546">
        <v>0.05</v>
      </c>
      <c r="G188" s="546">
        <v>0.05</v>
      </c>
      <c r="H188" s="546">
        <v>0.05</v>
      </c>
      <c r="I188" s="546">
        <v>0.05</v>
      </c>
      <c r="J188" s="546">
        <v>0.05</v>
      </c>
      <c r="K188" s="546">
        <v>0.05</v>
      </c>
      <c r="L188" s="546">
        <v>0.05</v>
      </c>
      <c r="M188" s="546">
        <v>0.05</v>
      </c>
      <c r="N188" s="546">
        <v>0.05</v>
      </c>
      <c r="O188" s="535" t="s">
        <v>1327</v>
      </c>
    </row>
    <row r="189" spans="1:33" s="142" customFormat="1" ht="18" hidden="1" customHeight="1" outlineLevel="1" x14ac:dyDescent="0.2">
      <c r="A189" s="66"/>
      <c r="B189" s="138"/>
      <c r="C189" s="235"/>
      <c r="D189" s="537" t="s">
        <v>1328</v>
      </c>
      <c r="E189" s="546">
        <v>0.05</v>
      </c>
      <c r="F189" s="546">
        <v>0.05</v>
      </c>
      <c r="G189" s="546">
        <v>0.05</v>
      </c>
      <c r="H189" s="546">
        <v>0.05</v>
      </c>
      <c r="I189" s="546">
        <v>0.05</v>
      </c>
      <c r="J189" s="546">
        <v>0.05</v>
      </c>
      <c r="K189" s="546">
        <v>0.05</v>
      </c>
      <c r="L189" s="546">
        <v>0.05</v>
      </c>
      <c r="M189" s="546">
        <v>0.05</v>
      </c>
      <c r="N189" s="546">
        <v>0.05</v>
      </c>
      <c r="O189" s="535" t="s">
        <v>1329</v>
      </c>
    </row>
    <row r="190" spans="1:33" s="142" customFormat="1" ht="18" hidden="1" customHeight="1" outlineLevel="1" x14ac:dyDescent="0.2">
      <c r="A190" s="66"/>
      <c r="B190" s="138"/>
      <c r="C190" s="235"/>
      <c r="D190" s="537" t="s">
        <v>1330</v>
      </c>
      <c r="E190" s="546">
        <v>0.05</v>
      </c>
      <c r="F190" s="546">
        <v>0.05</v>
      </c>
      <c r="G190" s="546">
        <v>0.05</v>
      </c>
      <c r="H190" s="546">
        <v>0.05</v>
      </c>
      <c r="I190" s="546">
        <v>0.05</v>
      </c>
      <c r="J190" s="546">
        <v>0.05</v>
      </c>
      <c r="K190" s="546">
        <v>0.05</v>
      </c>
      <c r="L190" s="546">
        <v>0.05</v>
      </c>
      <c r="M190" s="546">
        <v>0.05</v>
      </c>
      <c r="N190" s="546">
        <v>0.05</v>
      </c>
      <c r="O190" s="535" t="s">
        <v>1331</v>
      </c>
    </row>
    <row r="191" spans="1:33" s="142" customFormat="1" ht="18" hidden="1" customHeight="1" outlineLevel="1" x14ac:dyDescent="0.2">
      <c r="A191" s="66"/>
      <c r="B191" s="138"/>
      <c r="C191" s="235"/>
      <c r="D191" s="537" t="s">
        <v>1332</v>
      </c>
      <c r="E191" s="546">
        <v>0.05</v>
      </c>
      <c r="F191" s="546">
        <v>0.05</v>
      </c>
      <c r="G191" s="546">
        <v>0.05</v>
      </c>
      <c r="H191" s="546">
        <v>0.05</v>
      </c>
      <c r="I191" s="546">
        <v>0.05</v>
      </c>
      <c r="J191" s="546">
        <v>0.05</v>
      </c>
      <c r="K191" s="546">
        <v>0.05</v>
      </c>
      <c r="L191" s="546">
        <v>0.05</v>
      </c>
      <c r="M191" s="546">
        <v>0.05</v>
      </c>
      <c r="N191" s="546">
        <v>0.05</v>
      </c>
      <c r="O191" s="535" t="s">
        <v>1333</v>
      </c>
    </row>
    <row r="192" spans="1:33" s="142" customFormat="1" ht="18" hidden="1" customHeight="1" outlineLevel="1" x14ac:dyDescent="0.2">
      <c r="A192" s="66"/>
      <c r="B192" s="138"/>
      <c r="C192" s="235"/>
      <c r="D192" s="537" t="s">
        <v>1334</v>
      </c>
      <c r="E192" s="546">
        <v>0.05</v>
      </c>
      <c r="F192" s="546">
        <v>0.05</v>
      </c>
      <c r="G192" s="546">
        <v>0.05</v>
      </c>
      <c r="H192" s="546">
        <v>0.05</v>
      </c>
      <c r="I192" s="546">
        <v>0.05</v>
      </c>
      <c r="J192" s="546">
        <v>0.05</v>
      </c>
      <c r="K192" s="546">
        <v>0.05</v>
      </c>
      <c r="L192" s="546">
        <v>0.05</v>
      </c>
      <c r="M192" s="546">
        <v>0.05</v>
      </c>
      <c r="N192" s="546">
        <v>0.05</v>
      </c>
      <c r="O192" s="535" t="s">
        <v>1335</v>
      </c>
    </row>
    <row r="193" spans="1:37" s="142" customFormat="1" ht="18" hidden="1" customHeight="1" outlineLevel="1" x14ac:dyDescent="0.2">
      <c r="A193" s="66"/>
      <c r="B193" s="138"/>
      <c r="C193" s="235"/>
      <c r="D193" s="537" t="s">
        <v>1336</v>
      </c>
      <c r="E193" s="546">
        <v>0.05</v>
      </c>
      <c r="F193" s="546">
        <v>0.05</v>
      </c>
      <c r="G193" s="546">
        <v>0.05</v>
      </c>
      <c r="H193" s="546">
        <v>0.05</v>
      </c>
      <c r="I193" s="546">
        <v>0.05</v>
      </c>
      <c r="J193" s="546">
        <v>0.05</v>
      </c>
      <c r="K193" s="546">
        <v>0.05</v>
      </c>
      <c r="L193" s="546">
        <v>0.05</v>
      </c>
      <c r="M193" s="546">
        <v>0.05</v>
      </c>
      <c r="N193" s="546">
        <v>0.05</v>
      </c>
      <c r="O193" s="535" t="s">
        <v>1337</v>
      </c>
    </row>
    <row r="194" spans="1:37" s="142" customFormat="1" ht="18" hidden="1" customHeight="1" outlineLevel="1" x14ac:dyDescent="0.2">
      <c r="A194" s="66"/>
      <c r="B194" s="138"/>
      <c r="C194" s="235"/>
      <c r="D194" s="537" t="s">
        <v>1338</v>
      </c>
      <c r="E194" s="546">
        <v>0.05</v>
      </c>
      <c r="F194" s="546">
        <v>0.05</v>
      </c>
      <c r="G194" s="546">
        <v>0.05</v>
      </c>
      <c r="H194" s="546">
        <v>0.05</v>
      </c>
      <c r="I194" s="546">
        <v>0.05</v>
      </c>
      <c r="J194" s="546">
        <v>0.05</v>
      </c>
      <c r="K194" s="546">
        <v>0.05</v>
      </c>
      <c r="L194" s="546">
        <v>0.05</v>
      </c>
      <c r="M194" s="546">
        <v>0.05</v>
      </c>
      <c r="N194" s="546">
        <v>0.05</v>
      </c>
      <c r="O194" s="535" t="s">
        <v>1339</v>
      </c>
    </row>
    <row r="195" spans="1:37" s="142" customFormat="1" ht="18" hidden="1" customHeight="1" outlineLevel="1" x14ac:dyDescent="0.2">
      <c r="A195" s="66"/>
      <c r="B195" s="138"/>
      <c r="C195" s="235"/>
      <c r="D195" s="537" t="s">
        <v>1340</v>
      </c>
      <c r="E195" s="546">
        <v>0.05</v>
      </c>
      <c r="F195" s="546">
        <v>0.05</v>
      </c>
      <c r="G195" s="546">
        <v>0.05</v>
      </c>
      <c r="H195" s="546">
        <v>0.05</v>
      </c>
      <c r="I195" s="546">
        <v>0.05</v>
      </c>
      <c r="J195" s="546">
        <v>0.05</v>
      </c>
      <c r="K195" s="546">
        <v>0.05</v>
      </c>
      <c r="L195" s="546">
        <v>0.05</v>
      </c>
      <c r="M195" s="546">
        <v>0.05</v>
      </c>
      <c r="N195" s="546">
        <v>0.05</v>
      </c>
      <c r="O195" s="535" t="s">
        <v>1341</v>
      </c>
    </row>
    <row r="196" spans="1:37" s="142" customFormat="1" ht="18" hidden="1" customHeight="1" outlineLevel="1" x14ac:dyDescent="0.2">
      <c r="A196" s="66"/>
      <c r="B196" s="138"/>
      <c r="C196" s="235"/>
      <c r="D196" s="537" t="s">
        <v>1342</v>
      </c>
      <c r="E196" s="546">
        <v>0.05</v>
      </c>
      <c r="F196" s="546">
        <v>0.05</v>
      </c>
      <c r="G196" s="546">
        <v>0.05</v>
      </c>
      <c r="H196" s="546">
        <v>0.05</v>
      </c>
      <c r="I196" s="546">
        <v>0.05</v>
      </c>
      <c r="J196" s="546">
        <v>0.05</v>
      </c>
      <c r="K196" s="546">
        <v>0.05</v>
      </c>
      <c r="L196" s="546">
        <v>0.05</v>
      </c>
      <c r="M196" s="546">
        <v>0.05</v>
      </c>
      <c r="N196" s="546">
        <v>0.05</v>
      </c>
      <c r="O196" s="535" t="s">
        <v>1343</v>
      </c>
    </row>
    <row r="197" spans="1:37" s="142" customFormat="1" ht="18" hidden="1" customHeight="1" outlineLevel="1" x14ac:dyDescent="0.2">
      <c r="A197" s="66"/>
      <c r="B197" s="138"/>
      <c r="C197" s="235"/>
      <c r="D197" s="537" t="s">
        <v>1344</v>
      </c>
      <c r="E197" s="546">
        <v>0.05</v>
      </c>
      <c r="F197" s="546">
        <v>0.05</v>
      </c>
      <c r="G197" s="546">
        <v>0.05</v>
      </c>
      <c r="H197" s="546">
        <v>0.05</v>
      </c>
      <c r="I197" s="546">
        <v>0.05</v>
      </c>
      <c r="J197" s="546">
        <v>0.05</v>
      </c>
      <c r="K197" s="546">
        <v>0.05</v>
      </c>
      <c r="L197" s="546">
        <v>0.05</v>
      </c>
      <c r="M197" s="546">
        <v>0.05</v>
      </c>
      <c r="N197" s="546">
        <v>0.05</v>
      </c>
      <c r="O197" s="535" t="s">
        <v>1345</v>
      </c>
    </row>
    <row r="198" spans="1:37" s="142" customFormat="1" ht="18" hidden="1" customHeight="1" outlineLevel="1" x14ac:dyDescent="0.2">
      <c r="A198" s="66"/>
      <c r="B198" s="138"/>
      <c r="C198" s="235"/>
      <c r="D198" s="537" t="s">
        <v>1346</v>
      </c>
      <c r="E198" s="546">
        <v>0.05</v>
      </c>
      <c r="F198" s="546">
        <v>0.05</v>
      </c>
      <c r="G198" s="546">
        <v>0.05</v>
      </c>
      <c r="H198" s="546">
        <v>0.05</v>
      </c>
      <c r="I198" s="546">
        <v>0.05</v>
      </c>
      <c r="J198" s="546">
        <v>0.05</v>
      </c>
      <c r="K198" s="546">
        <v>0.05</v>
      </c>
      <c r="L198" s="546">
        <v>0.05</v>
      </c>
      <c r="M198" s="546">
        <v>0.05</v>
      </c>
      <c r="N198" s="546">
        <v>0.05</v>
      </c>
      <c r="O198" s="535" t="s">
        <v>1347</v>
      </c>
    </row>
    <row r="199" spans="1:37" s="142" customFormat="1" ht="18" hidden="1" customHeight="1" outlineLevel="1" x14ac:dyDescent="0.2">
      <c r="A199" s="66"/>
      <c r="B199" s="138"/>
      <c r="C199" s="235"/>
      <c r="D199" s="537" t="s">
        <v>1348</v>
      </c>
      <c r="E199" s="546">
        <v>0.05</v>
      </c>
      <c r="F199" s="546">
        <v>0.05</v>
      </c>
      <c r="G199" s="546">
        <v>0.05</v>
      </c>
      <c r="H199" s="546">
        <v>0.05</v>
      </c>
      <c r="I199" s="546">
        <v>0.05</v>
      </c>
      <c r="J199" s="546">
        <v>0.05</v>
      </c>
      <c r="K199" s="546">
        <v>0.05</v>
      </c>
      <c r="L199" s="546">
        <v>0.05</v>
      </c>
      <c r="M199" s="546">
        <v>0.05</v>
      </c>
      <c r="N199" s="546">
        <v>0.05</v>
      </c>
      <c r="O199" s="535" t="s">
        <v>1349</v>
      </c>
    </row>
    <row r="200" spans="1:37" s="8" customFormat="1" ht="15.75" hidden="1" customHeight="1" outlineLevel="1" thickBot="1" x14ac:dyDescent="0.25">
      <c r="A200" s="66"/>
      <c r="B200" s="199"/>
      <c r="C200" s="314"/>
      <c r="D200" s="436"/>
      <c r="E200" s="547"/>
      <c r="F200" s="547"/>
      <c r="G200" s="547"/>
      <c r="H200" s="547"/>
      <c r="I200" s="547"/>
      <c r="J200" s="547"/>
      <c r="K200" s="547"/>
      <c r="L200" s="547"/>
      <c r="M200" s="547"/>
      <c r="N200" s="547"/>
      <c r="O200" s="548"/>
      <c r="P200" s="17"/>
      <c r="Q200" s="17"/>
      <c r="R200" s="17"/>
      <c r="S200" s="17"/>
      <c r="T200" s="17"/>
      <c r="U200" s="17"/>
      <c r="V200" s="17"/>
      <c r="W200" s="17"/>
      <c r="X200" s="17"/>
      <c r="Y200" s="17"/>
      <c r="Z200" s="17"/>
      <c r="AA200" s="17"/>
      <c r="AB200" s="17"/>
      <c r="AC200" s="17"/>
      <c r="AD200" s="17"/>
      <c r="AE200" s="17"/>
      <c r="AF200" s="17"/>
      <c r="AG200" s="17"/>
    </row>
    <row r="201" spans="1:37" s="8" customFormat="1" ht="15.75" hidden="1" customHeight="1" outlineLevel="1" thickBot="1" x14ac:dyDescent="0.25">
      <c r="A201" s="66"/>
      <c r="B201" s="199"/>
      <c r="C201" s="199"/>
      <c r="D201" s="101"/>
      <c r="E201" s="200"/>
      <c r="F201" s="200"/>
      <c r="G201" s="200"/>
      <c r="H201" s="200"/>
      <c r="I201" s="200"/>
      <c r="J201" s="200"/>
      <c r="K201" s="200"/>
      <c r="L201" s="200"/>
      <c r="M201" s="200"/>
      <c r="N201" s="200"/>
      <c r="O201" s="200"/>
      <c r="P201" s="17"/>
      <c r="Q201" s="17"/>
      <c r="R201" s="17"/>
      <c r="S201" s="17"/>
      <c r="T201" s="17"/>
      <c r="U201" s="17"/>
      <c r="V201" s="17"/>
      <c r="W201" s="17"/>
      <c r="X201" s="17"/>
      <c r="Y201" s="17"/>
      <c r="Z201" s="17"/>
      <c r="AA201" s="17"/>
      <c r="AB201" s="17"/>
      <c r="AC201" s="17"/>
      <c r="AD201" s="17"/>
      <c r="AE201" s="17"/>
      <c r="AF201" s="17"/>
      <c r="AG201" s="17"/>
    </row>
    <row r="202" spans="1:37" s="8" customFormat="1" ht="20.25" hidden="1" outlineLevel="1" x14ac:dyDescent="0.2">
      <c r="A202" s="66"/>
      <c r="B202" s="199"/>
      <c r="C202" s="933" t="str">
        <f>Scenario3&amp;" Average Rework Hours pa"</f>
        <v>eSystems (Paperless) Average Rework Hours pa</v>
      </c>
      <c r="D202" s="310"/>
      <c r="E202" s="315"/>
      <c r="F202" s="315"/>
      <c r="G202" s="315"/>
      <c r="H202" s="315"/>
      <c r="I202" s="315"/>
      <c r="J202" s="315"/>
      <c r="K202" s="315"/>
      <c r="L202" s="315"/>
      <c r="M202" s="315"/>
      <c r="N202" s="315"/>
      <c r="O202" s="550"/>
      <c r="P202" s="23"/>
      <c r="Q202" s="23"/>
      <c r="R202" s="23"/>
      <c r="S202" s="23"/>
      <c r="T202" s="23"/>
      <c r="U202" s="23"/>
      <c r="V202" s="23"/>
      <c r="W202" s="23"/>
      <c r="X202" s="23"/>
      <c r="Y202" s="23"/>
      <c r="Z202" s="23"/>
      <c r="AA202" s="23"/>
      <c r="AB202" s="23"/>
      <c r="AC202" s="23"/>
      <c r="AD202" s="23"/>
      <c r="AE202" s="23"/>
      <c r="AF202" s="23"/>
      <c r="AG202" s="23"/>
      <c r="AH202" s="488"/>
      <c r="AI202" s="488"/>
      <c r="AJ202" s="488"/>
      <c r="AK202" s="488"/>
    </row>
    <row r="203" spans="1:37" s="8" customFormat="1" ht="14.1" hidden="1" customHeight="1" outlineLevel="1" x14ac:dyDescent="0.2">
      <c r="A203" s="66"/>
      <c r="B203" s="102"/>
      <c r="C203" s="284"/>
      <c r="D203" s="312"/>
      <c r="E203" s="201"/>
      <c r="F203" s="201"/>
      <c r="G203" s="201"/>
      <c r="H203" s="201"/>
      <c r="I203" s="201"/>
      <c r="J203" s="201"/>
      <c r="K203" s="201"/>
      <c r="L203" s="201"/>
      <c r="M203" s="201"/>
      <c r="N203" s="201"/>
      <c r="O203" s="549"/>
      <c r="P203" s="17"/>
      <c r="Q203" s="17"/>
      <c r="R203" s="17"/>
      <c r="S203" s="17"/>
      <c r="T203" s="17"/>
      <c r="U203" s="17"/>
      <c r="V203" s="17"/>
      <c r="W203" s="17"/>
      <c r="X203" s="17"/>
      <c r="Y203" s="17"/>
      <c r="Z203" s="17"/>
      <c r="AA203" s="17"/>
      <c r="AB203" s="17"/>
      <c r="AC203" s="17"/>
      <c r="AD203" s="17"/>
      <c r="AE203" s="17"/>
      <c r="AF203" s="17"/>
      <c r="AG203" s="17"/>
    </row>
    <row r="204" spans="1:37" s="142" customFormat="1" ht="18" hidden="1" customHeight="1" outlineLevel="1" x14ac:dyDescent="0.2">
      <c r="A204" s="66"/>
      <c r="B204" s="138"/>
      <c r="C204" s="235"/>
      <c r="D204" s="537" t="s">
        <v>1350</v>
      </c>
      <c r="E204" s="506">
        <f t="shared" ref="E204:N204" si="78">eSystemsPaperRequiredReworksHM*eSystemsReworkHoursHM</f>
        <v>78.487500000000011</v>
      </c>
      <c r="F204" s="506">
        <f t="shared" si="78"/>
        <v>2.8842077922077927</v>
      </c>
      <c r="G204" s="506">
        <f t="shared" si="78"/>
        <v>2.0182187500000004</v>
      </c>
      <c r="H204" s="506">
        <f t="shared" si="78"/>
        <v>2.7241730769230781</v>
      </c>
      <c r="I204" s="506">
        <f t="shared" si="78"/>
        <v>2.4235714285714285</v>
      </c>
      <c r="J204" s="506">
        <f t="shared" si="78"/>
        <v>2.0945238095238099</v>
      </c>
      <c r="K204" s="506">
        <f t="shared" si="78"/>
        <v>1.7362232142857146</v>
      </c>
      <c r="L204" s="506">
        <f t="shared" si="78"/>
        <v>1.3480525210084033</v>
      </c>
      <c r="M204" s="506">
        <f t="shared" si="78"/>
        <v>0.92953174603174615</v>
      </c>
      <c r="N204" s="506">
        <f t="shared" si="78"/>
        <v>0.48028195488721803</v>
      </c>
      <c r="O204" s="535" t="s">
        <v>1351</v>
      </c>
    </row>
    <row r="205" spans="1:37" s="142" customFormat="1" ht="18" hidden="1" customHeight="1" outlineLevel="1" x14ac:dyDescent="0.2">
      <c r="A205" s="66"/>
      <c r="B205" s="138"/>
      <c r="C205" s="235"/>
      <c r="D205" s="537" t="s">
        <v>1352</v>
      </c>
      <c r="E205" s="506">
        <f t="shared" ref="E205:N205" si="79">eSystemsPaperRequiredReworksLM*eSystemsReworkHoursLM</f>
        <v>390.03899999999999</v>
      </c>
      <c r="F205" s="506">
        <f t="shared" si="79"/>
        <v>15.603120000000002</v>
      </c>
      <c r="G205" s="506">
        <f t="shared" si="79"/>
        <v>11.703510000000001</v>
      </c>
      <c r="H205" s="506">
        <f t="shared" si="79"/>
        <v>13.655460000000003</v>
      </c>
      <c r="I205" s="506">
        <f t="shared" si="79"/>
        <v>11.705850000000002</v>
      </c>
      <c r="J205" s="506">
        <f t="shared" si="79"/>
        <v>9.7558500000000024</v>
      </c>
      <c r="K205" s="506">
        <f t="shared" si="79"/>
        <v>7.805460000000001</v>
      </c>
      <c r="L205" s="506">
        <f t="shared" si="79"/>
        <v>5.8546800000000001</v>
      </c>
      <c r="M205" s="506">
        <f t="shared" si="79"/>
        <v>3.9035100000000003</v>
      </c>
      <c r="N205" s="506">
        <f t="shared" si="79"/>
        <v>1.9519500000000001</v>
      </c>
      <c r="O205" s="535" t="s">
        <v>1353</v>
      </c>
    </row>
    <row r="206" spans="1:37" s="142" customFormat="1" ht="18" hidden="1" customHeight="1" outlineLevel="1" x14ac:dyDescent="0.2">
      <c r="A206" s="66"/>
      <c r="B206" s="138"/>
      <c r="C206" s="235"/>
      <c r="D206" s="551" t="s">
        <v>1354</v>
      </c>
      <c r="E206" s="506">
        <f t="shared" ref="E206:N206" si="80">eSystemsPaperRequiredReworksENG*eSystemsReworkHoursENG</f>
        <v>470.29275000000001</v>
      </c>
      <c r="F206" s="506">
        <f t="shared" si="80"/>
        <v>18.813420000000004</v>
      </c>
      <c r="G206" s="506">
        <f t="shared" si="80"/>
        <v>14.111347500000001</v>
      </c>
      <c r="H206" s="506">
        <f t="shared" si="80"/>
        <v>16.464735000000001</v>
      </c>
      <c r="I206" s="506">
        <f t="shared" si="80"/>
        <v>14.113912500000001</v>
      </c>
      <c r="J206" s="506">
        <f t="shared" si="80"/>
        <v>11.762662500000001</v>
      </c>
      <c r="K206" s="506">
        <f t="shared" si="80"/>
        <v>9.4109850000000019</v>
      </c>
      <c r="L206" s="506">
        <f t="shared" si="80"/>
        <v>7.0588800000000012</v>
      </c>
      <c r="M206" s="506">
        <f t="shared" si="80"/>
        <v>4.7063474999999997</v>
      </c>
      <c r="N206" s="506">
        <f t="shared" si="80"/>
        <v>2.3533875000000002</v>
      </c>
      <c r="O206" s="535" t="s">
        <v>1355</v>
      </c>
    </row>
    <row r="207" spans="1:37" s="142" customFormat="1" ht="18" hidden="1" customHeight="1" outlineLevel="1" x14ac:dyDescent="0.2">
      <c r="A207" s="66"/>
      <c r="B207" s="138"/>
      <c r="C207" s="235"/>
      <c r="D207" s="537" t="s">
        <v>1356</v>
      </c>
      <c r="E207" s="506">
        <f t="shared" ref="E207:N207" si="81">eSystemsPaperRequiredReworksPLG*eSystemsReworkHoursPLG</f>
        <v>429.03900000000004</v>
      </c>
      <c r="F207" s="506">
        <f t="shared" si="81"/>
        <v>17.163120000000003</v>
      </c>
      <c r="G207" s="506">
        <f t="shared" si="81"/>
        <v>12.873510000000003</v>
      </c>
      <c r="H207" s="506">
        <f t="shared" si="81"/>
        <v>15.02046</v>
      </c>
      <c r="I207" s="506">
        <f t="shared" si="81"/>
        <v>12.87585</v>
      </c>
      <c r="J207" s="506">
        <f t="shared" si="81"/>
        <v>10.730850000000002</v>
      </c>
      <c r="K207" s="506">
        <f t="shared" si="81"/>
        <v>8.5854600000000012</v>
      </c>
      <c r="L207" s="506">
        <f t="shared" si="81"/>
        <v>6.4396800000000001</v>
      </c>
      <c r="M207" s="506">
        <f t="shared" si="81"/>
        <v>4.2935100000000004</v>
      </c>
      <c r="N207" s="506">
        <f t="shared" si="81"/>
        <v>2.1469499999999999</v>
      </c>
      <c r="O207" s="535" t="s">
        <v>1357</v>
      </c>
    </row>
    <row r="208" spans="1:37" s="142" customFormat="1" ht="18" hidden="1" customHeight="1" outlineLevel="1" x14ac:dyDescent="0.2">
      <c r="A208" s="66"/>
      <c r="B208" s="138"/>
      <c r="C208" s="235"/>
      <c r="D208" s="537" t="s">
        <v>1358</v>
      </c>
      <c r="E208" s="506">
        <f t="shared" ref="E208:N208" si="82">eSystemsPaperRequiredReworksCRT*eSystemsReworkHoursCRT</f>
        <v>468.03900000000004</v>
      </c>
      <c r="F208" s="506">
        <f t="shared" si="82"/>
        <v>18.723120000000002</v>
      </c>
      <c r="G208" s="506">
        <f t="shared" si="82"/>
        <v>14.043510000000001</v>
      </c>
      <c r="H208" s="506">
        <f t="shared" si="82"/>
        <v>16.385460000000005</v>
      </c>
      <c r="I208" s="506">
        <f t="shared" si="82"/>
        <v>14.045850000000002</v>
      </c>
      <c r="J208" s="506">
        <f t="shared" si="82"/>
        <v>11.705850000000002</v>
      </c>
      <c r="K208" s="506">
        <f t="shared" si="82"/>
        <v>9.3654600000000023</v>
      </c>
      <c r="L208" s="506">
        <f t="shared" si="82"/>
        <v>7.02468</v>
      </c>
      <c r="M208" s="506">
        <f t="shared" si="82"/>
        <v>4.683510000000001</v>
      </c>
      <c r="N208" s="506">
        <f t="shared" si="82"/>
        <v>2.3419500000000002</v>
      </c>
      <c r="O208" s="535" t="s">
        <v>1359</v>
      </c>
    </row>
    <row r="209" spans="1:33" s="142" customFormat="1" ht="18" hidden="1" customHeight="1" outlineLevel="1" x14ac:dyDescent="0.2">
      <c r="A209" s="66"/>
      <c r="B209" s="138"/>
      <c r="C209" s="235"/>
      <c r="D209" s="537" t="s">
        <v>1360</v>
      </c>
      <c r="E209" s="506">
        <f t="shared" ref="E209:N209" si="83">eSystemsPaperRequiredReworksSCL*eSystemsReworkHoursSCL</f>
        <v>507.03900000000004</v>
      </c>
      <c r="F209" s="506">
        <f t="shared" si="83"/>
        <v>20.28312</v>
      </c>
      <c r="G209" s="506">
        <f t="shared" si="83"/>
        <v>15.213509999999999</v>
      </c>
      <c r="H209" s="506">
        <f t="shared" si="83"/>
        <v>17.750460000000004</v>
      </c>
      <c r="I209" s="506">
        <f t="shared" si="83"/>
        <v>15.215849999999998</v>
      </c>
      <c r="J209" s="506">
        <f t="shared" si="83"/>
        <v>12.680850000000001</v>
      </c>
      <c r="K209" s="506">
        <f t="shared" si="83"/>
        <v>10.145460000000002</v>
      </c>
      <c r="L209" s="506">
        <f t="shared" si="83"/>
        <v>7.6096800000000009</v>
      </c>
      <c r="M209" s="506">
        <f t="shared" si="83"/>
        <v>5.0735100000000006</v>
      </c>
      <c r="N209" s="506">
        <f t="shared" si="83"/>
        <v>2.5369500000000005</v>
      </c>
      <c r="O209" s="535" t="s">
        <v>1361</v>
      </c>
    </row>
    <row r="210" spans="1:33" s="142" customFormat="1" ht="18" hidden="1" customHeight="1" outlineLevel="1" x14ac:dyDescent="0.2">
      <c r="A210" s="66"/>
      <c r="B210" s="138"/>
      <c r="C210" s="235"/>
      <c r="D210" s="537" t="s">
        <v>1362</v>
      </c>
      <c r="E210" s="506">
        <f t="shared" ref="E210:N210" si="84">eSystemsPaperRequiredReworksQSC*eSystemsReworkHoursQSC</f>
        <v>546.0390000000001</v>
      </c>
      <c r="F210" s="506">
        <f t="shared" si="84"/>
        <v>21.843119999999999</v>
      </c>
      <c r="G210" s="506">
        <f t="shared" si="84"/>
        <v>16.383510000000001</v>
      </c>
      <c r="H210" s="506">
        <f t="shared" si="84"/>
        <v>19.115460000000006</v>
      </c>
      <c r="I210" s="506">
        <f t="shared" si="84"/>
        <v>16.385850000000001</v>
      </c>
      <c r="J210" s="506">
        <f t="shared" si="84"/>
        <v>13.655850000000001</v>
      </c>
      <c r="K210" s="506">
        <f t="shared" si="84"/>
        <v>10.925460000000001</v>
      </c>
      <c r="L210" s="506">
        <f t="shared" si="84"/>
        <v>8.1946800000000017</v>
      </c>
      <c r="M210" s="506">
        <f t="shared" si="84"/>
        <v>5.4635100000000003</v>
      </c>
      <c r="N210" s="506">
        <f t="shared" si="84"/>
        <v>2.7319500000000008</v>
      </c>
      <c r="O210" s="535" t="s">
        <v>1363</v>
      </c>
    </row>
    <row r="211" spans="1:33" s="142" customFormat="1" ht="18" hidden="1" customHeight="1" outlineLevel="1" x14ac:dyDescent="0.2">
      <c r="A211" s="66"/>
      <c r="B211" s="138"/>
      <c r="C211" s="235"/>
      <c r="D211" s="537" t="s">
        <v>1364</v>
      </c>
      <c r="E211" s="506">
        <f t="shared" ref="E211:N211" si="85">eSystemsPaperRequiredReworksEM*eSystemsReworkHoursEM</f>
        <v>585.0390000000001</v>
      </c>
      <c r="F211" s="506">
        <f t="shared" si="85"/>
        <v>23.403120000000001</v>
      </c>
      <c r="G211" s="506">
        <f t="shared" si="85"/>
        <v>17.553509999999999</v>
      </c>
      <c r="H211" s="506">
        <f t="shared" si="85"/>
        <v>20.480460000000004</v>
      </c>
      <c r="I211" s="506">
        <f t="shared" si="85"/>
        <v>17.55585</v>
      </c>
      <c r="J211" s="506">
        <f t="shared" si="85"/>
        <v>14.630850000000002</v>
      </c>
      <c r="K211" s="506">
        <f t="shared" si="85"/>
        <v>11.705460000000002</v>
      </c>
      <c r="L211" s="506">
        <f t="shared" si="85"/>
        <v>8.7796800000000008</v>
      </c>
      <c r="M211" s="506">
        <f t="shared" si="85"/>
        <v>5.85351</v>
      </c>
      <c r="N211" s="506">
        <f t="shared" si="85"/>
        <v>2.9269500000000006</v>
      </c>
      <c r="O211" s="535" t="s">
        <v>1365</v>
      </c>
    </row>
    <row r="212" spans="1:33" s="142" customFormat="1" ht="18" hidden="1" customHeight="1" outlineLevel="1" x14ac:dyDescent="0.2">
      <c r="A212" s="66"/>
      <c r="B212" s="138"/>
      <c r="C212" s="235"/>
      <c r="D212" s="537" t="s">
        <v>1366</v>
      </c>
      <c r="E212" s="506">
        <f t="shared" ref="E212:N212" si="86">eSystemsPaperRequiredReworksCM*eSystemsReworkHoursCM</f>
        <v>585.0390000000001</v>
      </c>
      <c r="F212" s="506">
        <f t="shared" si="86"/>
        <v>23.403120000000001</v>
      </c>
      <c r="G212" s="506">
        <f t="shared" si="86"/>
        <v>17.553509999999999</v>
      </c>
      <c r="H212" s="506">
        <f t="shared" si="86"/>
        <v>20.480460000000004</v>
      </c>
      <c r="I212" s="506">
        <f t="shared" si="86"/>
        <v>17.55585</v>
      </c>
      <c r="J212" s="506">
        <f t="shared" si="86"/>
        <v>14.630850000000002</v>
      </c>
      <c r="K212" s="506">
        <f t="shared" si="86"/>
        <v>11.705460000000002</v>
      </c>
      <c r="L212" s="506">
        <f t="shared" si="86"/>
        <v>8.7796800000000008</v>
      </c>
      <c r="M212" s="506">
        <f t="shared" si="86"/>
        <v>5.85351</v>
      </c>
      <c r="N212" s="506">
        <f t="shared" si="86"/>
        <v>2.9269500000000006</v>
      </c>
      <c r="O212" s="535" t="s">
        <v>1367</v>
      </c>
    </row>
    <row r="213" spans="1:33" s="142" customFormat="1" ht="18" hidden="1" customHeight="1" outlineLevel="1" x14ac:dyDescent="0.2">
      <c r="A213" s="66"/>
      <c r="B213" s="138"/>
      <c r="C213" s="235"/>
      <c r="D213" s="537" t="s">
        <v>1368</v>
      </c>
      <c r="E213" s="506">
        <f t="shared" ref="E213:N213" si="87">eSystemsPaperRequiredReworksSMCS*eSystemsReworkHoursSMCS</f>
        <v>585.0390000000001</v>
      </c>
      <c r="F213" s="506">
        <f t="shared" si="87"/>
        <v>23.403120000000001</v>
      </c>
      <c r="G213" s="506">
        <f t="shared" si="87"/>
        <v>17.553509999999999</v>
      </c>
      <c r="H213" s="506">
        <f t="shared" si="87"/>
        <v>20.480460000000004</v>
      </c>
      <c r="I213" s="506">
        <f t="shared" si="87"/>
        <v>17.55585</v>
      </c>
      <c r="J213" s="506">
        <f t="shared" si="87"/>
        <v>14.630850000000002</v>
      </c>
      <c r="K213" s="506">
        <f t="shared" si="87"/>
        <v>11.705460000000002</v>
      </c>
      <c r="L213" s="506">
        <f t="shared" si="87"/>
        <v>8.7796800000000008</v>
      </c>
      <c r="M213" s="506">
        <f t="shared" si="87"/>
        <v>5.85351</v>
      </c>
      <c r="N213" s="506">
        <f t="shared" si="87"/>
        <v>2.9269500000000006</v>
      </c>
      <c r="O213" s="535" t="s">
        <v>1369</v>
      </c>
    </row>
    <row r="214" spans="1:33" s="142" customFormat="1" ht="18" hidden="1" customHeight="1" outlineLevel="1" x14ac:dyDescent="0.2">
      <c r="A214" s="66"/>
      <c r="B214" s="138"/>
      <c r="C214" s="235"/>
      <c r="D214" s="537" t="s">
        <v>1370</v>
      </c>
      <c r="E214" s="506">
        <f t="shared" ref="E214:N214" si="88">eSystemsPaperRequiredReworksO1*eSystemsReworkHoursO1</f>
        <v>0</v>
      </c>
      <c r="F214" s="506">
        <f t="shared" si="88"/>
        <v>0</v>
      </c>
      <c r="G214" s="506">
        <f t="shared" si="88"/>
        <v>0</v>
      </c>
      <c r="H214" s="506">
        <f t="shared" si="88"/>
        <v>0</v>
      </c>
      <c r="I214" s="506">
        <f t="shared" si="88"/>
        <v>0</v>
      </c>
      <c r="J214" s="506">
        <f t="shared" si="88"/>
        <v>0</v>
      </c>
      <c r="K214" s="506">
        <f t="shared" si="88"/>
        <v>0</v>
      </c>
      <c r="L214" s="506">
        <f t="shared" si="88"/>
        <v>0</v>
      </c>
      <c r="M214" s="506">
        <f t="shared" si="88"/>
        <v>0</v>
      </c>
      <c r="N214" s="506">
        <f t="shared" si="88"/>
        <v>0</v>
      </c>
      <c r="O214" s="535" t="s">
        <v>1371</v>
      </c>
    </row>
    <row r="215" spans="1:33" s="142" customFormat="1" ht="18" hidden="1" customHeight="1" outlineLevel="1" x14ac:dyDescent="0.2">
      <c r="A215" s="66"/>
      <c r="B215" s="138"/>
      <c r="C215" s="235"/>
      <c r="D215" s="537" t="s">
        <v>1372</v>
      </c>
      <c r="E215" s="506">
        <f t="shared" ref="E215:N215" si="89">eSystemsPaperRequiredReworksO2*eSystemsReworkHoursO2</f>
        <v>0</v>
      </c>
      <c r="F215" s="506">
        <f t="shared" si="89"/>
        <v>0</v>
      </c>
      <c r="G215" s="506">
        <f t="shared" si="89"/>
        <v>0</v>
      </c>
      <c r="H215" s="506">
        <f t="shared" si="89"/>
        <v>0</v>
      </c>
      <c r="I215" s="506">
        <f t="shared" si="89"/>
        <v>0</v>
      </c>
      <c r="J215" s="506">
        <f t="shared" si="89"/>
        <v>0</v>
      </c>
      <c r="K215" s="506">
        <f t="shared" si="89"/>
        <v>0</v>
      </c>
      <c r="L215" s="506">
        <f t="shared" si="89"/>
        <v>0</v>
      </c>
      <c r="M215" s="506">
        <f t="shared" si="89"/>
        <v>0</v>
      </c>
      <c r="N215" s="506">
        <f t="shared" si="89"/>
        <v>0</v>
      </c>
      <c r="O215" s="535" t="s">
        <v>1373</v>
      </c>
    </row>
    <row r="216" spans="1:33" customFormat="1" ht="14.1" hidden="1" customHeight="1" outlineLevel="1" thickBot="1" x14ac:dyDescent="0.25">
      <c r="A216" s="66"/>
      <c r="B216" s="66"/>
      <c r="C216" s="298"/>
      <c r="D216" s="543"/>
      <c r="E216" s="544"/>
      <c r="F216" s="544"/>
      <c r="G216" s="544"/>
      <c r="H216" s="544"/>
      <c r="I216" s="544"/>
      <c r="J216" s="544"/>
      <c r="K216" s="544"/>
      <c r="L216" s="544"/>
      <c r="M216" s="544"/>
      <c r="N216" s="544"/>
      <c r="O216" s="545"/>
      <c r="P216" s="18"/>
      <c r="Q216" s="18"/>
      <c r="R216" s="18"/>
      <c r="S216" s="18"/>
      <c r="T216" s="18"/>
      <c r="U216" s="18"/>
      <c r="V216" s="18"/>
      <c r="W216" s="18"/>
      <c r="X216" s="18"/>
      <c r="Y216" s="18"/>
      <c r="Z216" s="18"/>
      <c r="AA216" s="18"/>
      <c r="AB216" s="18"/>
      <c r="AC216" s="18"/>
      <c r="AD216" s="18"/>
      <c r="AE216" s="18"/>
      <c r="AF216" s="18"/>
      <c r="AG216" s="18"/>
    </row>
    <row r="217" spans="1:33" customFormat="1" ht="14.1" hidden="1" customHeight="1" outlineLevel="1" x14ac:dyDescent="0.2">
      <c r="A217" s="190"/>
      <c r="B217" s="66"/>
      <c r="C217" s="13"/>
      <c r="D217" s="313"/>
      <c r="E217" s="201"/>
      <c r="F217" s="201"/>
      <c r="G217" s="201"/>
      <c r="H217" s="201"/>
      <c r="I217" s="201"/>
      <c r="J217" s="201"/>
      <c r="K217" s="201"/>
      <c r="L217" s="201"/>
      <c r="M217" s="201"/>
      <c r="N217" s="201"/>
      <c r="O217" s="201"/>
      <c r="P217" s="18"/>
      <c r="Q217" s="18"/>
      <c r="R217" s="18"/>
      <c r="S217" s="18"/>
      <c r="T217" s="18"/>
      <c r="U217" s="18"/>
      <c r="V217" s="18"/>
      <c r="W217" s="18"/>
      <c r="X217" s="18"/>
      <c r="Y217" s="18"/>
      <c r="Z217" s="18"/>
      <c r="AA217" s="18"/>
      <c r="AB217" s="18"/>
      <c r="AC217" s="18"/>
      <c r="AD217" s="18"/>
      <c r="AE217" s="18"/>
      <c r="AF217" s="18"/>
      <c r="AG217" s="18"/>
    </row>
    <row r="218" spans="1:33" s="122" customFormat="1" ht="15.75" collapsed="1" x14ac:dyDescent="0.2">
      <c r="A218" s="1043">
        <v>4</v>
      </c>
      <c r="B218" s="1039"/>
      <c r="C218" s="1039"/>
      <c r="D218" s="1039"/>
      <c r="E218" s="1039"/>
      <c r="F218" s="1039"/>
      <c r="G218" s="1039"/>
      <c r="H218" s="1039"/>
      <c r="I218" s="1039"/>
      <c r="J218" s="1039"/>
      <c r="K218" s="1039"/>
      <c r="L218" s="1039"/>
      <c r="M218" s="1039"/>
      <c r="N218" s="1039"/>
      <c r="O218" s="1039"/>
      <c r="P218" s="206"/>
      <c r="Q218" s="206"/>
      <c r="R218" s="206"/>
      <c r="S218" s="206"/>
      <c r="T218" s="206"/>
      <c r="U218" s="206"/>
      <c r="V218" s="206"/>
      <c r="W218" s="206"/>
      <c r="X218" s="206"/>
      <c r="Y218" s="206"/>
      <c r="Z218" s="206"/>
      <c r="AA218" s="206"/>
      <c r="AB218" s="206"/>
      <c r="AC218" s="206"/>
      <c r="AD218" s="206"/>
      <c r="AE218" s="206"/>
      <c r="AF218" s="206"/>
    </row>
    <row r="219" spans="1:33" s="8" customFormat="1" ht="14.1" customHeight="1" thickBot="1" x14ac:dyDescent="0.3">
      <c r="A219" s="52"/>
      <c r="B219" s="194"/>
      <c r="C219" s="24"/>
      <c r="D219" s="197"/>
      <c r="E219" s="198"/>
      <c r="F219" s="198"/>
      <c r="G219" s="198"/>
      <c r="H219" s="198"/>
      <c r="I219" s="198"/>
      <c r="J219" s="198"/>
      <c r="K219" s="198"/>
      <c r="L219" s="198"/>
      <c r="M219" s="198"/>
      <c r="N219" s="198"/>
      <c r="O219" s="198"/>
      <c r="P219" s="17"/>
      <c r="Q219" s="17"/>
      <c r="R219" s="17"/>
      <c r="S219" s="17"/>
      <c r="T219" s="17"/>
      <c r="U219" s="17"/>
      <c r="V219" s="17"/>
      <c r="W219" s="17"/>
      <c r="X219" s="17"/>
      <c r="Y219" s="17"/>
      <c r="Z219" s="17"/>
      <c r="AA219" s="17"/>
      <c r="AB219" s="17"/>
      <c r="AC219" s="17"/>
      <c r="AD219" s="17"/>
      <c r="AE219" s="17"/>
      <c r="AF219" s="17"/>
      <c r="AG219" s="17"/>
    </row>
    <row r="220" spans="1:33" s="8" customFormat="1" ht="20.100000000000001" customHeight="1" x14ac:dyDescent="0.25">
      <c r="A220" s="1397" t="s">
        <v>4273</v>
      </c>
      <c r="B220" s="194"/>
      <c r="C220" s="1090" t="s">
        <v>4272</v>
      </c>
      <c r="D220" s="198"/>
      <c r="E220" s="198"/>
      <c r="F220" s="198"/>
      <c r="G220" s="198"/>
      <c r="H220" s="198"/>
      <c r="I220" s="198"/>
      <c r="J220" s="198"/>
      <c r="K220" s="198"/>
      <c r="L220" s="198"/>
      <c r="M220" s="198"/>
      <c r="N220" s="198"/>
      <c r="O220" s="198"/>
      <c r="P220" s="17"/>
      <c r="Q220" s="17"/>
      <c r="R220" s="17"/>
      <c r="S220" s="17"/>
      <c r="T220" s="17"/>
      <c r="U220" s="17"/>
      <c r="V220" s="17"/>
      <c r="W220" s="17"/>
      <c r="X220" s="17"/>
      <c r="Y220" s="17"/>
      <c r="Z220" s="17"/>
      <c r="AA220" s="17"/>
      <c r="AB220" s="17"/>
      <c r="AC220" s="17"/>
      <c r="AD220" s="17"/>
      <c r="AE220" s="17"/>
      <c r="AF220" s="17"/>
      <c r="AG220" s="17"/>
    </row>
    <row r="221" spans="1:33" s="8" customFormat="1" ht="14.1" customHeight="1" x14ac:dyDescent="0.25">
      <c r="A221" s="1398"/>
      <c r="B221" s="194"/>
      <c r="C221" s="24"/>
      <c r="D221" s="197"/>
      <c r="E221" s="198"/>
      <c r="F221" s="198"/>
      <c r="G221" s="198"/>
      <c r="H221" s="198"/>
      <c r="I221" s="198"/>
      <c r="J221" s="198"/>
      <c r="K221" s="198"/>
      <c r="L221" s="198"/>
      <c r="M221" s="198"/>
      <c r="N221" s="198"/>
      <c r="O221" s="198"/>
      <c r="P221" s="17"/>
      <c r="Q221" s="17"/>
      <c r="R221" s="17"/>
      <c r="S221" s="17"/>
      <c r="T221" s="17"/>
      <c r="U221" s="17"/>
      <c r="V221" s="17"/>
      <c r="W221" s="17"/>
      <c r="X221" s="17"/>
      <c r="Y221" s="17"/>
      <c r="Z221" s="17"/>
      <c r="AA221" s="17"/>
      <c r="AB221" s="17"/>
      <c r="AC221" s="17"/>
      <c r="AD221" s="17"/>
      <c r="AE221" s="17"/>
      <c r="AF221" s="17"/>
      <c r="AG221" s="17"/>
    </row>
    <row r="222" spans="1:33" s="8" customFormat="1" ht="19.5" customHeight="1" x14ac:dyDescent="0.25">
      <c r="A222" s="1399"/>
      <c r="B222" s="194"/>
      <c r="C222" s="24"/>
      <c r="D222" s="197"/>
      <c r="E222" s="198"/>
      <c r="F222" s="198"/>
      <c r="G222" s="198"/>
      <c r="H222" s="198"/>
      <c r="I222" s="198"/>
      <c r="J222" s="198"/>
      <c r="K222" s="198"/>
      <c r="L222" s="198"/>
      <c r="M222" s="198"/>
      <c r="N222" s="198"/>
      <c r="O222" s="198"/>
      <c r="P222" s="17"/>
      <c r="Q222" s="17"/>
      <c r="R222" s="17"/>
      <c r="S222" s="17"/>
      <c r="T222" s="17"/>
      <c r="U222" s="17"/>
      <c r="V222" s="17"/>
      <c r="W222" s="17"/>
      <c r="X222" s="17"/>
      <c r="Y222" s="17"/>
      <c r="Z222" s="17"/>
      <c r="AA222" s="17"/>
      <c r="AB222" s="17"/>
      <c r="AC222" s="17"/>
      <c r="AD222" s="17"/>
      <c r="AE222" s="17"/>
      <c r="AF222" s="17"/>
      <c r="AG222" s="17"/>
    </row>
    <row r="223" spans="1:33" s="8" customFormat="1" ht="14.1" customHeight="1" x14ac:dyDescent="0.25">
      <c r="A223" s="52"/>
      <c r="B223" s="194"/>
      <c r="C223" s="24"/>
      <c r="D223" s="197"/>
      <c r="E223" s="198"/>
      <c r="F223" s="198"/>
      <c r="G223" s="198"/>
      <c r="H223" s="198"/>
      <c r="I223" s="198"/>
      <c r="J223" s="198"/>
      <c r="K223" s="198"/>
      <c r="L223" s="198"/>
      <c r="M223" s="198"/>
      <c r="N223" s="198"/>
      <c r="O223" s="198"/>
      <c r="P223" s="17"/>
      <c r="Q223" s="17"/>
      <c r="R223" s="17"/>
      <c r="S223" s="17"/>
      <c r="T223" s="17"/>
      <c r="U223" s="17"/>
      <c r="V223" s="17"/>
      <c r="W223" s="17"/>
      <c r="X223" s="17"/>
      <c r="Y223" s="17"/>
      <c r="Z223" s="17"/>
      <c r="AA223" s="17"/>
      <c r="AB223" s="17"/>
      <c r="AC223" s="17"/>
      <c r="AD223" s="17"/>
      <c r="AE223" s="17"/>
      <c r="AF223" s="17"/>
      <c r="AG223" s="17"/>
    </row>
    <row r="224" spans="1:33" s="8" customFormat="1" ht="14.1" customHeight="1" outlineLevel="1" thickBot="1" x14ac:dyDescent="0.25">
      <c r="A224" s="3"/>
      <c r="B224" s="102"/>
      <c r="C224" s="24"/>
      <c r="D224" s="101"/>
      <c r="E224" s="178"/>
      <c r="F224" s="178"/>
      <c r="G224" s="178"/>
      <c r="H224" s="178"/>
      <c r="I224" s="178"/>
      <c r="J224" s="178"/>
      <c r="K224" s="178"/>
      <c r="L224" s="178"/>
      <c r="M224" s="178"/>
      <c r="N224" s="178"/>
      <c r="O224" s="178"/>
      <c r="P224" s="17"/>
      <c r="Q224" s="17"/>
      <c r="R224" s="17"/>
      <c r="S224" s="17"/>
      <c r="T224" s="17"/>
      <c r="U224" s="17"/>
      <c r="V224" s="17"/>
      <c r="W224" s="17"/>
      <c r="X224" s="17"/>
      <c r="Y224" s="17"/>
      <c r="Z224" s="17"/>
      <c r="AA224" s="17"/>
      <c r="AB224" s="17"/>
      <c r="AC224" s="17"/>
      <c r="AD224" s="17"/>
      <c r="AE224" s="17"/>
      <c r="AF224" s="17"/>
      <c r="AG224" s="17"/>
    </row>
    <row r="225" spans="1:33" s="8" customFormat="1" ht="20.25" outlineLevel="1" x14ac:dyDescent="0.2">
      <c r="A225" s="1409" t="s">
        <v>4267</v>
      </c>
      <c r="B225" s="102"/>
      <c r="C225" s="912" t="str">
        <f>Scenario1&amp;"  Rework Cost pa (based on Touch Hour Rate)"</f>
        <v>pSystems (Paper)  Rework Cost pa (based on Touch Hour Rate)</v>
      </c>
      <c r="D225" s="268"/>
      <c r="E225" s="316"/>
      <c r="F225" s="316"/>
      <c r="G225" s="316"/>
      <c r="H225" s="316"/>
      <c r="I225" s="316"/>
      <c r="J225" s="316"/>
      <c r="K225" s="316"/>
      <c r="L225" s="316"/>
      <c r="M225" s="316"/>
      <c r="N225" s="316"/>
      <c r="O225" s="566"/>
      <c r="P225" s="17"/>
      <c r="Q225" s="17"/>
      <c r="R225" s="17"/>
      <c r="S225" s="17"/>
      <c r="T225" s="17"/>
      <c r="U225" s="17"/>
      <c r="V225" s="17"/>
      <c r="W225" s="17"/>
      <c r="X225" s="17"/>
      <c r="Y225" s="17"/>
      <c r="Z225" s="17"/>
      <c r="AA225" s="17"/>
      <c r="AB225" s="17"/>
      <c r="AC225" s="17"/>
      <c r="AD225" s="17"/>
      <c r="AE225" s="17"/>
      <c r="AF225" s="17"/>
      <c r="AG225" s="17"/>
    </row>
    <row r="226" spans="1:33" s="8" customFormat="1" ht="14.1" customHeight="1" outlineLevel="1" x14ac:dyDescent="0.2">
      <c r="A226" s="1410"/>
      <c r="B226" s="102"/>
      <c r="C226" s="284"/>
      <c r="D226" s="174"/>
      <c r="E226" s="554"/>
      <c r="F226" s="554"/>
      <c r="G226" s="554"/>
      <c r="H226" s="554"/>
      <c r="I226" s="554"/>
      <c r="J226" s="554"/>
      <c r="K226" s="554"/>
      <c r="L226" s="554"/>
      <c r="M226" s="554"/>
      <c r="N226" s="554"/>
      <c r="O226" s="994"/>
      <c r="P226" s="17"/>
      <c r="Q226" s="17"/>
      <c r="R226" s="17"/>
      <c r="S226" s="17"/>
      <c r="T226" s="17"/>
      <c r="U226" s="17"/>
      <c r="V226" s="17"/>
      <c r="W226" s="17"/>
      <c r="X226" s="17"/>
      <c r="Y226" s="17"/>
      <c r="Z226" s="17"/>
      <c r="AA226" s="17"/>
      <c r="AB226" s="17"/>
      <c r="AC226" s="17"/>
      <c r="AD226" s="17"/>
      <c r="AE226" s="17"/>
      <c r="AF226" s="17"/>
      <c r="AG226" s="17"/>
    </row>
    <row r="227" spans="1:33" s="142" customFormat="1" ht="18" customHeight="1" outlineLevel="1" x14ac:dyDescent="0.2">
      <c r="A227" s="1410"/>
      <c r="B227" s="138"/>
      <c r="C227" s="235"/>
      <c r="D227" s="537" t="s">
        <v>1410</v>
      </c>
      <c r="E227" s="555">
        <f>(pSystemsTouchRateHourHM*pSystemsReworkHourspaHM)</f>
        <v>76453.316103669174</v>
      </c>
      <c r="F227" s="555">
        <f>(pSystemsTouchRateHourHM*pSystemsReworkHourspaHM)*(1+Inflation)^1</f>
        <v>71641.15147229009</v>
      </c>
      <c r="G227" s="555">
        <f>(pSystemsTouchRateHourHM*pSystemsReworkHourspaHM)*(1+Inflation)^2</f>
        <v>68177.827258663368</v>
      </c>
      <c r="H227" s="555">
        <f>(pSystemsTouchRateHourHM*pSystemsReworkHourspaHM)*(1+Inflation)^3</f>
        <v>80456.845065716436</v>
      </c>
      <c r="I227" s="555">
        <f>(pSystemsTouchRateHourHM*pSystemsReworkHourspaHM)*(1+Inflation)^4</f>
        <v>85178.715690806202</v>
      </c>
      <c r="J227" s="555">
        <f>(pSystemsTouchRateHourHM*pSystemsReworkHourspaHM)*(1+Inflation)^5</f>
        <v>90103.566775203406</v>
      </c>
      <c r="K227" s="555">
        <f>(pSystemsTouchRateHourHM*pSystemsReworkHourspaHM)*(1+Inflation)^6</f>
        <v>95229.70190526871</v>
      </c>
      <c r="L227" s="555">
        <f>(pSystemsTouchRateHourHM*pSystemsReworkHourspaHM)*(1+Inflation)^7</f>
        <v>100557.0646642241</v>
      </c>
      <c r="M227" s="555">
        <f>(pSystemsTouchRateHourHM*pSystemsReworkHourspaHM)*(1+Inflation)^8</f>
        <v>106086.82015561365</v>
      </c>
      <c r="N227" s="555">
        <f>(pSystemsTouchRateHourHM*pSystemsReworkHourspaHM)*(1+Inflation)^9</f>
        <v>111821.06969754651</v>
      </c>
      <c r="O227" s="535" t="s">
        <v>1411</v>
      </c>
    </row>
    <row r="228" spans="1:33" s="142" customFormat="1" ht="18" customHeight="1" outlineLevel="1" x14ac:dyDescent="0.2">
      <c r="A228" s="1410"/>
      <c r="B228" s="138"/>
      <c r="C228" s="235"/>
      <c r="D228" s="537" t="s">
        <v>1449</v>
      </c>
      <c r="E228" s="555">
        <f>(pSystemsTouchRateHourLM*pSystemsReworkHourspaLM)</f>
        <v>474912.8039458358</v>
      </c>
      <c r="F228" s="555">
        <f>(pSystemsTouchRateHourLM*pSystemsReworkHourspaLM)*(1+Inflation)^1</f>
        <v>484459.49628712866</v>
      </c>
      <c r="G228" s="555">
        <f>(pSystemsTouchRateHourLM*pSystemsReworkHourspaLM)*(1+Inflation)^2</f>
        <v>494198.09120049502</v>
      </c>
      <c r="H228" s="555">
        <f>(pSystemsTouchRateHourLM*pSystemsReworkHourspaLM)*(1+Inflation)^3</f>
        <v>504132.44611188117</v>
      </c>
      <c r="I228" s="555">
        <f>(pSystemsTouchRateHourLM*pSystemsReworkHourspaLM)*(1+Inflation)^4</f>
        <v>514266.49598324258</v>
      </c>
      <c r="J228" s="555">
        <f>(pSystemsTouchRateHourLM*pSystemsReworkHourspaLM)*(1+Inflation)^5</f>
        <v>524604.25487101381</v>
      </c>
      <c r="K228" s="555">
        <f>(pSystemsTouchRateHourLM*pSystemsReworkHourspaLM)*(1+Inflation)^6</f>
        <v>535149.81751590222</v>
      </c>
      <c r="L228" s="555">
        <f>(pSystemsTouchRateHourLM*pSystemsReworkHourspaLM)*(1+Inflation)^7</f>
        <v>545907.36096463795</v>
      </c>
      <c r="M228" s="555">
        <f>(pSystemsTouchRateHourLM*pSystemsReworkHourspaLM)*(1+Inflation)^8</f>
        <v>556881.14622431679</v>
      </c>
      <c r="N228" s="555">
        <f>(pSystemsTouchRateHourLM*pSystemsReworkHourspaLM)*(1+Inflation)^9</f>
        <v>568075.51994999708</v>
      </c>
      <c r="O228" s="535" t="s">
        <v>1412</v>
      </c>
    </row>
    <row r="229" spans="1:33" s="142" customFormat="1" ht="18" customHeight="1" outlineLevel="1" x14ac:dyDescent="0.2">
      <c r="A229" s="1410"/>
      <c r="B229" s="138"/>
      <c r="C229" s="235"/>
      <c r="D229" s="551" t="s">
        <v>1450</v>
      </c>
      <c r="E229" s="555">
        <f>(pSystemsTouchRateHourENG*pSystemsReworkHourspaENG)</f>
        <v>515367.03693760908</v>
      </c>
      <c r="F229" s="555">
        <f>(pSystemsTouchRateHourENG*pSystemsReworkHourspaENG)*(1+Inflation)^1</f>
        <v>525722.16191212868</v>
      </c>
      <c r="G229" s="555">
        <f>(pSystemsTouchRateHourENG*pSystemsReworkHourspaENG)*(1+Inflation)^2</f>
        <v>536285.34507085383</v>
      </c>
      <c r="H229" s="555">
        <f>(pSystemsTouchRateHourENG*pSystemsReworkHourspaENG)*(1+Inflation)^3</f>
        <v>547060.7666911633</v>
      </c>
      <c r="I229" s="555">
        <f>(pSystemsTouchRateHourENG*pSystemsReworkHourspaENG)*(1+Inflation)^4</f>
        <v>558052.69103825674</v>
      </c>
      <c r="J229" s="555">
        <f>(pSystemsTouchRateHourENG*pSystemsReworkHourspaENG)*(1+Inflation)^5</f>
        <v>569265.46805255755</v>
      </c>
      <c r="K229" s="555">
        <f>(pSystemsTouchRateHourENG*pSystemsReworkHourspaENG)*(1+Inflation)^6</f>
        <v>580703.53507101489</v>
      </c>
      <c r="L229" s="555">
        <f>(pSystemsTouchRateHourENG*pSystemsReworkHourspaENG)*(1+Inflation)^7</f>
        <v>592371.41858298949</v>
      </c>
      <c r="M229" s="555">
        <f>(pSystemsTouchRateHourENG*pSystemsReworkHourspaENG)*(1+Inflation)^8</f>
        <v>604273.73602141486</v>
      </c>
      <c r="N229" s="555">
        <f>(pSystemsTouchRateHourENG*pSystemsReworkHourspaENG)*(1+Inflation)^9</f>
        <v>616415.19758994388</v>
      </c>
      <c r="O229" s="535" t="s">
        <v>1413</v>
      </c>
    </row>
    <row r="230" spans="1:33" s="142" customFormat="1" ht="18" customHeight="1" outlineLevel="1" x14ac:dyDescent="0.2">
      <c r="A230" s="1410"/>
      <c r="B230" s="138"/>
      <c r="C230" s="235"/>
      <c r="D230" s="537" t="s">
        <v>1451</v>
      </c>
      <c r="E230" s="555">
        <f>(pSystemsTouchRateHourPLG*pSystemsReworkHourspaPLG)</f>
        <v>444039.43533415836</v>
      </c>
      <c r="F230" s="555">
        <f>(pSystemsTouchRateHourPLG*pSystemsReworkHourspaPLG)*(1+Inflation)^1</f>
        <v>452961.39486386138</v>
      </c>
      <c r="G230" s="555">
        <f>(pSystemsTouchRateHourPLG*pSystemsReworkHourspaPLG)*(1+Inflation)^2</f>
        <v>462062.61700061877</v>
      </c>
      <c r="H230" s="555">
        <f>(pSystemsTouchRateHourPLG*pSystemsReworkHourspaPLG)*(1+Inflation)^3</f>
        <v>471346.70346490096</v>
      </c>
      <c r="I230" s="555">
        <f>(pSystemsTouchRateHourPLG*pSystemsReworkHourspaPLG)*(1+Inflation)^4</f>
        <v>480817.32834095421</v>
      </c>
      <c r="J230" s="555">
        <f>(pSystemsTouchRateHourPLG*pSystemsReworkHourspaPLG)*(1+Inflation)^5</f>
        <v>490478.23953066347</v>
      </c>
      <c r="K230" s="555">
        <f>(pSystemsTouchRateHourPLG*pSystemsReworkHourspaPLG)*(1+Inflation)^6</f>
        <v>500333.26023662492</v>
      </c>
      <c r="L230" s="555">
        <f>(pSystemsTouchRateHourPLG*pSystemsReworkHourspaPLG)*(1+Inflation)^7</f>
        <v>510386.29047501244</v>
      </c>
      <c r="M230" s="555">
        <f>(pSystemsTouchRateHourPLG*pSystemsReworkHourspaPLG)*(1+Inflation)^8</f>
        <v>520641.30861884088</v>
      </c>
      <c r="N230" s="555">
        <f>(pSystemsTouchRateHourPLG*pSystemsReworkHourspaPLG)*(1+Inflation)^9</f>
        <v>531102.37297223241</v>
      </c>
      <c r="O230" s="535" t="s">
        <v>1414</v>
      </c>
    </row>
    <row r="231" spans="1:33" s="142" customFormat="1" ht="18" customHeight="1" outlineLevel="1" x14ac:dyDescent="0.2">
      <c r="A231" s="1410"/>
      <c r="B231" s="138"/>
      <c r="C231" s="235"/>
      <c r="D231" s="537" t="s">
        <v>1452</v>
      </c>
      <c r="E231" s="555">
        <f>(pSystemsTouchRateHourCRT*pSystemsReworkHourspaCRT)</f>
        <v>284942.93371432729</v>
      </c>
      <c r="F231" s="555">
        <f>(pSystemsTouchRateHourCRT*pSystemsReworkHourspaCRT)*(1+Inflation)^1</f>
        <v>290666.01051980205</v>
      </c>
      <c r="G231" s="555">
        <f>(pSystemsTouchRateHourCRT*pSystemsReworkHourspaCRT)*(1+Inflation)^2</f>
        <v>296504.03322400991</v>
      </c>
      <c r="H231" s="555">
        <f>(pSystemsTouchRateHourCRT*pSystemsReworkHourspaCRT)*(1+Inflation)^3</f>
        <v>302459.31043217814</v>
      </c>
      <c r="I231" s="555">
        <f>(pSystemsTouchRateHourCRT*pSystemsReworkHourspaCRT)*(1+Inflation)^4</f>
        <v>308534.19711538363</v>
      </c>
      <c r="J231" s="555">
        <f>(pSystemsTouchRateHourCRT*pSystemsReworkHourspaCRT)*(1+Inflation)^5</f>
        <v>314731.09554174449</v>
      </c>
      <c r="K231" s="555">
        <f>(pSystemsTouchRateHourCRT*pSystemsReworkHourspaCRT)*(1+Inflation)^6</f>
        <v>321052.45622631354</v>
      </c>
      <c r="L231" s="555">
        <f>(pSystemsTouchRateHourCRT*pSystemsReworkHourspaCRT)*(1+Inflation)^7</f>
        <v>327500.77890004852</v>
      </c>
      <c r="M231" s="555">
        <f>(pSystemsTouchRateHourCRT*pSystemsReworkHourspaCRT)*(1+Inflation)^8</f>
        <v>334078.61349824263</v>
      </c>
      <c r="N231" s="555">
        <f>(pSystemsTouchRateHourCRT*pSystemsReworkHourspaCRT)*(1+Inflation)^9</f>
        <v>340788.56116880442</v>
      </c>
      <c r="O231" s="535" t="s">
        <v>1415</v>
      </c>
    </row>
    <row r="232" spans="1:33" s="142" customFormat="1" ht="18" customHeight="1" outlineLevel="1" x14ac:dyDescent="0.2">
      <c r="A232" s="1410"/>
      <c r="B232" s="138"/>
      <c r="C232" s="235"/>
      <c r="D232" s="537" t="s">
        <v>1453</v>
      </c>
      <c r="E232" s="555">
        <f>(pSystemsTouchRateHourSCL*pSystemsReworkHourspaSCL)</f>
        <v>370423.43950203841</v>
      </c>
      <c r="F232" s="555">
        <f>(pSystemsTouchRateHourSCL*pSystemsReworkHourspaSCL)*(1+Inflation)^1</f>
        <v>377860.97004950501</v>
      </c>
      <c r="G232" s="555">
        <f>(pSystemsTouchRateHourSCL*pSystemsReworkHourspaSCL)*(1+Inflation)^2</f>
        <v>385447.83244306932</v>
      </c>
      <c r="H232" s="555">
        <f>(pSystemsTouchRateHourSCL*pSystemsReworkHourspaSCL)*(1+Inflation)^3</f>
        <v>393187.02494435641</v>
      </c>
      <c r="I232" s="555">
        <f>(pSystemsTouchRateHourSCL*pSystemsReworkHourspaSCL)*(1+Inflation)^4</f>
        <v>401081.60601271776</v>
      </c>
      <c r="J232" s="555">
        <f>(pSystemsTouchRateHourSCL*pSystemsReworkHourspaSCL)*(1+Inflation)^5</f>
        <v>409134.69551383593</v>
      </c>
      <c r="K232" s="555">
        <f>(pSystemsTouchRateHourSCL*pSystemsReworkHourspaSCL)*(1+Inflation)^6</f>
        <v>417349.47595259361</v>
      </c>
      <c r="L232" s="555">
        <f>(pSystemsTouchRateHourSCL*pSystemsReworkHourspaSCL)*(1+Inflation)^7</f>
        <v>425729.19373069599</v>
      </c>
      <c r="M232" s="555">
        <f>(pSystemsTouchRateHourSCL*pSystemsReworkHourspaSCL)*(1+Inflation)^8</f>
        <v>434277.16042954172</v>
      </c>
      <c r="N232" s="555">
        <f>(pSystemsTouchRateHourSCL*pSystemsReworkHourspaSCL)*(1+Inflation)^9</f>
        <v>442996.75411884877</v>
      </c>
      <c r="O232" s="535" t="s">
        <v>1416</v>
      </c>
    </row>
    <row r="233" spans="1:33" s="142" customFormat="1" ht="18" customHeight="1" outlineLevel="1" x14ac:dyDescent="0.2">
      <c r="A233" s="1410"/>
      <c r="B233" s="138"/>
      <c r="C233" s="235"/>
      <c r="D233" s="537" t="s">
        <v>1454</v>
      </c>
      <c r="E233" s="555">
        <f>(pSystemsTouchRateHourQSC*pSystemsReworkHourspaQSC)</f>
        <v>498644.1981836051</v>
      </c>
      <c r="F233" s="555">
        <f>(pSystemsTouchRateHourQSC*pSystemsReworkHourspaQSC)*(1+Inflation)^1</f>
        <v>508653.40934405942</v>
      </c>
      <c r="G233" s="555">
        <f>(pSystemsTouchRateHourQSC*pSystemsReworkHourspaQSC)*(1+Inflation)^2</f>
        <v>518863.53127165837</v>
      </c>
      <c r="H233" s="555">
        <f>(pSystemsTouchRateHourQSC*pSystemsReworkHourspaQSC)*(1+Inflation)^3</f>
        <v>529278.59671262372</v>
      </c>
      <c r="I233" s="555">
        <f>(pSystemsTouchRateHourQSC*pSystemsReworkHourspaQSC)*(1+Inflation)^4</f>
        <v>539902.71935871895</v>
      </c>
      <c r="J233" s="555">
        <f>(pSystemsTouchRateHourQSC*pSystemsReworkHourspaQSC)*(1+Inflation)^5</f>
        <v>550740.09547197307</v>
      </c>
      <c r="K233" s="555">
        <f>(pSystemsTouchRateHourQSC*pSystemsReworkHourspaQSC)*(1+Inflation)^6</f>
        <v>561795.00554201379</v>
      </c>
      <c r="L233" s="555">
        <f>(pSystemsTouchRateHourQSC*pSystemsReworkHourspaQSC)*(1+Inflation)^7</f>
        <v>573071.81597666733</v>
      </c>
      <c r="M233" s="555">
        <f>(pSystemsTouchRateHourQSC*pSystemsReworkHourspaQSC)*(1+Inflation)^8</f>
        <v>584574.98082649021</v>
      </c>
      <c r="N233" s="555">
        <f>(pSystemsTouchRateHourQSC*pSystemsReworkHourspaQSC)*(1+Inflation)^9</f>
        <v>596309.0435439155</v>
      </c>
      <c r="O233" s="535" t="s">
        <v>1417</v>
      </c>
    </row>
    <row r="234" spans="1:33" s="142" customFormat="1" ht="18" customHeight="1" outlineLevel="1" x14ac:dyDescent="0.2">
      <c r="A234" s="1410"/>
      <c r="B234" s="138"/>
      <c r="C234" s="235"/>
      <c r="D234" s="537" t="s">
        <v>1455</v>
      </c>
      <c r="E234" s="555">
        <f>(pSystemsTouchRateHourEM*pSystemsReworkHourspaEM)</f>
        <v>427407.27759172977</v>
      </c>
      <c r="F234" s="555">
        <f>(pSystemsTouchRateHourEM*pSystemsReworkHourspaEM)*(1+Inflation)^1</f>
        <v>435984.48490099015</v>
      </c>
      <c r="G234" s="555">
        <f>(pSystemsTouchRateHourEM*pSystemsReworkHourspaEM)*(1+Inflation)^2</f>
        <v>444733.81759158411</v>
      </c>
      <c r="H234" s="555">
        <f>(pSystemsTouchRateHourEM*pSystemsReworkHourspaEM)*(1+Inflation)^3</f>
        <v>453658.7297958415</v>
      </c>
      <c r="I234" s="555">
        <f>(pSystemsTouchRateHourEM*pSystemsReworkHourspaEM)*(1+Inflation)^4</f>
        <v>462762.74496123259</v>
      </c>
      <c r="J234" s="555">
        <f>(pSystemsTouchRateHourEM*pSystemsReworkHourspaEM)*(1+Inflation)^5</f>
        <v>472049.4572413211</v>
      </c>
      <c r="K234" s="555">
        <f>(pSystemsTouchRateHourEM*pSystemsReworkHourspaEM)*(1+Inflation)^6</f>
        <v>481522.53291462851</v>
      </c>
      <c r="L234" s="555">
        <f>(pSystemsTouchRateHourEM*pSystemsReworkHourspaEM)*(1+Inflation)^7</f>
        <v>491185.71183197165</v>
      </c>
      <c r="M234" s="555">
        <f>(pSystemsTouchRateHourEM*pSystemsReworkHourspaEM)*(1+Inflation)^8</f>
        <v>501042.80889284273</v>
      </c>
      <c r="N234" s="555">
        <f>(pSystemsTouchRateHourEM*pSystemsReworkHourspaEM)*(1+Inflation)^9</f>
        <v>511097.71555141598</v>
      </c>
      <c r="O234" s="535" t="s">
        <v>1418</v>
      </c>
    </row>
    <row r="235" spans="1:33" s="142" customFormat="1" ht="18" customHeight="1" outlineLevel="1" x14ac:dyDescent="0.2">
      <c r="A235" s="1410"/>
      <c r="B235" s="138"/>
      <c r="C235" s="235"/>
      <c r="D235" s="537" t="s">
        <v>1456</v>
      </c>
      <c r="E235" s="555">
        <f>(pSystemsTouchRateHourCM*pSystemsReworkHourspaCM)</f>
        <v>427407.27759172977</v>
      </c>
      <c r="F235" s="555">
        <f>(pSystemsTouchRateHourCM*pSystemsReworkHourspaCM)*(1+Inflation)^1</f>
        <v>435984.48490099015</v>
      </c>
      <c r="G235" s="555">
        <f>(pSystemsTouchRateHourCM*pSystemsReworkHourspaCM)*(1+Inflation)^2</f>
        <v>444733.81759158411</v>
      </c>
      <c r="H235" s="555">
        <f>(pSystemsTouchRateHourCM*pSystemsReworkHourspaCM)*(1+Inflation)^3</f>
        <v>453658.7297958415</v>
      </c>
      <c r="I235" s="555">
        <f>(pSystemsTouchRateHourCM*pSystemsReworkHourspaCM)*(1+Inflation)^4</f>
        <v>462762.74496123259</v>
      </c>
      <c r="J235" s="555">
        <f>(pSystemsTouchRateHourCM*pSystemsReworkHourspaCM)*(1+Inflation)^5</f>
        <v>472049.4572413211</v>
      </c>
      <c r="K235" s="555">
        <f>(pSystemsTouchRateHourCM*pSystemsReworkHourspaCM)*(1+Inflation)^6</f>
        <v>481522.53291462851</v>
      </c>
      <c r="L235" s="555">
        <f>(pSystemsTouchRateHourCM*pSystemsReworkHourspaCM)*(1+Inflation)^7</f>
        <v>491185.71183197165</v>
      </c>
      <c r="M235" s="555">
        <f>(pSystemsTouchRateHourCM*pSystemsReworkHourspaCM)*(1+Inflation)^8</f>
        <v>501042.80889284273</v>
      </c>
      <c r="N235" s="555">
        <f>(pSystemsTouchRateHourCM*pSystemsReworkHourspaCM)*(1+Inflation)^9</f>
        <v>511097.71555141598</v>
      </c>
      <c r="O235" s="535" t="s">
        <v>1419</v>
      </c>
    </row>
    <row r="236" spans="1:33" s="142" customFormat="1" ht="18" customHeight="1" outlineLevel="1" x14ac:dyDescent="0.2">
      <c r="A236" s="1410"/>
      <c r="B236" s="138"/>
      <c r="C236" s="235"/>
      <c r="D236" s="537" t="s">
        <v>1457</v>
      </c>
      <c r="E236" s="555">
        <f>(pSystemsTouchRateHourSMCS*pSystemsReworkHourspaSMCS)</f>
        <v>427407.27759172977</v>
      </c>
      <c r="F236" s="555">
        <f>(pSystemsTouchRateHourSMCS*pSystemsReworkHourspaSMCS)*(1+Inflation)^1</f>
        <v>435984.48490099015</v>
      </c>
      <c r="G236" s="555">
        <f>(pSystemsTouchRateHourSMCS*pSystemsReworkHourspaSMCS)*(1+Inflation)^2</f>
        <v>444733.81759158411</v>
      </c>
      <c r="H236" s="555">
        <f>(pSystemsTouchRateHourSMCS*pSystemsReworkHourspaSMCS)*(1+Inflation)^3</f>
        <v>453658.7297958415</v>
      </c>
      <c r="I236" s="555">
        <f>(pSystemsTouchRateHourSMCS*pSystemsReworkHourspaSMCS)*(1+Inflation)^4</f>
        <v>462762.74496123259</v>
      </c>
      <c r="J236" s="555">
        <f>(pSystemsTouchRateHourSMCS*pSystemsReworkHourspaSMCS)*(1+Inflation)^5</f>
        <v>472049.4572413211</v>
      </c>
      <c r="K236" s="555">
        <f>(pSystemsTouchRateHourSMCS*pSystemsReworkHourspaSMCS)*(1+Inflation)^6</f>
        <v>481522.53291462851</v>
      </c>
      <c r="L236" s="555">
        <f>(pSystemsTouchRateHourSMCS*pSystemsReworkHourspaSMCS)*(1+Inflation)^7</f>
        <v>491185.71183197165</v>
      </c>
      <c r="M236" s="555">
        <f>(pSystemsTouchRateHourSMCS*pSystemsReworkHourspaSMCS)*(1+Inflation)^8</f>
        <v>501042.80889284273</v>
      </c>
      <c r="N236" s="555">
        <f>(pSystemsTouchRateHourSMCS*pSystemsReworkHourspaSMCS)*(1+Inflation)^9</f>
        <v>511097.71555141598</v>
      </c>
      <c r="O236" s="535" t="s">
        <v>1420</v>
      </c>
    </row>
    <row r="237" spans="1:33" s="142" customFormat="1" ht="18" customHeight="1" outlineLevel="1" x14ac:dyDescent="0.2">
      <c r="A237" s="1410"/>
      <c r="B237" s="138"/>
      <c r="C237" s="235"/>
      <c r="D237" s="537" t="s">
        <v>1458</v>
      </c>
      <c r="E237" s="555">
        <f>(pSystemsTouchRateHourO1*pSystemsReworkHourspaO1)</f>
        <v>0</v>
      </c>
      <c r="F237" s="555">
        <f>(pSystemsTouchRateHourO1*pSystemsReworkHourspaO1)*(1+Inflation)^1</f>
        <v>0</v>
      </c>
      <c r="G237" s="555">
        <f>(pSystemsTouchRateHourO1*pSystemsReworkHourspaO1)*(1+Inflation)^2</f>
        <v>0</v>
      </c>
      <c r="H237" s="555">
        <f>(pSystemsTouchRateHourO1*pSystemsReworkHourspaO1)*(1+Inflation)^3</f>
        <v>0</v>
      </c>
      <c r="I237" s="555">
        <f>(pSystemsTouchRateHourO1*pSystemsReworkHourspaO1)*(1+Inflation)^4</f>
        <v>0</v>
      </c>
      <c r="J237" s="555">
        <f>(pSystemsTouchRateHourO1*pSystemsReworkHourspaO1)*(1+Inflation)^5</f>
        <v>0</v>
      </c>
      <c r="K237" s="555">
        <f>(pSystemsTouchRateHourO1*pSystemsReworkHourspaO1)*(1+Inflation)^6</f>
        <v>0</v>
      </c>
      <c r="L237" s="555">
        <f>(pSystemsTouchRateHourO1*pSystemsReworkHourspaO1)*(1+Inflation)^7</f>
        <v>0</v>
      </c>
      <c r="M237" s="555">
        <f>(pSystemsTouchRateHourO1*pSystemsReworkHourspaO1)*(1+Inflation)^8</f>
        <v>0</v>
      </c>
      <c r="N237" s="555">
        <f>(pSystemsTouchRateHourO1*pSystemsReworkHourspaO1)*(1+Inflation)^9</f>
        <v>0</v>
      </c>
      <c r="O237" s="535" t="s">
        <v>1421</v>
      </c>
    </row>
    <row r="238" spans="1:33" s="142" customFormat="1" ht="18" customHeight="1" outlineLevel="1" x14ac:dyDescent="0.2">
      <c r="A238" s="1410"/>
      <c r="B238" s="138"/>
      <c r="C238" s="235"/>
      <c r="D238" s="537" t="s">
        <v>1459</v>
      </c>
      <c r="E238" s="555">
        <f>(pSystemsTouchRateHourO2*pSystemsReworkHourspaO2)</f>
        <v>0</v>
      </c>
      <c r="F238" s="555">
        <f>(pSystemsTouchRateHourO2*pSystemsReworkHourspaO2)*(1+Inflation)^1</f>
        <v>0</v>
      </c>
      <c r="G238" s="555">
        <f>(pSystemsTouchRateHourO2*pSystemsReworkHourspaO2)*(1+Inflation)^2</f>
        <v>0</v>
      </c>
      <c r="H238" s="555">
        <f>(pSystemsTouchRateHourO2*pSystemsReworkHourspaO2)*(1+Inflation)^3</f>
        <v>0</v>
      </c>
      <c r="I238" s="555">
        <f>(pSystemsTouchRateHourO2*pSystemsReworkHourspaO2)*(1+Inflation)^4</f>
        <v>0</v>
      </c>
      <c r="J238" s="555">
        <f>(pSystemsTouchRateHourO2*pSystemsReworkHourspaO2)*(1+Inflation)^5</f>
        <v>0</v>
      </c>
      <c r="K238" s="555">
        <f>(pSystemsTouchRateHourO2*pSystemsReworkHourspaO2)*(1+Inflation)^6</f>
        <v>0</v>
      </c>
      <c r="L238" s="555">
        <f>(pSystemsTouchRateHourO2*pSystemsReworkHourspaO2)*(1+Inflation)^7</f>
        <v>0</v>
      </c>
      <c r="M238" s="555">
        <f>(pSystemsTouchRateHourO2*pSystemsReworkHourspaO2)*(1+Inflation)^8</f>
        <v>0</v>
      </c>
      <c r="N238" s="555">
        <f>(pSystemsTouchRateHourO2*pSystemsReworkHourspaO2)*(1+Inflation)^9</f>
        <v>0</v>
      </c>
      <c r="O238" s="535" t="s">
        <v>1422</v>
      </c>
    </row>
    <row r="239" spans="1:33" s="142" customFormat="1" ht="18" customHeight="1" outlineLevel="1" x14ac:dyDescent="0.25">
      <c r="A239" s="1410"/>
      <c r="B239" s="138"/>
      <c r="C239" s="235"/>
      <c r="D239" s="537" t="s">
        <v>1482</v>
      </c>
      <c r="E239" s="556">
        <f>SUM(E227:E238)</f>
        <v>3947004.9964964325</v>
      </c>
      <c r="F239" s="556">
        <f t="shared" ref="F239:M239" si="90">SUM(F227:F238)</f>
        <v>4019918.0491517452</v>
      </c>
      <c r="G239" s="556">
        <f t="shared" si="90"/>
        <v>4095740.7302441215</v>
      </c>
      <c r="H239" s="556">
        <f t="shared" si="90"/>
        <v>4188897.8828103449</v>
      </c>
      <c r="I239" s="556">
        <f t="shared" si="90"/>
        <v>4276121.9884237777</v>
      </c>
      <c r="J239" s="556">
        <f t="shared" si="90"/>
        <v>4365205.787480955</v>
      </c>
      <c r="K239" s="556">
        <f t="shared" si="90"/>
        <v>4456180.8511936162</v>
      </c>
      <c r="L239" s="556">
        <f t="shared" si="90"/>
        <v>4549081.0587901911</v>
      </c>
      <c r="M239" s="556">
        <f t="shared" si="90"/>
        <v>4643942.1924529895</v>
      </c>
      <c r="N239" s="556">
        <f t="shared" ref="N239" si="91">SUM(N227:N238)</f>
        <v>4740801.6656955369</v>
      </c>
      <c r="O239" s="535" t="s">
        <v>1483</v>
      </c>
    </row>
    <row r="240" spans="1:33" s="18" customFormat="1" ht="13.5" outlineLevel="1" thickBot="1" x14ac:dyDescent="0.25">
      <c r="A240" s="1411"/>
      <c r="B240" s="102"/>
      <c r="C240" s="170"/>
      <c r="D240" s="999"/>
      <c r="E240" s="526"/>
      <c r="F240" s="526"/>
      <c r="G240" s="526"/>
      <c r="H240" s="526"/>
      <c r="I240" s="526"/>
      <c r="J240" s="526"/>
      <c r="K240" s="526"/>
      <c r="L240" s="526"/>
      <c r="M240" s="526"/>
      <c r="N240" s="526"/>
      <c r="O240" s="527"/>
      <c r="P240" s="12"/>
      <c r="Q240" s="12"/>
      <c r="R240" s="12"/>
      <c r="S240" s="12"/>
      <c r="T240" s="12"/>
      <c r="U240" s="12"/>
      <c r="V240" s="12"/>
      <c r="W240" s="12"/>
      <c r="X240" s="12"/>
      <c r="Y240" s="12"/>
      <c r="Z240" s="12"/>
      <c r="AA240" s="12"/>
      <c r="AB240" s="12"/>
      <c r="AC240" s="12"/>
      <c r="AD240" s="12"/>
      <c r="AE240" s="12"/>
    </row>
    <row r="241" spans="1:33" s="18" customFormat="1" ht="13.5" outlineLevel="1" thickBot="1" x14ac:dyDescent="0.25">
      <c r="A241" s="102"/>
      <c r="B241" s="102"/>
      <c r="C241" s="30"/>
      <c r="D241" s="39"/>
      <c r="E241" s="23"/>
      <c r="F241" s="23"/>
      <c r="G241" s="23"/>
      <c r="H241" s="23"/>
      <c r="I241" s="23"/>
      <c r="J241" s="23"/>
      <c r="K241" s="23"/>
      <c r="L241" s="23"/>
      <c r="M241" s="23"/>
      <c r="N241" s="23"/>
      <c r="O241" s="23"/>
      <c r="P241" s="12"/>
      <c r="Q241" s="12"/>
      <c r="R241" s="12"/>
      <c r="S241" s="12"/>
      <c r="T241" s="12"/>
      <c r="U241" s="12"/>
      <c r="V241" s="12"/>
      <c r="W241" s="12"/>
      <c r="X241" s="12"/>
      <c r="Y241" s="12"/>
      <c r="Z241" s="12"/>
      <c r="AA241" s="12"/>
      <c r="AB241" s="12"/>
      <c r="AC241" s="12"/>
      <c r="AD241" s="12"/>
      <c r="AE241" s="12"/>
    </row>
    <row r="242" spans="1:33" s="8" customFormat="1" ht="20.25" outlineLevel="1" x14ac:dyDescent="0.2">
      <c r="A242" s="102"/>
      <c r="B242" s="102"/>
      <c r="C242" s="920" t="str">
        <f>Scenario2&amp;"  Rework Cost pa (based on Touch Hour Rate)"</f>
        <v>hSystems (Hybrid)  Rework Cost pa (based on Touch Hour Rate)</v>
      </c>
      <c r="D242" s="268"/>
      <c r="E242" s="316"/>
      <c r="F242" s="316"/>
      <c r="G242" s="316"/>
      <c r="H242" s="316"/>
      <c r="I242" s="316"/>
      <c r="J242" s="316"/>
      <c r="K242" s="316"/>
      <c r="L242" s="316"/>
      <c r="M242" s="316"/>
      <c r="N242" s="316"/>
      <c r="O242" s="566"/>
      <c r="P242" s="17"/>
      <c r="Q242" s="17"/>
      <c r="R242" s="17"/>
      <c r="S242" s="17"/>
      <c r="T242" s="17"/>
      <c r="U242" s="17"/>
      <c r="V242" s="17"/>
      <c r="W242" s="17"/>
      <c r="X242" s="17"/>
      <c r="Y242" s="17"/>
      <c r="Z242" s="17"/>
      <c r="AA242" s="17"/>
      <c r="AB242" s="17"/>
      <c r="AC242" s="17"/>
      <c r="AD242" s="17"/>
      <c r="AE242" s="17"/>
      <c r="AF242" s="17"/>
      <c r="AG242" s="17"/>
    </row>
    <row r="243" spans="1:33" s="8" customFormat="1" ht="14.1" customHeight="1" outlineLevel="1" x14ac:dyDescent="0.2">
      <c r="A243" s="102"/>
      <c r="B243" s="102"/>
      <c r="C243" s="284"/>
      <c r="D243" s="174"/>
      <c r="E243" s="554"/>
      <c r="F243" s="554"/>
      <c r="G243" s="554"/>
      <c r="H243" s="554"/>
      <c r="I243" s="554"/>
      <c r="J243" s="554"/>
      <c r="K243" s="554"/>
      <c r="L243" s="554"/>
      <c r="M243" s="554"/>
      <c r="N243" s="554"/>
      <c r="O243" s="994"/>
      <c r="P243" s="17"/>
      <c r="Q243" s="17"/>
      <c r="R243" s="17"/>
      <c r="S243" s="17"/>
      <c r="T243" s="17"/>
      <c r="U243" s="17"/>
      <c r="V243" s="17"/>
      <c r="W243" s="17"/>
      <c r="X243" s="17"/>
      <c r="Y243" s="17"/>
      <c r="Z243" s="17"/>
      <c r="AA243" s="17"/>
      <c r="AB243" s="17"/>
      <c r="AC243" s="17"/>
      <c r="AD243" s="17"/>
      <c r="AE243" s="17"/>
      <c r="AF243" s="17"/>
      <c r="AG243" s="17"/>
    </row>
    <row r="244" spans="1:33" s="142" customFormat="1" ht="18" customHeight="1" outlineLevel="1" x14ac:dyDescent="0.2">
      <c r="A244" s="102"/>
      <c r="B244" s="138"/>
      <c r="C244" s="235"/>
      <c r="D244" s="537" t="s">
        <v>1423</v>
      </c>
      <c r="E244" s="555">
        <f>(hSystemsTouchRateHourHM*hSystemsReworkHourspaHM)</f>
        <v>29125.072801397793</v>
      </c>
      <c r="F244" s="555">
        <f>(hSystemsTouchRateHourHM*hSystemsReworkHourspaHM)*(1+Inflation)^1</f>
        <v>13645.933613769541</v>
      </c>
      <c r="G244" s="555">
        <f>(hSystemsTouchRateHourHM*hSystemsReworkHourspaHM)*(1+Inflation)^2</f>
        <v>11687.627530056578</v>
      </c>
      <c r="H244" s="555">
        <f>(hSystemsTouchRateHourHM*hSystemsReworkHourspaHM)*(1+Inflation)^3</f>
        <v>12260.090676680607</v>
      </c>
      <c r="I244" s="555">
        <f>(hSystemsTouchRateHourHM*hSystemsReworkHourspaHM)*(1+Inflation)^4</f>
        <v>12979.613819551427</v>
      </c>
      <c r="J244" s="555">
        <f>(hSystemsTouchRateHourHM*hSystemsReworkHourspaHM)*(1+Inflation)^5</f>
        <v>13730.067318126235</v>
      </c>
      <c r="K244" s="555">
        <f>(hSystemsTouchRateHourHM*hSystemsReworkHourspaHM)*(1+Inflation)^6</f>
        <v>14511.192671279043</v>
      </c>
      <c r="L244" s="555">
        <f>(hSystemsTouchRateHourHM*hSystemsReworkHourspaHM)*(1+Inflation)^7</f>
        <v>15322.98128216749</v>
      </c>
      <c r="M244" s="555">
        <f>(hSystemsTouchRateHourHM*hSystemsReworkHourspaHM)*(1+Inflation)^8</f>
        <v>16165.610690379226</v>
      </c>
      <c r="N244" s="555">
        <f>(hSystemsTouchRateHourHM*hSystemsReworkHourspaHM)*(1+Inflation)^9</f>
        <v>17039.401096768994</v>
      </c>
      <c r="O244" s="535" t="s">
        <v>1424</v>
      </c>
    </row>
    <row r="245" spans="1:33" s="142" customFormat="1" ht="18" customHeight="1" outlineLevel="1" x14ac:dyDescent="0.2">
      <c r="A245" s="102"/>
      <c r="B245" s="138"/>
      <c r="C245" s="235"/>
      <c r="D245" s="537" t="s">
        <v>1460</v>
      </c>
      <c r="E245" s="555">
        <f>(hSystemsTouchRateHourLM*hSystemsReworkHourspaLM)</f>
        <v>180919.16340793745</v>
      </c>
      <c r="F245" s="555">
        <f>(hSystemsTouchRateHourLM*hSystemsReworkHourspaLM)*(1+Inflation)^1</f>
        <v>92277.999292786451</v>
      </c>
      <c r="G245" s="555">
        <f>(hSystemsTouchRateHourLM*hSystemsReworkHourspaLM)*(1+Inflation)^2</f>
        <v>84719.672777227737</v>
      </c>
      <c r="H245" s="555">
        <f>(hSystemsTouchRateHourLM*hSystemsReworkHourspaLM)*(1+Inflation)^3</f>
        <v>76820.18226466763</v>
      </c>
      <c r="I245" s="555">
        <f>(hSystemsTouchRateHourLM*hSystemsReworkHourspaLM)*(1+Inflation)^4</f>
        <v>78364.418435541738</v>
      </c>
      <c r="J245" s="555">
        <f>(hSystemsTouchRateHourLM*hSystemsReworkHourspaLM)*(1+Inflation)^5</f>
        <v>79939.695980344972</v>
      </c>
      <c r="K245" s="555">
        <f>(hSystemsTouchRateHourLM*hSystemsReworkHourspaLM)*(1+Inflation)^6</f>
        <v>81546.638859566097</v>
      </c>
      <c r="L245" s="555">
        <f>(hSystemsTouchRateHourLM*hSystemsReworkHourspaLM)*(1+Inflation)^7</f>
        <v>83185.88357556393</v>
      </c>
      <c r="M245" s="555">
        <f>(hSystemsTouchRateHourLM*hSystemsReworkHourspaLM)*(1+Inflation)^8</f>
        <v>84858.07942465783</v>
      </c>
      <c r="N245" s="555">
        <f>(hSystemsTouchRateHourLM*hSystemsReworkHourspaLM)*(1+Inflation)^9</f>
        <v>86563.888754285275</v>
      </c>
      <c r="O245" s="535" t="s">
        <v>1425</v>
      </c>
    </row>
    <row r="246" spans="1:33" s="142" customFormat="1" ht="18" customHeight="1" outlineLevel="1" x14ac:dyDescent="0.2">
      <c r="A246" s="102"/>
      <c r="B246" s="138"/>
      <c r="C246" s="235"/>
      <c r="D246" s="551" t="s">
        <v>1461</v>
      </c>
      <c r="E246" s="555">
        <f>(hSystemsTouchRateHourENG*hSystemsReworkHourspaENG)</f>
        <v>196330.29978575592</v>
      </c>
      <c r="F246" s="555">
        <f>(hSystemsTouchRateHourENG*hSystemsReworkHourspaENG)*(1+Inflation)^1</f>
        <v>100137.55464992931</v>
      </c>
      <c r="G246" s="555">
        <f>(hSystemsTouchRateHourENG*hSystemsReworkHourspaENG)*(1+Inflation)^2</f>
        <v>91934.630583574966</v>
      </c>
      <c r="H246" s="555">
        <f>(hSystemsTouchRateHourENG*hSystemsReworkHourspaENG)*(1+Inflation)^3</f>
        <v>83361.640638653495</v>
      </c>
      <c r="I246" s="555">
        <f>(hSystemsTouchRateHourENG*hSystemsReworkHourspaENG)*(1+Inflation)^4</f>
        <v>85036.600539162959</v>
      </c>
      <c r="J246" s="555">
        <f>(hSystemsTouchRateHourENG*hSystemsReworkHourspaENG)*(1+Inflation)^5</f>
        <v>86745.21417943736</v>
      </c>
      <c r="K246" s="555">
        <f>(hSystemsTouchRateHourENG*hSystemsReworkHourspaENG)*(1+Inflation)^6</f>
        <v>88488.15772510707</v>
      </c>
      <c r="L246" s="555">
        <f>(hSystemsTouchRateHourENG*hSystemsReworkHourspaENG)*(1+Inflation)^7</f>
        <v>90266.120926931762</v>
      </c>
      <c r="M246" s="555">
        <f>(hSystemsTouchRateHourENG*hSystemsReworkHourspaENG)*(1+Inflation)^8</f>
        <v>92079.807393739451</v>
      </c>
      <c r="N246" s="555">
        <f>(hSystemsTouchRateHourENG*hSystemsReworkHourspaENG)*(1+Inflation)^9</f>
        <v>93929.93487084865</v>
      </c>
      <c r="O246" s="535" t="s">
        <v>1426</v>
      </c>
    </row>
    <row r="247" spans="1:33" s="142" customFormat="1" ht="18" customHeight="1" outlineLevel="1" x14ac:dyDescent="0.2">
      <c r="A247" s="102"/>
      <c r="B247" s="138"/>
      <c r="C247" s="235"/>
      <c r="D247" s="537" t="s">
        <v>1462</v>
      </c>
      <c r="E247" s="555">
        <f>(hSystemsTouchRateHourPLG*hSystemsReworkHourspaPLG)</f>
        <v>169157.88012729847</v>
      </c>
      <c r="F247" s="555">
        <f>(hSystemsTouchRateHourPLG*hSystemsReworkHourspaPLG)*(1+Inflation)^1</f>
        <v>86278.360926449779</v>
      </c>
      <c r="G247" s="555">
        <f>(hSystemsTouchRateHourPLG*hSystemsReworkHourspaPLG)*(1+Inflation)^2</f>
        <v>79210.734342963231</v>
      </c>
      <c r="H247" s="555">
        <f>(hSystemsTouchRateHourPLG*hSystemsReworkHourspaPLG)*(1+Inflation)^3</f>
        <v>71824.259575603981</v>
      </c>
      <c r="I247" s="555">
        <f>(hSystemsTouchRateHourPLG*hSystemsReworkHourspaPLG)*(1+Inflation)^4</f>
        <v>73267.402413859687</v>
      </c>
      <c r="J247" s="555">
        <f>(hSystemsTouchRateHourPLG*hSystemsReworkHourspaPLG)*(1+Inflation)^5</f>
        <v>74739.541261815422</v>
      </c>
      <c r="K247" s="555">
        <f>(hSystemsTouchRateHourPLG*hSystemsReworkHourspaPLG)*(1+Inflation)^6</f>
        <v>76241.258702723819</v>
      </c>
      <c r="L247" s="555">
        <f>(hSystemsTouchRateHourPLG*hSystemsReworkHourspaPLG)*(1+Inflation)^7</f>
        <v>77773.149024763828</v>
      </c>
      <c r="M247" s="555">
        <f>(hSystemsTouchRateHourPLG*hSystemsReworkHourspaPLG)*(1+Inflation)^8</f>
        <v>79335.818456204346</v>
      </c>
      <c r="N247" s="555">
        <f>(hSystemsTouchRateHourPLG*hSystemsReworkHourspaPLG)*(1+Inflation)^9</f>
        <v>80929.885405292574</v>
      </c>
      <c r="O247" s="535" t="s">
        <v>1427</v>
      </c>
    </row>
    <row r="248" spans="1:33" s="142" customFormat="1" ht="18" customHeight="1" outlineLevel="1" x14ac:dyDescent="0.2">
      <c r="A248" s="102"/>
      <c r="B248" s="138"/>
      <c r="C248" s="235"/>
      <c r="D248" s="537" t="s">
        <v>1463</v>
      </c>
      <c r="E248" s="555">
        <f>(hSystemsTouchRateHourCRT*hSystemsReworkHourspaCRT)</f>
        <v>108549.68903402948</v>
      </c>
      <c r="F248" s="555">
        <f>(hSystemsTouchRateHourCRT*hSystemsReworkHourspaCRT)*(1+Inflation)^1</f>
        <v>55364.954384724195</v>
      </c>
      <c r="G248" s="555">
        <f>(hSystemsTouchRateHourCRT*hSystemsReworkHourspaCRT)*(1+Inflation)^2</f>
        <v>50829.262838401701</v>
      </c>
      <c r="H248" s="555">
        <f>(hSystemsTouchRateHourCRT*hSystemsReworkHourspaCRT)*(1+Inflation)^3</f>
        <v>46089.037780141458</v>
      </c>
      <c r="I248" s="555">
        <f>(hSystemsTouchRateHourCRT*hSystemsReworkHourspaCRT)*(1+Inflation)^4</f>
        <v>47014.734798534664</v>
      </c>
      <c r="J248" s="555">
        <f>(hSystemsTouchRateHourCRT*hSystemsReworkHourspaCRT)*(1+Inflation)^5</f>
        <v>47959.024082551558</v>
      </c>
      <c r="K248" s="555">
        <f>(hSystemsTouchRateHourCRT*hSystemsReworkHourspaCRT)*(1+Inflation)^6</f>
        <v>48922.279044009701</v>
      </c>
      <c r="L248" s="555">
        <f>(hSystemsTouchRateHourCRT*hSystemsReworkHourspaCRT)*(1+Inflation)^7</f>
        <v>49904.880594293143</v>
      </c>
      <c r="M248" s="555">
        <f>(hSystemsTouchRateHourCRT*hSystemsReworkHourspaCRT)*(1+Inflation)^8</f>
        <v>50907.217294970331</v>
      </c>
      <c r="N248" s="555">
        <f>(hSystemsTouchRateHourCRT*hSystemsReworkHourspaCRT)*(1+Inflation)^9</f>
        <v>51929.685511436866</v>
      </c>
      <c r="O248" s="535" t="s">
        <v>1428</v>
      </c>
    </row>
    <row r="249" spans="1:33" s="142" customFormat="1" ht="18" customHeight="1" outlineLevel="1" x14ac:dyDescent="0.2">
      <c r="A249" s="102"/>
      <c r="B249" s="138"/>
      <c r="C249" s="235"/>
      <c r="D249" s="537" t="s">
        <v>1464</v>
      </c>
      <c r="E249" s="555">
        <f>(hSystemsTouchRateHourSCL*hSystemsReworkHourspaSCL)</f>
        <v>141113.6912388718</v>
      </c>
      <c r="F249" s="555">
        <f>(hSystemsTouchRateHourSCL*hSystemsReworkHourspaSCL)*(1+Inflation)^1</f>
        <v>71973.518104667601</v>
      </c>
      <c r="G249" s="555">
        <f>(hSystemsTouchRateHourSCL*hSystemsReworkHourspaSCL)*(1+Inflation)^2</f>
        <v>66076.771275954743</v>
      </c>
      <c r="H249" s="555">
        <f>(hSystemsTouchRateHourSCL*hSystemsReworkHourspaSCL)*(1+Inflation)^3</f>
        <v>59914.213324854325</v>
      </c>
      <c r="I249" s="555">
        <f>(hSystemsTouchRateHourSCL*hSystemsReworkHourspaSCL)*(1+Inflation)^4</f>
        <v>61117.197106699859</v>
      </c>
      <c r="J249" s="555">
        <f>(hSystemsTouchRateHourSCL*hSystemsReworkHourspaSCL)*(1+Inflation)^5</f>
        <v>62344.334554489295</v>
      </c>
      <c r="K249" s="555">
        <f>(hSystemsTouchRateHourSCL*hSystemsReworkHourspaSCL)*(1+Inflation)^6</f>
        <v>63596.110621347623</v>
      </c>
      <c r="L249" s="555">
        <f>(hSystemsTouchRateHourSCL*hSystemsReworkHourspaSCL)*(1+Inflation)^7</f>
        <v>64873.019997058473</v>
      </c>
      <c r="M249" s="555">
        <f>(hSystemsTouchRateHourSCL*hSystemsReworkHourspaSCL)*(1+Inflation)^8</f>
        <v>66175.567303549222</v>
      </c>
      <c r="N249" s="555">
        <f>(hSystemsTouchRateHourSCL*hSystemsReworkHourspaSCL)*(1+Inflation)^9</f>
        <v>67504.267294300778</v>
      </c>
      <c r="O249" s="535" t="s">
        <v>1429</v>
      </c>
    </row>
    <row r="250" spans="1:33" s="142" customFormat="1" ht="18" customHeight="1" outlineLevel="1" x14ac:dyDescent="0.2">
      <c r="A250" s="102"/>
      <c r="B250" s="138"/>
      <c r="C250" s="235"/>
      <c r="D250" s="537" t="s">
        <v>1465</v>
      </c>
      <c r="E250" s="555">
        <f>(hSystemsTouchRateHourQSC*hSystemsReworkHourspaQSC)</f>
        <v>189959.69454613532</v>
      </c>
      <c r="F250" s="555">
        <f>(hSystemsTouchRateHourQSC*hSystemsReworkHourspaQSC)*(1+Inflation)^1</f>
        <v>96886.363684582742</v>
      </c>
      <c r="G250" s="555">
        <f>(hSystemsTouchRateHourQSC*hSystemsReworkHourspaQSC)*(1+Inflation)^2</f>
        <v>88948.033932284307</v>
      </c>
      <c r="H250" s="555">
        <f>(hSystemsTouchRateHourQSC*hSystemsReworkHourspaQSC)*(1+Inflation)^3</f>
        <v>80651.97664192364</v>
      </c>
      <c r="I250" s="555">
        <f>(hSystemsTouchRateHourQSC*hSystemsReworkHourspaQSC)*(1+Inflation)^4</f>
        <v>82270.890568947681</v>
      </c>
      <c r="J250" s="555">
        <f>(hSystemsTouchRateHourQSC*hSystemsReworkHourspaQSC)*(1+Inflation)^5</f>
        <v>83922.300262395904</v>
      </c>
      <c r="K250" s="555">
        <f>(hSystemsTouchRateHourQSC*hSystemsReworkHourspaQSC)*(1+Inflation)^6</f>
        <v>85606.85798735451</v>
      </c>
      <c r="L250" s="555">
        <f>(hSystemsTouchRateHourQSC*hSystemsReworkHourspaQSC)*(1+Inflation)^7</f>
        <v>87325.229101206467</v>
      </c>
      <c r="M250" s="555">
        <f>(hSystemsTouchRateHourQSC*hSystemsReworkHourspaQSC)*(1+Inflation)^8</f>
        <v>89078.092316417591</v>
      </c>
      <c r="N250" s="555">
        <f>(hSystemsTouchRateHourQSC*hSystemsReworkHourspaQSC)*(1+Inflation)^9</f>
        <v>90866.139968596646</v>
      </c>
      <c r="O250" s="535" t="s">
        <v>1430</v>
      </c>
    </row>
    <row r="251" spans="1:33" s="142" customFormat="1" ht="18" customHeight="1" outlineLevel="1" x14ac:dyDescent="0.2">
      <c r="A251" s="102"/>
      <c r="B251" s="138"/>
      <c r="C251" s="235"/>
      <c r="D251" s="537" t="s">
        <v>1466</v>
      </c>
      <c r="E251" s="555">
        <f>(hSystemsTouchRateHourEM*hSystemsReworkHourspaEM)</f>
        <v>162821.82003494471</v>
      </c>
      <c r="F251" s="555">
        <f>(hSystemsTouchRateHourEM*hSystemsReworkHourspaEM)*(1+Inflation)^1</f>
        <v>83044.663790664781</v>
      </c>
      <c r="G251" s="555">
        <f>(hSystemsTouchRateHourEM*hSystemsReworkHourspaEM)*(1+Inflation)^2</f>
        <v>76240.083015700147</v>
      </c>
      <c r="H251" s="555">
        <f>(hSystemsTouchRateHourEM*hSystemsReworkHourspaEM)*(1+Inflation)^3</f>
        <v>69128.949302223482</v>
      </c>
      <c r="I251" s="555">
        <f>(hSystemsTouchRateHourEM*hSystemsReworkHourspaEM)*(1+Inflation)^4</f>
        <v>70516.227803616421</v>
      </c>
      <c r="J251" s="555">
        <f>(hSystemsTouchRateHourEM*hSystemsReworkHourspaEM)*(1+Inflation)^5</f>
        <v>71931.345865344178</v>
      </c>
      <c r="K251" s="555">
        <f>(hSystemsTouchRateHourEM*hSystemsReworkHourspaEM)*(1+Inflation)^6</f>
        <v>73374.862158419593</v>
      </c>
      <c r="L251" s="555">
        <f>(hSystemsTouchRateHourEM*hSystemsReworkHourspaEM)*(1+Inflation)^7</f>
        <v>74847.346564871885</v>
      </c>
      <c r="M251" s="555">
        <f>(hSystemsTouchRateHourEM*hSystemsReworkHourspaEM)*(1+Inflation)^8</f>
        <v>76349.380402718918</v>
      </c>
      <c r="N251" s="555">
        <f>(hSystemsTouchRateHourEM*hSystemsReworkHourspaEM)*(1+Inflation)^9</f>
        <v>77881.556655453867</v>
      </c>
      <c r="O251" s="535" t="s">
        <v>1431</v>
      </c>
    </row>
    <row r="252" spans="1:33" s="142" customFormat="1" ht="18" customHeight="1" outlineLevel="1" x14ac:dyDescent="0.2">
      <c r="A252" s="102"/>
      <c r="B252" s="138"/>
      <c r="C252" s="235"/>
      <c r="D252" s="537" t="s">
        <v>1467</v>
      </c>
      <c r="E252" s="555">
        <f>(hSystemsTouchRateHourCM*hSystemsReworkHourspaCM)</f>
        <v>162821.82003494471</v>
      </c>
      <c r="F252" s="555">
        <f>(hSystemsTouchRateHourCM*hSystemsReworkHourspaCM)*(1+Inflation)^1</f>
        <v>83044.663790664781</v>
      </c>
      <c r="G252" s="555">
        <f>(hSystemsTouchRateHourCM*hSystemsReworkHourspaCM)*(1+Inflation)^2</f>
        <v>76240.083015700147</v>
      </c>
      <c r="H252" s="555">
        <f>(hSystemsTouchRateHourCM*hSystemsReworkHourspaCM)*(1+Inflation)^3</f>
        <v>69128.949302223482</v>
      </c>
      <c r="I252" s="555">
        <f>(hSystemsTouchRateHourCM*hSystemsReworkHourspaCM)*(1+Inflation)^4</f>
        <v>70516.227803616421</v>
      </c>
      <c r="J252" s="555">
        <f>(hSystemsTouchRateHourCM*hSystemsReworkHourspaCM)*(1+Inflation)^5</f>
        <v>71931.345865344178</v>
      </c>
      <c r="K252" s="555">
        <f>(hSystemsTouchRateHourCM*hSystemsReworkHourspaCM)*(1+Inflation)^6</f>
        <v>73374.862158419593</v>
      </c>
      <c r="L252" s="555">
        <f>(hSystemsTouchRateHourCM*hSystemsReworkHourspaCM)*(1+Inflation)^7</f>
        <v>74847.346564871885</v>
      </c>
      <c r="M252" s="555">
        <f>(hSystemsTouchRateHourCM*hSystemsReworkHourspaCM)*(1+Inflation)^8</f>
        <v>76349.380402718918</v>
      </c>
      <c r="N252" s="555">
        <f>(hSystemsTouchRateHourCM*hSystemsReworkHourspaCM)*(1+Inflation)^9</f>
        <v>77881.556655453867</v>
      </c>
      <c r="O252" s="535" t="s">
        <v>1432</v>
      </c>
    </row>
    <row r="253" spans="1:33" s="142" customFormat="1" ht="18" customHeight="1" outlineLevel="1" x14ac:dyDescent="0.2">
      <c r="A253" s="102"/>
      <c r="B253" s="138"/>
      <c r="C253" s="235"/>
      <c r="D253" s="537" t="s">
        <v>1468</v>
      </c>
      <c r="E253" s="555">
        <f>(hSystemsTouchRateHourSMCS*hSystemsReworkHourspaSMCS)</f>
        <v>162821.82003494471</v>
      </c>
      <c r="F253" s="555">
        <f>(hSystemsTouchRateHourSMCS*hSystemsReworkHourspaSMCS)*(1+Inflation)^1</f>
        <v>83044.663790664781</v>
      </c>
      <c r="G253" s="555">
        <f>(hSystemsTouchRateHourSMCS*hSystemsReworkHourspaSMCS)*(1+Inflation)^2</f>
        <v>76240.083015700147</v>
      </c>
      <c r="H253" s="555">
        <f>(hSystemsTouchRateHourSMCS*hSystemsReworkHourspaSMCS)*(1+Inflation)^3</f>
        <v>69128.949302223482</v>
      </c>
      <c r="I253" s="555">
        <f>(hSystemsTouchRateHourSMCS*hSystemsReworkHourspaSMCS)*(1+Inflation)^4</f>
        <v>70516.227803616421</v>
      </c>
      <c r="J253" s="555">
        <f>(hSystemsTouchRateHourSMCS*hSystemsReworkHourspaSMCS)*(1+Inflation)^5</f>
        <v>71931.345865344178</v>
      </c>
      <c r="K253" s="555">
        <f>(hSystemsTouchRateHourSMCS*hSystemsReworkHourspaSMCS)*(1+Inflation)^6</f>
        <v>73374.862158419593</v>
      </c>
      <c r="L253" s="555">
        <f>(hSystemsTouchRateHourSMCS*hSystemsReworkHourspaSMCS)*(1+Inflation)^7</f>
        <v>74847.346564871885</v>
      </c>
      <c r="M253" s="555">
        <f>(hSystemsTouchRateHourSMCS*hSystemsReworkHourspaSMCS)*(1+Inflation)^8</f>
        <v>76349.380402718918</v>
      </c>
      <c r="N253" s="555">
        <f>(hSystemsTouchRateHourSMCS*hSystemsReworkHourspaSMCS)*(1+Inflation)^9</f>
        <v>77881.556655453867</v>
      </c>
      <c r="O253" s="535" t="s">
        <v>1433</v>
      </c>
    </row>
    <row r="254" spans="1:33" s="142" customFormat="1" ht="18" customHeight="1" outlineLevel="1" x14ac:dyDescent="0.2">
      <c r="A254" s="102"/>
      <c r="B254" s="138"/>
      <c r="C254" s="235"/>
      <c r="D254" s="537" t="s">
        <v>1469</v>
      </c>
      <c r="E254" s="555">
        <f>(hSystemsTouchRateHourO1*hSystemsReworkHourspaO1)</f>
        <v>0</v>
      </c>
      <c r="F254" s="555">
        <f>(hSystemsTouchRateHourO1*hSystemsReworkHourspaO1)*(1+Inflation)^1</f>
        <v>0</v>
      </c>
      <c r="G254" s="555">
        <f>(hSystemsTouchRateHourO1*hSystemsReworkHourspaO1)*(1+Inflation)^2</f>
        <v>0</v>
      </c>
      <c r="H254" s="555">
        <f>(hSystemsTouchRateHourO1*hSystemsReworkHourspaO1)*(1+Inflation)^3</f>
        <v>0</v>
      </c>
      <c r="I254" s="555">
        <f>(hSystemsTouchRateHourO1*hSystemsReworkHourspaO1)*(1+Inflation)^4</f>
        <v>0</v>
      </c>
      <c r="J254" s="555">
        <f>(hSystemsTouchRateHourO1*hSystemsReworkHourspaO1)*(1+Inflation)^5</f>
        <v>0</v>
      </c>
      <c r="K254" s="555">
        <f>(hSystemsTouchRateHourO1*hSystemsReworkHourspaO1)*(1+Inflation)^6</f>
        <v>0</v>
      </c>
      <c r="L254" s="555">
        <f>(hSystemsTouchRateHourO1*hSystemsReworkHourspaO1)*(1+Inflation)^7</f>
        <v>0</v>
      </c>
      <c r="M254" s="555">
        <f>(hSystemsTouchRateHourO1*hSystemsReworkHourspaO1)*(1+Inflation)^8</f>
        <v>0</v>
      </c>
      <c r="N254" s="555">
        <f>(hSystemsTouchRateHourO1*hSystemsReworkHourspaO1)*(1+Inflation)^9</f>
        <v>0</v>
      </c>
      <c r="O254" s="535" t="s">
        <v>1434</v>
      </c>
    </row>
    <row r="255" spans="1:33" s="142" customFormat="1" ht="18" customHeight="1" outlineLevel="1" x14ac:dyDescent="0.2">
      <c r="A255" s="102"/>
      <c r="B255" s="138"/>
      <c r="C255" s="235"/>
      <c r="D255" s="537" t="s">
        <v>1470</v>
      </c>
      <c r="E255" s="555">
        <f>(hSystemsTouchRateHourO2*hSystemsReworkHourspaO2)</f>
        <v>0</v>
      </c>
      <c r="F255" s="555">
        <f>(hSystemsTouchRateHourO2*hSystemsReworkHourspaO2)*(1+Inflation)^1</f>
        <v>0</v>
      </c>
      <c r="G255" s="555">
        <f>(hSystemsTouchRateHourO2*hSystemsReworkHourspaO2)*(1+Inflation)^2</f>
        <v>0</v>
      </c>
      <c r="H255" s="555">
        <f>(hSystemsTouchRateHourO2*hSystemsReworkHourspaO2)*(1+Inflation)^3</f>
        <v>0</v>
      </c>
      <c r="I255" s="555">
        <f>(hSystemsTouchRateHourO2*hSystemsReworkHourspaO2)*(1+Inflation)^4</f>
        <v>0</v>
      </c>
      <c r="J255" s="555">
        <f>(hSystemsTouchRateHourO2*hSystemsReworkHourspaO2)*(1+Inflation)^5</f>
        <v>0</v>
      </c>
      <c r="K255" s="555">
        <f>(hSystemsTouchRateHourO2*hSystemsReworkHourspaO2)*(1+Inflation)^6</f>
        <v>0</v>
      </c>
      <c r="L255" s="555">
        <f>(hSystemsTouchRateHourO2*hSystemsReworkHourspaO2)*(1+Inflation)^7</f>
        <v>0</v>
      </c>
      <c r="M255" s="555">
        <f>(hSystemsTouchRateHourO2*hSystemsReworkHourspaO2)*(1+Inflation)^8</f>
        <v>0</v>
      </c>
      <c r="N255" s="555">
        <f>(hSystemsTouchRateHourO2*hSystemsReworkHourspaO2)*(1+Inflation)^9</f>
        <v>0</v>
      </c>
      <c r="O255" s="535" t="s">
        <v>1435</v>
      </c>
    </row>
    <row r="256" spans="1:33" s="142" customFormat="1" ht="18" customHeight="1" outlineLevel="1" thickBot="1" x14ac:dyDescent="0.3">
      <c r="A256" s="102"/>
      <c r="B256" s="138"/>
      <c r="C256" s="235"/>
      <c r="D256" s="537" t="s">
        <v>1484</v>
      </c>
      <c r="E256" s="998">
        <f>SUM(E244:E255)</f>
        <v>1503620.9510462603</v>
      </c>
      <c r="F256" s="998">
        <f t="shared" ref="F256:N256" si="92">SUM(F244:F255)</f>
        <v>765698.67602890392</v>
      </c>
      <c r="G256" s="998">
        <f t="shared" si="92"/>
        <v>702126.98232756357</v>
      </c>
      <c r="H256" s="998">
        <f t="shared" si="92"/>
        <v>638308.24880919571</v>
      </c>
      <c r="I256" s="998">
        <f t="shared" si="92"/>
        <v>651599.54109314736</v>
      </c>
      <c r="J256" s="998">
        <f t="shared" si="92"/>
        <v>665174.21523519326</v>
      </c>
      <c r="K256" s="998">
        <f t="shared" si="92"/>
        <v>679037.08208664658</v>
      </c>
      <c r="L256" s="998">
        <f t="shared" si="92"/>
        <v>693193.30419660069</v>
      </c>
      <c r="M256" s="998">
        <f t="shared" si="92"/>
        <v>707648.33408807474</v>
      </c>
      <c r="N256" s="998">
        <f t="shared" si="92"/>
        <v>722407.87286789133</v>
      </c>
      <c r="O256" s="572" t="s">
        <v>1485</v>
      </c>
    </row>
    <row r="257" spans="1:33" s="18" customFormat="1" ht="13.5" outlineLevel="1" thickBot="1" x14ac:dyDescent="0.25">
      <c r="A257" s="102"/>
      <c r="B257" s="102"/>
      <c r="C257" s="170"/>
      <c r="D257" s="999"/>
      <c r="E257" s="171"/>
      <c r="F257" s="171"/>
      <c r="G257" s="171"/>
      <c r="H257" s="171"/>
      <c r="I257" s="171"/>
      <c r="J257" s="171"/>
      <c r="K257" s="171"/>
      <c r="L257" s="171"/>
      <c r="M257" s="171"/>
      <c r="N257" s="526"/>
      <c r="O257" s="171"/>
      <c r="P257" s="12"/>
      <c r="Q257" s="12"/>
      <c r="R257" s="12"/>
      <c r="S257" s="12"/>
      <c r="T257" s="12"/>
      <c r="U257" s="12"/>
      <c r="V257" s="12"/>
      <c r="W257" s="12"/>
      <c r="X257" s="12"/>
      <c r="Y257" s="12"/>
      <c r="Z257" s="12"/>
      <c r="AA257" s="12"/>
      <c r="AB257" s="12"/>
      <c r="AC257" s="12"/>
      <c r="AD257" s="12"/>
      <c r="AE257" s="12"/>
    </row>
    <row r="258" spans="1:33" s="18" customFormat="1" ht="13.5" outlineLevel="1" thickBot="1" x14ac:dyDescent="0.25">
      <c r="A258" s="102"/>
      <c r="B258" s="102"/>
      <c r="C258" s="30"/>
      <c r="D258" s="39"/>
      <c r="E258" s="23"/>
      <c r="F258" s="23"/>
      <c r="G258" s="23"/>
      <c r="H258" s="23"/>
      <c r="I258" s="23"/>
      <c r="J258" s="23"/>
      <c r="K258" s="23"/>
      <c r="L258" s="23"/>
      <c r="M258" s="23"/>
      <c r="N258" s="23"/>
      <c r="O258" s="23"/>
      <c r="P258" s="12"/>
      <c r="Q258" s="12"/>
      <c r="R258" s="12"/>
      <c r="S258" s="12"/>
      <c r="T258" s="12"/>
      <c r="U258" s="12"/>
      <c r="V258" s="12"/>
      <c r="W258" s="12"/>
      <c r="X258" s="12"/>
      <c r="Y258" s="12"/>
      <c r="Z258" s="12"/>
      <c r="AA258" s="12"/>
      <c r="AB258" s="12"/>
      <c r="AC258" s="12"/>
      <c r="AD258" s="12"/>
      <c r="AE258" s="12"/>
    </row>
    <row r="259" spans="1:33" s="8" customFormat="1" ht="20.25" outlineLevel="1" x14ac:dyDescent="0.2">
      <c r="A259" s="102"/>
      <c r="B259" s="102"/>
      <c r="C259" s="933" t="str">
        <f>Scenario3&amp;"  Rework Cost pa (based on Touch Hour Rate)"</f>
        <v>eSystems (Paperless)  Rework Cost pa (based on Touch Hour Rate)</v>
      </c>
      <c r="D259" s="268"/>
      <c r="E259" s="316"/>
      <c r="F259" s="316"/>
      <c r="G259" s="316"/>
      <c r="H259" s="316"/>
      <c r="I259" s="316"/>
      <c r="J259" s="316"/>
      <c r="K259" s="316"/>
      <c r="L259" s="316"/>
      <c r="M259" s="316"/>
      <c r="N259" s="316"/>
      <c r="O259" s="566"/>
      <c r="P259" s="17"/>
      <c r="Q259" s="17"/>
      <c r="R259" s="17"/>
      <c r="S259" s="17"/>
      <c r="T259" s="17"/>
      <c r="U259" s="17"/>
      <c r="V259" s="17"/>
      <c r="W259" s="17"/>
      <c r="X259" s="17"/>
      <c r="Y259" s="17"/>
      <c r="Z259" s="17"/>
      <c r="AA259" s="17"/>
      <c r="AB259" s="17"/>
      <c r="AC259" s="17"/>
      <c r="AD259" s="17"/>
      <c r="AE259" s="17"/>
      <c r="AF259" s="17"/>
      <c r="AG259" s="17"/>
    </row>
    <row r="260" spans="1:33" s="8" customFormat="1" ht="14.1" customHeight="1" outlineLevel="1" x14ac:dyDescent="0.2">
      <c r="A260" s="102"/>
      <c r="B260" s="102"/>
      <c r="C260" s="284"/>
      <c r="D260" s="174"/>
      <c r="E260" s="554"/>
      <c r="F260" s="554"/>
      <c r="G260" s="554"/>
      <c r="H260" s="554"/>
      <c r="I260" s="554"/>
      <c r="J260" s="554"/>
      <c r="K260" s="554"/>
      <c r="L260" s="554"/>
      <c r="M260" s="554"/>
      <c r="N260" s="554"/>
      <c r="O260" s="994"/>
      <c r="P260" s="17"/>
      <c r="Q260" s="17"/>
      <c r="R260" s="17"/>
      <c r="S260" s="17"/>
      <c r="T260" s="17"/>
      <c r="U260" s="17"/>
      <c r="V260" s="17"/>
      <c r="W260" s="17"/>
      <c r="X260" s="17"/>
      <c r="Y260" s="17"/>
      <c r="Z260" s="17"/>
      <c r="AA260" s="17"/>
      <c r="AB260" s="17"/>
      <c r="AC260" s="17"/>
      <c r="AD260" s="17"/>
      <c r="AE260" s="17"/>
      <c r="AF260" s="17"/>
      <c r="AG260" s="17"/>
    </row>
    <row r="261" spans="1:33" s="142" customFormat="1" ht="18" customHeight="1" outlineLevel="1" x14ac:dyDescent="0.2">
      <c r="A261" s="102"/>
      <c r="B261" s="138"/>
      <c r="C261" s="235"/>
      <c r="D261" s="537" t="s">
        <v>1436</v>
      </c>
      <c r="E261" s="555">
        <f>(eSystemsTouchRateHourHM*eSystemsReworkHourspaHM)</f>
        <v>6371.1096753057664</v>
      </c>
      <c r="F261" s="555">
        <f>(eSystemsTouchRateHourHM*eSystemsReworkHourspaHM)*(1+Inflation)^1</f>
        <v>238.80383824096697</v>
      </c>
      <c r="G261" s="555">
        <f>(eSystemsTouchRateHourHM*eSystemsReworkHourspaHM)*(1+Inflation)^2</f>
        <v>170.44456814665841</v>
      </c>
      <c r="H261" s="555">
        <f>(eSystemsTouchRateHourHM*eSystemsReworkHourspaHM)*(1+Inflation)^3</f>
        <v>234.66579810833974</v>
      </c>
      <c r="I261" s="555">
        <f>(eSystemsTouchRateHourHM*eSystemsReworkHourspaHM)*(1+Inflation)^4</f>
        <v>212.9467892270155</v>
      </c>
      <c r="J261" s="555">
        <f>(eSystemsTouchRateHourHM*eSystemsReworkHourspaHM)*(1+Inflation)^5</f>
        <v>187.71576411500709</v>
      </c>
      <c r="K261" s="555">
        <f>(eSystemsTouchRateHourHM*eSystemsReworkHourspaHM)*(1+Inflation)^6</f>
        <v>158.71616984211454</v>
      </c>
      <c r="L261" s="555">
        <f>(eSystemsTouchRateHourHM*eSystemsReworkHourspaHM)*(1+Inflation)^7</f>
        <v>125.69633083028016</v>
      </c>
      <c r="M261" s="555">
        <f>(eSystemsTouchRateHourHM*eSystemsReworkHourspaHM)*(1+Inflation)^8</f>
        <v>88.405683463011385</v>
      </c>
      <c r="N261" s="555">
        <f>(eSystemsTouchRateHourHM*eSystemsReworkHourspaHM)*(1+Inflation)^9</f>
        <v>46.592112373977706</v>
      </c>
      <c r="O261" s="535" t="s">
        <v>1437</v>
      </c>
    </row>
    <row r="262" spans="1:33" s="142" customFormat="1" ht="18" customHeight="1" outlineLevel="1" x14ac:dyDescent="0.2">
      <c r="A262" s="102"/>
      <c r="B262" s="138"/>
      <c r="C262" s="235"/>
      <c r="D262" s="537" t="s">
        <v>1471</v>
      </c>
      <c r="E262" s="555">
        <f>(eSystemsTouchRateHourLM*eSystemsReworkHourspaLM)</f>
        <v>39576.066995486304</v>
      </c>
      <c r="F262" s="555">
        <f>(eSystemsTouchRateHourLM*eSystemsReworkHourspaLM)*(1+Inflation)^1</f>
        <v>1614.8649876237625</v>
      </c>
      <c r="G262" s="555">
        <f>(eSystemsTouchRateHourLM*eSystemsReworkHourspaLM)*(1+Inflation)^2</f>
        <v>1235.4952280012376</v>
      </c>
      <c r="H262" s="555">
        <f>(eSystemsTouchRateHourLM*eSystemsReworkHourspaLM)*(1+Inflation)^3</f>
        <v>1470.3863011596536</v>
      </c>
      <c r="I262" s="555">
        <f>(eSystemsTouchRateHourLM*eSystemsReworkHourspaLM)*(1+Inflation)^4</f>
        <v>1285.6662399581064</v>
      </c>
      <c r="J262" s="555">
        <f>(eSystemsTouchRateHourLM*eSystemsReworkHourspaLM)*(1+Inflation)^5</f>
        <v>1092.9255309812786</v>
      </c>
      <c r="K262" s="555">
        <f>(eSystemsTouchRateHourLM*eSystemsReworkHourspaLM)*(1+Inflation)^6</f>
        <v>891.9163625265038</v>
      </c>
      <c r="L262" s="555">
        <f>(eSystemsTouchRateHourLM*eSystemsReworkHourspaLM)*(1+Inflation)^7</f>
        <v>682.38420120579735</v>
      </c>
      <c r="M262" s="555">
        <f>(eSystemsTouchRateHourLM*eSystemsReworkHourspaLM)*(1+Inflation)^8</f>
        <v>464.06762185359736</v>
      </c>
      <c r="N262" s="555">
        <f>(eSystemsTouchRateHourLM*eSystemsReworkHourspaLM)*(1+Inflation)^9</f>
        <v>236.69813331249873</v>
      </c>
      <c r="O262" s="535" t="s">
        <v>1438</v>
      </c>
    </row>
    <row r="263" spans="1:33" s="142" customFormat="1" ht="18" customHeight="1" outlineLevel="1" x14ac:dyDescent="0.2">
      <c r="A263" s="102"/>
      <c r="B263" s="138"/>
      <c r="C263" s="235"/>
      <c r="D263" s="551" t="s">
        <v>1472</v>
      </c>
      <c r="E263" s="555">
        <f>(eSystemsTouchRateHourENG*eSystemsReworkHourspaENG)</f>
        <v>42947.253078134097</v>
      </c>
      <c r="F263" s="555">
        <f>(eSystemsTouchRateHourENG*eSystemsReworkHourspaENG)*(1+Inflation)^1</f>
        <v>1752.4072063737626</v>
      </c>
      <c r="G263" s="555">
        <f>(eSystemsTouchRateHourENG*eSystemsReworkHourspaENG)*(1+Inflation)^2</f>
        <v>1340.7133626771347</v>
      </c>
      <c r="H263" s="555">
        <f>(eSystemsTouchRateHourENG*eSystemsReworkHourspaENG)*(1+Inflation)^3</f>
        <v>1595.5939028492264</v>
      </c>
      <c r="I263" s="555">
        <f>(eSystemsTouchRateHourENG*eSystemsReworkHourspaENG)*(1+Inflation)^4</f>
        <v>1395.1317275956419</v>
      </c>
      <c r="J263" s="555">
        <f>(eSystemsTouchRateHourENG*eSystemsReworkHourspaENG)*(1+Inflation)^5</f>
        <v>1185.9697251094947</v>
      </c>
      <c r="K263" s="555">
        <f>(eSystemsTouchRateHourENG*eSystemsReworkHourspaENG)*(1+Inflation)^6</f>
        <v>967.83922511835829</v>
      </c>
      <c r="L263" s="555">
        <f>(eSystemsTouchRateHourENG*eSystemsReworkHourspaENG)*(1+Inflation)^7</f>
        <v>740.46427322873694</v>
      </c>
      <c r="M263" s="555">
        <f>(eSystemsTouchRateHourENG*eSystemsReworkHourspaENG)*(1+Inflation)^8</f>
        <v>503.5614466845123</v>
      </c>
      <c r="N263" s="555">
        <f>(eSystemsTouchRateHourENG*eSystemsReworkHourspaENG)*(1+Inflation)^9</f>
        <v>256.83966566247665</v>
      </c>
      <c r="O263" s="535" t="s">
        <v>1439</v>
      </c>
    </row>
    <row r="264" spans="1:33" s="142" customFormat="1" ht="18" customHeight="1" outlineLevel="1" x14ac:dyDescent="0.2">
      <c r="A264" s="102"/>
      <c r="B264" s="138"/>
      <c r="C264" s="235"/>
      <c r="D264" s="537" t="s">
        <v>1473</v>
      </c>
      <c r="E264" s="555">
        <f>(eSystemsTouchRateHourPLG*eSystemsReworkHourspaPLG)</f>
        <v>37003.286277846535</v>
      </c>
      <c r="F264" s="555">
        <f>(eSystemsTouchRateHourPLG*eSystemsReworkHourspaPLG)*(1+Inflation)^1</f>
        <v>1509.8713162128713</v>
      </c>
      <c r="G264" s="555">
        <f>(eSystemsTouchRateHourPLG*eSystemsReworkHourspaPLG)*(1+Inflation)^2</f>
        <v>1155.1565425015472</v>
      </c>
      <c r="H264" s="555">
        <f>(eSystemsTouchRateHourPLG*eSystemsReworkHourspaPLG)*(1+Inflation)^3</f>
        <v>1374.7612184392945</v>
      </c>
      <c r="I264" s="555">
        <f>(eSystemsTouchRateHourPLG*eSystemsReworkHourspaPLG)*(1+Inflation)^4</f>
        <v>1202.0433208523852</v>
      </c>
      <c r="J264" s="555">
        <f>(eSystemsTouchRateHourPLG*eSystemsReworkHourspaPLG)*(1+Inflation)^5</f>
        <v>1021.8296656888825</v>
      </c>
      <c r="K264" s="555">
        <f>(eSystemsTouchRateHourPLG*eSystemsReworkHourspaPLG)*(1+Inflation)^6</f>
        <v>833.88876706104168</v>
      </c>
      <c r="L264" s="555">
        <f>(eSystemsTouchRateHourPLG*eSystemsReworkHourspaPLG)*(1+Inflation)^7</f>
        <v>637.98286309376545</v>
      </c>
      <c r="M264" s="555">
        <f>(eSystemsTouchRateHourPLG*eSystemsReworkHourspaPLG)*(1+Inflation)^8</f>
        <v>433.86775718236737</v>
      </c>
      <c r="N264" s="555">
        <f>(eSystemsTouchRateHourPLG*eSystemsReworkHourspaPLG)*(1+Inflation)^9</f>
        <v>221.29265540509684</v>
      </c>
      <c r="O264" s="535" t="s">
        <v>1440</v>
      </c>
    </row>
    <row r="265" spans="1:33" s="142" customFormat="1" ht="18" customHeight="1" outlineLevel="1" x14ac:dyDescent="0.2">
      <c r="A265" s="102"/>
      <c r="B265" s="138"/>
      <c r="C265" s="235"/>
      <c r="D265" s="537" t="s">
        <v>1474</v>
      </c>
      <c r="E265" s="555">
        <f>(eSystemsTouchRateHourCRT*eSystemsReworkHourspaCRT)</f>
        <v>23745.24447619394</v>
      </c>
      <c r="F265" s="555">
        <f>(eSystemsTouchRateHourCRT*eSystemsReworkHourspaCRT)*(1+Inflation)^1</f>
        <v>968.88670173267315</v>
      </c>
      <c r="G265" s="555">
        <f>(eSystemsTouchRateHourCRT*eSystemsReworkHourspaCRT)*(1+Inflation)^2</f>
        <v>741.26008306002473</v>
      </c>
      <c r="H265" s="555">
        <f>(eSystemsTouchRateHourCRT*eSystemsReworkHourspaCRT)*(1+Inflation)^3</f>
        <v>882.17298876051984</v>
      </c>
      <c r="I265" s="555">
        <f>(eSystemsTouchRateHourCRT*eSystemsReworkHourspaCRT)*(1+Inflation)^4</f>
        <v>771.33549278845908</v>
      </c>
      <c r="J265" s="555">
        <f>(eSystemsTouchRateHourCRT*eSystemsReworkHourspaCRT)*(1+Inflation)^5</f>
        <v>655.68978237863428</v>
      </c>
      <c r="K265" s="555">
        <f>(eSystemsTouchRateHourCRT*eSystemsReworkHourspaCRT)*(1+Inflation)^6</f>
        <v>535.08742704385588</v>
      </c>
      <c r="L265" s="555">
        <f>(eSystemsTouchRateHourCRT*eSystemsReworkHourspaCRT)*(1+Inflation)^7</f>
        <v>409.37597362506068</v>
      </c>
      <c r="M265" s="555">
        <f>(eSystemsTouchRateHourCRT*eSystemsReworkHourspaCRT)*(1+Inflation)^8</f>
        <v>278.3988445818689</v>
      </c>
      <c r="N265" s="555">
        <f>(eSystemsTouchRateHourCRT*eSystemsReworkHourspaCRT)*(1+Inflation)^9</f>
        <v>141.99523382033516</v>
      </c>
      <c r="O265" s="535" t="s">
        <v>1441</v>
      </c>
    </row>
    <row r="266" spans="1:33" s="142" customFormat="1" ht="18" customHeight="1" outlineLevel="1" x14ac:dyDescent="0.2">
      <c r="A266" s="102"/>
      <c r="B266" s="138"/>
      <c r="C266" s="235"/>
      <c r="D266" s="537" t="s">
        <v>1475</v>
      </c>
      <c r="E266" s="555">
        <f>(eSystemsTouchRateHourSCL*eSystemsReworkHourspaSCL)</f>
        <v>30868.619958503205</v>
      </c>
      <c r="F266" s="555">
        <f>(eSystemsTouchRateHourSCL*eSystemsReworkHourspaSCL)*(1+Inflation)^1</f>
        <v>1259.5365668316831</v>
      </c>
      <c r="G266" s="555">
        <f>(eSystemsTouchRateHourSCL*eSystemsReworkHourspaSCL)*(1+Inflation)^2</f>
        <v>963.61958110767307</v>
      </c>
      <c r="H266" s="555">
        <f>(eSystemsTouchRateHourSCL*eSystemsReworkHourspaSCL)*(1+Inflation)^3</f>
        <v>1146.7954894210397</v>
      </c>
      <c r="I266" s="555">
        <f>(eSystemsTouchRateHourSCL*eSystemsReworkHourspaSCL)*(1+Inflation)^4</f>
        <v>1002.7040150317944</v>
      </c>
      <c r="J266" s="555">
        <f>(eSystemsTouchRateHourSCL*eSystemsReworkHourspaSCL)*(1+Inflation)^5</f>
        <v>852.36394898715821</v>
      </c>
      <c r="K266" s="555">
        <f>(eSystemsTouchRateHourSCL*eSystemsReworkHourspaSCL)*(1+Inflation)^6</f>
        <v>695.58245992098955</v>
      </c>
      <c r="L266" s="555">
        <f>(eSystemsTouchRateHourSCL*eSystemsReworkHourspaSCL)*(1+Inflation)^7</f>
        <v>532.16149216337021</v>
      </c>
      <c r="M266" s="555">
        <f>(eSystemsTouchRateHourSCL*eSystemsReworkHourspaSCL)*(1+Inflation)^8</f>
        <v>361.8976336912848</v>
      </c>
      <c r="N266" s="555">
        <f>(eSystemsTouchRateHourSCL*eSystemsReworkHourspaSCL)*(1+Inflation)^9</f>
        <v>184.58198088285368</v>
      </c>
      <c r="O266" s="535" t="s">
        <v>1442</v>
      </c>
    </row>
    <row r="267" spans="1:33" s="142" customFormat="1" ht="18" customHeight="1" outlineLevel="1" x14ac:dyDescent="0.2">
      <c r="A267" s="102"/>
      <c r="B267" s="138"/>
      <c r="C267" s="235"/>
      <c r="D267" s="537" t="s">
        <v>1476</v>
      </c>
      <c r="E267" s="555">
        <f>(eSystemsTouchRateHourQSC*eSystemsReworkHourspaQSC)</f>
        <v>41553.683181967099</v>
      </c>
      <c r="F267" s="555">
        <f>(eSystemsTouchRateHourQSC*eSystemsReworkHourspaQSC)*(1+Inflation)^1</f>
        <v>1695.5113644801979</v>
      </c>
      <c r="G267" s="555">
        <f>(eSystemsTouchRateHourQSC*eSystemsReworkHourspaQSC)*(1+Inflation)^2</f>
        <v>1297.158828179146</v>
      </c>
      <c r="H267" s="555">
        <f>(eSystemsTouchRateHourQSC*eSystemsReworkHourspaQSC)*(1+Inflation)^3</f>
        <v>1543.7292404118193</v>
      </c>
      <c r="I267" s="555">
        <f>(eSystemsTouchRateHourQSC*eSystemsReworkHourspaQSC)*(1+Inflation)^4</f>
        <v>1349.7567983967976</v>
      </c>
      <c r="J267" s="555">
        <f>(eSystemsTouchRateHourQSC*eSystemsReworkHourspaQSC)*(1+Inflation)^5</f>
        <v>1147.3751988999441</v>
      </c>
      <c r="K267" s="555">
        <f>(eSystemsTouchRateHourQSC*eSystemsReworkHourspaQSC)*(1+Inflation)^6</f>
        <v>936.32500923668977</v>
      </c>
      <c r="L267" s="555">
        <f>(eSystemsTouchRateHourQSC*eSystemsReworkHourspaQSC)*(1+Inflation)^7</f>
        <v>716.33976997083414</v>
      </c>
      <c r="M267" s="555">
        <f>(eSystemsTouchRateHourQSC*eSystemsReworkHourspaQSC)*(1+Inflation)^8</f>
        <v>487.14581735540855</v>
      </c>
      <c r="N267" s="555">
        <f>(eSystemsTouchRateHourQSC*eSystemsReworkHourspaQSC)*(1+Inflation)^9</f>
        <v>248.46210147663149</v>
      </c>
      <c r="O267" s="535" t="s">
        <v>1443</v>
      </c>
    </row>
    <row r="268" spans="1:33" s="142" customFormat="1" ht="18" customHeight="1" outlineLevel="1" x14ac:dyDescent="0.2">
      <c r="A268" s="102"/>
      <c r="B268" s="138"/>
      <c r="C268" s="235"/>
      <c r="D268" s="537" t="s">
        <v>1477</v>
      </c>
      <c r="E268" s="555">
        <f>(eSystemsTouchRateHourEM*eSystemsReworkHourspaEM)</f>
        <v>35617.27313264415</v>
      </c>
      <c r="F268" s="555">
        <f>(eSystemsTouchRateHourEM*eSystemsReworkHourspaEM)*(1+Inflation)^1</f>
        <v>1453.2816163366335</v>
      </c>
      <c r="G268" s="555">
        <f>(eSystemsTouchRateHourEM*eSystemsReworkHourspaEM)*(1+Inflation)^2</f>
        <v>1111.8345439789603</v>
      </c>
      <c r="H268" s="555">
        <f>(eSystemsTouchRateHourEM*eSystemsReworkHourspaEM)*(1+Inflation)^3</f>
        <v>1323.1712952378714</v>
      </c>
      <c r="I268" s="555">
        <f>(eSystemsTouchRateHourEM*eSystemsReworkHourspaEM)*(1+Inflation)^4</f>
        <v>1156.9068624030815</v>
      </c>
      <c r="J268" s="555">
        <f>(eSystemsTouchRateHourEM*eSystemsReworkHourspaEM)*(1+Inflation)^5</f>
        <v>983.43636925275234</v>
      </c>
      <c r="K268" s="555">
        <f>(eSystemsTouchRateHourEM*eSystemsReworkHourspaEM)*(1+Inflation)^6</f>
        <v>802.53755485771433</v>
      </c>
      <c r="L268" s="555">
        <f>(eSystemsTouchRateHourEM*eSystemsReworkHourspaEM)*(1+Inflation)^7</f>
        <v>613.98213978996455</v>
      </c>
      <c r="M268" s="555">
        <f>(eSystemsTouchRateHourEM*eSystemsReworkHourspaEM)*(1+Inflation)^8</f>
        <v>417.53567407736892</v>
      </c>
      <c r="N268" s="555">
        <f>(eSystemsTouchRateHourEM*eSystemsReworkHourspaEM)*(1+Inflation)^9</f>
        <v>212.95738147975666</v>
      </c>
      <c r="O268" s="535" t="s">
        <v>1444</v>
      </c>
    </row>
    <row r="269" spans="1:33" s="142" customFormat="1" ht="18" customHeight="1" outlineLevel="1" x14ac:dyDescent="0.2">
      <c r="A269" s="102"/>
      <c r="B269" s="138"/>
      <c r="C269" s="235"/>
      <c r="D269" s="537" t="s">
        <v>1478</v>
      </c>
      <c r="E269" s="555">
        <f>(eSystemsTouchRateHourCM*eSystemsReworkHourspaCM)</f>
        <v>35617.27313264415</v>
      </c>
      <c r="F269" s="555">
        <f>(eSystemsTouchRateHourCM*eSystemsReworkHourspaCM)*(1+Inflation)^1</f>
        <v>1453.2816163366335</v>
      </c>
      <c r="G269" s="555">
        <f>(eSystemsTouchRateHourCM*eSystemsReworkHourspaCM)*(1+Inflation)^2</f>
        <v>1111.8345439789603</v>
      </c>
      <c r="H269" s="555">
        <f>(eSystemsTouchRateHourCM*eSystemsReworkHourspaCM)*(1+Inflation)^3</f>
        <v>1323.1712952378714</v>
      </c>
      <c r="I269" s="555">
        <f>(eSystemsTouchRateHourCM*eSystemsReworkHourspaCM)*(1+Inflation)^4</f>
        <v>1156.9068624030815</v>
      </c>
      <c r="J269" s="555">
        <f>(eSystemsTouchRateHourCM*eSystemsReworkHourspaCM)*(1+Inflation)^5</f>
        <v>983.43636925275234</v>
      </c>
      <c r="K269" s="555">
        <f>(eSystemsTouchRateHourCM*eSystemsReworkHourspaCM)*(1+Inflation)^6</f>
        <v>802.53755485771433</v>
      </c>
      <c r="L269" s="555">
        <f>(eSystemsTouchRateHourCM*eSystemsReworkHourspaCM)*(1+Inflation)^7</f>
        <v>613.98213978996455</v>
      </c>
      <c r="M269" s="555">
        <f>(eSystemsTouchRateHourCM*eSystemsReworkHourspaCM)*(1+Inflation)^8</f>
        <v>417.53567407736892</v>
      </c>
      <c r="N269" s="555">
        <f>(eSystemsTouchRateHourCM*eSystemsReworkHourspaCM)*(1+Inflation)^9</f>
        <v>212.95738147975666</v>
      </c>
      <c r="O269" s="535" t="s">
        <v>1445</v>
      </c>
    </row>
    <row r="270" spans="1:33" s="142" customFormat="1" ht="18" customHeight="1" outlineLevel="1" x14ac:dyDescent="0.2">
      <c r="A270" s="102"/>
      <c r="B270" s="138"/>
      <c r="C270" s="235"/>
      <c r="D270" s="537" t="s">
        <v>1479</v>
      </c>
      <c r="E270" s="555">
        <f>(eSystemsTouchRateHourSMCS*eSystemsReworkHourspaSMCS)</f>
        <v>35617.27313264415</v>
      </c>
      <c r="F270" s="555">
        <f>(eSystemsTouchRateHourSMCS*eSystemsReworkHourspaSMCS)*(1+Inflation)^1</f>
        <v>1453.2816163366335</v>
      </c>
      <c r="G270" s="555">
        <f>(eSystemsTouchRateHourSMCS*eSystemsReworkHourspaSMCS)*(1+Inflation)^2</f>
        <v>1111.8345439789603</v>
      </c>
      <c r="H270" s="555">
        <f>(eSystemsTouchRateHourSMCS*eSystemsReworkHourspaSMCS)*(1+Inflation)^3</f>
        <v>1323.1712952378714</v>
      </c>
      <c r="I270" s="555">
        <f>(eSystemsTouchRateHourSMCS*eSystemsReworkHourspaSMCS)*(1+Inflation)^4</f>
        <v>1156.9068624030815</v>
      </c>
      <c r="J270" s="555">
        <f>(eSystemsTouchRateHourSMCS*eSystemsReworkHourspaSMCS)*(1+Inflation)^5</f>
        <v>983.43636925275234</v>
      </c>
      <c r="K270" s="555">
        <f>(eSystemsTouchRateHourSMCS*eSystemsReworkHourspaSMCS)*(1+Inflation)^6</f>
        <v>802.53755485771433</v>
      </c>
      <c r="L270" s="555">
        <f>(eSystemsTouchRateHourSMCS*eSystemsReworkHourspaSMCS)*(1+Inflation)^7</f>
        <v>613.98213978996455</v>
      </c>
      <c r="M270" s="555">
        <f>(eSystemsTouchRateHourSMCS*eSystemsReworkHourspaSMCS)*(1+Inflation)^8</f>
        <v>417.53567407736892</v>
      </c>
      <c r="N270" s="555">
        <f>(eSystemsTouchRateHourSMCS*eSystemsReworkHourspaSMCS)*(1+Inflation)^9</f>
        <v>212.95738147975666</v>
      </c>
      <c r="O270" s="535" t="s">
        <v>1446</v>
      </c>
    </row>
    <row r="271" spans="1:33" s="142" customFormat="1" ht="18" customHeight="1" outlineLevel="1" x14ac:dyDescent="0.2">
      <c r="A271" s="102"/>
      <c r="B271" s="138"/>
      <c r="C271" s="235"/>
      <c r="D271" s="537" t="s">
        <v>1480</v>
      </c>
      <c r="E271" s="555">
        <f>(eSystemsTouchRateHourO1*eSystemsReworkHourspaO1)</f>
        <v>0</v>
      </c>
      <c r="F271" s="555">
        <f>(eSystemsTouchRateHourO1*eSystemsReworkHourspaO1)*(1+Inflation)^1</f>
        <v>0</v>
      </c>
      <c r="G271" s="555">
        <f>(eSystemsTouchRateHourO1*eSystemsReworkHourspaO1)*(1+Inflation)^2</f>
        <v>0</v>
      </c>
      <c r="H271" s="555">
        <f>(eSystemsTouchRateHourO1*eSystemsReworkHourspaO1)*(1+Inflation)^3</f>
        <v>0</v>
      </c>
      <c r="I271" s="555">
        <f>(eSystemsTouchRateHourO1*eSystemsReworkHourspaO1)*(1+Inflation)^4</f>
        <v>0</v>
      </c>
      <c r="J271" s="555">
        <f>(eSystemsTouchRateHourO1*eSystemsReworkHourspaO1)*(1+Inflation)^5</f>
        <v>0</v>
      </c>
      <c r="K271" s="555">
        <f>(eSystemsTouchRateHourO1*eSystemsReworkHourspaO1)*(1+Inflation)^6</f>
        <v>0</v>
      </c>
      <c r="L271" s="555">
        <f>(eSystemsTouchRateHourO1*eSystemsReworkHourspaO1)*(1+Inflation)^7</f>
        <v>0</v>
      </c>
      <c r="M271" s="555">
        <f>(eSystemsTouchRateHourO1*eSystemsReworkHourspaO1)*(1+Inflation)^8</f>
        <v>0</v>
      </c>
      <c r="N271" s="555">
        <f>(eSystemsTouchRateHourO1*eSystemsReworkHourspaO1)*(1+Inflation)^9</f>
        <v>0</v>
      </c>
      <c r="O271" s="535" t="s">
        <v>1447</v>
      </c>
    </row>
    <row r="272" spans="1:33" s="142" customFormat="1" ht="18" customHeight="1" outlineLevel="1" x14ac:dyDescent="0.2">
      <c r="A272" s="102"/>
      <c r="B272" s="138"/>
      <c r="C272" s="235"/>
      <c r="D272" s="537" t="s">
        <v>1481</v>
      </c>
      <c r="E272" s="555">
        <f>(eSystemsTouchRateHourO2*eSystemsReworkHourspaO2)</f>
        <v>0</v>
      </c>
      <c r="F272" s="555">
        <f>(eSystemsTouchRateHourO2*eSystemsReworkHourspaO2)*(1+Inflation)^1</f>
        <v>0</v>
      </c>
      <c r="G272" s="555">
        <f>(eSystemsTouchRateHourO2*eSystemsReworkHourspaO2)*(1+Inflation)^2</f>
        <v>0</v>
      </c>
      <c r="H272" s="555">
        <f>(eSystemsTouchRateHourO2*eSystemsReworkHourspaO2)*(1+Inflation)^3</f>
        <v>0</v>
      </c>
      <c r="I272" s="555">
        <f>(eSystemsTouchRateHourO2*eSystemsReworkHourspaO2)*(1+Inflation)^4</f>
        <v>0</v>
      </c>
      <c r="J272" s="555">
        <f>(eSystemsTouchRateHourO2*eSystemsReworkHourspaO2)*(1+Inflation)^5</f>
        <v>0</v>
      </c>
      <c r="K272" s="555">
        <f>(eSystemsTouchRateHourO2*eSystemsReworkHourspaO2)*(1+Inflation)^6</f>
        <v>0</v>
      </c>
      <c r="L272" s="555">
        <f>(eSystemsTouchRateHourO2*eSystemsReworkHourspaO2)*(1+Inflation)^7</f>
        <v>0</v>
      </c>
      <c r="M272" s="555">
        <f>(eSystemsTouchRateHourO2*eSystemsReworkHourspaO2)*(1+Inflation)^8</f>
        <v>0</v>
      </c>
      <c r="N272" s="555">
        <f>(eSystemsTouchRateHourO2*eSystemsReworkHourspaO2)*(1+Inflation)^9</f>
        <v>0</v>
      </c>
      <c r="O272" s="535" t="s">
        <v>1448</v>
      </c>
    </row>
    <row r="273" spans="1:33" s="142" customFormat="1" ht="18" customHeight="1" outlineLevel="1" thickBot="1" x14ac:dyDescent="0.3">
      <c r="A273" s="102"/>
      <c r="B273" s="138"/>
      <c r="C273" s="235"/>
      <c r="D273" s="537" t="s">
        <v>1486</v>
      </c>
      <c r="E273" s="998">
        <f>SUM(E261:E272)</f>
        <v>328917.08304136939</v>
      </c>
      <c r="F273" s="998">
        <f t="shared" ref="F273:N273" si="93">SUM(F261:F272)</f>
        <v>13399.726830505819</v>
      </c>
      <c r="G273" s="998">
        <f t="shared" si="93"/>
        <v>10239.351825610303</v>
      </c>
      <c r="H273" s="998">
        <f t="shared" si="93"/>
        <v>12217.618824863506</v>
      </c>
      <c r="I273" s="998">
        <f t="shared" si="93"/>
        <v>10690.304971059442</v>
      </c>
      <c r="J273" s="998">
        <f t="shared" si="93"/>
        <v>9094.178723918656</v>
      </c>
      <c r="K273" s="998">
        <f t="shared" si="93"/>
        <v>7426.9680853226946</v>
      </c>
      <c r="L273" s="998">
        <f t="shared" si="93"/>
        <v>5686.3513234877391</v>
      </c>
      <c r="M273" s="998">
        <f t="shared" si="93"/>
        <v>3869.9518270441581</v>
      </c>
      <c r="N273" s="998">
        <f t="shared" si="93"/>
        <v>1975.3340273731401</v>
      </c>
      <c r="O273" s="572" t="s">
        <v>1487</v>
      </c>
    </row>
    <row r="274" spans="1:33" s="18" customFormat="1" ht="13.5" outlineLevel="1" thickBot="1" x14ac:dyDescent="0.25">
      <c r="A274" s="102"/>
      <c r="B274" s="102"/>
      <c r="C274" s="170"/>
      <c r="D274" s="999"/>
      <c r="E274" s="171"/>
      <c r="F274" s="171"/>
      <c r="G274" s="171"/>
      <c r="H274" s="171"/>
      <c r="I274" s="171"/>
      <c r="J274" s="171"/>
      <c r="K274" s="171"/>
      <c r="L274" s="171"/>
      <c r="M274" s="171"/>
      <c r="N274" s="526"/>
      <c r="O274" s="171"/>
      <c r="P274" s="12"/>
      <c r="Q274" s="12"/>
      <c r="R274" s="12"/>
      <c r="S274" s="12"/>
      <c r="T274" s="12"/>
      <c r="U274" s="12"/>
      <c r="V274" s="12"/>
      <c r="W274" s="12"/>
      <c r="X274" s="12"/>
      <c r="Y274" s="12"/>
      <c r="Z274" s="12"/>
      <c r="AA274" s="12"/>
      <c r="AB274" s="12"/>
      <c r="AC274" s="12"/>
      <c r="AD274" s="12"/>
      <c r="AE274" s="12"/>
    </row>
    <row r="275" spans="1:33" s="18" customFormat="1" outlineLevel="1" x14ac:dyDescent="0.2">
      <c r="B275" s="102"/>
      <c r="C275" s="30"/>
      <c r="D275" s="39"/>
      <c r="E275" s="23"/>
      <c r="F275" s="23"/>
      <c r="G275" s="23"/>
      <c r="H275" s="23"/>
      <c r="I275" s="23"/>
      <c r="J275" s="23"/>
      <c r="K275" s="23"/>
      <c r="L275" s="23"/>
      <c r="M275" s="23"/>
      <c r="N275" s="23"/>
      <c r="O275" s="23"/>
      <c r="P275" s="12"/>
      <c r="Q275" s="12"/>
      <c r="R275" s="12"/>
      <c r="S275" s="12"/>
      <c r="T275" s="12"/>
      <c r="U275" s="12"/>
      <c r="V275" s="12"/>
      <c r="W275" s="12"/>
      <c r="X275" s="12"/>
      <c r="Y275" s="12"/>
      <c r="Z275" s="12"/>
      <c r="AA275" s="12"/>
      <c r="AB275" s="12"/>
      <c r="AC275" s="12"/>
      <c r="AD275" s="12"/>
      <c r="AE275" s="12"/>
    </row>
    <row r="276" spans="1:33" s="122" customFormat="1" ht="15.75" x14ac:dyDescent="0.2">
      <c r="A276" s="1043">
        <v>5</v>
      </c>
      <c r="B276" s="1039"/>
      <c r="C276" s="1039"/>
      <c r="D276" s="1039"/>
      <c r="E276" s="1039"/>
      <c r="F276" s="1039"/>
      <c r="G276" s="1039"/>
      <c r="H276" s="1039"/>
      <c r="I276" s="1039"/>
      <c r="J276" s="1039"/>
      <c r="K276" s="1039"/>
      <c r="L276" s="1039"/>
      <c r="M276" s="1039"/>
      <c r="N276" s="1039"/>
      <c r="O276" s="1039"/>
      <c r="P276" s="206"/>
      <c r="Q276" s="206"/>
      <c r="R276" s="206"/>
      <c r="S276" s="206"/>
      <c r="T276" s="206"/>
      <c r="U276" s="206"/>
      <c r="V276" s="206"/>
      <c r="W276" s="206"/>
      <c r="X276" s="206"/>
      <c r="Y276" s="206"/>
      <c r="Z276" s="206"/>
      <c r="AA276" s="206"/>
      <c r="AB276" s="206"/>
      <c r="AC276" s="206"/>
      <c r="AD276" s="206"/>
      <c r="AE276" s="206"/>
      <c r="AF276" s="206"/>
    </row>
    <row r="277" spans="1:33" s="18" customFormat="1" ht="13.5" thickBot="1" x14ac:dyDescent="0.25">
      <c r="B277" s="102"/>
      <c r="C277" s="30"/>
      <c r="D277" s="39"/>
      <c r="E277" s="23"/>
      <c r="F277" s="23"/>
      <c r="G277" s="23"/>
      <c r="H277" s="23"/>
      <c r="I277" s="23"/>
      <c r="J277" s="23"/>
      <c r="K277" s="23"/>
      <c r="L277" s="23"/>
      <c r="M277" s="23"/>
      <c r="N277" s="23"/>
      <c r="O277" s="23"/>
      <c r="P277" s="12"/>
      <c r="Q277" s="12"/>
      <c r="R277" s="12"/>
      <c r="S277" s="12"/>
      <c r="T277" s="12"/>
      <c r="U277" s="12"/>
      <c r="V277" s="12"/>
      <c r="W277" s="12"/>
      <c r="X277" s="12"/>
      <c r="Y277" s="12"/>
      <c r="Z277" s="12"/>
      <c r="AA277" s="12"/>
      <c r="AB277" s="12"/>
      <c r="AC277" s="12"/>
      <c r="AD277" s="12"/>
      <c r="AE277" s="12"/>
    </row>
    <row r="278" spans="1:33" s="8" customFormat="1" ht="20.100000000000001" customHeight="1" x14ac:dyDescent="0.25">
      <c r="A278" s="1397" t="s">
        <v>4270</v>
      </c>
      <c r="B278" s="194"/>
      <c r="C278" s="967" t="s">
        <v>351</v>
      </c>
      <c r="D278" s="197"/>
      <c r="E278" s="198"/>
      <c r="F278" s="198"/>
      <c r="G278" s="198"/>
      <c r="H278" s="198"/>
      <c r="I278" s="198"/>
      <c r="J278" s="198"/>
      <c r="K278" s="198"/>
      <c r="L278" s="198"/>
      <c r="M278" s="198"/>
      <c r="N278" s="198"/>
      <c r="O278" s="198"/>
      <c r="P278" s="17"/>
      <c r="Q278" s="17"/>
      <c r="R278" s="17"/>
      <c r="S278" s="17"/>
      <c r="T278" s="17"/>
      <c r="U278" s="17"/>
      <c r="V278" s="17"/>
      <c r="W278" s="17"/>
      <c r="X278" s="17"/>
      <c r="Y278" s="17"/>
      <c r="Z278" s="17"/>
      <c r="AA278" s="17"/>
      <c r="AB278" s="17"/>
      <c r="AC278" s="17"/>
      <c r="AD278" s="17"/>
      <c r="AE278" s="17"/>
      <c r="AF278" s="17"/>
      <c r="AG278" s="17"/>
    </row>
    <row r="279" spans="1:33" s="8" customFormat="1" ht="14.1" customHeight="1" x14ac:dyDescent="0.25">
      <c r="A279" s="1398"/>
      <c r="B279" s="194"/>
      <c r="C279" s="24"/>
      <c r="D279" s="197"/>
      <c r="E279" s="198"/>
      <c r="F279" s="198"/>
      <c r="G279" s="198"/>
      <c r="H279" s="198"/>
      <c r="I279" s="198"/>
      <c r="J279" s="198"/>
      <c r="K279" s="198"/>
      <c r="L279" s="198"/>
      <c r="M279" s="198"/>
      <c r="N279" s="198"/>
      <c r="O279" s="198"/>
      <c r="P279" s="17"/>
      <c r="Q279" s="17"/>
      <c r="R279" s="17"/>
      <c r="S279" s="17"/>
      <c r="T279" s="17"/>
      <c r="U279" s="17"/>
      <c r="V279" s="17"/>
      <c r="W279" s="17"/>
      <c r="X279" s="17"/>
      <c r="Y279" s="17"/>
      <c r="Z279" s="17"/>
      <c r="AA279" s="17"/>
      <c r="AB279" s="17"/>
      <c r="AC279" s="17"/>
      <c r="AD279" s="17"/>
      <c r="AE279" s="17"/>
      <c r="AF279" s="17"/>
      <c r="AG279" s="17"/>
    </row>
    <row r="280" spans="1:33" s="8" customFormat="1" ht="19.5" customHeight="1" x14ac:dyDescent="0.25">
      <c r="A280" s="1399"/>
      <c r="B280" s="194"/>
      <c r="C280" s="24"/>
      <c r="D280" s="197"/>
      <c r="E280" s="198"/>
      <c r="F280" s="198"/>
      <c r="G280" s="198"/>
      <c r="H280" s="198"/>
      <c r="I280" s="198"/>
      <c r="J280" s="198"/>
      <c r="K280" s="198"/>
      <c r="L280" s="198"/>
      <c r="M280" s="198"/>
      <c r="N280" s="198"/>
      <c r="O280" s="198"/>
      <c r="P280" s="17"/>
      <c r="Q280" s="17"/>
      <c r="R280" s="17"/>
      <c r="S280" s="17"/>
      <c r="T280" s="17"/>
      <c r="U280" s="17"/>
      <c r="V280" s="17"/>
      <c r="W280" s="17"/>
      <c r="X280" s="17"/>
      <c r="Y280" s="17"/>
      <c r="Z280" s="17"/>
      <c r="AA280" s="17"/>
      <c r="AB280" s="17"/>
      <c r="AC280" s="17"/>
      <c r="AD280" s="17"/>
      <c r="AE280" s="17"/>
      <c r="AF280" s="17"/>
      <c r="AG280" s="17"/>
    </row>
    <row r="281" spans="1:33" s="18" customFormat="1" x14ac:dyDescent="0.2">
      <c r="B281" s="102"/>
      <c r="C281" s="30"/>
      <c r="D281" s="39"/>
      <c r="E281" s="23"/>
      <c r="F281" s="23"/>
      <c r="G281" s="23"/>
      <c r="H281" s="23"/>
      <c r="I281" s="23"/>
      <c r="J281" s="23"/>
      <c r="K281" s="23"/>
      <c r="L281" s="23"/>
      <c r="M281" s="23"/>
      <c r="N281" s="23"/>
      <c r="O281" s="23"/>
      <c r="P281" s="12"/>
      <c r="Q281" s="12"/>
      <c r="R281" s="12"/>
      <c r="S281" s="12"/>
      <c r="T281" s="12"/>
      <c r="U281" s="12"/>
      <c r="V281" s="12"/>
      <c r="W281" s="12"/>
      <c r="X281" s="12"/>
      <c r="Y281" s="12"/>
      <c r="Z281" s="12"/>
      <c r="AA281" s="12"/>
      <c r="AB281" s="12"/>
      <c r="AC281" s="12"/>
      <c r="AD281" s="12"/>
      <c r="AE281" s="12"/>
    </row>
    <row r="282" spans="1:33" s="18" customFormat="1" ht="13.5" hidden="1" outlineLevel="1" thickBot="1" x14ac:dyDescent="0.25">
      <c r="B282" s="102"/>
      <c r="C282" s="30"/>
      <c r="D282" s="39"/>
      <c r="E282" s="23"/>
      <c r="F282" s="23"/>
      <c r="G282" s="23"/>
      <c r="H282" s="23"/>
      <c r="I282" s="23"/>
      <c r="J282" s="23"/>
      <c r="K282" s="23"/>
      <c r="L282" s="23"/>
      <c r="M282" s="23"/>
      <c r="N282" s="23"/>
      <c r="O282" s="23"/>
      <c r="P282" s="12"/>
      <c r="Q282" s="12"/>
      <c r="R282" s="12"/>
      <c r="S282" s="12"/>
      <c r="T282" s="12"/>
      <c r="U282" s="12"/>
      <c r="V282" s="12"/>
      <c r="W282" s="12"/>
      <c r="X282" s="12"/>
      <c r="Y282" s="12"/>
      <c r="Z282" s="12"/>
      <c r="AA282" s="12"/>
      <c r="AB282" s="12"/>
      <c r="AC282" s="12"/>
      <c r="AD282" s="12"/>
      <c r="AE282" s="12"/>
    </row>
    <row r="283" spans="1:33" customFormat="1" hidden="1" outlineLevel="1" x14ac:dyDescent="0.2">
      <c r="A283" s="1394" t="s">
        <v>4271</v>
      </c>
      <c r="B283" s="102"/>
      <c r="C283" s="993"/>
      <c r="D283" s="434"/>
      <c r="E283" s="434"/>
      <c r="F283" s="434"/>
      <c r="G283" s="434"/>
      <c r="H283" s="434"/>
      <c r="I283" s="434"/>
      <c r="J283" s="434"/>
      <c r="K283" s="434"/>
      <c r="L283" s="434"/>
      <c r="M283" s="434"/>
      <c r="N283" s="434"/>
      <c r="O283" s="573"/>
      <c r="P283" s="18"/>
      <c r="Q283" s="18"/>
      <c r="R283" s="18"/>
      <c r="S283" s="18"/>
      <c r="T283" s="18"/>
      <c r="U283" s="18"/>
      <c r="V283" s="18"/>
      <c r="W283" s="18"/>
      <c r="X283" s="18"/>
      <c r="Y283" s="18"/>
      <c r="Z283" s="18"/>
      <c r="AA283" s="18"/>
      <c r="AB283" s="18"/>
      <c r="AC283" s="18"/>
      <c r="AD283" s="18"/>
      <c r="AE283" s="18"/>
      <c r="AF283" s="18"/>
      <c r="AG283" s="18"/>
    </row>
    <row r="284" spans="1:33" s="8" customFormat="1" ht="14.1" hidden="1" customHeight="1" outlineLevel="1" x14ac:dyDescent="0.2">
      <c r="A284" s="1395"/>
      <c r="B284" s="102"/>
      <c r="C284" s="284"/>
      <c r="D284" s="1003" t="s">
        <v>352</v>
      </c>
      <c r="E284" s="554"/>
      <c r="F284" s="554"/>
      <c r="G284" s="554"/>
      <c r="H284" s="554"/>
      <c r="I284" s="554"/>
      <c r="J284" s="554"/>
      <c r="K284" s="554"/>
      <c r="L284" s="554"/>
      <c r="M284" s="554"/>
      <c r="N284" s="554"/>
      <c r="O284" s="994"/>
      <c r="P284" s="17"/>
      <c r="Q284" s="17"/>
      <c r="R284" s="17"/>
      <c r="S284" s="17"/>
      <c r="T284" s="17"/>
      <c r="U284" s="17"/>
      <c r="V284" s="17"/>
      <c r="W284" s="17"/>
      <c r="X284" s="17"/>
      <c r="Y284" s="17"/>
      <c r="Z284" s="17"/>
      <c r="AA284" s="17"/>
      <c r="AB284" s="17"/>
      <c r="AC284" s="17"/>
      <c r="AD284" s="17"/>
      <c r="AE284" s="17"/>
      <c r="AF284" s="17"/>
      <c r="AG284" s="17"/>
    </row>
    <row r="285" spans="1:33" s="142" customFormat="1" ht="18" hidden="1" customHeight="1" outlineLevel="1" x14ac:dyDescent="0.2">
      <c r="A285" s="1395"/>
      <c r="B285" s="138"/>
      <c r="C285" s="235"/>
      <c r="D285" s="537" t="s">
        <v>1488</v>
      </c>
      <c r="E285" s="557">
        <f t="shared" ref="E285:N285" si="94">pSystemsReworkHourspaHM/pSystemsTouchHourspaHM</f>
        <v>0.68567996505532891</v>
      </c>
      <c r="F285" s="557">
        <f t="shared" si="94"/>
        <v>0.62992307634124767</v>
      </c>
      <c r="G285" s="557">
        <f t="shared" si="94"/>
        <v>0.58771658415841588</v>
      </c>
      <c r="H285" s="557">
        <f t="shared" si="94"/>
        <v>0.67996665535978285</v>
      </c>
      <c r="I285" s="557">
        <f t="shared" si="94"/>
        <v>0.70575755054497047</v>
      </c>
      <c r="J285" s="557">
        <f t="shared" si="94"/>
        <v>0.73192445294949671</v>
      </c>
      <c r="K285" s="557">
        <f t="shared" si="94"/>
        <v>0.75839686121973549</v>
      </c>
      <c r="L285" s="557">
        <f t="shared" si="94"/>
        <v>0.785120862555855</v>
      </c>
      <c r="M285" s="557">
        <f t="shared" si="94"/>
        <v>0.81205452478020912</v>
      </c>
      <c r="N285" s="557">
        <f t="shared" si="94"/>
        <v>0.83916474354202331</v>
      </c>
      <c r="O285" s="535" t="s">
        <v>1501</v>
      </c>
    </row>
    <row r="286" spans="1:33" s="142" customFormat="1" ht="18" hidden="1" customHeight="1" outlineLevel="1" x14ac:dyDescent="0.2">
      <c r="A286" s="1395"/>
      <c r="B286" s="138"/>
      <c r="C286" s="235"/>
      <c r="D286" s="537" t="s">
        <v>1489</v>
      </c>
      <c r="E286" s="557">
        <f t="shared" ref="E286:N286" si="95">pSystemsReworkHourspaLM/pSystemsTouchHourspaLM</f>
        <v>3.4074461269656378</v>
      </c>
      <c r="F286" s="557">
        <f t="shared" si="95"/>
        <v>3.4077868375072797</v>
      </c>
      <c r="G286" s="557">
        <f t="shared" si="95"/>
        <v>3.4081275480489222</v>
      </c>
      <c r="H286" s="557">
        <f t="shared" si="95"/>
        <v>3.4084682585905646</v>
      </c>
      <c r="I286" s="557">
        <f t="shared" si="95"/>
        <v>3.4088089691322074</v>
      </c>
      <c r="J286" s="557">
        <f t="shared" si="95"/>
        <v>3.4091496796738499</v>
      </c>
      <c r="K286" s="557">
        <f t="shared" si="95"/>
        <v>3.4094903902154914</v>
      </c>
      <c r="L286" s="557">
        <f t="shared" si="95"/>
        <v>3.4098311007571338</v>
      </c>
      <c r="M286" s="557">
        <f t="shared" si="95"/>
        <v>3.4101718112987767</v>
      </c>
      <c r="N286" s="557">
        <f t="shared" si="95"/>
        <v>3.4105125218404191</v>
      </c>
      <c r="O286" s="535" t="s">
        <v>1502</v>
      </c>
    </row>
    <row r="287" spans="1:33" s="142" customFormat="1" ht="18" hidden="1" customHeight="1" outlineLevel="1" x14ac:dyDescent="0.2">
      <c r="A287" s="1395"/>
      <c r="B287" s="138"/>
      <c r="C287" s="235"/>
      <c r="D287" s="551" t="s">
        <v>1490</v>
      </c>
      <c r="E287" s="557">
        <f t="shared" ref="E287:N287" si="96">pSystemsReworkHourspaENG/pSystemsTouchHourspaENG</f>
        <v>4.1085563482818861</v>
      </c>
      <c r="F287" s="557">
        <f t="shared" si="96"/>
        <v>4.1089298194525323</v>
      </c>
      <c r="G287" s="557">
        <f t="shared" si="96"/>
        <v>4.1093032906231794</v>
      </c>
      <c r="H287" s="557">
        <f t="shared" si="96"/>
        <v>4.1096767617938257</v>
      </c>
      <c r="I287" s="557">
        <f t="shared" si="96"/>
        <v>4.1100502329644728</v>
      </c>
      <c r="J287" s="557">
        <f t="shared" si="96"/>
        <v>4.110423704135119</v>
      </c>
      <c r="K287" s="557">
        <f t="shared" si="96"/>
        <v>4.1107971753057653</v>
      </c>
      <c r="L287" s="557">
        <f t="shared" si="96"/>
        <v>4.1111706464764115</v>
      </c>
      <c r="M287" s="557">
        <f t="shared" si="96"/>
        <v>4.1115441176470586</v>
      </c>
      <c r="N287" s="557">
        <f t="shared" si="96"/>
        <v>4.1119175888177049</v>
      </c>
      <c r="O287" s="535" t="s">
        <v>1503</v>
      </c>
    </row>
    <row r="288" spans="1:33" s="142" customFormat="1" ht="18" hidden="1" customHeight="1" outlineLevel="1" x14ac:dyDescent="0.2">
      <c r="A288" s="1395"/>
      <c r="B288" s="138"/>
      <c r="C288" s="235"/>
      <c r="D288" s="537" t="s">
        <v>1491</v>
      </c>
      <c r="E288" s="557">
        <f t="shared" ref="E288:N288" si="97">pSystemsReworkHourspaPLG/pSystemsTouchHourspaPLG</f>
        <v>3.7481566686080368</v>
      </c>
      <c r="F288" s="557">
        <f t="shared" si="97"/>
        <v>3.7484973791496792</v>
      </c>
      <c r="G288" s="557">
        <f t="shared" si="97"/>
        <v>3.7488380896913216</v>
      </c>
      <c r="H288" s="557">
        <f t="shared" si="97"/>
        <v>3.7491788002329645</v>
      </c>
      <c r="I288" s="557">
        <f t="shared" si="97"/>
        <v>3.7495195107746069</v>
      </c>
      <c r="J288" s="557">
        <f t="shared" si="97"/>
        <v>3.7498602213162484</v>
      </c>
      <c r="K288" s="557">
        <f t="shared" si="97"/>
        <v>3.7502009318578908</v>
      </c>
      <c r="L288" s="557">
        <f t="shared" si="97"/>
        <v>3.7505416423995332</v>
      </c>
      <c r="M288" s="557">
        <f t="shared" si="97"/>
        <v>3.7508823529411761</v>
      </c>
      <c r="N288" s="557">
        <f t="shared" si="97"/>
        <v>3.7512230634828181</v>
      </c>
      <c r="O288" s="535" t="s">
        <v>1504</v>
      </c>
    </row>
    <row r="289" spans="1:33" s="142" customFormat="1" ht="18" hidden="1" customHeight="1" outlineLevel="1" x14ac:dyDescent="0.2">
      <c r="A289" s="1395"/>
      <c r="B289" s="138"/>
      <c r="C289" s="235"/>
      <c r="D289" s="537" t="s">
        <v>1492</v>
      </c>
      <c r="E289" s="557">
        <f t="shared" ref="E289:N289" si="98">pSystemsReworkHourspaCRT/pSystemsTouchHourspaCRT</f>
        <v>4.0888672102504362</v>
      </c>
      <c r="F289" s="557">
        <f t="shared" si="98"/>
        <v>4.0892079207920791</v>
      </c>
      <c r="G289" s="557">
        <f t="shared" si="98"/>
        <v>4.089548631333721</v>
      </c>
      <c r="H289" s="557">
        <f t="shared" si="98"/>
        <v>4.089889341875363</v>
      </c>
      <c r="I289" s="557">
        <f t="shared" si="98"/>
        <v>4.0902300524170068</v>
      </c>
      <c r="J289" s="557">
        <f t="shared" si="98"/>
        <v>4.0905707629586487</v>
      </c>
      <c r="K289" s="557">
        <f t="shared" si="98"/>
        <v>4.0909114735002907</v>
      </c>
      <c r="L289" s="557">
        <f t="shared" si="98"/>
        <v>4.0912521840419327</v>
      </c>
      <c r="M289" s="557">
        <f t="shared" si="98"/>
        <v>4.0915928945835756</v>
      </c>
      <c r="N289" s="557">
        <f t="shared" si="98"/>
        <v>4.0919336051252175</v>
      </c>
      <c r="O289" s="535" t="s">
        <v>1505</v>
      </c>
    </row>
    <row r="290" spans="1:33" s="142" customFormat="1" ht="18" hidden="1" customHeight="1" outlineLevel="1" x14ac:dyDescent="0.2">
      <c r="A290" s="1395"/>
      <c r="B290" s="138"/>
      <c r="C290" s="235"/>
      <c r="D290" s="537" t="s">
        <v>1493</v>
      </c>
      <c r="E290" s="557">
        <f t="shared" ref="E290:N290" si="99">pSystemsReworkHourspaSCL/pSystemsTouchHourspaSCL</f>
        <v>4.4295777518928361</v>
      </c>
      <c r="F290" s="557">
        <f t="shared" si="99"/>
        <v>4.429918462434479</v>
      </c>
      <c r="G290" s="557">
        <f t="shared" si="99"/>
        <v>4.4302591729761209</v>
      </c>
      <c r="H290" s="557">
        <f t="shared" si="99"/>
        <v>4.4305998835177629</v>
      </c>
      <c r="I290" s="557">
        <f t="shared" si="99"/>
        <v>4.4309405940594049</v>
      </c>
      <c r="J290" s="557">
        <f t="shared" si="99"/>
        <v>4.4312813046010477</v>
      </c>
      <c r="K290" s="557">
        <f t="shared" si="99"/>
        <v>4.4316220151426897</v>
      </c>
      <c r="L290" s="557">
        <f t="shared" si="99"/>
        <v>4.4319627256843317</v>
      </c>
      <c r="M290" s="557">
        <f t="shared" si="99"/>
        <v>4.4323034362259754</v>
      </c>
      <c r="N290" s="557">
        <f t="shared" si="99"/>
        <v>4.4326441467676174</v>
      </c>
      <c r="O290" s="535" t="s">
        <v>1506</v>
      </c>
    </row>
    <row r="291" spans="1:33" s="142" customFormat="1" ht="18" hidden="1" customHeight="1" outlineLevel="1" x14ac:dyDescent="0.2">
      <c r="A291" s="1395"/>
      <c r="B291" s="138"/>
      <c r="C291" s="235"/>
      <c r="D291" s="537" t="s">
        <v>1494</v>
      </c>
      <c r="E291" s="557">
        <f t="shared" ref="E291:N291" si="100">pSystemsReworkHourspaQSC/pSystemsTouchHourspaQSC</f>
        <v>4.7702882935352351</v>
      </c>
      <c r="F291" s="557">
        <f t="shared" si="100"/>
        <v>4.770629004076878</v>
      </c>
      <c r="G291" s="557">
        <f t="shared" si="100"/>
        <v>4.7709697146185199</v>
      </c>
      <c r="H291" s="557">
        <f t="shared" si="100"/>
        <v>4.7713104251601628</v>
      </c>
      <c r="I291" s="557">
        <f t="shared" si="100"/>
        <v>4.7716511357018048</v>
      </c>
      <c r="J291" s="557">
        <f t="shared" si="100"/>
        <v>4.7719918462434476</v>
      </c>
      <c r="K291" s="557">
        <f t="shared" si="100"/>
        <v>4.7723325567850896</v>
      </c>
      <c r="L291" s="557">
        <f t="shared" si="100"/>
        <v>4.7726732673267325</v>
      </c>
      <c r="M291" s="557">
        <f t="shared" si="100"/>
        <v>4.7730139778683744</v>
      </c>
      <c r="N291" s="557">
        <f t="shared" si="100"/>
        <v>4.7733546884100173</v>
      </c>
      <c r="O291" s="535" t="s">
        <v>1507</v>
      </c>
    </row>
    <row r="292" spans="1:33" s="142" customFormat="1" ht="18" hidden="1" customHeight="1" outlineLevel="1" x14ac:dyDescent="0.2">
      <c r="A292" s="1395"/>
      <c r="B292" s="138"/>
      <c r="C292" s="235"/>
      <c r="D292" s="537" t="s">
        <v>1495</v>
      </c>
      <c r="E292" s="557">
        <f t="shared" ref="E292:N292" si="101">pSystemsReworkHourspaEM/pSystemsTouchHourspaEM</f>
        <v>5.110998835177635</v>
      </c>
      <c r="F292" s="557">
        <f t="shared" si="101"/>
        <v>5.1113395457192778</v>
      </c>
      <c r="G292" s="557">
        <f t="shared" si="101"/>
        <v>5.1116802562609189</v>
      </c>
      <c r="H292" s="557">
        <f t="shared" si="101"/>
        <v>5.1120209668025618</v>
      </c>
      <c r="I292" s="557">
        <f t="shared" si="101"/>
        <v>5.1123616773442038</v>
      </c>
      <c r="J292" s="557">
        <f t="shared" si="101"/>
        <v>5.1127023878858466</v>
      </c>
      <c r="K292" s="557">
        <f t="shared" si="101"/>
        <v>5.1130430984274886</v>
      </c>
      <c r="L292" s="557">
        <f t="shared" si="101"/>
        <v>5.1133838089691324</v>
      </c>
      <c r="M292" s="557">
        <f t="shared" si="101"/>
        <v>5.1137245195107743</v>
      </c>
      <c r="N292" s="557">
        <f t="shared" si="101"/>
        <v>5.1140652300524172</v>
      </c>
      <c r="O292" s="535" t="s">
        <v>1508</v>
      </c>
    </row>
    <row r="293" spans="1:33" s="142" customFormat="1" ht="18" hidden="1" customHeight="1" outlineLevel="1" x14ac:dyDescent="0.2">
      <c r="A293" s="1395"/>
      <c r="B293" s="138"/>
      <c r="C293" s="235"/>
      <c r="D293" s="537" t="s">
        <v>1496</v>
      </c>
      <c r="E293" s="557">
        <f t="shared" ref="E293:N293" si="102">pSystemsReworkHourspaCM/pSystemsTouchHourspaCM</f>
        <v>5.110998835177635</v>
      </c>
      <c r="F293" s="557">
        <f t="shared" si="102"/>
        <v>5.1113395457192778</v>
      </c>
      <c r="G293" s="557">
        <f t="shared" si="102"/>
        <v>5.1116802562609189</v>
      </c>
      <c r="H293" s="557">
        <f t="shared" si="102"/>
        <v>5.1120209668025618</v>
      </c>
      <c r="I293" s="557">
        <f t="shared" si="102"/>
        <v>5.1123616773442038</v>
      </c>
      <c r="J293" s="557">
        <f t="shared" si="102"/>
        <v>5.1127023878858466</v>
      </c>
      <c r="K293" s="557">
        <f t="shared" si="102"/>
        <v>5.1130430984274886</v>
      </c>
      <c r="L293" s="557">
        <f t="shared" si="102"/>
        <v>5.1133838089691324</v>
      </c>
      <c r="M293" s="557">
        <f t="shared" si="102"/>
        <v>5.1137245195107743</v>
      </c>
      <c r="N293" s="557">
        <f t="shared" si="102"/>
        <v>5.1140652300524172</v>
      </c>
      <c r="O293" s="535" t="s">
        <v>1509</v>
      </c>
    </row>
    <row r="294" spans="1:33" s="142" customFormat="1" ht="18" hidden="1" customHeight="1" outlineLevel="1" x14ac:dyDescent="0.2">
      <c r="A294" s="1395"/>
      <c r="B294" s="138"/>
      <c r="C294" s="235"/>
      <c r="D294" s="537" t="s">
        <v>1497</v>
      </c>
      <c r="E294" s="557">
        <f t="shared" ref="E294:N294" si="103">pSystemsReworkHourspaSMCS/pSystemsTouchHourspaSMCS</f>
        <v>5.110998835177635</v>
      </c>
      <c r="F294" s="557">
        <f t="shared" si="103"/>
        <v>5.1113395457192778</v>
      </c>
      <c r="G294" s="557">
        <f t="shared" si="103"/>
        <v>5.1116802562609189</v>
      </c>
      <c r="H294" s="557">
        <f t="shared" si="103"/>
        <v>5.1120209668025618</v>
      </c>
      <c r="I294" s="557">
        <f t="shared" si="103"/>
        <v>5.1123616773442038</v>
      </c>
      <c r="J294" s="557">
        <f t="shared" si="103"/>
        <v>5.1127023878858466</v>
      </c>
      <c r="K294" s="557">
        <f t="shared" si="103"/>
        <v>5.1130430984274886</v>
      </c>
      <c r="L294" s="557">
        <f t="shared" si="103"/>
        <v>5.1133838089691324</v>
      </c>
      <c r="M294" s="557">
        <f t="shared" si="103"/>
        <v>5.1137245195107743</v>
      </c>
      <c r="N294" s="557">
        <f t="shared" si="103"/>
        <v>5.1140652300524172</v>
      </c>
      <c r="O294" s="535" t="s">
        <v>1510</v>
      </c>
    </row>
    <row r="295" spans="1:33" s="142" customFormat="1" ht="18" hidden="1" customHeight="1" outlineLevel="1" x14ac:dyDescent="0.2">
      <c r="A295" s="1395"/>
      <c r="B295" s="138"/>
      <c r="C295" s="235"/>
      <c r="D295" s="537" t="s">
        <v>1498</v>
      </c>
      <c r="E295" s="557">
        <f t="shared" ref="E295:N295" si="104">pSystemsReworkHourspaO1/pSystemsTouchHourspaO1</f>
        <v>0</v>
      </c>
      <c r="F295" s="557">
        <f t="shared" si="104"/>
        <v>0</v>
      </c>
      <c r="G295" s="557">
        <f t="shared" si="104"/>
        <v>0</v>
      </c>
      <c r="H295" s="557">
        <f t="shared" si="104"/>
        <v>0</v>
      </c>
      <c r="I295" s="557">
        <f t="shared" si="104"/>
        <v>0</v>
      </c>
      <c r="J295" s="557">
        <f t="shared" si="104"/>
        <v>0</v>
      </c>
      <c r="K295" s="557">
        <f t="shared" si="104"/>
        <v>0</v>
      </c>
      <c r="L295" s="557">
        <f t="shared" si="104"/>
        <v>0</v>
      </c>
      <c r="M295" s="557">
        <f t="shared" si="104"/>
        <v>0</v>
      </c>
      <c r="N295" s="557">
        <f t="shared" si="104"/>
        <v>0</v>
      </c>
      <c r="O295" s="535" t="s">
        <v>1511</v>
      </c>
    </row>
    <row r="296" spans="1:33" s="142" customFormat="1" ht="18" hidden="1" customHeight="1" outlineLevel="1" x14ac:dyDescent="0.2">
      <c r="A296" s="1395"/>
      <c r="B296" s="138"/>
      <c r="C296" s="235"/>
      <c r="D296" s="537" t="s">
        <v>1499</v>
      </c>
      <c r="E296" s="557">
        <f t="shared" ref="E296:N296" si="105">pSystemsReworkHourspaO2/pSystemsTouchHourspaO2</f>
        <v>0</v>
      </c>
      <c r="F296" s="557">
        <f t="shared" si="105"/>
        <v>0</v>
      </c>
      <c r="G296" s="557">
        <f t="shared" si="105"/>
        <v>0</v>
      </c>
      <c r="H296" s="557">
        <f t="shared" si="105"/>
        <v>0</v>
      </c>
      <c r="I296" s="557">
        <f t="shared" si="105"/>
        <v>0</v>
      </c>
      <c r="J296" s="557">
        <f t="shared" si="105"/>
        <v>0</v>
      </c>
      <c r="K296" s="557">
        <f t="shared" si="105"/>
        <v>0</v>
      </c>
      <c r="L296" s="557">
        <f t="shared" si="105"/>
        <v>0</v>
      </c>
      <c r="M296" s="557">
        <f t="shared" si="105"/>
        <v>0</v>
      </c>
      <c r="N296" s="557">
        <f t="shared" si="105"/>
        <v>0</v>
      </c>
      <c r="O296" s="535" t="s">
        <v>1512</v>
      </c>
    </row>
    <row r="297" spans="1:33" s="142" customFormat="1" ht="18" hidden="1" customHeight="1" outlineLevel="1" x14ac:dyDescent="0.25">
      <c r="A297" s="1396"/>
      <c r="B297" s="138"/>
      <c r="C297" s="235"/>
      <c r="D297" s="537" t="s">
        <v>1500</v>
      </c>
      <c r="E297" s="574">
        <f>SUM(E285:E296)</f>
        <v>40.571568870122299</v>
      </c>
      <c r="F297" s="574">
        <f t="shared" ref="F297:M297" si="106">SUM(F285:F296)</f>
        <v>40.518911136912003</v>
      </c>
      <c r="G297" s="574">
        <f t="shared" si="106"/>
        <v>40.479803800232958</v>
      </c>
      <c r="H297" s="574">
        <f t="shared" si="106"/>
        <v>40.575153026938111</v>
      </c>
      <c r="I297" s="574">
        <f t="shared" si="106"/>
        <v>40.60404307762709</v>
      </c>
      <c r="J297" s="574">
        <f t="shared" si="106"/>
        <v>40.633309135535399</v>
      </c>
      <c r="K297" s="574">
        <f t="shared" si="106"/>
        <v>40.662880699309419</v>
      </c>
      <c r="L297" s="574">
        <f t="shared" si="106"/>
        <v>40.692703856149329</v>
      </c>
      <c r="M297" s="574">
        <f t="shared" si="106"/>
        <v>40.722736673877471</v>
      </c>
      <c r="N297" s="574">
        <f t="shared" ref="N297" si="107">SUM(N285:N296)</f>
        <v>40.752946048143073</v>
      </c>
      <c r="O297" s="535" t="s">
        <v>1513</v>
      </c>
    </row>
    <row r="298" spans="1:33" s="138" customFormat="1" ht="18" hidden="1" customHeight="1" outlineLevel="1" x14ac:dyDescent="0.25">
      <c r="C298" s="559"/>
      <c r="D298" s="537"/>
      <c r="E298" s="560"/>
      <c r="F298" s="560"/>
      <c r="G298" s="560"/>
      <c r="H298" s="560"/>
      <c r="I298" s="560"/>
      <c r="J298" s="560"/>
      <c r="K298" s="560"/>
      <c r="L298" s="560"/>
      <c r="M298" s="560"/>
      <c r="N298" s="560"/>
      <c r="O298" s="535"/>
    </row>
    <row r="299" spans="1:33" s="8" customFormat="1" ht="15.75" hidden="1" customHeight="1" outlineLevel="1" x14ac:dyDescent="0.25">
      <c r="A299" s="138"/>
      <c r="B299" s="561"/>
      <c r="C299" s="284"/>
      <c r="D299" s="1005" t="s">
        <v>353</v>
      </c>
      <c r="E299" s="311"/>
      <c r="F299" s="311"/>
      <c r="G299" s="311"/>
      <c r="H299" s="311"/>
      <c r="I299" s="311"/>
      <c r="J299" s="311"/>
      <c r="K299" s="311"/>
      <c r="L299" s="311"/>
      <c r="M299" s="311"/>
      <c r="N299" s="311"/>
      <c r="O299" s="995"/>
      <c r="P299" s="17"/>
      <c r="Q299" s="17"/>
      <c r="R299" s="17"/>
      <c r="S299" s="17"/>
      <c r="T299" s="17"/>
      <c r="U299" s="17"/>
      <c r="V299" s="17"/>
      <c r="W299" s="17"/>
      <c r="X299" s="17"/>
      <c r="Y299" s="17"/>
      <c r="Z299" s="17"/>
      <c r="AA299" s="17"/>
      <c r="AB299" s="17"/>
      <c r="AC299" s="17"/>
      <c r="AD299" s="17"/>
      <c r="AE299" s="17"/>
      <c r="AF299" s="17"/>
      <c r="AG299" s="17"/>
    </row>
    <row r="300" spans="1:33" s="142" customFormat="1" ht="18" hidden="1" customHeight="1" outlineLevel="1" x14ac:dyDescent="0.2">
      <c r="A300" s="138"/>
      <c r="B300" s="138"/>
      <c r="C300" s="235"/>
      <c r="D300" s="537" t="s">
        <v>1514</v>
      </c>
      <c r="E300" s="557">
        <f t="shared" ref="E300:N300" si="108">hSystemsReworkHourspaHM/hSystemsTouchHourspaHM</f>
        <v>0.26121141525917302</v>
      </c>
      <c r="F300" s="557">
        <f t="shared" si="108"/>
        <v>0.11998534787452338</v>
      </c>
      <c r="G300" s="557">
        <f t="shared" si="108"/>
        <v>0.10075141442715703</v>
      </c>
      <c r="H300" s="557">
        <f t="shared" si="108"/>
        <v>0.10361396653101458</v>
      </c>
      <c r="I300" s="557">
        <f t="shared" si="108"/>
        <v>0.10754400770209076</v>
      </c>
      <c r="J300" s="557">
        <f t="shared" si="108"/>
        <v>0.1115313452113519</v>
      </c>
      <c r="K300" s="557">
        <f t="shared" si="108"/>
        <v>0.11556523599538829</v>
      </c>
      <c r="L300" s="557">
        <f t="shared" si="108"/>
        <v>0.11963746477041606</v>
      </c>
      <c r="M300" s="557">
        <f t="shared" si="108"/>
        <v>0.12374164187126999</v>
      </c>
      <c r="N300" s="557">
        <f t="shared" si="108"/>
        <v>0.1278727228254512</v>
      </c>
      <c r="O300" s="535" t="s">
        <v>1515</v>
      </c>
    </row>
    <row r="301" spans="1:33" s="142" customFormat="1" ht="18" hidden="1" customHeight="1" outlineLevel="1" x14ac:dyDescent="0.2">
      <c r="A301" s="138"/>
      <c r="B301" s="138"/>
      <c r="C301" s="235"/>
      <c r="D301" s="537" t="s">
        <v>1516</v>
      </c>
      <c r="E301" s="557">
        <f t="shared" ref="E301:N301" si="109">hSystemsReworkHourspaLM/hSystemsTouchHourspaLM</f>
        <v>1.2980747150345289</v>
      </c>
      <c r="F301" s="557">
        <f t="shared" si="109"/>
        <v>0.64910225476329153</v>
      </c>
      <c r="G301" s="557">
        <f t="shared" si="109"/>
        <v>0.58425043680838684</v>
      </c>
      <c r="H301" s="557">
        <f t="shared" si="109"/>
        <v>0.51938563940427673</v>
      </c>
      <c r="I301" s="557">
        <f t="shared" si="109"/>
        <v>0.5194375572010983</v>
      </c>
      <c r="J301" s="557">
        <f t="shared" si="109"/>
        <v>0.5194894749979202</v>
      </c>
      <c r="K301" s="557">
        <f t="shared" si="109"/>
        <v>0.51954139279474176</v>
      </c>
      <c r="L301" s="557">
        <f t="shared" si="109"/>
        <v>0.51959331059156355</v>
      </c>
      <c r="M301" s="557">
        <f t="shared" si="109"/>
        <v>0.51964522838838512</v>
      </c>
      <c r="N301" s="557">
        <f t="shared" si="109"/>
        <v>0.51969714618520679</v>
      </c>
      <c r="O301" s="535" t="s">
        <v>1517</v>
      </c>
    </row>
    <row r="302" spans="1:33" s="142" customFormat="1" ht="18" hidden="1" customHeight="1" outlineLevel="1" x14ac:dyDescent="0.2">
      <c r="A302" s="138"/>
      <c r="B302" s="138"/>
      <c r="C302" s="235"/>
      <c r="D302" s="551" t="s">
        <v>1518</v>
      </c>
      <c r="E302" s="557">
        <f t="shared" ref="E302:N302" si="110">hSystemsReworkHourspaENG/hSystemsTouchHourspaENG</f>
        <v>1.5651643231550048</v>
      </c>
      <c r="F302" s="557">
        <f t="shared" si="110"/>
        <v>0.7826532989433399</v>
      </c>
      <c r="G302" s="557">
        <f t="shared" si="110"/>
        <v>0.70445199267825942</v>
      </c>
      <c r="H302" s="557">
        <f t="shared" si="110"/>
        <v>0.62623645894001179</v>
      </c>
      <c r="I302" s="557">
        <f t="shared" si="110"/>
        <v>0.62629336883268172</v>
      </c>
      <c r="J302" s="557">
        <f t="shared" si="110"/>
        <v>0.62635027872535165</v>
      </c>
      <c r="K302" s="557">
        <f t="shared" si="110"/>
        <v>0.62640718861802158</v>
      </c>
      <c r="L302" s="557">
        <f t="shared" si="110"/>
        <v>0.62646409851069151</v>
      </c>
      <c r="M302" s="557">
        <f t="shared" si="110"/>
        <v>0.62652100840336156</v>
      </c>
      <c r="N302" s="557">
        <f t="shared" si="110"/>
        <v>0.62657791829603138</v>
      </c>
      <c r="O302" s="535" t="s">
        <v>1519</v>
      </c>
    </row>
    <row r="303" spans="1:33" s="142" customFormat="1" ht="18" hidden="1" customHeight="1" outlineLevel="1" x14ac:dyDescent="0.2">
      <c r="A303" s="138"/>
      <c r="B303" s="138"/>
      <c r="C303" s="235"/>
      <c r="D303" s="537" t="s">
        <v>1520</v>
      </c>
      <c r="E303" s="557">
        <f t="shared" ref="E303:N303" si="111">hSystemsReworkHourspaPLG/hSystemsTouchHourspaPLG</f>
        <v>1.4278692070887764</v>
      </c>
      <c r="F303" s="557">
        <f t="shared" si="111"/>
        <v>0.71399950079041519</v>
      </c>
      <c r="G303" s="557">
        <f t="shared" si="111"/>
        <v>0.64265795823279814</v>
      </c>
      <c r="H303" s="557">
        <f t="shared" si="111"/>
        <v>0.57130343622597579</v>
      </c>
      <c r="I303" s="557">
        <f t="shared" si="111"/>
        <v>0.57135535402279725</v>
      </c>
      <c r="J303" s="557">
        <f t="shared" si="111"/>
        <v>0.57140727181961914</v>
      </c>
      <c r="K303" s="557">
        <f t="shared" si="111"/>
        <v>0.57145918961644071</v>
      </c>
      <c r="L303" s="557">
        <f t="shared" si="111"/>
        <v>0.5715111074132625</v>
      </c>
      <c r="M303" s="557">
        <f t="shared" si="111"/>
        <v>0.57156302521008417</v>
      </c>
      <c r="N303" s="557">
        <f t="shared" si="111"/>
        <v>0.57161494300690585</v>
      </c>
      <c r="O303" s="535" t="s">
        <v>1521</v>
      </c>
    </row>
    <row r="304" spans="1:33" s="142" customFormat="1" ht="18" hidden="1" customHeight="1" outlineLevel="1" x14ac:dyDescent="0.2">
      <c r="A304" s="138"/>
      <c r="B304" s="138"/>
      <c r="C304" s="235"/>
      <c r="D304" s="537" t="s">
        <v>1522</v>
      </c>
      <c r="E304" s="557">
        <f t="shared" ref="E304:N304" si="112">hSystemsReworkHourspaCRT/hSystemsTouchHourspaCRT</f>
        <v>1.5576636991430239</v>
      </c>
      <c r="F304" s="557">
        <f t="shared" si="112"/>
        <v>0.77889674681753895</v>
      </c>
      <c r="G304" s="557">
        <f t="shared" si="112"/>
        <v>0.70106547965720944</v>
      </c>
      <c r="H304" s="557">
        <f t="shared" si="112"/>
        <v>0.62322123304767474</v>
      </c>
      <c r="I304" s="557">
        <f t="shared" si="112"/>
        <v>0.6232731508444963</v>
      </c>
      <c r="J304" s="557">
        <f t="shared" si="112"/>
        <v>0.62332506864131809</v>
      </c>
      <c r="K304" s="557">
        <f t="shared" si="112"/>
        <v>0.62337698643813977</v>
      </c>
      <c r="L304" s="557">
        <f t="shared" si="112"/>
        <v>0.62342890423496156</v>
      </c>
      <c r="M304" s="557">
        <f t="shared" si="112"/>
        <v>0.62348082203178323</v>
      </c>
      <c r="N304" s="557">
        <f t="shared" si="112"/>
        <v>0.6235327398286048</v>
      </c>
      <c r="O304" s="535" t="s">
        <v>1523</v>
      </c>
    </row>
    <row r="305" spans="1:33" s="142" customFormat="1" ht="18" hidden="1" customHeight="1" outlineLevel="1" x14ac:dyDescent="0.2">
      <c r="A305" s="138"/>
      <c r="B305" s="138"/>
      <c r="C305" s="235"/>
      <c r="D305" s="537" t="s">
        <v>1524</v>
      </c>
      <c r="E305" s="557">
        <f t="shared" ref="E305:N305" si="113">hSystemsReworkHourspaSCL/hSystemsTouchHourspaSCL</f>
        <v>1.6874581911972713</v>
      </c>
      <c r="F305" s="557">
        <f t="shared" si="113"/>
        <v>0.84379399284466272</v>
      </c>
      <c r="G305" s="557">
        <f t="shared" si="113"/>
        <v>0.75947300108162086</v>
      </c>
      <c r="H305" s="557">
        <f t="shared" si="113"/>
        <v>0.67513902986937369</v>
      </c>
      <c r="I305" s="557">
        <f t="shared" si="113"/>
        <v>0.67519094766619536</v>
      </c>
      <c r="J305" s="557">
        <f t="shared" si="113"/>
        <v>0.67524286546301704</v>
      </c>
      <c r="K305" s="557">
        <f t="shared" si="113"/>
        <v>0.67529478325983872</v>
      </c>
      <c r="L305" s="557">
        <f t="shared" si="113"/>
        <v>0.6753467010566605</v>
      </c>
      <c r="M305" s="557">
        <f t="shared" si="113"/>
        <v>0.67539861885348218</v>
      </c>
      <c r="N305" s="557">
        <f t="shared" si="113"/>
        <v>0.67545053665030386</v>
      </c>
      <c r="O305" s="535" t="s">
        <v>1525</v>
      </c>
    </row>
    <row r="306" spans="1:33" s="142" customFormat="1" ht="18" hidden="1" customHeight="1" outlineLevel="1" x14ac:dyDescent="0.2">
      <c r="A306" s="138"/>
      <c r="B306" s="138"/>
      <c r="C306" s="235"/>
      <c r="D306" s="537" t="s">
        <v>1526</v>
      </c>
      <c r="E306" s="557">
        <f t="shared" ref="E306:N306" si="114">hSystemsReworkHourspaQSC/hSystemsTouchHourspaQSC</f>
        <v>1.817252683251519</v>
      </c>
      <c r="F306" s="557">
        <f t="shared" si="114"/>
        <v>0.90869123887178638</v>
      </c>
      <c r="G306" s="557">
        <f t="shared" si="114"/>
        <v>0.81788052250603227</v>
      </c>
      <c r="H306" s="557">
        <f t="shared" si="114"/>
        <v>0.72705682669107263</v>
      </c>
      <c r="I306" s="557">
        <f t="shared" si="114"/>
        <v>0.72710874448789442</v>
      </c>
      <c r="J306" s="557">
        <f t="shared" si="114"/>
        <v>0.72716066228471599</v>
      </c>
      <c r="K306" s="557">
        <f t="shared" si="114"/>
        <v>0.72721258008153777</v>
      </c>
      <c r="L306" s="557">
        <f t="shared" si="114"/>
        <v>0.72726449787835945</v>
      </c>
      <c r="M306" s="557">
        <f t="shared" si="114"/>
        <v>0.72731641567518124</v>
      </c>
      <c r="N306" s="557">
        <f t="shared" si="114"/>
        <v>0.7273683334720028</v>
      </c>
      <c r="O306" s="535" t="s">
        <v>1527</v>
      </c>
    </row>
    <row r="307" spans="1:33" s="142" customFormat="1" ht="18" hidden="1" customHeight="1" outlineLevel="1" x14ac:dyDescent="0.2">
      <c r="A307" s="138"/>
      <c r="B307" s="138"/>
      <c r="C307" s="235"/>
      <c r="D307" s="537" t="s">
        <v>1528</v>
      </c>
      <c r="E307" s="557">
        <f t="shared" ref="E307:N307" si="115">hSystemsReworkHourspaEM/hSystemsTouchHourspaEM</f>
        <v>1.9470471753057663</v>
      </c>
      <c r="F307" s="557">
        <f t="shared" si="115"/>
        <v>0.97358848489891014</v>
      </c>
      <c r="G307" s="557">
        <f t="shared" si="115"/>
        <v>0.87628804393044368</v>
      </c>
      <c r="H307" s="557">
        <f t="shared" si="115"/>
        <v>0.77897462351277158</v>
      </c>
      <c r="I307" s="557">
        <f t="shared" si="115"/>
        <v>0.77902654130959337</v>
      </c>
      <c r="J307" s="557">
        <f t="shared" si="115"/>
        <v>0.77907845910641504</v>
      </c>
      <c r="K307" s="557">
        <f t="shared" si="115"/>
        <v>0.77913037690323672</v>
      </c>
      <c r="L307" s="557">
        <f t="shared" si="115"/>
        <v>0.7791822947000584</v>
      </c>
      <c r="M307" s="557">
        <f t="shared" si="115"/>
        <v>0.77923421249688019</v>
      </c>
      <c r="N307" s="557">
        <f t="shared" si="115"/>
        <v>0.77928613029370175</v>
      </c>
      <c r="O307" s="535" t="s">
        <v>1529</v>
      </c>
    </row>
    <row r="308" spans="1:33" s="142" customFormat="1" ht="18" hidden="1" customHeight="1" outlineLevel="1" x14ac:dyDescent="0.2">
      <c r="A308" s="138"/>
      <c r="B308" s="138"/>
      <c r="C308" s="235"/>
      <c r="D308" s="537" t="s">
        <v>1530</v>
      </c>
      <c r="E308" s="557">
        <f t="shared" ref="E308:N308" si="116">hSystemsReworkHourspaCM/hSystemsTouchHourspaCM</f>
        <v>1.9470471753057663</v>
      </c>
      <c r="F308" s="557">
        <f t="shared" si="116"/>
        <v>0.97358848489891014</v>
      </c>
      <c r="G308" s="557">
        <f t="shared" si="116"/>
        <v>0.87628804393044368</v>
      </c>
      <c r="H308" s="557">
        <f t="shared" si="116"/>
        <v>0.77897462351277158</v>
      </c>
      <c r="I308" s="557">
        <f t="shared" si="116"/>
        <v>0.77902654130959337</v>
      </c>
      <c r="J308" s="557">
        <f t="shared" si="116"/>
        <v>0.77907845910641504</v>
      </c>
      <c r="K308" s="557">
        <f t="shared" si="116"/>
        <v>0.77913037690323672</v>
      </c>
      <c r="L308" s="557">
        <f t="shared" si="116"/>
        <v>0.7791822947000584</v>
      </c>
      <c r="M308" s="557">
        <f t="shared" si="116"/>
        <v>0.77923421249688019</v>
      </c>
      <c r="N308" s="557">
        <f t="shared" si="116"/>
        <v>0.77928613029370175</v>
      </c>
      <c r="O308" s="535" t="s">
        <v>1531</v>
      </c>
    </row>
    <row r="309" spans="1:33" s="142" customFormat="1" ht="18" hidden="1" customHeight="1" outlineLevel="1" x14ac:dyDescent="0.2">
      <c r="A309" s="138"/>
      <c r="B309" s="138"/>
      <c r="C309" s="235"/>
      <c r="D309" s="537" t="s">
        <v>1532</v>
      </c>
      <c r="E309" s="557">
        <f t="shared" ref="E309:N309" si="117">hSystemsReworkHourspaSMCS/hSystemsTouchHourspaSMCS</f>
        <v>1.9470471753057663</v>
      </c>
      <c r="F309" s="557">
        <f t="shared" si="117"/>
        <v>0.97358848489891014</v>
      </c>
      <c r="G309" s="557">
        <f t="shared" si="117"/>
        <v>0.87628804393044368</v>
      </c>
      <c r="H309" s="557">
        <f t="shared" si="117"/>
        <v>0.77897462351277158</v>
      </c>
      <c r="I309" s="557">
        <f t="shared" si="117"/>
        <v>0.77902654130959337</v>
      </c>
      <c r="J309" s="557">
        <f t="shared" si="117"/>
        <v>0.77907845910641504</v>
      </c>
      <c r="K309" s="557">
        <f t="shared" si="117"/>
        <v>0.77913037690323672</v>
      </c>
      <c r="L309" s="557">
        <f t="shared" si="117"/>
        <v>0.7791822947000584</v>
      </c>
      <c r="M309" s="557">
        <f t="shared" si="117"/>
        <v>0.77923421249688019</v>
      </c>
      <c r="N309" s="557">
        <f t="shared" si="117"/>
        <v>0.77928613029370175</v>
      </c>
      <c r="O309" s="535" t="s">
        <v>1533</v>
      </c>
    </row>
    <row r="310" spans="1:33" s="142" customFormat="1" ht="18" hidden="1" customHeight="1" outlineLevel="1" x14ac:dyDescent="0.2">
      <c r="A310" s="138"/>
      <c r="B310" s="138"/>
      <c r="C310" s="235"/>
      <c r="D310" s="537" t="s">
        <v>1534</v>
      </c>
      <c r="E310" s="557">
        <f t="shared" ref="E310:N310" si="118">hSystemsReworkHourspaO1/hSystemsTouchHourspaO1</f>
        <v>0</v>
      </c>
      <c r="F310" s="557">
        <f t="shared" si="118"/>
        <v>0</v>
      </c>
      <c r="G310" s="557">
        <f t="shared" si="118"/>
        <v>0</v>
      </c>
      <c r="H310" s="557">
        <f t="shared" si="118"/>
        <v>0</v>
      </c>
      <c r="I310" s="557">
        <f t="shared" si="118"/>
        <v>0</v>
      </c>
      <c r="J310" s="557">
        <f t="shared" si="118"/>
        <v>0</v>
      </c>
      <c r="K310" s="557">
        <f t="shared" si="118"/>
        <v>0</v>
      </c>
      <c r="L310" s="557">
        <f t="shared" si="118"/>
        <v>0</v>
      </c>
      <c r="M310" s="557">
        <f t="shared" si="118"/>
        <v>0</v>
      </c>
      <c r="N310" s="557">
        <f t="shared" si="118"/>
        <v>0</v>
      </c>
      <c r="O310" s="535" t="s">
        <v>1535</v>
      </c>
    </row>
    <row r="311" spans="1:33" s="142" customFormat="1" ht="18" hidden="1" customHeight="1" outlineLevel="1" x14ac:dyDescent="0.2">
      <c r="A311" s="138"/>
      <c r="B311" s="138"/>
      <c r="C311" s="235"/>
      <c r="D311" s="537" t="s">
        <v>1536</v>
      </c>
      <c r="E311" s="557">
        <f t="shared" ref="E311:N311" si="119">hSystemsReworkHourspaO2/hSystemsTouchHourspaO2</f>
        <v>0</v>
      </c>
      <c r="F311" s="557">
        <f t="shared" si="119"/>
        <v>0</v>
      </c>
      <c r="G311" s="557">
        <f t="shared" si="119"/>
        <v>0</v>
      </c>
      <c r="H311" s="557">
        <f t="shared" si="119"/>
        <v>0</v>
      </c>
      <c r="I311" s="557">
        <f t="shared" si="119"/>
        <v>0</v>
      </c>
      <c r="J311" s="557">
        <f t="shared" si="119"/>
        <v>0</v>
      </c>
      <c r="K311" s="557">
        <f t="shared" si="119"/>
        <v>0</v>
      </c>
      <c r="L311" s="557">
        <f t="shared" si="119"/>
        <v>0</v>
      </c>
      <c r="M311" s="557">
        <f t="shared" si="119"/>
        <v>0</v>
      </c>
      <c r="N311" s="557">
        <f t="shared" si="119"/>
        <v>0</v>
      </c>
      <c r="O311" s="535" t="s">
        <v>1537</v>
      </c>
    </row>
    <row r="312" spans="1:33" s="142" customFormat="1" ht="18" hidden="1" customHeight="1" outlineLevel="1" x14ac:dyDescent="0.25">
      <c r="A312" s="138"/>
      <c r="B312" s="138"/>
      <c r="C312" s="235"/>
      <c r="D312" s="537" t="s">
        <v>1538</v>
      </c>
      <c r="E312" s="574">
        <f>SUM(E300:E311)</f>
        <v>15.455835760046595</v>
      </c>
      <c r="F312" s="574">
        <f t="shared" ref="F312" si="120">SUM(F300:F311)</f>
        <v>7.7178878356022871</v>
      </c>
      <c r="G312" s="574">
        <f t="shared" ref="G312" si="121">SUM(G300:G311)</f>
        <v>6.9393949371827954</v>
      </c>
      <c r="H312" s="574">
        <f t="shared" ref="H312" si="122">SUM(H300:H311)</f>
        <v>6.1828804612477155</v>
      </c>
      <c r="I312" s="574">
        <f t="shared" ref="I312" si="123">SUM(I300:I311)</f>
        <v>6.1872827546860343</v>
      </c>
      <c r="J312" s="574">
        <f t="shared" ref="J312" si="124">SUM(J300:J311)</f>
        <v>6.1917423444625399</v>
      </c>
      <c r="K312" s="574">
        <f t="shared" ref="K312" si="125">SUM(K300:K311)</f>
        <v>6.1962484875138193</v>
      </c>
      <c r="L312" s="574">
        <f t="shared" ref="L312" si="126">SUM(L300:L311)</f>
        <v>6.2007929685560903</v>
      </c>
      <c r="M312" s="574">
        <f t="shared" ref="M312:N312" si="127">SUM(M300:M311)</f>
        <v>6.2053693979241888</v>
      </c>
      <c r="N312" s="574">
        <f t="shared" si="127"/>
        <v>6.2099727311456121</v>
      </c>
      <c r="O312" s="535" t="s">
        <v>1539</v>
      </c>
    </row>
    <row r="313" spans="1:33" s="138" customFormat="1" ht="18" hidden="1" customHeight="1" outlineLevel="1" x14ac:dyDescent="0.25">
      <c r="C313" s="559"/>
      <c r="D313" s="537"/>
      <c r="E313" s="560"/>
      <c r="F313" s="560"/>
      <c r="G313" s="560"/>
      <c r="H313" s="560"/>
      <c r="I313" s="560"/>
      <c r="J313" s="560"/>
      <c r="K313" s="560"/>
      <c r="L313" s="560"/>
      <c r="M313" s="560"/>
      <c r="N313" s="560"/>
      <c r="O313" s="535"/>
    </row>
    <row r="314" spans="1:33" s="8" customFormat="1" ht="15.75" hidden="1" customHeight="1" outlineLevel="1" x14ac:dyDescent="0.25">
      <c r="A314" s="138"/>
      <c r="B314" s="561"/>
      <c r="C314" s="284"/>
      <c r="D314" s="1004" t="s">
        <v>354</v>
      </c>
      <c r="E314" s="311"/>
      <c r="F314" s="311"/>
      <c r="G314" s="311"/>
      <c r="H314" s="311"/>
      <c r="I314" s="311"/>
      <c r="J314" s="311"/>
      <c r="K314" s="311"/>
      <c r="L314" s="311"/>
      <c r="M314" s="311"/>
      <c r="N314" s="311"/>
      <c r="O314" s="995"/>
      <c r="P314" s="17"/>
      <c r="Q314" s="17"/>
      <c r="R314" s="17"/>
      <c r="S314" s="17"/>
      <c r="T314" s="17"/>
      <c r="U314" s="17"/>
      <c r="V314" s="17"/>
      <c r="W314" s="17"/>
      <c r="X314" s="17"/>
      <c r="Y314" s="17"/>
      <c r="Z314" s="17"/>
      <c r="AA314" s="17"/>
      <c r="AB314" s="17"/>
      <c r="AC314" s="17"/>
      <c r="AD314" s="17"/>
      <c r="AE314" s="17"/>
      <c r="AF314" s="17"/>
      <c r="AG314" s="17"/>
    </row>
    <row r="315" spans="1:33" s="142" customFormat="1" ht="18" hidden="1" customHeight="1" outlineLevel="1" x14ac:dyDescent="0.2">
      <c r="A315" s="138"/>
      <c r="B315" s="138"/>
      <c r="C315" s="235"/>
      <c r="D315" s="537" t="s">
        <v>1540</v>
      </c>
      <c r="E315" s="557">
        <f t="shared" ref="E315:N315" si="128">eSystemsReworkHourspaHM/eSystemsTouchHourspaHM</f>
        <v>5.7139997087944094E-2</v>
      </c>
      <c r="F315" s="557">
        <f t="shared" si="128"/>
        <v>2.0997435878041585E-3</v>
      </c>
      <c r="G315" s="557">
        <f t="shared" si="128"/>
        <v>1.4692914603960398E-3</v>
      </c>
      <c r="H315" s="557">
        <f t="shared" si="128"/>
        <v>1.9832360781327006E-3</v>
      </c>
      <c r="I315" s="557">
        <f t="shared" si="128"/>
        <v>1.7643938763624259E-3</v>
      </c>
      <c r="J315" s="557">
        <f t="shared" si="128"/>
        <v>1.5248426103114513E-3</v>
      </c>
      <c r="K315" s="557">
        <f t="shared" si="128"/>
        <v>1.2639947686995591E-3</v>
      </c>
      <c r="L315" s="557">
        <f t="shared" si="128"/>
        <v>9.8140107819481891E-4</v>
      </c>
      <c r="M315" s="557">
        <f t="shared" si="128"/>
        <v>6.7671210398350756E-4</v>
      </c>
      <c r="N315" s="557">
        <f t="shared" si="128"/>
        <v>3.4965197647584303E-4</v>
      </c>
      <c r="O315" s="535" t="s">
        <v>1541</v>
      </c>
    </row>
    <row r="316" spans="1:33" s="142" customFormat="1" ht="18" hidden="1" customHeight="1" outlineLevel="1" x14ac:dyDescent="0.2">
      <c r="A316" s="138"/>
      <c r="B316" s="138"/>
      <c r="C316" s="235"/>
      <c r="D316" s="537" t="s">
        <v>1542</v>
      </c>
      <c r="E316" s="557">
        <f t="shared" ref="E316:N316" si="129">eSystemsReworkHourspaLM/eSystemsTouchHourspaLM</f>
        <v>0.28395384391380313</v>
      </c>
      <c r="F316" s="557">
        <f t="shared" si="129"/>
        <v>1.1359289458357602E-2</v>
      </c>
      <c r="G316" s="557">
        <f t="shared" si="129"/>
        <v>8.5203188701223065E-3</v>
      </c>
      <c r="H316" s="557">
        <f t="shared" si="129"/>
        <v>9.941365754222482E-3</v>
      </c>
      <c r="I316" s="557">
        <f t="shared" si="129"/>
        <v>8.5220224228305195E-3</v>
      </c>
      <c r="J316" s="557">
        <f t="shared" si="129"/>
        <v>7.1023951659871876E-3</v>
      </c>
      <c r="K316" s="557">
        <f t="shared" si="129"/>
        <v>5.6824839836924872E-3</v>
      </c>
      <c r="L316" s="557">
        <f t="shared" si="129"/>
        <v>4.2622888759464182E-3</v>
      </c>
      <c r="M316" s="557">
        <f t="shared" si="129"/>
        <v>2.8418098427489807E-3</v>
      </c>
      <c r="N316" s="557">
        <f t="shared" si="129"/>
        <v>1.4210468841001746E-3</v>
      </c>
      <c r="O316" s="535" t="s">
        <v>1543</v>
      </c>
    </row>
    <row r="317" spans="1:33" s="142" customFormat="1" ht="18" hidden="1" customHeight="1" outlineLevel="1" x14ac:dyDescent="0.2">
      <c r="A317" s="138"/>
      <c r="B317" s="138"/>
      <c r="C317" s="235"/>
      <c r="D317" s="551" t="s">
        <v>1544</v>
      </c>
      <c r="E317" s="557">
        <f t="shared" ref="E317:N317" si="130">eSystemsReworkHourspaENG/eSystemsTouchHourspaENG</f>
        <v>0.34237969569015725</v>
      </c>
      <c r="F317" s="557">
        <f t="shared" si="130"/>
        <v>1.3696432731508447E-2</v>
      </c>
      <c r="G317" s="557">
        <f t="shared" si="130"/>
        <v>1.027325822655795E-2</v>
      </c>
      <c r="H317" s="557">
        <f t="shared" si="130"/>
        <v>1.1986557221898659E-2</v>
      </c>
      <c r="I317" s="557">
        <f t="shared" si="130"/>
        <v>1.0275125582411183E-2</v>
      </c>
      <c r="J317" s="557">
        <f t="shared" si="130"/>
        <v>8.5633827169481654E-3</v>
      </c>
      <c r="K317" s="557">
        <f t="shared" si="130"/>
        <v>6.8513286255096105E-3</v>
      </c>
      <c r="L317" s="557">
        <f t="shared" si="130"/>
        <v>5.138963308095516E-3</v>
      </c>
      <c r="M317" s="557">
        <f t="shared" si="130"/>
        <v>3.4262867647058817E-3</v>
      </c>
      <c r="N317" s="557">
        <f t="shared" si="130"/>
        <v>1.7132989953407105E-3</v>
      </c>
      <c r="O317" s="535" t="s">
        <v>1545</v>
      </c>
    </row>
    <row r="318" spans="1:33" s="142" customFormat="1" ht="18" hidden="1" customHeight="1" outlineLevel="1" x14ac:dyDescent="0.2">
      <c r="A318" s="138"/>
      <c r="B318" s="138"/>
      <c r="C318" s="235"/>
      <c r="D318" s="537" t="s">
        <v>1546</v>
      </c>
      <c r="E318" s="557">
        <f t="shared" ref="E318:N318" si="131">eSystemsReworkHourspaPLG/eSystemsTouchHourspaPLG</f>
        <v>0.31234638905066975</v>
      </c>
      <c r="F318" s="557">
        <f t="shared" si="131"/>
        <v>1.2494991263832267E-2</v>
      </c>
      <c r="G318" s="557">
        <f t="shared" si="131"/>
        <v>9.3720952242283065E-3</v>
      </c>
      <c r="H318" s="557">
        <f t="shared" si="131"/>
        <v>1.0935104834012811E-2</v>
      </c>
      <c r="I318" s="557">
        <f t="shared" si="131"/>
        <v>9.373798776936516E-3</v>
      </c>
      <c r="J318" s="557">
        <f t="shared" si="131"/>
        <v>7.8122087944088531E-3</v>
      </c>
      <c r="K318" s="557">
        <f t="shared" si="131"/>
        <v>6.2503348864298199E-3</v>
      </c>
      <c r="L318" s="557">
        <f t="shared" si="131"/>
        <v>4.6881770529994173E-3</v>
      </c>
      <c r="M318" s="557">
        <f t="shared" si="131"/>
        <v>3.125735294117647E-3</v>
      </c>
      <c r="N318" s="557">
        <f t="shared" si="131"/>
        <v>1.5630096097845076E-3</v>
      </c>
      <c r="O318" s="535" t="s">
        <v>1547</v>
      </c>
    </row>
    <row r="319" spans="1:33" s="142" customFormat="1" ht="18" hidden="1" customHeight="1" outlineLevel="1" x14ac:dyDescent="0.2">
      <c r="A319" s="138"/>
      <c r="B319" s="138"/>
      <c r="C319" s="235"/>
      <c r="D319" s="537" t="s">
        <v>1548</v>
      </c>
      <c r="E319" s="557">
        <f t="shared" ref="E319:N319" si="132">eSystemsReworkHourspaCRT/eSystemsTouchHourspaCRT</f>
        <v>0.34073893418753642</v>
      </c>
      <c r="F319" s="557">
        <f t="shared" si="132"/>
        <v>1.3630693069306931E-2</v>
      </c>
      <c r="G319" s="557">
        <f t="shared" si="132"/>
        <v>1.0223871578334305E-2</v>
      </c>
      <c r="H319" s="557">
        <f t="shared" si="132"/>
        <v>1.1928843913803147E-2</v>
      </c>
      <c r="I319" s="557">
        <f t="shared" si="132"/>
        <v>1.0225575131042516E-2</v>
      </c>
      <c r="J319" s="557">
        <f t="shared" si="132"/>
        <v>8.5220224228305195E-3</v>
      </c>
      <c r="K319" s="557">
        <f t="shared" si="132"/>
        <v>6.8181857891671527E-3</v>
      </c>
      <c r="L319" s="557">
        <f t="shared" si="132"/>
        <v>5.1140652300524165E-3</v>
      </c>
      <c r="M319" s="557">
        <f t="shared" si="132"/>
        <v>3.4096607454863139E-3</v>
      </c>
      <c r="N319" s="557">
        <f t="shared" si="132"/>
        <v>1.704972335468841E-3</v>
      </c>
      <c r="O319" s="535" t="s">
        <v>1549</v>
      </c>
    </row>
    <row r="320" spans="1:33" s="142" customFormat="1" ht="18" hidden="1" customHeight="1" outlineLevel="1" x14ac:dyDescent="0.2">
      <c r="A320" s="138"/>
      <c r="B320" s="138"/>
      <c r="C320" s="235"/>
      <c r="D320" s="537" t="s">
        <v>1550</v>
      </c>
      <c r="E320" s="557">
        <f t="shared" ref="E320:N320" si="133">eSystemsReworkHourspaSCL/eSystemsTouchHourspaSCL</f>
        <v>0.36913147932440304</v>
      </c>
      <c r="F320" s="557">
        <f t="shared" si="133"/>
        <v>1.4766394874781595E-2</v>
      </c>
      <c r="G320" s="557">
        <f t="shared" si="133"/>
        <v>1.1075647932440301E-2</v>
      </c>
      <c r="H320" s="557">
        <f t="shared" si="133"/>
        <v>1.2922582993593478E-2</v>
      </c>
      <c r="I320" s="557">
        <f t="shared" si="133"/>
        <v>1.1077351485148513E-2</v>
      </c>
      <c r="J320" s="557">
        <f t="shared" si="133"/>
        <v>9.2318360512521833E-3</v>
      </c>
      <c r="K320" s="557">
        <f t="shared" si="133"/>
        <v>7.3860366919044854E-3</v>
      </c>
      <c r="L320" s="557">
        <f t="shared" si="133"/>
        <v>5.5399534071054165E-3</v>
      </c>
      <c r="M320" s="557">
        <f t="shared" si="133"/>
        <v>3.6935861968549798E-3</v>
      </c>
      <c r="N320" s="557">
        <f t="shared" si="133"/>
        <v>1.8469350611531744E-3</v>
      </c>
      <c r="O320" s="535" t="s">
        <v>1551</v>
      </c>
    </row>
    <row r="321" spans="1:33" s="142" customFormat="1" ht="18" hidden="1" customHeight="1" outlineLevel="1" x14ac:dyDescent="0.2">
      <c r="A321" s="138"/>
      <c r="B321" s="138"/>
      <c r="C321" s="235"/>
      <c r="D321" s="537" t="s">
        <v>1552</v>
      </c>
      <c r="E321" s="557">
        <f t="shared" ref="E321:N321" si="134">eSystemsReworkHourspaQSC/eSystemsTouchHourspaQSC</f>
        <v>0.39752402446126966</v>
      </c>
      <c r="F321" s="557">
        <f t="shared" si="134"/>
        <v>1.5902096680256259E-2</v>
      </c>
      <c r="G321" s="557">
        <f t="shared" si="134"/>
        <v>1.1927424286546301E-2</v>
      </c>
      <c r="H321" s="557">
        <f t="shared" si="134"/>
        <v>1.3916322073383811E-2</v>
      </c>
      <c r="I321" s="557">
        <f t="shared" si="134"/>
        <v>1.1929127839254514E-2</v>
      </c>
      <c r="J321" s="557">
        <f t="shared" si="134"/>
        <v>9.9416496796738488E-3</v>
      </c>
      <c r="K321" s="557">
        <f t="shared" si="134"/>
        <v>7.9538875946418165E-3</v>
      </c>
      <c r="L321" s="557">
        <f t="shared" si="134"/>
        <v>5.9658415841584165E-3</v>
      </c>
      <c r="M321" s="557">
        <f t="shared" si="134"/>
        <v>3.9775116482236453E-3</v>
      </c>
      <c r="N321" s="557">
        <f t="shared" si="134"/>
        <v>1.9888977868375078E-3</v>
      </c>
      <c r="O321" s="535" t="s">
        <v>1553</v>
      </c>
    </row>
    <row r="322" spans="1:33" s="142" customFormat="1" ht="18" hidden="1" customHeight="1" outlineLevel="1" x14ac:dyDescent="0.2">
      <c r="A322" s="138"/>
      <c r="B322" s="138"/>
      <c r="C322" s="235"/>
      <c r="D322" s="537" t="s">
        <v>1554</v>
      </c>
      <c r="E322" s="557">
        <f t="shared" ref="E322:N322" si="135">eSystemsReworkHourspaEM/eSystemsTouchHourspaEM</f>
        <v>0.42591656959813634</v>
      </c>
      <c r="F322" s="557">
        <f t="shared" si="135"/>
        <v>1.7037798485730924E-2</v>
      </c>
      <c r="G322" s="557">
        <f t="shared" si="135"/>
        <v>1.27792006406523E-2</v>
      </c>
      <c r="H322" s="557">
        <f t="shared" si="135"/>
        <v>1.4910061153174142E-2</v>
      </c>
      <c r="I322" s="557">
        <f t="shared" si="135"/>
        <v>1.2780904193360511E-2</v>
      </c>
      <c r="J322" s="557">
        <f t="shared" si="135"/>
        <v>1.0651463308095516E-2</v>
      </c>
      <c r="K322" s="557">
        <f t="shared" si="135"/>
        <v>8.5217384973791509E-3</v>
      </c>
      <c r="L322" s="557">
        <f t="shared" si="135"/>
        <v>6.3917297612114156E-3</v>
      </c>
      <c r="M322" s="557">
        <f t="shared" si="135"/>
        <v>4.2614370995923117E-3</v>
      </c>
      <c r="N322" s="557">
        <f t="shared" si="135"/>
        <v>2.1308605125218406E-3</v>
      </c>
      <c r="O322" s="535" t="s">
        <v>1555</v>
      </c>
    </row>
    <row r="323" spans="1:33" s="142" customFormat="1" ht="18" hidden="1" customHeight="1" outlineLevel="1" x14ac:dyDescent="0.2">
      <c r="A323" s="138"/>
      <c r="B323" s="138"/>
      <c r="C323" s="235"/>
      <c r="D323" s="537" t="s">
        <v>1556</v>
      </c>
      <c r="E323" s="557">
        <f t="shared" ref="E323:N323" si="136">eSystemsReworkHourspaCM/eSystemsTouchHourspaCM</f>
        <v>0.42591656959813634</v>
      </c>
      <c r="F323" s="557">
        <f t="shared" si="136"/>
        <v>1.7037798485730924E-2</v>
      </c>
      <c r="G323" s="557">
        <f t="shared" si="136"/>
        <v>1.27792006406523E-2</v>
      </c>
      <c r="H323" s="557">
        <f t="shared" si="136"/>
        <v>1.4910061153174142E-2</v>
      </c>
      <c r="I323" s="557">
        <f t="shared" si="136"/>
        <v>1.2780904193360511E-2</v>
      </c>
      <c r="J323" s="557">
        <f t="shared" si="136"/>
        <v>1.0651463308095516E-2</v>
      </c>
      <c r="K323" s="557">
        <f t="shared" si="136"/>
        <v>8.5217384973791509E-3</v>
      </c>
      <c r="L323" s="557">
        <f t="shared" si="136"/>
        <v>6.3917297612114156E-3</v>
      </c>
      <c r="M323" s="557">
        <f t="shared" si="136"/>
        <v>4.2614370995923117E-3</v>
      </c>
      <c r="N323" s="557">
        <f t="shared" si="136"/>
        <v>2.1308605125218406E-3</v>
      </c>
      <c r="O323" s="535" t="s">
        <v>1557</v>
      </c>
    </row>
    <row r="324" spans="1:33" s="142" customFormat="1" ht="18" hidden="1" customHeight="1" outlineLevel="1" x14ac:dyDescent="0.2">
      <c r="A324" s="138"/>
      <c r="B324" s="138"/>
      <c r="C324" s="235"/>
      <c r="D324" s="537" t="s">
        <v>1558</v>
      </c>
      <c r="E324" s="557">
        <f t="shared" ref="E324:N324" si="137">eSystemsReworkHourspaSMCS/eSystemsTouchHourspaSMCS</f>
        <v>0.42591656959813634</v>
      </c>
      <c r="F324" s="557">
        <f t="shared" si="137"/>
        <v>1.7037798485730924E-2</v>
      </c>
      <c r="G324" s="557">
        <f t="shared" si="137"/>
        <v>1.27792006406523E-2</v>
      </c>
      <c r="H324" s="557">
        <f t="shared" si="137"/>
        <v>1.4910061153174142E-2</v>
      </c>
      <c r="I324" s="557">
        <f t="shared" si="137"/>
        <v>1.2780904193360511E-2</v>
      </c>
      <c r="J324" s="557">
        <f t="shared" si="137"/>
        <v>1.0651463308095516E-2</v>
      </c>
      <c r="K324" s="557">
        <f t="shared" si="137"/>
        <v>8.5217384973791509E-3</v>
      </c>
      <c r="L324" s="557">
        <f t="shared" si="137"/>
        <v>6.3917297612114156E-3</v>
      </c>
      <c r="M324" s="557">
        <f t="shared" si="137"/>
        <v>4.2614370995923117E-3</v>
      </c>
      <c r="N324" s="557">
        <f t="shared" si="137"/>
        <v>2.1308605125218406E-3</v>
      </c>
      <c r="O324" s="535" t="s">
        <v>1559</v>
      </c>
    </row>
    <row r="325" spans="1:33" s="142" customFormat="1" ht="18" hidden="1" customHeight="1" outlineLevel="1" x14ac:dyDescent="0.2">
      <c r="A325" s="138"/>
      <c r="B325" s="138"/>
      <c r="C325" s="235"/>
      <c r="D325" s="537" t="s">
        <v>1560</v>
      </c>
      <c r="E325" s="557">
        <f t="shared" ref="E325:N325" si="138">eSystemsReworkHourspaO1/eSystemsTouchHourspaO1</f>
        <v>0</v>
      </c>
      <c r="F325" s="557">
        <f t="shared" si="138"/>
        <v>0</v>
      </c>
      <c r="G325" s="557">
        <f t="shared" si="138"/>
        <v>0</v>
      </c>
      <c r="H325" s="557">
        <f t="shared" si="138"/>
        <v>0</v>
      </c>
      <c r="I325" s="557">
        <f t="shared" si="138"/>
        <v>0</v>
      </c>
      <c r="J325" s="557">
        <f t="shared" si="138"/>
        <v>0</v>
      </c>
      <c r="K325" s="557">
        <f t="shared" si="138"/>
        <v>0</v>
      </c>
      <c r="L325" s="557">
        <f t="shared" si="138"/>
        <v>0</v>
      </c>
      <c r="M325" s="557">
        <f t="shared" si="138"/>
        <v>0</v>
      </c>
      <c r="N325" s="557">
        <f t="shared" si="138"/>
        <v>0</v>
      </c>
      <c r="O325" s="535" t="s">
        <v>1561</v>
      </c>
    </row>
    <row r="326" spans="1:33" s="142" customFormat="1" ht="18" hidden="1" customHeight="1" outlineLevel="1" x14ac:dyDescent="0.2">
      <c r="A326" s="138"/>
      <c r="B326" s="138"/>
      <c r="C326" s="235"/>
      <c r="D326" s="537" t="s">
        <v>1562</v>
      </c>
      <c r="E326" s="557">
        <f t="shared" ref="E326:N326" si="139">eSystemsReworkHourspaO2/eSystemsTouchHourspaO2</f>
        <v>0</v>
      </c>
      <c r="F326" s="557">
        <f t="shared" si="139"/>
        <v>0</v>
      </c>
      <c r="G326" s="557">
        <f t="shared" si="139"/>
        <v>0</v>
      </c>
      <c r="H326" s="557">
        <f t="shared" si="139"/>
        <v>0</v>
      </c>
      <c r="I326" s="557">
        <f t="shared" si="139"/>
        <v>0</v>
      </c>
      <c r="J326" s="557">
        <f t="shared" si="139"/>
        <v>0</v>
      </c>
      <c r="K326" s="557">
        <f t="shared" si="139"/>
        <v>0</v>
      </c>
      <c r="L326" s="557">
        <f t="shared" si="139"/>
        <v>0</v>
      </c>
      <c r="M326" s="557">
        <f t="shared" si="139"/>
        <v>0</v>
      </c>
      <c r="N326" s="557">
        <f t="shared" si="139"/>
        <v>0</v>
      </c>
      <c r="O326" s="535" t="s">
        <v>1563</v>
      </c>
    </row>
    <row r="327" spans="1:33" s="142" customFormat="1" ht="18" hidden="1" customHeight="1" outlineLevel="1" x14ac:dyDescent="0.25">
      <c r="A327" s="138"/>
      <c r="B327" s="138"/>
      <c r="C327" s="235"/>
      <c r="D327" s="537" t="s">
        <v>1564</v>
      </c>
      <c r="E327" s="562">
        <f>SUM(E315:E326)</f>
        <v>3.3809640725101917</v>
      </c>
      <c r="F327" s="562">
        <f t="shared" ref="F327" si="140">SUM(F315:F326)</f>
        <v>0.13506303712304002</v>
      </c>
      <c r="G327" s="562">
        <f t="shared" ref="G327" si="141">SUM(G315:G326)</f>
        <v>0.10119950950058242</v>
      </c>
      <c r="H327" s="562">
        <f t="shared" ref="H327" si="142">SUM(H315:H326)</f>
        <v>0.11834419632856952</v>
      </c>
      <c r="I327" s="562">
        <f t="shared" ref="I327" si="143">SUM(I315:I326)</f>
        <v>0.10151010769406771</v>
      </c>
      <c r="J327" s="562">
        <f t="shared" ref="J327" si="144">SUM(J315:J326)</f>
        <v>8.4652727365698774E-2</v>
      </c>
      <c r="K327" s="562">
        <f t="shared" ref="K327" si="145">SUM(K315:K326)</f>
        <v>6.777146783218238E-2</v>
      </c>
      <c r="L327" s="562">
        <f t="shared" ref="L327" si="146">SUM(L315:L326)</f>
        <v>5.0865879820186657E-2</v>
      </c>
      <c r="M327" s="562">
        <f t="shared" ref="M327:N327" si="147">SUM(M315:M326)</f>
        <v>3.3935613894897895E-2</v>
      </c>
      <c r="N327" s="562">
        <f t="shared" si="147"/>
        <v>1.698039418672628E-2</v>
      </c>
      <c r="O327" s="535" t="s">
        <v>1565</v>
      </c>
    </row>
    <row r="328" spans="1:33" ht="16.5" hidden="1" outlineLevel="1" thickBot="1" x14ac:dyDescent="0.25">
      <c r="A328" s="138"/>
      <c r="B328" s="138"/>
      <c r="C328" s="996"/>
      <c r="D328" s="436"/>
      <c r="E328" s="437"/>
      <c r="F328" s="437"/>
      <c r="G328" s="437"/>
      <c r="H328" s="437"/>
      <c r="I328" s="437"/>
      <c r="J328" s="437"/>
      <c r="K328" s="437"/>
      <c r="L328" s="437"/>
      <c r="M328" s="437"/>
      <c r="N328" s="437"/>
      <c r="O328" s="997"/>
      <c r="P328" s="19"/>
      <c r="Q328" s="19"/>
      <c r="R328" s="19"/>
      <c r="S328" s="19"/>
      <c r="T328" s="19"/>
      <c r="U328" s="19"/>
      <c r="V328" s="19"/>
      <c r="W328" s="19"/>
      <c r="X328" s="19"/>
      <c r="Y328" s="19"/>
      <c r="Z328" s="19"/>
      <c r="AA328" s="19"/>
      <c r="AB328" s="19"/>
      <c r="AC328" s="19"/>
      <c r="AD328" s="19"/>
      <c r="AE328" s="19"/>
      <c r="AF328" s="19"/>
      <c r="AG328" s="19"/>
    </row>
    <row r="329" spans="1:33" ht="15.75" hidden="1" outlineLevel="1" x14ac:dyDescent="0.2">
      <c r="A329" s="138"/>
      <c r="B329" s="138"/>
      <c r="C329" s="101"/>
      <c r="D329" s="101"/>
      <c r="E329" s="311"/>
      <c r="F329" s="311"/>
      <c r="G329" s="311"/>
      <c r="H329" s="311"/>
      <c r="I329" s="311"/>
      <c r="J329" s="311"/>
      <c r="K329" s="311"/>
      <c r="L329" s="311"/>
      <c r="M329" s="311"/>
      <c r="N329" s="311"/>
      <c r="O329" s="311"/>
      <c r="P329" s="19"/>
      <c r="Q329" s="19"/>
      <c r="R329" s="19"/>
      <c r="S329" s="19"/>
      <c r="T329" s="19"/>
      <c r="U329" s="19"/>
      <c r="V329" s="19"/>
      <c r="W329" s="19"/>
      <c r="X329" s="19"/>
      <c r="Y329" s="19"/>
      <c r="Z329" s="19"/>
      <c r="AA329" s="19"/>
      <c r="AB329" s="19"/>
      <c r="AC329" s="19"/>
      <c r="AD329" s="19"/>
      <c r="AE329" s="19"/>
      <c r="AF329" s="19"/>
      <c r="AG329" s="19"/>
    </row>
    <row r="330" spans="1:33" s="122" customFormat="1" ht="15.75" collapsed="1" x14ac:dyDescent="0.2">
      <c r="A330" s="1043">
        <v>6</v>
      </c>
      <c r="B330" s="1039"/>
      <c r="C330" s="1039"/>
      <c r="D330" s="1039"/>
      <c r="E330" s="1039"/>
      <c r="F330" s="1039"/>
      <c r="G330" s="1039"/>
      <c r="H330" s="1039"/>
      <c r="I330" s="1039"/>
      <c r="J330" s="1039"/>
      <c r="K330" s="1039"/>
      <c r="L330" s="1039"/>
      <c r="M330" s="1039"/>
      <c r="N330" s="1039"/>
      <c r="O330" s="1039"/>
      <c r="P330" s="206"/>
      <c r="Q330" s="206"/>
      <c r="R330" s="206"/>
      <c r="S330" s="206"/>
      <c r="T330" s="206"/>
      <c r="U330" s="206"/>
      <c r="V330" s="206"/>
      <c r="W330" s="206"/>
      <c r="X330" s="206"/>
      <c r="Y330" s="206"/>
      <c r="Z330" s="206"/>
      <c r="AA330" s="206"/>
      <c r="AB330" s="206"/>
      <c r="AC330" s="206"/>
      <c r="AD330" s="206"/>
      <c r="AE330" s="206"/>
      <c r="AF330" s="206"/>
    </row>
    <row r="331" spans="1:33" ht="15.75" x14ac:dyDescent="0.2">
      <c r="A331" s="138"/>
      <c r="B331" s="138"/>
      <c r="C331" s="101"/>
      <c r="D331" s="101"/>
      <c r="E331" s="311"/>
      <c r="F331" s="311"/>
      <c r="G331" s="311"/>
      <c r="H331" s="311"/>
      <c r="I331" s="311"/>
      <c r="J331" s="311"/>
      <c r="K331" s="311"/>
      <c r="L331" s="311"/>
      <c r="M331" s="311"/>
      <c r="N331" s="311"/>
      <c r="O331" s="311"/>
      <c r="P331" s="19"/>
      <c r="Q331" s="19"/>
      <c r="R331" s="19"/>
      <c r="S331" s="19"/>
      <c r="T331" s="19"/>
      <c r="U331" s="19"/>
      <c r="V331" s="19"/>
      <c r="W331" s="19"/>
      <c r="X331" s="19"/>
      <c r="Y331" s="19"/>
      <c r="Z331" s="19"/>
      <c r="AA331" s="19"/>
      <c r="AB331" s="19"/>
      <c r="AC331" s="19"/>
      <c r="AD331" s="19"/>
      <c r="AE331" s="19"/>
      <c r="AF331" s="19"/>
      <c r="AG331" s="19"/>
    </row>
    <row r="332" spans="1:33" s="206" customFormat="1" ht="20.100000000000001" customHeight="1" x14ac:dyDescent="0.2">
      <c r="A332" s="1397" t="s">
        <v>4274</v>
      </c>
      <c r="C332" s="974" t="s">
        <v>4166</v>
      </c>
      <c r="D332" s="223"/>
      <c r="E332" s="223"/>
      <c r="F332" s="223"/>
      <c r="G332" s="223"/>
      <c r="H332" s="223"/>
      <c r="I332" s="223"/>
      <c r="J332" s="223"/>
      <c r="K332" s="223"/>
      <c r="L332" s="223"/>
      <c r="M332" s="223"/>
      <c r="N332" s="223"/>
      <c r="O332" s="224"/>
      <c r="P332" s="210"/>
    </row>
    <row r="333" spans="1:33" s="203" customFormat="1" x14ac:dyDescent="0.2">
      <c r="A333" s="1398"/>
      <c r="B333" s="211"/>
      <c r="C333" s="211"/>
      <c r="D333" s="214"/>
      <c r="E333" s="210"/>
      <c r="F333" s="210"/>
      <c r="G333" s="210"/>
      <c r="H333" s="210"/>
      <c r="I333" s="210"/>
      <c r="J333" s="210"/>
      <c r="K333" s="210"/>
      <c r="L333" s="210"/>
      <c r="M333" s="210"/>
      <c r="N333" s="210"/>
      <c r="O333" s="209"/>
      <c r="P333" s="204"/>
    </row>
    <row r="334" spans="1:33" s="85" customFormat="1" ht="12.75" customHeight="1" x14ac:dyDescent="0.2">
      <c r="A334" s="1399"/>
      <c r="E334" s="62"/>
      <c r="F334" s="62"/>
      <c r="G334" s="62"/>
      <c r="H334" s="62"/>
      <c r="I334" s="62"/>
      <c r="J334" s="62"/>
      <c r="K334" s="62"/>
      <c r="L334" s="62"/>
      <c r="M334" s="62"/>
      <c r="N334" s="62"/>
      <c r="O334" s="134"/>
      <c r="P334" s="134"/>
      <c r="Q334" s="134"/>
      <c r="R334" s="134"/>
      <c r="S334" s="134"/>
      <c r="T334" s="134"/>
      <c r="U334" s="134"/>
      <c r="V334" s="134"/>
      <c r="W334" s="134"/>
      <c r="X334" s="134"/>
      <c r="Y334" s="134"/>
      <c r="Z334" s="134"/>
      <c r="AA334" s="134"/>
      <c r="AB334" s="134"/>
      <c r="AC334" s="134"/>
      <c r="AD334" s="134"/>
      <c r="AE334" s="134"/>
      <c r="AF334" s="134"/>
    </row>
    <row r="335" spans="1:33" s="85" customFormat="1" ht="12.75" customHeight="1" x14ac:dyDescent="0.2">
      <c r="E335" s="62"/>
      <c r="F335" s="62"/>
      <c r="G335" s="62"/>
      <c r="H335" s="62"/>
      <c r="I335" s="62"/>
      <c r="J335" s="62"/>
      <c r="K335" s="62"/>
      <c r="L335" s="62"/>
      <c r="M335" s="62"/>
      <c r="N335" s="62"/>
      <c r="O335" s="134"/>
      <c r="P335" s="134"/>
      <c r="Q335" s="134"/>
      <c r="R335" s="134"/>
      <c r="S335" s="134"/>
      <c r="T335" s="134"/>
      <c r="U335" s="134"/>
      <c r="V335" s="134"/>
      <c r="W335" s="134"/>
      <c r="X335" s="134"/>
      <c r="Y335" s="134"/>
      <c r="Z335" s="134"/>
      <c r="AA335" s="134"/>
      <c r="AB335" s="134"/>
      <c r="AC335" s="134"/>
      <c r="AD335" s="134"/>
      <c r="AE335" s="134"/>
      <c r="AF335" s="134"/>
    </row>
    <row r="336" spans="1:33" s="85" customFormat="1" ht="14.25" hidden="1" customHeight="1" outlineLevel="1" x14ac:dyDescent="0.2">
      <c r="E336" s="62"/>
      <c r="F336" s="62"/>
      <c r="G336" s="62"/>
      <c r="H336" s="62"/>
      <c r="I336" s="62"/>
      <c r="J336" s="62"/>
      <c r="K336" s="62"/>
      <c r="L336" s="62"/>
      <c r="M336" s="62"/>
      <c r="N336" s="62"/>
      <c r="O336" s="134"/>
      <c r="P336" s="134"/>
      <c r="Q336" s="134"/>
      <c r="R336" s="134"/>
      <c r="S336" s="134"/>
      <c r="T336" s="134"/>
      <c r="U336" s="134"/>
      <c r="V336" s="134"/>
      <c r="W336" s="134"/>
      <c r="X336" s="134"/>
      <c r="Y336" s="134"/>
      <c r="Z336" s="134"/>
      <c r="AA336" s="134"/>
      <c r="AB336" s="134"/>
      <c r="AC336" s="134"/>
      <c r="AD336" s="134"/>
      <c r="AE336" s="134"/>
      <c r="AF336" s="134"/>
    </row>
    <row r="337" spans="1:37" s="85" customFormat="1" ht="14.25" hidden="1" customHeight="1" outlineLevel="1" x14ac:dyDescent="0.2">
      <c r="E337" s="62"/>
      <c r="F337" s="62"/>
      <c r="G337" s="62"/>
      <c r="H337" s="62"/>
      <c r="I337" s="62"/>
      <c r="J337" s="62"/>
      <c r="K337" s="62"/>
      <c r="L337" s="62"/>
      <c r="M337" s="62"/>
      <c r="N337" s="62"/>
      <c r="O337" s="134"/>
      <c r="P337" s="134"/>
      <c r="Q337" s="134"/>
      <c r="R337" s="134"/>
      <c r="S337" s="134"/>
      <c r="T337" s="134"/>
      <c r="U337" s="134"/>
      <c r="V337" s="134"/>
      <c r="W337" s="134"/>
      <c r="X337" s="134"/>
      <c r="Y337" s="134"/>
      <c r="Z337" s="134"/>
      <c r="AA337" s="134"/>
      <c r="AB337" s="134"/>
      <c r="AC337" s="134"/>
      <c r="AD337" s="134"/>
      <c r="AE337" s="134"/>
      <c r="AF337" s="134"/>
    </row>
    <row r="338" spans="1:37" s="85" customFormat="1" ht="14.25" hidden="1" customHeight="1" outlineLevel="1" x14ac:dyDescent="0.2">
      <c r="E338" s="62"/>
      <c r="F338" s="62"/>
      <c r="G338" s="62"/>
      <c r="H338" s="62"/>
      <c r="I338" s="62"/>
      <c r="J338" s="62"/>
      <c r="K338" s="62"/>
      <c r="L338" s="62"/>
      <c r="M338" s="62"/>
      <c r="N338" s="62"/>
      <c r="O338" s="134"/>
      <c r="P338" s="134"/>
      <c r="Q338" s="134"/>
      <c r="R338" s="134"/>
      <c r="S338" s="134"/>
      <c r="T338" s="134"/>
      <c r="U338" s="134"/>
      <c r="V338" s="134"/>
      <c r="W338" s="134"/>
      <c r="X338" s="134"/>
      <c r="Y338" s="134"/>
      <c r="Z338" s="134"/>
      <c r="AA338" s="134"/>
      <c r="AB338" s="134"/>
      <c r="AC338" s="134"/>
      <c r="AD338" s="134"/>
      <c r="AE338" s="134"/>
      <c r="AF338" s="134"/>
    </row>
    <row r="339" spans="1:37" s="121" customFormat="1" ht="12.75" hidden="1" customHeight="1" outlineLevel="1" thickBot="1" x14ac:dyDescent="0.35">
      <c r="A339" s="346"/>
      <c r="B339" s="346"/>
      <c r="C339" s="347"/>
      <c r="D339" s="737"/>
      <c r="E339" s="129"/>
      <c r="F339" s="129"/>
      <c r="G339" s="129"/>
      <c r="H339" s="129"/>
      <c r="I339" s="129"/>
      <c r="J339" s="129"/>
      <c r="K339" s="129"/>
      <c r="L339" s="129"/>
      <c r="M339" s="129"/>
      <c r="N339" s="129"/>
      <c r="O339" s="348"/>
      <c r="P339" s="348"/>
      <c r="Q339" s="348"/>
      <c r="R339" s="348"/>
      <c r="S339" s="348"/>
      <c r="T339" s="348"/>
      <c r="U339" s="348"/>
      <c r="V339" s="348"/>
      <c r="W339" s="348"/>
      <c r="X339" s="348"/>
      <c r="Y339" s="348"/>
      <c r="Z339" s="348"/>
      <c r="AA339" s="348"/>
      <c r="AB339" s="348"/>
      <c r="AC339" s="348"/>
      <c r="AD339" s="348"/>
      <c r="AE339" s="348"/>
      <c r="AF339" s="348"/>
    </row>
    <row r="340" spans="1:37" s="399" customFormat="1" ht="15.75" hidden="1" customHeight="1" outlineLevel="1" x14ac:dyDescent="0.2">
      <c r="A340" s="1397" t="s">
        <v>4212</v>
      </c>
      <c r="B340" s="3"/>
      <c r="C340" s="317"/>
      <c r="D340" s="1087" t="s">
        <v>4169</v>
      </c>
      <c r="E340" s="1000">
        <f>-pSystemsReworkTotalCostpa</f>
        <v>-3947004.9964964325</v>
      </c>
      <c r="F340" s="1000">
        <f t="shared" ref="F340:N340" si="148">-pSystemsReworkTotalCostpa</f>
        <v>-4019918.0491517452</v>
      </c>
      <c r="G340" s="1000">
        <f t="shared" si="148"/>
        <v>-4095740.7302441215</v>
      </c>
      <c r="H340" s="1000">
        <f t="shared" si="148"/>
        <v>-4188897.8828103449</v>
      </c>
      <c r="I340" s="1000">
        <f t="shared" si="148"/>
        <v>-4276121.9884237777</v>
      </c>
      <c r="J340" s="1000">
        <f t="shared" si="148"/>
        <v>-4365205.787480955</v>
      </c>
      <c r="K340" s="1000">
        <f t="shared" si="148"/>
        <v>-4456180.8511936162</v>
      </c>
      <c r="L340" s="1000">
        <f t="shared" si="148"/>
        <v>-4549081.0587901911</v>
      </c>
      <c r="M340" s="1000">
        <f t="shared" si="148"/>
        <v>-4643942.1924529895</v>
      </c>
      <c r="N340" s="1000">
        <f t="shared" si="148"/>
        <v>-4740801.6656955369</v>
      </c>
      <c r="O340" s="1088" t="s">
        <v>1567</v>
      </c>
      <c r="P340" s="19"/>
      <c r="Q340" s="19"/>
      <c r="R340" s="19"/>
      <c r="S340" s="19"/>
      <c r="T340" s="19"/>
      <c r="U340" s="19"/>
      <c r="V340" s="19"/>
      <c r="W340" s="19"/>
      <c r="X340" s="19"/>
      <c r="Y340" s="19"/>
      <c r="Z340" s="19"/>
      <c r="AA340" s="19"/>
      <c r="AB340" s="19"/>
      <c r="AC340" s="19"/>
      <c r="AD340" s="19"/>
      <c r="AE340" s="19"/>
      <c r="AF340" s="19"/>
      <c r="AG340" s="19"/>
      <c r="AH340" s="3"/>
      <c r="AI340" s="3"/>
      <c r="AJ340" s="3"/>
      <c r="AK340" s="3"/>
    </row>
    <row r="341" spans="1:37" s="1001" customFormat="1" hidden="1" outlineLevel="1" x14ac:dyDescent="0.2">
      <c r="A341" s="1398"/>
      <c r="B341" s="3"/>
      <c r="C341" s="167"/>
      <c r="D341" s="1085" t="s">
        <v>4170</v>
      </c>
      <c r="E341" s="423">
        <f t="shared" ref="E341:N341" si="149">-hSystemsReworkTotalCostpa</f>
        <v>-1503620.9510462603</v>
      </c>
      <c r="F341" s="423">
        <f t="shared" si="149"/>
        <v>-765698.67602890392</v>
      </c>
      <c r="G341" s="423">
        <f t="shared" si="149"/>
        <v>-702126.98232756357</v>
      </c>
      <c r="H341" s="423">
        <f t="shared" si="149"/>
        <v>-638308.24880919571</v>
      </c>
      <c r="I341" s="423">
        <f t="shared" si="149"/>
        <v>-651599.54109314736</v>
      </c>
      <c r="J341" s="423">
        <f t="shared" si="149"/>
        <v>-665174.21523519326</v>
      </c>
      <c r="K341" s="423">
        <f t="shared" si="149"/>
        <v>-679037.08208664658</v>
      </c>
      <c r="L341" s="423">
        <f t="shared" si="149"/>
        <v>-693193.30419660069</v>
      </c>
      <c r="M341" s="423">
        <f t="shared" si="149"/>
        <v>-707648.33408807474</v>
      </c>
      <c r="N341" s="423">
        <f t="shared" si="149"/>
        <v>-722407.87286789133</v>
      </c>
      <c r="O341" s="162" t="s">
        <v>1568</v>
      </c>
      <c r="P341" s="19"/>
      <c r="Q341" s="19"/>
      <c r="R341" s="19"/>
      <c r="S341" s="19"/>
      <c r="T341" s="19"/>
      <c r="U341" s="19"/>
      <c r="V341" s="19"/>
      <c r="W341" s="19"/>
      <c r="X341" s="19"/>
      <c r="Y341" s="19"/>
      <c r="Z341" s="19"/>
      <c r="AA341" s="19"/>
      <c r="AB341" s="19"/>
      <c r="AC341" s="19"/>
      <c r="AD341" s="19"/>
      <c r="AE341" s="19"/>
      <c r="AF341" s="19"/>
      <c r="AG341" s="19"/>
      <c r="AH341" s="3"/>
      <c r="AI341" s="3"/>
      <c r="AJ341" s="3"/>
      <c r="AK341" s="3"/>
    </row>
    <row r="342" spans="1:37" s="399" customFormat="1" hidden="1" outlineLevel="1" x14ac:dyDescent="0.2">
      <c r="A342" s="1398"/>
      <c r="B342" s="3"/>
      <c r="C342" s="167"/>
      <c r="D342" s="1086" t="s">
        <v>4171</v>
      </c>
      <c r="E342" s="423">
        <f t="shared" ref="E342:N342" si="150">-eSystemsReworkTotalCostpa</f>
        <v>-328917.08304136939</v>
      </c>
      <c r="F342" s="423">
        <f t="shared" si="150"/>
        <v>-13399.726830505819</v>
      </c>
      <c r="G342" s="423">
        <f t="shared" si="150"/>
        <v>-10239.351825610303</v>
      </c>
      <c r="H342" s="423">
        <f t="shared" si="150"/>
        <v>-12217.618824863506</v>
      </c>
      <c r="I342" s="423">
        <f t="shared" si="150"/>
        <v>-10690.304971059442</v>
      </c>
      <c r="J342" s="423">
        <f t="shared" si="150"/>
        <v>-9094.178723918656</v>
      </c>
      <c r="K342" s="423">
        <f t="shared" si="150"/>
        <v>-7426.9680853226946</v>
      </c>
      <c r="L342" s="423">
        <f t="shared" si="150"/>
        <v>-5686.3513234877391</v>
      </c>
      <c r="M342" s="423">
        <f t="shared" si="150"/>
        <v>-3869.9518270441581</v>
      </c>
      <c r="N342" s="423">
        <f t="shared" si="150"/>
        <v>-1975.3340273731401</v>
      </c>
      <c r="O342" s="162" t="s">
        <v>1566</v>
      </c>
      <c r="P342" s="19"/>
      <c r="Q342" s="19"/>
      <c r="R342" s="19"/>
      <c r="S342" s="19"/>
      <c r="T342" s="19"/>
      <c r="U342" s="19"/>
      <c r="V342" s="19"/>
      <c r="W342" s="19"/>
      <c r="X342" s="19"/>
      <c r="Y342" s="19"/>
      <c r="Z342" s="19"/>
      <c r="AA342" s="19"/>
      <c r="AB342" s="19"/>
      <c r="AC342" s="19"/>
      <c r="AD342" s="19"/>
      <c r="AE342" s="19"/>
      <c r="AF342" s="19"/>
      <c r="AG342" s="19"/>
      <c r="AH342" s="3"/>
      <c r="AI342" s="3"/>
      <c r="AJ342" s="3"/>
      <c r="AK342" s="3"/>
    </row>
    <row r="343" spans="1:37" s="41" customFormat="1" ht="13.5" hidden="1" outlineLevel="1" thickBot="1" x14ac:dyDescent="0.25">
      <c r="A343" s="1398"/>
      <c r="B343" s="3"/>
      <c r="C343" s="238"/>
      <c r="D343" s="999"/>
      <c r="E343" s="529"/>
      <c r="F343" s="529"/>
      <c r="G343" s="529"/>
      <c r="H343" s="529"/>
      <c r="I343" s="529"/>
      <c r="J343" s="529"/>
      <c r="K343" s="529"/>
      <c r="L343" s="529"/>
      <c r="M343" s="529"/>
      <c r="N343" s="529"/>
      <c r="O343" s="438"/>
      <c r="P343" s="19"/>
      <c r="Q343" s="19"/>
      <c r="R343" s="19"/>
      <c r="S343" s="19"/>
      <c r="T343" s="19"/>
      <c r="U343" s="19"/>
      <c r="V343" s="19"/>
      <c r="W343" s="19"/>
      <c r="X343" s="19"/>
      <c r="Y343" s="19"/>
      <c r="Z343" s="19"/>
      <c r="AA343" s="19"/>
      <c r="AB343" s="19"/>
      <c r="AC343" s="19"/>
      <c r="AD343" s="19"/>
      <c r="AE343" s="19"/>
      <c r="AF343" s="19"/>
      <c r="AG343" s="19"/>
      <c r="AH343" s="3"/>
      <c r="AI343" s="3"/>
      <c r="AJ343" s="3"/>
      <c r="AK343" s="3"/>
    </row>
    <row r="344" spans="1:37" hidden="1" outlineLevel="1" x14ac:dyDescent="0.2">
      <c r="A344" s="1399"/>
      <c r="H344" s="3"/>
      <c r="O344" s="19"/>
      <c r="P344" s="19"/>
      <c r="Q344" s="19"/>
      <c r="R344" s="19"/>
      <c r="S344" s="19"/>
      <c r="T344" s="19"/>
      <c r="U344" s="19"/>
      <c r="V344" s="19"/>
      <c r="W344" s="19"/>
      <c r="X344" s="19"/>
      <c r="Y344" s="19"/>
      <c r="Z344" s="19"/>
      <c r="AA344" s="19"/>
      <c r="AB344" s="19"/>
      <c r="AC344" s="19"/>
      <c r="AD344" s="19"/>
      <c r="AE344" s="19"/>
      <c r="AF344" s="19"/>
      <c r="AG344" s="19"/>
    </row>
    <row r="345" spans="1:37" hidden="1" outlineLevel="1" x14ac:dyDescent="0.2">
      <c r="H345" s="3"/>
      <c r="O345" s="19"/>
      <c r="P345" s="19"/>
      <c r="Q345" s="19"/>
      <c r="R345" s="19"/>
      <c r="S345" s="19"/>
      <c r="T345" s="19"/>
      <c r="U345" s="19"/>
      <c r="V345" s="19"/>
      <c r="W345" s="19"/>
      <c r="X345" s="19"/>
      <c r="Y345" s="19"/>
      <c r="Z345" s="19"/>
      <c r="AA345" s="19"/>
      <c r="AB345" s="19"/>
      <c r="AC345" s="19"/>
      <c r="AD345" s="19"/>
      <c r="AE345" s="19"/>
      <c r="AF345" s="19"/>
      <c r="AG345" s="19"/>
    </row>
    <row r="346" spans="1:37" s="122" customFormat="1" ht="15.75" collapsed="1" x14ac:dyDescent="0.2">
      <c r="A346" s="1043">
        <v>7</v>
      </c>
      <c r="B346" s="1039"/>
      <c r="C346" s="1039"/>
      <c r="D346" s="1039"/>
      <c r="E346" s="1039"/>
      <c r="F346" s="1039"/>
      <c r="G346" s="1039"/>
      <c r="H346" s="1039"/>
      <c r="I346" s="1039"/>
      <c r="J346" s="1039"/>
      <c r="K346" s="1039"/>
      <c r="L346" s="1039"/>
      <c r="M346" s="1039"/>
      <c r="N346" s="1039"/>
      <c r="O346" s="1039"/>
      <c r="P346" s="206"/>
      <c r="Q346" s="206"/>
      <c r="R346" s="206"/>
      <c r="S346" s="206"/>
      <c r="T346" s="206"/>
      <c r="U346" s="206"/>
      <c r="V346" s="206"/>
      <c r="W346" s="206"/>
      <c r="X346" s="206"/>
      <c r="Y346" s="206"/>
      <c r="Z346" s="206"/>
      <c r="AA346" s="206"/>
      <c r="AB346" s="206"/>
      <c r="AC346" s="206"/>
      <c r="AD346" s="206"/>
      <c r="AE346" s="206"/>
      <c r="AF346" s="206"/>
    </row>
    <row r="347" spans="1:37" x14ac:dyDescent="0.2">
      <c r="H347" s="3"/>
      <c r="O347" s="19"/>
      <c r="P347" s="19"/>
      <c r="Q347" s="19"/>
      <c r="R347" s="19"/>
      <c r="S347" s="19"/>
      <c r="T347" s="19"/>
      <c r="U347" s="19"/>
      <c r="V347" s="19"/>
      <c r="W347" s="19"/>
      <c r="X347" s="19"/>
      <c r="Y347" s="19"/>
      <c r="Z347" s="19"/>
      <c r="AA347" s="19"/>
      <c r="AB347" s="19"/>
      <c r="AC347" s="19"/>
      <c r="AD347" s="19"/>
      <c r="AE347" s="19"/>
      <c r="AF347" s="19"/>
      <c r="AG347" s="19"/>
    </row>
    <row r="348" spans="1:37" customFormat="1" ht="20.100000000000001" customHeight="1" x14ac:dyDescent="0.2">
      <c r="A348" s="1397" t="s">
        <v>4172</v>
      </c>
      <c r="B348" s="3"/>
      <c r="C348" s="1089" t="s">
        <v>355</v>
      </c>
    </row>
    <row r="349" spans="1:37" customFormat="1" ht="20.100000000000001" customHeight="1" x14ac:dyDescent="0.2">
      <c r="A349" s="1398"/>
      <c r="B349" s="3"/>
    </row>
    <row r="350" spans="1:37" customFormat="1" ht="20.100000000000001" customHeight="1" x14ac:dyDescent="0.2">
      <c r="A350" s="1399"/>
      <c r="B350" s="3"/>
    </row>
    <row r="351" spans="1:37" customFormat="1" x14ac:dyDescent="0.2">
      <c r="A351" s="3"/>
      <c r="B351" s="3"/>
    </row>
    <row r="352" spans="1:37" customFormat="1" ht="13.5" hidden="1" outlineLevel="1" thickBot="1" x14ac:dyDescent="0.25">
      <c r="A352" s="3"/>
      <c r="D352" s="5"/>
    </row>
    <row r="353" spans="1:32" s="14" customFormat="1" ht="12.75" hidden="1" customHeight="1" outlineLevel="1" x14ac:dyDescent="0.2">
      <c r="A353" s="3"/>
      <c r="B353" s="3"/>
      <c r="C353" s="815"/>
      <c r="D353" s="790"/>
      <c r="E353" s="790"/>
      <c r="F353" s="790"/>
      <c r="G353" s="790"/>
      <c r="H353" s="790"/>
      <c r="I353" s="790"/>
      <c r="J353" s="790"/>
      <c r="K353" s="790"/>
      <c r="L353" s="790"/>
      <c r="M353" s="790"/>
      <c r="N353" s="796"/>
    </row>
    <row r="354" spans="1:32" s="14" customFormat="1" hidden="1" outlineLevel="1" x14ac:dyDescent="0.2">
      <c r="A354" s="3"/>
      <c r="B354" s="3"/>
      <c r="C354" s="795"/>
      <c r="D354" s="54" t="str">
        <f>Scenario1&amp;" Rework FTEs"</f>
        <v>pSystems (Paper) Rework FTEs</v>
      </c>
      <c r="E354" s="1002">
        <f t="shared" ref="E354:N354" si="151">pSystemsReworkTotalFTEs</f>
        <v>40.571568870122299</v>
      </c>
      <c r="F354" s="1002">
        <f t="shared" si="151"/>
        <v>40.518911136912003</v>
      </c>
      <c r="G354" s="1002">
        <f t="shared" si="151"/>
        <v>40.479803800232958</v>
      </c>
      <c r="H354" s="1002">
        <f t="shared" si="151"/>
        <v>40.575153026938111</v>
      </c>
      <c r="I354" s="1002">
        <f t="shared" si="151"/>
        <v>40.60404307762709</v>
      </c>
      <c r="J354" s="1002">
        <f t="shared" si="151"/>
        <v>40.633309135535399</v>
      </c>
      <c r="K354" s="1002">
        <f t="shared" si="151"/>
        <v>40.662880699309419</v>
      </c>
      <c r="L354" s="1002">
        <f t="shared" si="151"/>
        <v>40.692703856149329</v>
      </c>
      <c r="M354" s="1002">
        <f t="shared" si="151"/>
        <v>40.722736673877471</v>
      </c>
      <c r="N354" s="1002">
        <f t="shared" si="151"/>
        <v>40.752946048143073</v>
      </c>
      <c r="O354" s="391" t="s">
        <v>1569</v>
      </c>
      <c r="P354" s="796"/>
    </row>
    <row r="355" spans="1:32" s="14" customFormat="1" hidden="1" outlineLevel="1" x14ac:dyDescent="0.2">
      <c r="A355" s="3"/>
      <c r="C355" s="795"/>
      <c r="D355" s="401" t="str">
        <f>Scenario2&amp;" Rework FTEs"</f>
        <v>hSystems (Hybrid) Rework FTEs</v>
      </c>
      <c r="E355" s="1002">
        <f t="shared" ref="E355:N355" si="152">hSystemsReworkTotalFTEs</f>
        <v>15.455835760046595</v>
      </c>
      <c r="F355" s="1002">
        <f t="shared" si="152"/>
        <v>7.7178878356022871</v>
      </c>
      <c r="G355" s="1002">
        <f t="shared" si="152"/>
        <v>6.9393949371827954</v>
      </c>
      <c r="H355" s="1002">
        <f t="shared" si="152"/>
        <v>6.1828804612477155</v>
      </c>
      <c r="I355" s="1002">
        <f t="shared" si="152"/>
        <v>6.1872827546860343</v>
      </c>
      <c r="J355" s="1002">
        <f t="shared" si="152"/>
        <v>6.1917423444625399</v>
      </c>
      <c r="K355" s="1002">
        <f t="shared" si="152"/>
        <v>6.1962484875138193</v>
      </c>
      <c r="L355" s="1002">
        <f t="shared" si="152"/>
        <v>6.2007929685560903</v>
      </c>
      <c r="M355" s="1002">
        <f t="shared" si="152"/>
        <v>6.2053693979241888</v>
      </c>
      <c r="N355" s="1002">
        <f t="shared" si="152"/>
        <v>6.2099727311456121</v>
      </c>
      <c r="O355" s="391" t="s">
        <v>1570</v>
      </c>
      <c r="P355" s="796"/>
    </row>
    <row r="356" spans="1:32" s="14" customFormat="1" hidden="1" outlineLevel="1" x14ac:dyDescent="0.2">
      <c r="A356" s="3"/>
      <c r="C356" s="795"/>
      <c r="D356" s="403" t="str">
        <f>Scenario3&amp;" Rework FTEs"</f>
        <v>eSystems (Paperless) Rework FTEs</v>
      </c>
      <c r="E356" s="1002">
        <f t="shared" ref="E356:N356" si="153">eSystemsReworkTotalFTEs</f>
        <v>3.3809640725101917</v>
      </c>
      <c r="F356" s="1002">
        <f t="shared" si="153"/>
        <v>0.13506303712304002</v>
      </c>
      <c r="G356" s="1002">
        <f t="shared" si="153"/>
        <v>0.10119950950058242</v>
      </c>
      <c r="H356" s="1002">
        <f t="shared" si="153"/>
        <v>0.11834419632856952</v>
      </c>
      <c r="I356" s="1002">
        <f t="shared" si="153"/>
        <v>0.10151010769406771</v>
      </c>
      <c r="J356" s="1002">
        <f t="shared" si="153"/>
        <v>8.4652727365698774E-2</v>
      </c>
      <c r="K356" s="1002">
        <f t="shared" si="153"/>
        <v>6.777146783218238E-2</v>
      </c>
      <c r="L356" s="1002">
        <f t="shared" si="153"/>
        <v>5.0865879820186657E-2</v>
      </c>
      <c r="M356" s="1002">
        <f t="shared" si="153"/>
        <v>3.3935613894897895E-2</v>
      </c>
      <c r="N356" s="1002">
        <f t="shared" si="153"/>
        <v>1.698039418672628E-2</v>
      </c>
      <c r="O356" s="391" t="s">
        <v>1571</v>
      </c>
      <c r="P356" s="796"/>
    </row>
    <row r="357" spans="1:32" s="14" customFormat="1" ht="13.5" hidden="1" outlineLevel="1" thickBot="1" x14ac:dyDescent="0.25">
      <c r="A357" s="3"/>
      <c r="C357" s="793"/>
      <c r="D357" s="794"/>
      <c r="E357" s="794"/>
      <c r="F357" s="794"/>
      <c r="G357" s="794"/>
      <c r="H357" s="794"/>
      <c r="I357" s="794"/>
      <c r="J357" s="794"/>
      <c r="K357" s="794"/>
      <c r="L357" s="794"/>
      <c r="M357" s="794"/>
      <c r="N357" s="796"/>
    </row>
    <row r="358" spans="1:32" hidden="1" outlineLevel="1" x14ac:dyDescent="0.2">
      <c r="H358" s="3"/>
    </row>
    <row r="359" spans="1:32" s="122" customFormat="1" ht="15.75" collapsed="1" x14ac:dyDescent="0.2">
      <c r="A359" s="1043" t="s">
        <v>4214</v>
      </c>
      <c r="B359" s="1039"/>
      <c r="C359" s="1039"/>
      <c r="D359" s="1039"/>
      <c r="E359" s="1039"/>
      <c r="F359" s="1039"/>
      <c r="G359" s="1039"/>
      <c r="H359" s="1039"/>
      <c r="I359" s="1039"/>
      <c r="J359" s="1039"/>
      <c r="K359" s="1039"/>
      <c r="L359" s="1039"/>
      <c r="M359" s="1039"/>
      <c r="N359" s="1039"/>
      <c r="O359" s="1039"/>
      <c r="P359" s="206"/>
      <c r="Q359" s="206"/>
      <c r="R359" s="206"/>
      <c r="S359" s="206"/>
      <c r="T359" s="206"/>
      <c r="U359" s="206"/>
      <c r="V359" s="206"/>
      <c r="W359" s="206"/>
      <c r="X359" s="206"/>
      <c r="Y359" s="206"/>
      <c r="Z359" s="206"/>
      <c r="AA359" s="206"/>
      <c r="AB359" s="206"/>
      <c r="AC359" s="206"/>
      <c r="AD359" s="206"/>
      <c r="AE359" s="206"/>
      <c r="AF359" s="206"/>
    </row>
    <row r="360" spans="1:32" x14ac:dyDescent="0.2">
      <c r="H360" s="3"/>
    </row>
    <row r="361" spans="1:32" x14ac:dyDescent="0.2">
      <c r="D361"/>
      <c r="H361" s="3"/>
    </row>
    <row r="362" spans="1:32" x14ac:dyDescent="0.2">
      <c r="D362"/>
      <c r="H362" s="3"/>
    </row>
    <row r="363" spans="1:32" x14ac:dyDescent="0.2">
      <c r="H363" s="3"/>
    </row>
    <row r="364" spans="1:32" x14ac:dyDescent="0.2">
      <c r="H364" s="3"/>
    </row>
    <row r="365" spans="1:32" x14ac:dyDescent="0.2">
      <c r="H365" s="3"/>
    </row>
    <row r="366" spans="1:32" x14ac:dyDescent="0.2">
      <c r="H366" s="3"/>
    </row>
  </sheetData>
  <sheetProtection formatCells="0" formatColumns="0" formatRows="0" insertColumns="0" insertRows="0" insertHyperlinks="0" deleteColumns="0" deleteRows="0" selectLockedCells="1" sort="0" autoFilter="0" pivotTables="0"/>
  <mergeCells count="19">
    <mergeCell ref="A340:A344"/>
    <mergeCell ref="A348:A350"/>
    <mergeCell ref="A8:A11"/>
    <mergeCell ref="A15:A17"/>
    <mergeCell ref="A40:A55"/>
    <mergeCell ref="A21:A23"/>
    <mergeCell ref="A26:A38"/>
    <mergeCell ref="A225:A240"/>
    <mergeCell ref="A278:A280"/>
    <mergeCell ref="A283:A297"/>
    <mergeCell ref="A332:A334"/>
    <mergeCell ref="A120:A122"/>
    <mergeCell ref="A125:A154"/>
    <mergeCell ref="A220:A222"/>
    <mergeCell ref="A2:A4"/>
    <mergeCell ref="B2:L2"/>
    <mergeCell ref="M2:O2"/>
    <mergeCell ref="B3:L4"/>
    <mergeCell ref="M3:O4"/>
  </mergeCells>
  <pageMargins left="0.75" right="0.75" top="1" bottom="1" header="0.5" footer="0.5"/>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3" operator="containsText" text="eSystems " id="{526D642B-C9F6-43CC-891A-493C3D18CC36}">
            <xm:f>NOT(ISERROR(SEARCH("eSystems ",Inputs_RecordsGeneration!XFB37)))</xm:f>
            <x14:dxf>
              <font>
                <b/>
                <i val="0"/>
                <color rgb="FFC00000"/>
              </font>
            </x14:dxf>
          </x14:cfRule>
          <x14:cfRule type="containsText" priority="194" operator="containsText" text="hSystems " id="{11D303E0-3805-4408-A365-F33B2139456B}">
            <xm:f>NOT(ISERROR(SEARCH("hSystems ",Inputs_RecordsGeneration!XFB37)))</xm:f>
            <x14:dxf>
              <font>
                <b/>
                <i val="0"/>
                <color rgb="FF0070C0"/>
              </font>
            </x14:dxf>
          </x14:cfRule>
          <x14:cfRule type="containsText" priority="195" operator="containsText" text="pSystems " id="{7202D66B-24CF-4ADC-BDF3-0CA48073D407}">
            <xm:f>NOT(ISERROR(SEARCH("pSystems ",Inputs_RecordsGeneration!XFB37)))</xm:f>
            <x14:dxf>
              <font>
                <b/>
                <i val="0"/>
                <color theme="1" tint="0.34998626667073579"/>
              </font>
            </x14:dxf>
          </x14:cfRule>
          <xm:sqref>XFC300:XFD313 XFC244:XFD255 XFC71:XFD79 XFC27:XFD38</xm:sqref>
        </x14:conditionalFormatting>
        <x14:conditionalFormatting xmlns:xm="http://schemas.microsoft.com/office/excel/2006/main">
          <x14:cfRule type="containsText" priority="1640" operator="containsText" text="eSystems " id="{526D642B-C9F6-43CC-891A-493C3D18CC36}">
            <xm:f>NOT(ISERROR(SEARCH("eSystems ",Inputs_RecordsGeneration!B117)))</xm:f>
            <x14:dxf>
              <font>
                <b/>
                <i val="0"/>
                <color rgb="FFC00000"/>
              </font>
            </x14:dxf>
          </x14:cfRule>
          <x14:cfRule type="containsText" priority="1641" operator="containsText" text="hSystems " id="{11D303E0-3805-4408-A365-F33B2139456B}">
            <xm:f>NOT(ISERROR(SEARCH("hSystems ",Inputs_RecordsGeneration!B117)))</xm:f>
            <x14:dxf>
              <font>
                <b/>
                <i val="0"/>
                <color rgb="FF0070C0"/>
              </font>
            </x14:dxf>
          </x14:cfRule>
          <x14:cfRule type="containsText" priority="1642" operator="containsText" text="pSystems " id="{7202D66B-24CF-4ADC-BDF3-0CA48073D407}">
            <xm:f>NOT(ISERROR(SEARCH("pSystems ",Inputs_RecordsGeneration!B117)))</xm:f>
            <x14:dxf>
              <font>
                <b/>
                <i val="0"/>
                <color theme="1" tint="0.34998626667073579"/>
              </font>
            </x14:dxf>
          </x14:cfRule>
          <xm:sqref>O354:O356 O115 B114:C115 D115</xm:sqref>
        </x14:conditionalFormatting>
        <x14:conditionalFormatting xmlns:xm="http://schemas.microsoft.com/office/excel/2006/main">
          <x14:cfRule type="containsText" priority="1703" operator="containsText" text="eSystems " id="{526D642B-C9F6-43CC-891A-493C3D18CC36}">
            <xm:f>NOT(ISERROR(SEARCH("eSystems ",Inputs_RecordsGeneration!Q37)))</xm:f>
            <x14:dxf>
              <font>
                <b/>
                <i val="0"/>
                <color rgb="FFC00000"/>
              </font>
            </x14:dxf>
          </x14:cfRule>
          <x14:cfRule type="containsText" priority="1704" operator="containsText" text="hSystems " id="{11D303E0-3805-4408-A365-F33B2139456B}">
            <xm:f>NOT(ISERROR(SEARCH("hSystems ",Inputs_RecordsGeneration!Q37)))</xm:f>
            <x14:dxf>
              <font>
                <b/>
                <i val="0"/>
                <color rgb="FF0070C0"/>
              </font>
            </x14:dxf>
          </x14:cfRule>
          <x14:cfRule type="containsText" priority="1705" operator="containsText" text="pSystems " id="{7202D66B-24CF-4ADC-BDF3-0CA48073D407}">
            <xm:f>NOT(ISERROR(SEARCH("pSystems ",Inputs_RecordsGeneration!Q37)))</xm:f>
            <x14:dxf>
              <font>
                <b/>
                <i val="0"/>
                <color theme="1" tint="0.34998626667073579"/>
              </font>
            </x14:dxf>
          </x14:cfRule>
          <xm:sqref>P300:XFB313 P291:XFB298 P244:XFB255 P27:XFB38 P71:XFB74</xm:sqref>
        </x14:conditionalFormatting>
        <x14:conditionalFormatting xmlns:xm="http://schemas.microsoft.com/office/excel/2006/main">
          <x14:cfRule type="containsText" priority="1727" operator="containsText" text="eSystems " id="{526D642B-C9F6-43CC-891A-493C3D18CC36}">
            <xm:f>NOT(ISERROR(SEARCH("eSystems ",Inputs_RecordsGeneration!XFB105)))</xm:f>
            <x14:dxf>
              <font>
                <b/>
                <i val="0"/>
                <color rgb="FFC00000"/>
              </font>
            </x14:dxf>
          </x14:cfRule>
          <x14:cfRule type="containsText" priority="1728" operator="containsText" text="hSystems " id="{11D303E0-3805-4408-A365-F33B2139456B}">
            <xm:f>NOT(ISERROR(SEARCH("hSystems ",Inputs_RecordsGeneration!XFB105)))</xm:f>
            <x14:dxf>
              <font>
                <b/>
                <i val="0"/>
                <color rgb="FF0070C0"/>
              </font>
            </x14:dxf>
          </x14:cfRule>
          <x14:cfRule type="containsText" priority="1729" operator="containsText" text="pSystems " id="{7202D66B-24CF-4ADC-BDF3-0CA48073D407}">
            <xm:f>NOT(ISERROR(SEARCH("pSystems ",Inputs_RecordsGeneration!XFB105)))</xm:f>
            <x14:dxf>
              <font>
                <b/>
                <i val="0"/>
                <color theme="1" tint="0.34998626667073579"/>
              </font>
            </x14:dxf>
          </x14:cfRule>
          <xm:sqref>XFC89:XFD100</xm:sqref>
        </x14:conditionalFormatting>
        <x14:conditionalFormatting xmlns:xm="http://schemas.microsoft.com/office/excel/2006/main">
          <x14:cfRule type="containsText" priority="1799" operator="containsText" text="eSystems " id="{526D642B-C9F6-43CC-891A-493C3D18CC36}">
            <xm:f>NOT(ISERROR(SEARCH("eSystems ",Inputs_RecordsGeneration!XFB48)))</xm:f>
            <x14:dxf>
              <font>
                <b/>
                <i val="0"/>
                <color rgb="FFC00000"/>
              </font>
            </x14:dxf>
          </x14:cfRule>
          <x14:cfRule type="containsText" priority="1800" operator="containsText" text="hSystems " id="{11D303E0-3805-4408-A365-F33B2139456B}">
            <xm:f>NOT(ISERROR(SEARCH("hSystems ",Inputs_RecordsGeneration!XFB48)))</xm:f>
            <x14:dxf>
              <font>
                <b/>
                <i val="0"/>
                <color rgb="FF0070C0"/>
              </font>
            </x14:dxf>
          </x14:cfRule>
          <x14:cfRule type="containsText" priority="1801" operator="containsText" text="pSystems " id="{7202D66B-24CF-4ADC-BDF3-0CA48073D407}">
            <xm:f>NOT(ISERROR(SEARCH("pSystems ",Inputs_RecordsGeneration!XFB48)))</xm:f>
            <x14:dxf>
              <font>
                <b/>
                <i val="0"/>
                <color theme="1" tint="0.34998626667073579"/>
              </font>
            </x14:dxf>
          </x14:cfRule>
          <xm:sqref>XFC315:XFD327 XFC126:XFD137 XFC142:XFD153 XFC39:XFD47 XFC261:XFD272</xm:sqref>
        </x14:conditionalFormatting>
        <x14:conditionalFormatting xmlns:xm="http://schemas.microsoft.com/office/excel/2006/main">
          <x14:cfRule type="containsText" priority="1814" operator="containsText" text="eSystems " id="{526D642B-C9F6-43CC-891A-493C3D18CC36}">
            <xm:f>NOT(ISERROR(SEARCH("eSystems ",Inputs_RecordsGeneration!Q48)))</xm:f>
            <x14:dxf>
              <font>
                <b/>
                <i val="0"/>
                <color rgb="FFC00000"/>
              </font>
            </x14:dxf>
          </x14:cfRule>
          <x14:cfRule type="containsText" priority="1815" operator="containsText" text="hSystems " id="{11D303E0-3805-4408-A365-F33B2139456B}">
            <xm:f>NOT(ISERROR(SEARCH("hSystems ",Inputs_RecordsGeneration!Q48)))</xm:f>
            <x14:dxf>
              <font>
                <b/>
                <i val="0"/>
                <color rgb="FF0070C0"/>
              </font>
            </x14:dxf>
          </x14:cfRule>
          <x14:cfRule type="containsText" priority="1816" operator="containsText" text="pSystems " id="{7202D66B-24CF-4ADC-BDF3-0CA48073D407}">
            <xm:f>NOT(ISERROR(SEARCH("pSystems ",Inputs_RecordsGeneration!Q48)))</xm:f>
            <x14:dxf>
              <font>
                <b/>
                <i val="0"/>
                <color theme="1" tint="0.34998626667073579"/>
              </font>
            </x14:dxf>
          </x14:cfRule>
          <xm:sqref>P315:XFB327 P142:XFB150 P126:XFB137 P39:XFB47 P261:XFB272</xm:sqref>
        </x14:conditionalFormatting>
        <x14:conditionalFormatting xmlns:xm="http://schemas.microsoft.com/office/excel/2006/main">
          <x14:cfRule type="containsText" priority="2000" operator="containsText" text="eSystems " id="{526D642B-C9F6-43CC-891A-493C3D18CC36}">
            <xm:f>NOT(ISERROR(SEARCH("eSystems ",Inputs_RecordsGeneration!Q105)))</xm:f>
            <x14:dxf>
              <font>
                <b/>
                <i val="0"/>
                <color rgb="FFC00000"/>
              </font>
            </x14:dxf>
          </x14:cfRule>
          <x14:cfRule type="containsText" priority="2001" operator="containsText" text="hSystems " id="{11D303E0-3805-4408-A365-F33B2139456B}">
            <xm:f>NOT(ISERROR(SEARCH("hSystems ",Inputs_RecordsGeneration!Q105)))</xm:f>
            <x14:dxf>
              <font>
                <b/>
                <i val="0"/>
                <color rgb="FF0070C0"/>
              </font>
            </x14:dxf>
          </x14:cfRule>
          <x14:cfRule type="containsText" priority="2002" operator="containsText" text="pSystems " id="{7202D66B-24CF-4ADC-BDF3-0CA48073D407}">
            <xm:f>NOT(ISERROR(SEARCH("pSystems ",Inputs_RecordsGeneration!Q105)))</xm:f>
            <x14:dxf>
              <font>
                <b/>
                <i val="0"/>
                <color theme="1" tint="0.34998626667073579"/>
              </font>
            </x14:dxf>
          </x14:cfRule>
          <xm:sqref>P89:XFB100</xm:sqref>
        </x14:conditionalFormatting>
        <x14:conditionalFormatting xmlns:xm="http://schemas.microsoft.com/office/excel/2006/main">
          <x14:cfRule type="containsText" priority="3185" operator="containsText" text="eSystems " id="{526D642B-C9F6-43CC-891A-493C3D18CC36}">
            <xm:f>NOT(ISERROR(SEARCH("eSystems ",Inputs_RecordsGeneration!Q165)))</xm:f>
            <x14:dxf>
              <font>
                <b/>
                <i val="0"/>
                <color rgb="FFC00000"/>
              </font>
            </x14:dxf>
          </x14:cfRule>
          <x14:cfRule type="containsText" priority="3186" operator="containsText" text="hSystems " id="{11D303E0-3805-4408-A365-F33B2139456B}">
            <xm:f>NOT(ISERROR(SEARCH("hSystems ",Inputs_RecordsGeneration!Q165)))</xm:f>
            <x14:dxf>
              <font>
                <b/>
                <i val="0"/>
                <color rgb="FF0070C0"/>
              </font>
            </x14:dxf>
          </x14:cfRule>
          <x14:cfRule type="containsText" priority="3187" operator="containsText" text="pSystems " id="{7202D66B-24CF-4ADC-BDF3-0CA48073D407}">
            <xm:f>NOT(ISERROR(SEARCH("pSystems ",Inputs_RecordsGeneration!Q165)))</xm:f>
            <x14:dxf>
              <font>
                <b/>
                <i val="0"/>
                <color theme="1" tint="0.34998626667073579"/>
              </font>
            </x14:dxf>
          </x14:cfRule>
          <xm:sqref>P151:XFB153 P157:XFB168 P204:XFB213 P188:XFB199 P173:XFB184</xm:sqref>
        </x14:conditionalFormatting>
        <x14:conditionalFormatting xmlns:xm="http://schemas.microsoft.com/office/excel/2006/main">
          <x14:cfRule type="containsText" priority="3224" operator="containsText" text="eSystems " id="{526D642B-C9F6-43CC-891A-493C3D18CC36}">
            <xm:f>NOT(ISERROR(SEARCH("eSystems ",Inputs_RecordsGeneration!XFB171)))</xm:f>
            <x14:dxf>
              <font>
                <b/>
                <i val="0"/>
                <color rgb="FFC00000"/>
              </font>
            </x14:dxf>
          </x14:cfRule>
          <x14:cfRule type="containsText" priority="3225" operator="containsText" text="hSystems " id="{11D303E0-3805-4408-A365-F33B2139456B}">
            <xm:f>NOT(ISERROR(SEARCH("hSystems ",Inputs_RecordsGeneration!XFB171)))</xm:f>
            <x14:dxf>
              <font>
                <b/>
                <i val="0"/>
                <color rgb="FF0070C0"/>
              </font>
            </x14:dxf>
          </x14:cfRule>
          <x14:cfRule type="containsText" priority="3226" operator="containsText" text="pSystems " id="{7202D66B-24CF-4ADC-BDF3-0CA48073D407}">
            <xm:f>NOT(ISERROR(SEARCH("pSystems ",Inputs_RecordsGeneration!XFB171)))</xm:f>
            <x14:dxf>
              <font>
                <b/>
                <i val="0"/>
                <color theme="1" tint="0.34998626667073579"/>
              </font>
            </x14:dxf>
          </x14:cfRule>
          <xm:sqref>XFC173:XFD184 XFC188:XFD199 XFC204:XFD215 XFC157:XFD168</xm:sqref>
        </x14:conditionalFormatting>
        <x14:conditionalFormatting xmlns:xm="http://schemas.microsoft.com/office/excel/2006/main">
          <x14:cfRule type="containsText" priority="20867" operator="containsText" text="eSystems " id="{526D642B-C9F6-43CC-891A-493C3D18CC36}">
            <xm:f>NOT(ISERROR(SEARCH("eSystems ",Inputs_RecordsGeneration!B233)))</xm:f>
            <x14:dxf>
              <font>
                <b/>
                <i val="0"/>
                <color rgb="FFC00000"/>
              </font>
            </x14:dxf>
          </x14:cfRule>
          <x14:cfRule type="containsText" priority="20868" operator="containsText" text="hSystems " id="{11D303E0-3805-4408-A365-F33B2139456B}">
            <xm:f>NOT(ISERROR(SEARCH("hSystems ",Inputs_RecordsGeneration!B233)))</xm:f>
            <x14:dxf>
              <font>
                <b/>
                <i val="0"/>
                <color rgb="FF0070C0"/>
              </font>
            </x14:dxf>
          </x14:cfRule>
          <x14:cfRule type="containsText" priority="20869" operator="containsText" text="pSystems " id="{7202D66B-24CF-4ADC-BDF3-0CA48073D407}">
            <xm:f>NOT(ISERROR(SEARCH("pSystems ",Inputs_RecordsGeneration!B233)))</xm:f>
            <x14:dxf>
              <font>
                <b/>
                <i val="0"/>
                <color theme="1" tint="0.34998626667073579"/>
              </font>
            </x14:dxf>
          </x14:cfRule>
          <xm:sqref>B214:D215 O214:O215</xm:sqref>
        </x14:conditionalFormatting>
        <x14:conditionalFormatting xmlns:xm="http://schemas.microsoft.com/office/excel/2006/main">
          <x14:cfRule type="containsText" priority="21122" operator="containsText" text="eSystems " id="{526D642B-C9F6-43CC-891A-493C3D18CC36}">
            <xm:f>NOT(ISERROR(SEARCH("eSystems ",Inputs_RecordsGeneration!B90)))</xm:f>
            <x14:dxf>
              <font>
                <b/>
                <i val="0"/>
                <color rgb="FFC00000"/>
              </font>
            </x14:dxf>
          </x14:cfRule>
          <x14:cfRule type="containsText" priority="21123" operator="containsText" text="hSystems " id="{11D303E0-3805-4408-A365-F33B2139456B}">
            <xm:f>NOT(ISERROR(SEARCH("hSystems ",Inputs_RecordsGeneration!B90)))</xm:f>
            <x14:dxf>
              <font>
                <b/>
                <i val="0"/>
                <color rgb="FF0070C0"/>
              </font>
            </x14:dxf>
          </x14:cfRule>
          <x14:cfRule type="containsText" priority="21124" operator="containsText" text="pSystems " id="{7202D66B-24CF-4ADC-BDF3-0CA48073D407}">
            <xm:f>NOT(ISERROR(SEARCH("pSystems ",Inputs_RecordsGeneration!B90)))</xm:f>
            <x14:dxf>
              <font>
                <b/>
                <i val="0"/>
                <color theme="1" tint="0.34998626667073579"/>
              </font>
            </x14:dxf>
          </x14:cfRule>
          <xm:sqref>O151:O153 O157:O168 O204:O213 O188:O199 B157:D168 B188:D199 B204:D213 B173:D184 B151:D153 O76:O84 O173:O184</xm:sqref>
        </x14:conditionalFormatting>
        <x14:conditionalFormatting xmlns:xm="http://schemas.microsoft.com/office/excel/2006/main">
          <x14:cfRule type="containsText" priority="39833" operator="containsText" text="eSystems " id="{526D642B-C9F6-43CC-891A-493C3D18CC36}">
            <xm:f>NOT(ISERROR(SEARCH("eSystems ",Inputs_RecordsGeneration!A37)))</xm:f>
            <x14:dxf>
              <font>
                <b/>
                <i val="0"/>
                <color rgb="FFC00000"/>
              </font>
            </x14:dxf>
          </x14:cfRule>
          <x14:cfRule type="containsText" priority="39834" operator="containsText" text="hSystems " id="{11D303E0-3805-4408-A365-F33B2139456B}">
            <xm:f>NOT(ISERROR(SEARCH("hSystems ",Inputs_RecordsGeneration!A37)))</xm:f>
            <x14:dxf>
              <font>
                <b/>
                <i val="0"/>
                <color rgb="FF0070C0"/>
              </font>
            </x14:dxf>
          </x14:cfRule>
          <x14:cfRule type="containsText" priority="39835" operator="containsText" text="pSystems " id="{7202D66B-24CF-4ADC-BDF3-0CA48073D407}">
            <xm:f>NOT(ISERROR(SEARCH("pSystems ",Inputs_RecordsGeneration!A37)))</xm:f>
            <x14:dxf>
              <font>
                <b/>
                <i val="0"/>
                <color theme="1" tint="0.34998626667073579"/>
              </font>
            </x14:dxf>
          </x14:cfRule>
          <xm:sqref>B291:D298 A298:A327 B328:B329 O244:O255 B244:D255 O71:O72 O27:O38 O41:O52 B73:C74 D71:D74 B71:B72 B27:D38 C39 O291:O298 B300:D313 O300:O313</xm:sqref>
        </x14:conditionalFormatting>
        <x14:conditionalFormatting xmlns:xm="http://schemas.microsoft.com/office/excel/2006/main">
          <x14:cfRule type="containsText" priority="41798" operator="containsText" text="eSystems " id="{526D642B-C9F6-43CC-891A-493C3D18CC36}">
            <xm:f>NOT(ISERROR(SEARCH("eSystems ",Inputs_RecordsGeneration!A48)))</xm:f>
            <x14:dxf>
              <font>
                <b/>
                <i val="0"/>
                <color rgb="FFC00000"/>
              </font>
            </x14:dxf>
          </x14:cfRule>
          <x14:cfRule type="containsText" priority="41799" operator="containsText" text="hSystems " id="{11D303E0-3805-4408-A365-F33B2139456B}">
            <xm:f>NOT(ISERROR(SEARCH("hSystems ",Inputs_RecordsGeneration!A48)))</xm:f>
            <x14:dxf>
              <font>
                <b/>
                <i val="0"/>
                <color rgb="FF0070C0"/>
              </font>
            </x14:dxf>
          </x14:cfRule>
          <x14:cfRule type="containsText" priority="41800" operator="containsText" text="pSystems " id="{7202D66B-24CF-4ADC-BDF3-0CA48073D407}">
            <xm:f>NOT(ISERROR(SEARCH("pSystems ",Inputs_RecordsGeneration!A48)))</xm:f>
            <x14:dxf>
              <font>
                <b/>
                <i val="0"/>
                <color theme="1" tint="0.34998626667073579"/>
              </font>
            </x14:dxf>
          </x14:cfRule>
          <xm:sqref>O315:O327 A331 O261:O272 B261:D272 O142:O150 O126:O137 B126:D137 B142:D150 O39:O40 B41:C47 D39:D52 B39:B40 B315:D327</xm:sqref>
        </x14:conditionalFormatting>
        <x14:conditionalFormatting xmlns:xm="http://schemas.microsoft.com/office/excel/2006/main">
          <x14:cfRule type="containsText" priority="41840" operator="containsText" text="eSystems " id="{526D642B-C9F6-43CC-891A-493C3D18CC36}">
            <xm:f>NOT(ISERROR(SEARCH("eSystems ",Inputs_RecordsGeneration!A70)))</xm:f>
            <x14:dxf>
              <font>
                <b/>
                <i val="0"/>
                <color rgb="FFC00000"/>
              </font>
            </x14:dxf>
          </x14:cfRule>
          <x14:cfRule type="containsText" priority="41841" operator="containsText" text="hSystems " id="{11D303E0-3805-4408-A365-F33B2139456B}">
            <xm:f>NOT(ISERROR(SEARCH("hSystems ",Inputs_RecordsGeneration!A70)))</xm:f>
            <x14:dxf>
              <font>
                <b/>
                <i val="0"/>
                <color rgb="FF0070C0"/>
              </font>
            </x14:dxf>
          </x14:cfRule>
          <x14:cfRule type="containsText" priority="41842" operator="containsText" text="pSystems " id="{7202D66B-24CF-4ADC-BDF3-0CA48073D407}">
            <xm:f>NOT(ISERROR(SEARCH("pSystems ",Inputs_RecordsGeneration!A70)))</xm:f>
            <x14:dxf>
              <font>
                <b/>
                <i val="0"/>
                <color theme="1" tint="0.34998626667073579"/>
              </font>
            </x14:dxf>
          </x14:cfRule>
          <xm:sqref>A328:A329 O273 B256:D256 B273:D273 B227:D239 O256 O227:O239 O59:O70 O73 B59:D70 C71</xm:sqref>
        </x14:conditionalFormatting>
        <x14:conditionalFormatting xmlns:xm="http://schemas.microsoft.com/office/excel/2006/main">
          <x14:cfRule type="containsText" priority="41864" operator="containsText" text="eSystems " id="{526D642B-C9F6-43CC-891A-493C3D18CC36}">
            <xm:f>NOT(ISERROR(SEARCH("eSystems ",Inputs_RecordsGeneration!B339)))</xm:f>
            <x14:dxf>
              <font>
                <b/>
                <i val="0"/>
                <color rgb="FFC00000"/>
              </font>
            </x14:dxf>
          </x14:cfRule>
          <x14:cfRule type="containsText" priority="41865" operator="containsText" text="hSystems " id="{11D303E0-3805-4408-A365-F33B2139456B}">
            <xm:f>NOT(ISERROR(SEARCH("hSystems ",Inputs_RecordsGeneration!B339)))</xm:f>
            <x14:dxf>
              <font>
                <b/>
                <i val="0"/>
                <color rgb="FF0070C0"/>
              </font>
            </x14:dxf>
          </x14:cfRule>
          <x14:cfRule type="containsText" priority="41866" operator="containsText" text="pSystems " id="{7202D66B-24CF-4ADC-BDF3-0CA48073D407}">
            <xm:f>NOT(ISERROR(SEARCH("pSystems ",Inputs_RecordsGeneration!B339)))</xm:f>
            <x14:dxf>
              <font>
                <b/>
                <i val="0"/>
                <color theme="1" tint="0.34998626667073579"/>
              </font>
            </x14:dxf>
          </x14:cfRule>
          <xm:sqref>O342 B331</xm:sqref>
        </x14:conditionalFormatting>
        <x14:conditionalFormatting xmlns:xm="http://schemas.microsoft.com/office/excel/2006/main">
          <x14:cfRule type="containsText" priority="41948" operator="containsText" text="eSystems " id="{526D642B-C9F6-43CC-891A-493C3D18CC36}">
            <xm:f>NOT(ISERROR(SEARCH("eSystems ",Inputs_RecordsGeneration!O347)))</xm:f>
            <x14:dxf>
              <font>
                <b/>
                <i val="0"/>
                <color rgb="FFC00000"/>
              </font>
            </x14:dxf>
          </x14:cfRule>
          <x14:cfRule type="containsText" priority="41949" operator="containsText" text="hSystems " id="{11D303E0-3805-4408-A365-F33B2139456B}">
            <xm:f>NOT(ISERROR(SEARCH("hSystems ",Inputs_RecordsGeneration!O347)))</xm:f>
            <x14:dxf>
              <font>
                <b/>
                <i val="0"/>
                <color rgb="FF0070C0"/>
              </font>
            </x14:dxf>
          </x14:cfRule>
          <x14:cfRule type="containsText" priority="41950" operator="containsText" text="pSystems " id="{7202D66B-24CF-4ADC-BDF3-0CA48073D407}">
            <xm:f>NOT(ISERROR(SEARCH("pSystems ",Inputs_RecordsGeneration!O347)))</xm:f>
            <x14:dxf>
              <font>
                <b/>
                <i val="0"/>
                <color theme="1" tint="0.34998626667073579"/>
              </font>
            </x14:dxf>
          </x14:cfRule>
          <xm:sqref>O341</xm:sqref>
        </x14:conditionalFormatting>
        <x14:conditionalFormatting xmlns:xm="http://schemas.microsoft.com/office/excel/2006/main">
          <x14:cfRule type="containsText" priority="42329" operator="containsText" text="eSystems " id="{526D642B-C9F6-43CC-891A-493C3D18CC36}">
            <xm:f>NOT(ISERROR(SEARCH("eSystems ",Inputs_RecordsGeneration!B87)))</xm:f>
            <x14:dxf>
              <font>
                <b/>
                <i val="0"/>
                <color rgb="FFC00000"/>
              </font>
            </x14:dxf>
          </x14:cfRule>
          <x14:cfRule type="containsText" priority="42330" operator="containsText" text="hSystems " id="{11D303E0-3805-4408-A365-F33B2139456B}">
            <xm:f>NOT(ISERROR(SEARCH("hSystems ",Inputs_RecordsGeneration!B87)))</xm:f>
            <x14:dxf>
              <font>
                <b/>
                <i val="0"/>
                <color rgb="FF0070C0"/>
              </font>
            </x14:dxf>
          </x14:cfRule>
          <x14:cfRule type="containsText" priority="42331" operator="containsText" text="pSystems " id="{7202D66B-24CF-4ADC-BDF3-0CA48073D407}">
            <xm:f>NOT(ISERROR(SEARCH("pSystems ",Inputs_RecordsGeneration!B87)))</xm:f>
            <x14:dxf>
              <font>
                <b/>
                <i val="0"/>
                <color theme="1" tint="0.34998626667073579"/>
              </font>
            </x14:dxf>
          </x14:cfRule>
          <xm:sqref>O340 B83:C83</xm:sqref>
        </x14:conditionalFormatting>
        <x14:conditionalFormatting xmlns:xm="http://schemas.microsoft.com/office/excel/2006/main">
          <x14:cfRule type="containsText" priority="44123" operator="containsText" text="eSystems " id="{526D642B-C9F6-43CC-891A-493C3D18CC36}">
            <xm:f>NOT(ISERROR(SEARCH("eSystems ",Inputs_RecordsGeneration!XFB49)))</xm:f>
            <x14:dxf>
              <font>
                <b/>
                <i val="0"/>
                <color rgb="FFC00000"/>
              </font>
            </x14:dxf>
          </x14:cfRule>
          <x14:cfRule type="containsText" priority="44124" operator="containsText" text="hSystems " id="{11D303E0-3805-4408-A365-F33B2139456B}">
            <xm:f>NOT(ISERROR(SEARCH("hSystems ",Inputs_RecordsGeneration!XFB49)))</xm:f>
            <x14:dxf>
              <font>
                <b/>
                <i val="0"/>
                <color rgb="FF0070C0"/>
              </font>
            </x14:dxf>
          </x14:cfRule>
          <x14:cfRule type="containsText" priority="44125" operator="containsText" text="pSystems " id="{7202D66B-24CF-4ADC-BDF3-0CA48073D407}">
            <xm:f>NOT(ISERROR(SEARCH("pSystems ",Inputs_RecordsGeneration!XFB49)))</xm:f>
            <x14:dxf>
              <font>
                <b/>
                <i val="0"/>
                <color theme="1" tint="0.34998626667073579"/>
              </font>
            </x14:dxf>
          </x14:cfRule>
          <xm:sqref>XFC54:XFD54</xm:sqref>
        </x14:conditionalFormatting>
        <x14:conditionalFormatting xmlns:xm="http://schemas.microsoft.com/office/excel/2006/main">
          <x14:cfRule type="containsText" priority="44126" operator="containsText" text="eSystems " id="{526D642B-C9F6-43CC-891A-493C3D18CC36}">
            <xm:f>NOT(ISERROR(SEARCH("eSystems ",Inputs_RecordsGeneration!Q49)))</xm:f>
            <x14:dxf>
              <font>
                <b/>
                <i val="0"/>
                <color rgb="FFC00000"/>
              </font>
            </x14:dxf>
          </x14:cfRule>
          <x14:cfRule type="containsText" priority="44127" operator="containsText" text="hSystems " id="{11D303E0-3805-4408-A365-F33B2139456B}">
            <xm:f>NOT(ISERROR(SEARCH("hSystems ",Inputs_RecordsGeneration!Q49)))</xm:f>
            <x14:dxf>
              <font>
                <b/>
                <i val="0"/>
                <color rgb="FF0070C0"/>
              </font>
            </x14:dxf>
          </x14:cfRule>
          <x14:cfRule type="containsText" priority="44128" operator="containsText" text="pSystems " id="{7202D66B-24CF-4ADC-BDF3-0CA48073D407}">
            <xm:f>NOT(ISERROR(SEARCH("pSystems ",Inputs_RecordsGeneration!Q49)))</xm:f>
            <x14:dxf>
              <font>
                <b/>
                <i val="0"/>
                <color theme="1" tint="0.34998626667073579"/>
              </font>
            </x14:dxf>
          </x14:cfRule>
          <xm:sqref>P54:XFB54</xm:sqref>
        </x14:conditionalFormatting>
        <x14:conditionalFormatting xmlns:xm="http://schemas.microsoft.com/office/excel/2006/main">
          <x14:cfRule type="containsText" priority="45560" operator="containsText" text="eSystems " id="{526D642B-C9F6-43CC-891A-493C3D18CC36}">
            <xm:f>NOT(ISERROR(SEARCH("eSystems ",Inputs_RecordsGeneration!XFB82)))</xm:f>
            <x14:dxf>
              <font>
                <b/>
                <i val="0"/>
                <color rgb="FFC00000"/>
              </font>
            </x14:dxf>
          </x14:cfRule>
          <x14:cfRule type="containsText" priority="45561" operator="containsText" text="hSystems " id="{11D303E0-3805-4408-A365-F33B2139456B}">
            <xm:f>NOT(ISERROR(SEARCH("hSystems ",Inputs_RecordsGeneration!XFB82)))</xm:f>
            <x14:dxf>
              <font>
                <b/>
                <i val="0"/>
                <color rgb="FF0070C0"/>
              </font>
            </x14:dxf>
          </x14:cfRule>
          <x14:cfRule type="containsText" priority="45562" operator="containsText" text="pSystems " id="{7202D66B-24CF-4ADC-BDF3-0CA48073D407}">
            <xm:f>NOT(ISERROR(SEARCH("pSystems ",Inputs_RecordsGeneration!XFB82)))</xm:f>
            <x14:dxf>
              <font>
                <b/>
                <i val="0"/>
                <color theme="1" tint="0.34998626667073579"/>
              </font>
            </x14:dxf>
          </x14:cfRule>
          <xm:sqref>XFC84:XFD85</xm:sqref>
        </x14:conditionalFormatting>
        <x14:conditionalFormatting xmlns:xm="http://schemas.microsoft.com/office/excel/2006/main">
          <x14:cfRule type="containsText" priority="45566" operator="containsText" text="eSystems " id="{526D642B-C9F6-43CC-891A-493C3D18CC36}">
            <xm:f>NOT(ISERROR(SEARCH("eSystems ",Inputs_RecordsGeneration!F82)))</xm:f>
            <x14:dxf>
              <font>
                <b/>
                <i val="0"/>
                <color rgb="FFC00000"/>
              </font>
            </x14:dxf>
          </x14:cfRule>
          <x14:cfRule type="containsText" priority="45567" operator="containsText" text="hSystems " id="{11D303E0-3805-4408-A365-F33B2139456B}">
            <xm:f>NOT(ISERROR(SEARCH("hSystems ",Inputs_RecordsGeneration!F82)))</xm:f>
            <x14:dxf>
              <font>
                <b/>
                <i val="0"/>
                <color rgb="FF0070C0"/>
              </font>
            </x14:dxf>
          </x14:cfRule>
          <x14:cfRule type="containsText" priority="45568" operator="containsText" text="pSystems " id="{7202D66B-24CF-4ADC-BDF3-0CA48073D407}">
            <xm:f>NOT(ISERROR(SEARCH("pSystems ",Inputs_RecordsGeneration!F82)))</xm:f>
            <x14:dxf>
              <font>
                <b/>
                <i val="0"/>
                <color theme="1" tint="0.34998626667073579"/>
              </font>
            </x14:dxf>
          </x14:cfRule>
          <xm:sqref>P84:XFB85 E85:N85</xm:sqref>
        </x14:conditionalFormatting>
        <x14:conditionalFormatting xmlns:xm="http://schemas.microsoft.com/office/excel/2006/main">
          <x14:cfRule type="containsText" priority="45581" operator="containsText" text="eSystems " id="{526D642B-C9F6-43CC-891A-493C3D18CC36}">
            <xm:f>NOT(ISERROR(SEARCH("eSystems ",Inputs_RecordsGeneration!XFB49)))</xm:f>
            <x14:dxf>
              <font>
                <b/>
                <i val="0"/>
                <color rgb="FFC00000"/>
              </font>
            </x14:dxf>
          </x14:cfRule>
          <x14:cfRule type="containsText" priority="45582" operator="containsText" text="hSystems " id="{11D303E0-3805-4408-A365-F33B2139456B}">
            <xm:f>NOT(ISERROR(SEARCH("hSystems ",Inputs_RecordsGeneration!XFB49)))</xm:f>
            <x14:dxf>
              <font>
                <b/>
                <i val="0"/>
                <color rgb="FF0070C0"/>
              </font>
            </x14:dxf>
          </x14:cfRule>
          <x14:cfRule type="containsText" priority="45583" operator="containsText" text="pSystems " id="{7202D66B-24CF-4ADC-BDF3-0CA48073D407}">
            <xm:f>NOT(ISERROR(SEARCH("pSystems ",Inputs_RecordsGeneration!XFB49)))</xm:f>
            <x14:dxf>
              <font>
                <b/>
                <i val="0"/>
                <color theme="1" tint="0.34998626667073579"/>
              </font>
            </x14:dxf>
          </x14:cfRule>
          <xm:sqref>XFC52:XFD53</xm:sqref>
        </x14:conditionalFormatting>
        <x14:conditionalFormatting xmlns:xm="http://schemas.microsoft.com/office/excel/2006/main">
          <x14:cfRule type="containsText" priority="45584" operator="containsText" text="eSystems " id="{526D642B-C9F6-43CC-891A-493C3D18CC36}">
            <xm:f>NOT(ISERROR(SEARCH("eSystems ",Inputs_RecordsGeneration!F49)))</xm:f>
            <x14:dxf>
              <font>
                <b/>
                <i val="0"/>
                <color rgb="FFC00000"/>
              </font>
            </x14:dxf>
          </x14:cfRule>
          <x14:cfRule type="containsText" priority="45585" operator="containsText" text="hSystems " id="{11D303E0-3805-4408-A365-F33B2139456B}">
            <xm:f>NOT(ISERROR(SEARCH("hSystems ",Inputs_RecordsGeneration!F49)))</xm:f>
            <x14:dxf>
              <font>
                <b/>
                <i val="0"/>
                <color rgb="FF0070C0"/>
              </font>
            </x14:dxf>
          </x14:cfRule>
          <x14:cfRule type="containsText" priority="45586" operator="containsText" text="pSystems " id="{7202D66B-24CF-4ADC-BDF3-0CA48073D407}">
            <xm:f>NOT(ISERROR(SEARCH("pSystems ",Inputs_RecordsGeneration!F49)))</xm:f>
            <x14:dxf>
              <font>
                <b/>
                <i val="0"/>
                <color theme="1" tint="0.34998626667073579"/>
              </font>
            </x14:dxf>
          </x14:cfRule>
          <xm:sqref>P52:XFB53 E53:N53</xm:sqref>
        </x14:conditionalFormatting>
        <x14:conditionalFormatting xmlns:xm="http://schemas.microsoft.com/office/excel/2006/main">
          <x14:cfRule type="containsText" priority="45599" operator="containsText" text="eSystems " id="{526D642B-C9F6-43CC-891A-493C3D18CC36}">
            <xm:f>NOT(ISERROR(SEARCH("eSystems ",Inputs_RecordsGeneration!Q87)))</xm:f>
            <x14:dxf>
              <font>
                <b/>
                <i val="0"/>
                <color rgb="FFC00000"/>
              </font>
            </x14:dxf>
          </x14:cfRule>
          <x14:cfRule type="containsText" priority="45600" operator="containsText" text="hSystems " id="{11D303E0-3805-4408-A365-F33B2139456B}">
            <xm:f>NOT(ISERROR(SEARCH("hSystems ",Inputs_RecordsGeneration!Q87)))</xm:f>
            <x14:dxf>
              <font>
                <b/>
                <i val="0"/>
                <color rgb="FF0070C0"/>
              </font>
            </x14:dxf>
          </x14:cfRule>
          <x14:cfRule type="containsText" priority="45601" operator="containsText" text="pSystems " id="{7202D66B-24CF-4ADC-BDF3-0CA48073D407}">
            <xm:f>NOT(ISERROR(SEARCH("pSystems ",Inputs_RecordsGeneration!Q87)))</xm:f>
            <x14:dxf>
              <font>
                <b/>
                <i val="0"/>
                <color theme="1" tint="0.34998626667073579"/>
              </font>
            </x14:dxf>
          </x14:cfRule>
          <xm:sqref>P83:XFB83</xm:sqref>
        </x14:conditionalFormatting>
        <x14:conditionalFormatting xmlns:xm="http://schemas.microsoft.com/office/excel/2006/main">
          <x14:cfRule type="containsText" priority="46364" operator="containsText" text="eSystems " id="{526D642B-C9F6-43CC-891A-493C3D18CC36}">
            <xm:f>NOT(ISERROR(SEARCH("eSystems ",Inputs_RecordsGeneration!Q233)))</xm:f>
            <x14:dxf>
              <font>
                <b/>
                <i val="0"/>
                <color rgb="FFC00000"/>
              </font>
            </x14:dxf>
          </x14:cfRule>
          <x14:cfRule type="containsText" priority="46365" operator="containsText" text="hSystems " id="{11D303E0-3805-4408-A365-F33B2139456B}">
            <xm:f>NOT(ISERROR(SEARCH("hSystems ",Inputs_RecordsGeneration!Q233)))</xm:f>
            <x14:dxf>
              <font>
                <b/>
                <i val="0"/>
                <color rgb="FF0070C0"/>
              </font>
            </x14:dxf>
          </x14:cfRule>
          <x14:cfRule type="containsText" priority="46366" operator="containsText" text="pSystems " id="{7202D66B-24CF-4ADC-BDF3-0CA48073D407}">
            <xm:f>NOT(ISERROR(SEARCH("pSystems ",Inputs_RecordsGeneration!Q233)))</xm:f>
            <x14:dxf>
              <font>
                <b/>
                <i val="0"/>
                <color theme="1" tint="0.34998626667073579"/>
              </font>
            </x14:dxf>
          </x14:cfRule>
          <xm:sqref>P214:XFB215</xm:sqref>
        </x14:conditionalFormatting>
        <x14:conditionalFormatting xmlns:xm="http://schemas.microsoft.com/office/excel/2006/main">
          <x14:cfRule type="containsText" priority="46376" operator="containsText" text="eSystems " id="{526D642B-C9F6-43CC-891A-493C3D18CC36}">
            <xm:f>NOT(ISERROR(SEARCH("eSystems ",Inputs_RecordsGeneration!XFB116)))</xm:f>
            <x14:dxf>
              <font>
                <b/>
                <i val="0"/>
                <color rgb="FFC00000"/>
              </font>
            </x14:dxf>
          </x14:cfRule>
          <x14:cfRule type="containsText" priority="46377" operator="containsText" text="hSystems " id="{11D303E0-3805-4408-A365-F33B2139456B}">
            <xm:f>NOT(ISERROR(SEARCH("hSystems ",Inputs_RecordsGeneration!XFB116)))</xm:f>
            <x14:dxf>
              <font>
                <b/>
                <i val="0"/>
                <color rgb="FF0070C0"/>
              </font>
            </x14:dxf>
          </x14:cfRule>
          <x14:cfRule type="containsText" priority="46378" operator="containsText" text="pSystems " id="{7202D66B-24CF-4ADC-BDF3-0CA48073D407}">
            <xm:f>NOT(ISERROR(SEARCH("pSystems ",Inputs_RecordsGeneration!XFB116)))</xm:f>
            <x14:dxf>
              <font>
                <b/>
                <i val="0"/>
                <color theme="1" tint="0.34998626667073579"/>
              </font>
            </x14:dxf>
          </x14:cfRule>
          <xm:sqref>XFC101:XFD109</xm:sqref>
        </x14:conditionalFormatting>
        <x14:conditionalFormatting xmlns:xm="http://schemas.microsoft.com/office/excel/2006/main">
          <x14:cfRule type="containsText" priority="47933" operator="containsText" text="eSystems " id="{526D642B-C9F6-43CC-891A-493C3D18CC36}">
            <xm:f>NOT(ISERROR(SEARCH("eSystems ",Inputs_RecordsGeneration!B49)))</xm:f>
            <x14:dxf>
              <font>
                <b/>
                <i val="0"/>
                <color rgb="FFC00000"/>
              </font>
            </x14:dxf>
          </x14:cfRule>
          <x14:cfRule type="containsText" priority="47934" operator="containsText" text="hSystems " id="{11D303E0-3805-4408-A365-F33B2139456B}">
            <xm:f>NOT(ISERROR(SEARCH("hSystems ",Inputs_RecordsGeneration!B49)))</xm:f>
            <x14:dxf>
              <font>
                <b/>
                <i val="0"/>
                <color rgb="FF0070C0"/>
              </font>
            </x14:dxf>
          </x14:cfRule>
          <x14:cfRule type="containsText" priority="47935" operator="containsText" text="pSystems " id="{7202D66B-24CF-4ADC-BDF3-0CA48073D407}">
            <xm:f>NOT(ISERROR(SEARCH("pSystems ",Inputs_RecordsGeneration!B49)))</xm:f>
            <x14:dxf>
              <font>
                <b/>
                <i val="0"/>
                <color theme="1" tint="0.34998626667073579"/>
              </font>
            </x14:dxf>
          </x14:cfRule>
          <xm:sqref>B54:D54</xm:sqref>
        </x14:conditionalFormatting>
        <x14:conditionalFormatting xmlns:xm="http://schemas.microsoft.com/office/excel/2006/main">
          <x14:cfRule type="containsText" priority="47951" operator="containsText" text="eSystems " id="{526D642B-C9F6-43CC-891A-493C3D18CC36}">
            <xm:f>NOT(ISERROR(SEARCH("eSystems ",Inputs_RecordsGeneration!XFB49)))</xm:f>
            <x14:dxf>
              <font>
                <b/>
                <i val="0"/>
                <color rgb="FFC00000"/>
              </font>
            </x14:dxf>
          </x14:cfRule>
          <x14:cfRule type="containsText" priority="47952" operator="containsText" text="hSystems " id="{11D303E0-3805-4408-A365-F33B2139456B}">
            <xm:f>NOT(ISERROR(SEARCH("hSystems ",Inputs_RecordsGeneration!XFB49)))</xm:f>
            <x14:dxf>
              <font>
                <b/>
                <i val="0"/>
                <color rgb="FF0070C0"/>
              </font>
            </x14:dxf>
          </x14:cfRule>
          <x14:cfRule type="containsText" priority="47953" operator="containsText" text="pSystems " id="{7202D66B-24CF-4ADC-BDF3-0CA48073D407}">
            <xm:f>NOT(ISERROR(SEARCH("pSystems ",Inputs_RecordsGeneration!XFB49)))</xm:f>
            <x14:dxf>
              <font>
                <b/>
                <i val="0"/>
                <color theme="1" tint="0.34998626667073579"/>
              </font>
            </x14:dxf>
          </x14:cfRule>
          <xm:sqref>XFC48:XFD51</xm:sqref>
        </x14:conditionalFormatting>
        <x14:conditionalFormatting xmlns:xm="http://schemas.microsoft.com/office/excel/2006/main">
          <x14:cfRule type="containsText" priority="47954" operator="containsText" text="eSystems " id="{526D642B-C9F6-43CC-891A-493C3D18CC36}">
            <xm:f>NOT(ISERROR(SEARCH("eSystems ",Inputs_RecordsGeneration!Q49)))</xm:f>
            <x14:dxf>
              <font>
                <b/>
                <i val="0"/>
                <color rgb="FFC00000"/>
              </font>
            </x14:dxf>
          </x14:cfRule>
          <x14:cfRule type="containsText" priority="47955" operator="containsText" text="hSystems " id="{11D303E0-3805-4408-A365-F33B2139456B}">
            <xm:f>NOT(ISERROR(SEARCH("hSystems ",Inputs_RecordsGeneration!Q49)))</xm:f>
            <x14:dxf>
              <font>
                <b/>
                <i val="0"/>
                <color rgb="FF0070C0"/>
              </font>
            </x14:dxf>
          </x14:cfRule>
          <x14:cfRule type="containsText" priority="47956" operator="containsText" text="pSystems " id="{7202D66B-24CF-4ADC-BDF3-0CA48073D407}">
            <xm:f>NOT(ISERROR(SEARCH("pSystems ",Inputs_RecordsGeneration!Q49)))</xm:f>
            <x14:dxf>
              <font>
                <b/>
                <i val="0"/>
                <color theme="1" tint="0.34998626667073579"/>
              </font>
            </x14:dxf>
          </x14:cfRule>
          <xm:sqref>P48:XFB51</xm:sqref>
        </x14:conditionalFormatting>
        <x14:conditionalFormatting xmlns:xm="http://schemas.microsoft.com/office/excel/2006/main">
          <x14:cfRule type="containsText" priority="48095" operator="containsText" text="eSystems " id="{526D642B-C9F6-43CC-891A-493C3D18CC36}">
            <xm:f>NOT(ISERROR(SEARCH("eSystems ",Inputs_RecordsGeneration!B82)))</xm:f>
            <x14:dxf>
              <font>
                <b/>
                <i val="0"/>
                <color rgb="FFC00000"/>
              </font>
            </x14:dxf>
          </x14:cfRule>
          <x14:cfRule type="containsText" priority="48096" operator="containsText" text="hSystems " id="{11D303E0-3805-4408-A365-F33B2139456B}">
            <xm:f>NOT(ISERROR(SEARCH("hSystems ",Inputs_RecordsGeneration!B82)))</xm:f>
            <x14:dxf>
              <font>
                <b/>
                <i val="0"/>
                <color rgb="FF0070C0"/>
              </font>
            </x14:dxf>
          </x14:cfRule>
          <x14:cfRule type="containsText" priority="48097" operator="containsText" text="pSystems " id="{7202D66B-24CF-4ADC-BDF3-0CA48073D407}">
            <xm:f>NOT(ISERROR(SEARCH("pSystems ",Inputs_RecordsGeneration!B82)))</xm:f>
            <x14:dxf>
              <font>
                <b/>
                <i val="0"/>
                <color theme="1" tint="0.34998626667073579"/>
              </font>
            </x14:dxf>
          </x14:cfRule>
          <xm:sqref>D85 B84:C85 O85</xm:sqref>
        </x14:conditionalFormatting>
        <x14:conditionalFormatting xmlns:xm="http://schemas.microsoft.com/office/excel/2006/main">
          <x14:cfRule type="containsText" priority="48260" operator="containsText" text="eSystems " id="{526D642B-C9F6-43CC-891A-493C3D18CC36}">
            <xm:f>NOT(ISERROR(SEARCH("eSystems ",Inputs_RecordsGeneration!Q116)))</xm:f>
            <x14:dxf>
              <font>
                <b/>
                <i val="0"/>
                <color rgb="FFC00000"/>
              </font>
            </x14:dxf>
          </x14:cfRule>
          <x14:cfRule type="containsText" priority="48261" operator="containsText" text="hSystems " id="{11D303E0-3805-4408-A365-F33B2139456B}">
            <xm:f>NOT(ISERROR(SEARCH("hSystems ",Inputs_RecordsGeneration!Q116)))</xm:f>
            <x14:dxf>
              <font>
                <b/>
                <i val="0"/>
                <color rgb="FF0070C0"/>
              </font>
            </x14:dxf>
          </x14:cfRule>
          <x14:cfRule type="containsText" priority="48262" operator="containsText" text="pSystems " id="{7202D66B-24CF-4ADC-BDF3-0CA48073D407}">
            <xm:f>NOT(ISERROR(SEARCH("pSystems ",Inputs_RecordsGeneration!Q116)))</xm:f>
            <x14:dxf>
              <font>
                <b/>
                <i val="0"/>
                <color theme="1" tint="0.34998626667073579"/>
              </font>
            </x14:dxf>
          </x14:cfRule>
          <xm:sqref>P101:XFB109</xm:sqref>
        </x14:conditionalFormatting>
        <x14:conditionalFormatting xmlns:xm="http://schemas.microsoft.com/office/excel/2006/main">
          <x14:cfRule type="containsText" priority="48269" operator="containsText" text="eSystems " id="{526D642B-C9F6-43CC-891A-493C3D18CC36}">
            <xm:f>NOT(ISERROR(SEARCH("eSystems ",Inputs_RecordsGeneration!B116)))</xm:f>
            <x14:dxf>
              <font>
                <b/>
                <i val="0"/>
                <color rgb="FFC00000"/>
              </font>
            </x14:dxf>
          </x14:cfRule>
          <x14:cfRule type="containsText" priority="48270" operator="containsText" text="hSystems " id="{11D303E0-3805-4408-A365-F33B2139456B}">
            <xm:f>NOT(ISERROR(SEARCH("hSystems ",Inputs_RecordsGeneration!B116)))</xm:f>
            <x14:dxf>
              <font>
                <b/>
                <i val="0"/>
                <color rgb="FF0070C0"/>
              </font>
            </x14:dxf>
          </x14:cfRule>
          <x14:cfRule type="containsText" priority="48271" operator="containsText" text="pSystems " id="{7202D66B-24CF-4ADC-BDF3-0CA48073D407}">
            <xm:f>NOT(ISERROR(SEARCH("pSystems ",Inputs_RecordsGeneration!B116)))</xm:f>
            <x14:dxf>
              <font>
                <b/>
                <i val="0"/>
                <color theme="1" tint="0.34998626667073579"/>
              </font>
            </x14:dxf>
          </x14:cfRule>
          <xm:sqref>O101:O102 B103:C109 D101:D114 B101:B102</xm:sqref>
        </x14:conditionalFormatting>
        <x14:conditionalFormatting xmlns:xm="http://schemas.microsoft.com/office/excel/2006/main">
          <x14:cfRule type="containsText" priority="48854" operator="containsText" text="eSystems " id="{526D642B-C9F6-43CC-891A-493C3D18CC36}">
            <xm:f>NOT(ISERROR(SEARCH("eSystems ",Inputs_RecordsGeneration!XFB117)))</xm:f>
            <x14:dxf>
              <font>
                <b/>
                <i val="0"/>
                <color rgb="FFC00000"/>
              </font>
            </x14:dxf>
          </x14:cfRule>
          <x14:cfRule type="containsText" priority="48855" operator="containsText" text="hSystems " id="{11D303E0-3805-4408-A365-F33B2139456B}">
            <xm:f>NOT(ISERROR(SEARCH("hSystems ",Inputs_RecordsGeneration!XFB117)))</xm:f>
            <x14:dxf>
              <font>
                <b/>
                <i val="0"/>
                <color rgb="FF0070C0"/>
              </font>
            </x14:dxf>
          </x14:cfRule>
          <x14:cfRule type="containsText" priority="48856" operator="containsText" text="pSystems " id="{7202D66B-24CF-4ADC-BDF3-0CA48073D407}">
            <xm:f>NOT(ISERROR(SEARCH("pSystems ",Inputs_RecordsGeneration!XFB117)))</xm:f>
            <x14:dxf>
              <font>
                <b/>
                <i val="0"/>
                <color theme="1" tint="0.34998626667073579"/>
              </font>
            </x14:dxf>
          </x14:cfRule>
          <xm:sqref>XFC114:XFD115</xm:sqref>
        </x14:conditionalFormatting>
        <x14:conditionalFormatting xmlns:xm="http://schemas.microsoft.com/office/excel/2006/main">
          <x14:cfRule type="containsText" priority="48860" operator="containsText" text="eSystems " id="{526D642B-C9F6-43CC-891A-493C3D18CC36}">
            <xm:f>NOT(ISERROR(SEARCH("eSystems ",Inputs_RecordsGeneration!F117)))</xm:f>
            <x14:dxf>
              <font>
                <b/>
                <i val="0"/>
                <color rgb="FFC00000"/>
              </font>
            </x14:dxf>
          </x14:cfRule>
          <x14:cfRule type="containsText" priority="48861" operator="containsText" text="hSystems " id="{11D303E0-3805-4408-A365-F33B2139456B}">
            <xm:f>NOT(ISERROR(SEARCH("hSystems ",Inputs_RecordsGeneration!F117)))</xm:f>
            <x14:dxf>
              <font>
                <b/>
                <i val="0"/>
                <color rgb="FF0070C0"/>
              </font>
            </x14:dxf>
          </x14:cfRule>
          <x14:cfRule type="containsText" priority="48862" operator="containsText" text="pSystems " id="{7202D66B-24CF-4ADC-BDF3-0CA48073D407}">
            <xm:f>NOT(ISERROR(SEARCH("pSystems ",Inputs_RecordsGeneration!F117)))</xm:f>
            <x14:dxf>
              <font>
                <b/>
                <i val="0"/>
                <color theme="1" tint="0.34998626667073579"/>
              </font>
            </x14:dxf>
          </x14:cfRule>
          <xm:sqref>E115:N115 P114:XFB115</xm:sqref>
        </x14:conditionalFormatting>
        <x14:conditionalFormatting xmlns:xm="http://schemas.microsoft.com/office/excel/2006/main">
          <x14:cfRule type="containsText" priority="48884" operator="containsText" text="eSystems " id="{526D642B-C9F6-43CC-891A-493C3D18CC36}">
            <xm:f>NOT(ISERROR(SEARCH("eSystems ",Inputs_RecordsGeneration!XFB82)))</xm:f>
            <x14:dxf>
              <font>
                <b/>
                <i val="0"/>
                <color rgb="FFC00000"/>
              </font>
            </x14:dxf>
          </x14:cfRule>
          <x14:cfRule type="containsText" priority="48885" operator="containsText" text="hSystems " id="{11D303E0-3805-4408-A365-F33B2139456B}">
            <xm:f>NOT(ISERROR(SEARCH("hSystems ",Inputs_RecordsGeneration!XFB82)))</xm:f>
            <x14:dxf>
              <font>
                <b/>
                <i val="0"/>
                <color rgb="FF0070C0"/>
              </font>
            </x14:dxf>
          </x14:cfRule>
          <x14:cfRule type="containsText" priority="48886" operator="containsText" text="pSystems " id="{7202D66B-24CF-4ADC-BDF3-0CA48073D407}">
            <xm:f>NOT(ISERROR(SEARCH("pSystems ",Inputs_RecordsGeneration!XFB82)))</xm:f>
            <x14:dxf>
              <font>
                <b/>
                <i val="0"/>
                <color theme="1" tint="0.34998626667073579"/>
              </font>
            </x14:dxf>
          </x14:cfRule>
          <xm:sqref>XFC80:XFD83</xm:sqref>
        </x14:conditionalFormatting>
        <x14:conditionalFormatting xmlns:xm="http://schemas.microsoft.com/office/excel/2006/main">
          <x14:cfRule type="containsText" priority="48887" operator="containsText" text="eSystems " id="{526D642B-C9F6-43CC-891A-493C3D18CC36}">
            <xm:f>NOT(ISERROR(SEARCH("eSystems ",Inputs_RecordsGeneration!Q82)))</xm:f>
            <x14:dxf>
              <font>
                <b/>
                <i val="0"/>
                <color rgb="FFC00000"/>
              </font>
            </x14:dxf>
          </x14:cfRule>
          <x14:cfRule type="containsText" priority="48888" operator="containsText" text="hSystems " id="{11D303E0-3805-4408-A365-F33B2139456B}">
            <xm:f>NOT(ISERROR(SEARCH("hSystems ",Inputs_RecordsGeneration!Q82)))</xm:f>
            <x14:dxf>
              <font>
                <b/>
                <i val="0"/>
                <color rgb="FF0070C0"/>
              </font>
            </x14:dxf>
          </x14:cfRule>
          <x14:cfRule type="containsText" priority="48889" operator="containsText" text="pSystems " id="{7202D66B-24CF-4ADC-BDF3-0CA48073D407}">
            <xm:f>NOT(ISERROR(SEARCH("pSystems ",Inputs_RecordsGeneration!Q82)))</xm:f>
            <x14:dxf>
              <font>
                <b/>
                <i val="0"/>
                <color theme="1" tint="0.34998626667073579"/>
              </font>
            </x14:dxf>
          </x14:cfRule>
          <xm:sqref>P80:XFB82</xm:sqref>
        </x14:conditionalFormatting>
        <x14:conditionalFormatting xmlns:xm="http://schemas.microsoft.com/office/excel/2006/main">
          <x14:cfRule type="containsText" priority="48935" operator="containsText" text="eSystems " id="{526D642B-C9F6-43CC-891A-493C3D18CC36}">
            <xm:f>NOT(ISERROR(SEARCH("eSystems ",Inputs_RecordsGeneration!B105)))</xm:f>
            <x14:dxf>
              <font>
                <b/>
                <i val="0"/>
                <color rgb="FFC00000"/>
              </font>
            </x14:dxf>
          </x14:cfRule>
          <x14:cfRule type="containsText" priority="48936" operator="containsText" text="hSystems " id="{11D303E0-3805-4408-A365-F33B2139456B}">
            <xm:f>NOT(ISERROR(SEARCH("hSystems ",Inputs_RecordsGeneration!B105)))</xm:f>
            <x14:dxf>
              <font>
                <b/>
                <i val="0"/>
                <color rgb="FF0070C0"/>
              </font>
            </x14:dxf>
          </x14:cfRule>
          <x14:cfRule type="containsText" priority="48937" operator="containsText" text="pSystems " id="{7202D66B-24CF-4ADC-BDF3-0CA48073D407}">
            <xm:f>NOT(ISERROR(SEARCH("pSystems ",Inputs_RecordsGeneration!B105)))</xm:f>
            <x14:dxf>
              <font>
                <b/>
                <i val="0"/>
                <color theme="1" tint="0.34998626667073579"/>
              </font>
            </x14:dxf>
          </x14:cfRule>
          <xm:sqref>O89:O100 O103:O114 B89:D100 C101</xm:sqref>
        </x14:conditionalFormatting>
        <x14:conditionalFormatting xmlns:xm="http://schemas.microsoft.com/office/excel/2006/main">
          <x14:cfRule type="containsText" priority="49073" operator="containsText" text="eSystems " id="{526D642B-C9F6-43CC-891A-493C3D18CC36}">
            <xm:f>NOT(ISERROR(SEARCH("eSystems ",Inputs_RecordsGeneration!B49)))</xm:f>
            <x14:dxf>
              <font>
                <b/>
                <i val="0"/>
                <color rgb="FFC00000"/>
              </font>
            </x14:dxf>
          </x14:cfRule>
          <x14:cfRule type="containsText" priority="49074" operator="containsText" text="hSystems " id="{11D303E0-3805-4408-A365-F33B2139456B}">
            <xm:f>NOT(ISERROR(SEARCH("hSystems ",Inputs_RecordsGeneration!B49)))</xm:f>
            <x14:dxf>
              <font>
                <b/>
                <i val="0"/>
                <color rgb="FF0070C0"/>
              </font>
            </x14:dxf>
          </x14:cfRule>
          <x14:cfRule type="containsText" priority="49075" operator="containsText" text="pSystems " id="{7202D66B-24CF-4ADC-BDF3-0CA48073D407}">
            <xm:f>NOT(ISERROR(SEARCH("pSystems ",Inputs_RecordsGeneration!B49)))</xm:f>
            <x14:dxf>
              <font>
                <b/>
                <i val="0"/>
                <color theme="1" tint="0.34998626667073579"/>
              </font>
            </x14:dxf>
          </x14:cfRule>
          <xm:sqref>D53 B52:C53 O53</xm:sqref>
        </x14:conditionalFormatting>
        <x14:conditionalFormatting xmlns:xm="http://schemas.microsoft.com/office/excel/2006/main">
          <x14:cfRule type="containsText" priority="49676" operator="containsText" text="eSystems " id="{526D642B-C9F6-43CC-891A-493C3D18CC36}">
            <xm:f>NOT(ISERROR(SEARCH("eSystems ",Inputs_RecordsGeneration!XFB117)))</xm:f>
            <x14:dxf>
              <font>
                <b/>
                <i val="0"/>
                <color rgb="FFC00000"/>
              </font>
            </x14:dxf>
          </x14:cfRule>
          <x14:cfRule type="containsText" priority="49677" operator="containsText" text="hSystems " id="{11D303E0-3805-4408-A365-F33B2139456B}">
            <xm:f>NOT(ISERROR(SEARCH("hSystems ",Inputs_RecordsGeneration!XFB117)))</xm:f>
            <x14:dxf>
              <font>
                <b/>
                <i val="0"/>
                <color rgb="FF0070C0"/>
              </font>
            </x14:dxf>
          </x14:cfRule>
          <x14:cfRule type="containsText" priority="49678" operator="containsText" text="pSystems " id="{7202D66B-24CF-4ADC-BDF3-0CA48073D407}">
            <xm:f>NOT(ISERROR(SEARCH("pSystems ",Inputs_RecordsGeneration!XFB117)))</xm:f>
            <x14:dxf>
              <font>
                <b/>
                <i val="0"/>
                <color theme="1" tint="0.34998626667073579"/>
              </font>
            </x14:dxf>
          </x14:cfRule>
          <xm:sqref>XFC110:XFD113</xm:sqref>
        </x14:conditionalFormatting>
        <x14:conditionalFormatting xmlns:xm="http://schemas.microsoft.com/office/excel/2006/main">
          <x14:cfRule type="containsText" priority="49682" operator="containsText" text="eSystems " id="{526D642B-C9F6-43CC-891A-493C3D18CC36}">
            <xm:f>NOT(ISERROR(SEARCH("eSystems ",Inputs_RecordsGeneration!Q117)))</xm:f>
            <x14:dxf>
              <font>
                <b/>
                <i val="0"/>
                <color rgb="FFC00000"/>
              </font>
            </x14:dxf>
          </x14:cfRule>
          <x14:cfRule type="containsText" priority="49683" operator="containsText" text="hSystems " id="{11D303E0-3805-4408-A365-F33B2139456B}">
            <xm:f>NOT(ISERROR(SEARCH("hSystems ",Inputs_RecordsGeneration!Q117)))</xm:f>
            <x14:dxf>
              <font>
                <b/>
                <i val="0"/>
                <color rgb="FF0070C0"/>
              </font>
            </x14:dxf>
          </x14:cfRule>
          <x14:cfRule type="containsText" priority="49684" operator="containsText" text="pSystems " id="{7202D66B-24CF-4ADC-BDF3-0CA48073D407}">
            <xm:f>NOT(ISERROR(SEARCH("pSystems ",Inputs_RecordsGeneration!Q117)))</xm:f>
            <x14:dxf>
              <font>
                <b/>
                <i val="0"/>
                <color theme="1" tint="0.34998626667073579"/>
              </font>
            </x14:dxf>
          </x14:cfRule>
          <xm:sqref>P110:XFB113</xm:sqref>
        </x14:conditionalFormatting>
        <x14:conditionalFormatting xmlns:xm="http://schemas.microsoft.com/office/excel/2006/main">
          <x14:cfRule type="containsText" priority="49703" operator="containsText" text="eSystems " id="{526D642B-C9F6-43CC-891A-493C3D18CC36}">
            <xm:f>NOT(ISERROR(SEARCH("eSystems ",Inputs_RecordsGeneration!Q90)))</xm:f>
            <x14:dxf>
              <font>
                <b/>
                <i val="0"/>
                <color rgb="FFC00000"/>
              </font>
            </x14:dxf>
          </x14:cfRule>
          <x14:cfRule type="containsText" priority="49704" operator="containsText" text="hSystems " id="{11D303E0-3805-4408-A365-F33B2139456B}">
            <xm:f>NOT(ISERROR(SEARCH("hSystems ",Inputs_RecordsGeneration!Q90)))</xm:f>
            <x14:dxf>
              <font>
                <b/>
                <i val="0"/>
                <color rgb="FF0070C0"/>
              </font>
            </x14:dxf>
          </x14:cfRule>
          <x14:cfRule type="containsText" priority="49705" operator="containsText" text="pSystems " id="{7202D66B-24CF-4ADC-BDF3-0CA48073D407}">
            <xm:f>NOT(ISERROR(SEARCH("pSystems ",Inputs_RecordsGeneration!Q90)))</xm:f>
            <x14:dxf>
              <font>
                <b/>
                <i val="0"/>
                <color theme="1" tint="0.34998626667073579"/>
              </font>
            </x14:dxf>
          </x14:cfRule>
          <xm:sqref>P77:XFB79</xm:sqref>
        </x14:conditionalFormatting>
        <x14:conditionalFormatting xmlns:xm="http://schemas.microsoft.com/office/excel/2006/main">
          <x14:cfRule type="containsText" priority="49847" operator="containsText" text="eSystems " id="{526D642B-C9F6-43CC-891A-493C3D18CC36}">
            <xm:f>NOT(ISERROR(SEARCH("eSystems ",Inputs_RecordsGeneration!B49)))</xm:f>
            <x14:dxf>
              <font>
                <b/>
                <i val="0"/>
                <color rgb="FFC00000"/>
              </font>
            </x14:dxf>
          </x14:cfRule>
          <x14:cfRule type="containsText" priority="49848" operator="containsText" text="hSystems " id="{11D303E0-3805-4408-A365-F33B2139456B}">
            <xm:f>NOT(ISERROR(SEARCH("hSystems ",Inputs_RecordsGeneration!B49)))</xm:f>
            <x14:dxf>
              <font>
                <b/>
                <i val="0"/>
                <color rgb="FF0070C0"/>
              </font>
            </x14:dxf>
          </x14:cfRule>
          <x14:cfRule type="containsText" priority="49849" operator="containsText" text="pSystems " id="{7202D66B-24CF-4ADC-BDF3-0CA48073D407}">
            <xm:f>NOT(ISERROR(SEARCH("pSystems ",Inputs_RecordsGeneration!B49)))</xm:f>
            <x14:dxf>
              <font>
                <b/>
                <i val="0"/>
                <color theme="1" tint="0.34998626667073579"/>
              </font>
            </x14:dxf>
          </x14:cfRule>
          <xm:sqref>B48:C51</xm:sqref>
        </x14:conditionalFormatting>
        <x14:conditionalFormatting xmlns:xm="http://schemas.microsoft.com/office/excel/2006/main">
          <x14:cfRule type="containsText" priority="50351" operator="containsText" text="eSystems " id="{526D642B-C9F6-43CC-891A-493C3D18CC36}">
            <xm:f>NOT(ISERROR(SEARCH("eSystems ",Inputs_RecordsGeneration!XFB290)))</xm:f>
            <x14:dxf>
              <font>
                <b/>
                <i val="0"/>
                <color rgb="FFC00000"/>
              </font>
            </x14:dxf>
          </x14:cfRule>
          <x14:cfRule type="containsText" priority="50352" operator="containsText" text="hSystems " id="{11D303E0-3805-4408-A365-F33B2139456B}">
            <xm:f>NOT(ISERROR(SEARCH("hSystems ",Inputs_RecordsGeneration!XFB290)))</xm:f>
            <x14:dxf>
              <font>
                <b/>
                <i val="0"/>
                <color rgb="FF0070C0"/>
              </font>
            </x14:dxf>
          </x14:cfRule>
          <x14:cfRule type="containsText" priority="50353" operator="containsText" text="pSystems " id="{7202D66B-24CF-4ADC-BDF3-0CA48073D407}">
            <xm:f>NOT(ISERROR(SEARCH("pSystems ",Inputs_RecordsGeneration!XFB290)))</xm:f>
            <x14:dxf>
              <font>
                <b/>
                <i val="0"/>
                <color theme="1" tint="0.34998626667073579"/>
              </font>
            </x14:dxf>
          </x14:cfRule>
          <xm:sqref>XFC285:XFD298</xm:sqref>
        </x14:conditionalFormatting>
        <x14:conditionalFormatting xmlns:xm="http://schemas.microsoft.com/office/excel/2006/main">
          <x14:cfRule type="containsText" priority="50354" operator="containsText" text="eSystems " id="{526D642B-C9F6-43CC-891A-493C3D18CC36}">
            <xm:f>NOT(ISERROR(SEARCH("eSystems ",Inputs_RecordsGeneration!Q290)))</xm:f>
            <x14:dxf>
              <font>
                <b/>
                <i val="0"/>
                <color rgb="FFC00000"/>
              </font>
            </x14:dxf>
          </x14:cfRule>
          <x14:cfRule type="containsText" priority="50355" operator="containsText" text="hSystems " id="{11D303E0-3805-4408-A365-F33B2139456B}">
            <xm:f>NOT(ISERROR(SEARCH("hSystems ",Inputs_RecordsGeneration!Q290)))</xm:f>
            <x14:dxf>
              <font>
                <b/>
                <i val="0"/>
                <color rgb="FF0070C0"/>
              </font>
            </x14:dxf>
          </x14:cfRule>
          <x14:cfRule type="containsText" priority="50356" operator="containsText" text="pSystems " id="{7202D66B-24CF-4ADC-BDF3-0CA48073D407}">
            <xm:f>NOT(ISERROR(SEARCH("pSystems ",Inputs_RecordsGeneration!Q290)))</xm:f>
            <x14:dxf>
              <font>
                <b/>
                <i val="0"/>
                <color theme="1" tint="0.34998626667073579"/>
              </font>
            </x14:dxf>
          </x14:cfRule>
          <xm:sqref>P285:XFB290</xm:sqref>
        </x14:conditionalFormatting>
        <x14:conditionalFormatting xmlns:xm="http://schemas.microsoft.com/office/excel/2006/main">
          <x14:cfRule type="containsText" priority="50576" operator="containsText" text="eSystems " id="{526D642B-C9F6-43CC-891A-493C3D18CC36}">
            <xm:f>NOT(ISERROR(SEARCH("eSystems ",Inputs_RecordsGeneration!B82)))</xm:f>
            <x14:dxf>
              <font>
                <b/>
                <i val="0"/>
                <color rgb="FFC00000"/>
              </font>
            </x14:dxf>
          </x14:cfRule>
          <x14:cfRule type="containsText" priority="50577" operator="containsText" text="hSystems " id="{11D303E0-3805-4408-A365-F33B2139456B}">
            <xm:f>NOT(ISERROR(SEARCH("hSystems ",Inputs_RecordsGeneration!B82)))</xm:f>
            <x14:dxf>
              <font>
                <b/>
                <i val="0"/>
                <color rgb="FF0070C0"/>
              </font>
            </x14:dxf>
          </x14:cfRule>
          <x14:cfRule type="containsText" priority="50578" operator="containsText" text="pSystems " id="{7202D66B-24CF-4ADC-BDF3-0CA48073D407}">
            <xm:f>NOT(ISERROR(SEARCH("pSystems ",Inputs_RecordsGeneration!B82)))</xm:f>
            <x14:dxf>
              <font>
                <b/>
                <i val="0"/>
                <color theme="1" tint="0.34998626667073579"/>
              </font>
            </x14:dxf>
          </x14:cfRule>
          <xm:sqref>B80:C82</xm:sqref>
        </x14:conditionalFormatting>
        <x14:conditionalFormatting xmlns:xm="http://schemas.microsoft.com/office/excel/2006/main">
          <x14:cfRule type="containsText" priority="52205" operator="containsText" text="eSystems " id="{526D642B-C9F6-43CC-891A-493C3D18CC36}">
            <xm:f>NOT(ISERROR(SEARCH("eSystems ",Inputs_RecordsGeneration!Q87)))</xm:f>
            <x14:dxf>
              <font>
                <b/>
                <i val="0"/>
                <color rgb="FFC00000"/>
              </font>
            </x14:dxf>
          </x14:cfRule>
          <x14:cfRule type="containsText" priority="52206" operator="containsText" text="hSystems " id="{11D303E0-3805-4408-A365-F33B2139456B}">
            <xm:f>NOT(ISERROR(SEARCH("hSystems ",Inputs_RecordsGeneration!Q87)))</xm:f>
            <x14:dxf>
              <font>
                <b/>
                <i val="0"/>
                <color rgb="FF0070C0"/>
              </font>
            </x14:dxf>
          </x14:cfRule>
          <x14:cfRule type="containsText" priority="52207" operator="containsText" text="pSystems " id="{7202D66B-24CF-4ADC-BDF3-0CA48073D407}">
            <xm:f>NOT(ISERROR(SEARCH("pSystems ",Inputs_RecordsGeneration!Q87)))</xm:f>
            <x14:dxf>
              <font>
                <b/>
                <i val="0"/>
                <color theme="1" tint="0.34998626667073579"/>
              </font>
            </x14:dxf>
          </x14:cfRule>
          <xm:sqref>P75:XFB76</xm:sqref>
        </x14:conditionalFormatting>
        <x14:conditionalFormatting xmlns:xm="http://schemas.microsoft.com/office/excel/2006/main">
          <x14:cfRule type="containsText" priority="52340" operator="containsText" text="eSystems " id="{526D642B-C9F6-43CC-891A-493C3D18CC36}">
            <xm:f>NOT(ISERROR(SEARCH("eSystems ",Inputs_RecordsGeneration!B87)))</xm:f>
            <x14:dxf>
              <font>
                <b/>
                <i val="0"/>
                <color rgb="FFC00000"/>
              </font>
            </x14:dxf>
          </x14:cfRule>
          <x14:cfRule type="containsText" priority="52341" operator="containsText" text="hSystems " id="{11D303E0-3805-4408-A365-F33B2139456B}">
            <xm:f>NOT(ISERROR(SEARCH("hSystems ",Inputs_RecordsGeneration!B87)))</xm:f>
            <x14:dxf>
              <font>
                <b/>
                <i val="0"/>
                <color rgb="FF0070C0"/>
              </font>
            </x14:dxf>
          </x14:cfRule>
          <x14:cfRule type="containsText" priority="52342" operator="containsText" text="pSystems " id="{7202D66B-24CF-4ADC-BDF3-0CA48073D407}">
            <xm:f>NOT(ISERROR(SEARCH("pSystems ",Inputs_RecordsGeneration!B87)))</xm:f>
            <x14:dxf>
              <font>
                <b/>
                <i val="0"/>
                <color theme="1" tint="0.34998626667073579"/>
              </font>
            </x14:dxf>
          </x14:cfRule>
          <xm:sqref>B77:C79 D77:D84 O74:O75</xm:sqref>
        </x14:conditionalFormatting>
        <x14:conditionalFormatting xmlns:xm="http://schemas.microsoft.com/office/excel/2006/main">
          <x14:cfRule type="containsText" priority="53018" operator="containsText" text="eSystems " id="{526D642B-C9F6-43CC-891A-493C3D18CC36}">
            <xm:f>NOT(ISERROR(SEARCH("eSystems ",Inputs_RecordsGeneration!XFB70)))</xm:f>
            <x14:dxf>
              <font>
                <b/>
                <i val="0"/>
                <color rgb="FFC00000"/>
              </font>
            </x14:dxf>
          </x14:cfRule>
          <x14:cfRule type="containsText" priority="53019" operator="containsText" text="hSystems " id="{11D303E0-3805-4408-A365-F33B2139456B}">
            <xm:f>NOT(ISERROR(SEARCH("hSystems ",Inputs_RecordsGeneration!XFB70)))</xm:f>
            <x14:dxf>
              <font>
                <b/>
                <i val="0"/>
                <color rgb="FF0070C0"/>
              </font>
            </x14:dxf>
          </x14:cfRule>
          <x14:cfRule type="containsText" priority="53020" operator="containsText" text="pSystems " id="{7202D66B-24CF-4ADC-BDF3-0CA48073D407}">
            <xm:f>NOT(ISERROR(SEARCH("pSystems ",Inputs_RecordsGeneration!XFB70)))</xm:f>
            <x14:dxf>
              <font>
                <b/>
                <i val="0"/>
                <color theme="1" tint="0.34998626667073579"/>
              </font>
            </x14:dxf>
          </x14:cfRule>
          <xm:sqref>XFC256:XFD256 XFC273:XFD273 XFC227:XFD239 XFC59:XFD70</xm:sqref>
        </x14:conditionalFormatting>
        <x14:conditionalFormatting xmlns:xm="http://schemas.microsoft.com/office/excel/2006/main">
          <x14:cfRule type="containsText" priority="53036" operator="containsText" text="eSystems " id="{526D642B-C9F6-43CC-891A-493C3D18CC36}">
            <xm:f>NOT(ISERROR(SEARCH("eSystems ",Inputs_RecordsGeneration!Q70)))</xm:f>
            <x14:dxf>
              <font>
                <b/>
                <i val="0"/>
                <color rgb="FFC00000"/>
              </font>
            </x14:dxf>
          </x14:cfRule>
          <x14:cfRule type="containsText" priority="53037" operator="containsText" text="hSystems " id="{11D303E0-3805-4408-A365-F33B2139456B}">
            <xm:f>NOT(ISERROR(SEARCH("hSystems ",Inputs_RecordsGeneration!Q70)))</xm:f>
            <x14:dxf>
              <font>
                <b/>
                <i val="0"/>
                <color rgb="FF0070C0"/>
              </font>
            </x14:dxf>
          </x14:cfRule>
          <x14:cfRule type="containsText" priority="53038" operator="containsText" text="pSystems " id="{7202D66B-24CF-4ADC-BDF3-0CA48073D407}">
            <xm:f>NOT(ISERROR(SEARCH("pSystems ",Inputs_RecordsGeneration!Q70)))</xm:f>
            <x14:dxf>
              <font>
                <b/>
                <i val="0"/>
                <color theme="1" tint="0.34998626667073579"/>
              </font>
            </x14:dxf>
          </x14:cfRule>
          <xm:sqref>P256:XFB256 P273:XFB273 P227:XFB239 P59:XFB70</xm:sqref>
        </x14:conditionalFormatting>
        <x14:conditionalFormatting xmlns:xm="http://schemas.microsoft.com/office/excel/2006/main">
          <x14:cfRule type="containsText" priority="53207" operator="containsText" text="eSystems " id="{526D642B-C9F6-43CC-891A-493C3D18CC36}">
            <xm:f>NOT(ISERROR(SEARCH("eSystems ",Inputs_RecordsGeneration!B87)))</xm:f>
            <x14:dxf>
              <font>
                <b/>
                <i val="0"/>
                <color rgb="FFC00000"/>
              </font>
            </x14:dxf>
          </x14:cfRule>
          <x14:cfRule type="containsText" priority="53208" operator="containsText" text="hSystems " id="{11D303E0-3805-4408-A365-F33B2139456B}">
            <xm:f>NOT(ISERROR(SEARCH("hSystems ",Inputs_RecordsGeneration!B87)))</xm:f>
            <x14:dxf>
              <font>
                <b/>
                <i val="0"/>
                <color rgb="FF0070C0"/>
              </font>
            </x14:dxf>
          </x14:cfRule>
          <x14:cfRule type="containsText" priority="53209" operator="containsText" text="pSystems " id="{7202D66B-24CF-4ADC-BDF3-0CA48073D407}">
            <xm:f>NOT(ISERROR(SEARCH("pSystems ",Inputs_RecordsGeneration!B87)))</xm:f>
            <x14:dxf>
              <font>
                <b/>
                <i val="0"/>
                <color theme="1" tint="0.34998626667073579"/>
              </font>
            </x14:dxf>
          </x14:cfRule>
          <xm:sqref>B75:D76</xm:sqref>
        </x14:conditionalFormatting>
        <x14:conditionalFormatting xmlns:xm="http://schemas.microsoft.com/office/excel/2006/main">
          <x14:cfRule type="containsText" priority="53243" operator="containsText" text="eSystems " id="{526D642B-C9F6-43CC-891A-493C3D18CC36}">
            <xm:f>NOT(ISERROR(SEARCH("eSystems ",Inputs_RecordsGeneration!B117)))</xm:f>
            <x14:dxf>
              <font>
                <b/>
                <i val="0"/>
                <color rgb="FFC00000"/>
              </font>
            </x14:dxf>
          </x14:cfRule>
          <x14:cfRule type="containsText" priority="53244" operator="containsText" text="hSystems " id="{11D303E0-3805-4408-A365-F33B2139456B}">
            <xm:f>NOT(ISERROR(SEARCH("hSystems ",Inputs_RecordsGeneration!B117)))</xm:f>
            <x14:dxf>
              <font>
                <b/>
                <i val="0"/>
                <color rgb="FF0070C0"/>
              </font>
            </x14:dxf>
          </x14:cfRule>
          <x14:cfRule type="containsText" priority="53245" operator="containsText" text="pSystems " id="{7202D66B-24CF-4ADC-BDF3-0CA48073D407}">
            <xm:f>NOT(ISERROR(SEARCH("pSystems ",Inputs_RecordsGeneration!B117)))</xm:f>
            <x14:dxf>
              <font>
                <b/>
                <i val="0"/>
                <color theme="1" tint="0.34998626667073579"/>
              </font>
            </x14:dxf>
          </x14:cfRule>
          <xm:sqref>B110:C113</xm:sqref>
        </x14:conditionalFormatting>
        <x14:conditionalFormatting xmlns:xm="http://schemas.microsoft.com/office/excel/2006/main">
          <x14:cfRule type="containsText" priority="53246" operator="containsText" text="eSystems " id="{526D642B-C9F6-43CC-891A-493C3D18CC36}">
            <xm:f>NOT(ISERROR(SEARCH("eSystems ",Inputs_RecordsGeneration!B290)))</xm:f>
            <x14:dxf>
              <font>
                <b/>
                <i val="0"/>
                <color rgb="FFC00000"/>
              </font>
            </x14:dxf>
          </x14:cfRule>
          <x14:cfRule type="containsText" priority="53247" operator="containsText" text="hSystems " id="{11D303E0-3805-4408-A365-F33B2139456B}">
            <xm:f>NOT(ISERROR(SEARCH("hSystems ",Inputs_RecordsGeneration!B290)))</xm:f>
            <x14:dxf>
              <font>
                <b/>
                <i val="0"/>
                <color rgb="FF0070C0"/>
              </font>
            </x14:dxf>
          </x14:cfRule>
          <x14:cfRule type="containsText" priority="53248" operator="containsText" text="pSystems " id="{7202D66B-24CF-4ADC-BDF3-0CA48073D407}">
            <xm:f>NOT(ISERROR(SEARCH("pSystems ",Inputs_RecordsGeneration!B290)))</xm:f>
            <x14:dxf>
              <font>
                <b/>
                <i val="0"/>
                <color theme="1" tint="0.34998626667073579"/>
              </font>
            </x14:dxf>
          </x14:cfRule>
          <xm:sqref>O285:O290 B285:D290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A1:AG1060"/>
  <sheetViews>
    <sheetView zoomScaleNormal="100" workbookViewId="0"/>
  </sheetViews>
  <sheetFormatPr defaultColWidth="9.140625" defaultRowHeight="12.75" outlineLevelRow="1" x14ac:dyDescent="0.2"/>
  <cols>
    <col min="1" max="1" width="80.7109375" style="87" customWidth="1"/>
    <col min="2" max="2" width="5.7109375" style="87" customWidth="1"/>
    <col min="3" max="3" width="50.7109375" style="87" customWidth="1"/>
    <col min="4" max="4" width="75.7109375" style="741" customWidth="1"/>
    <col min="5" max="14" width="20.7109375" style="87" customWidth="1"/>
    <col min="15" max="15" width="55.7109375" style="87" customWidth="1"/>
    <col min="16" max="16384" width="9.140625" style="87"/>
  </cols>
  <sheetData>
    <row r="1" spans="1:33" s="8" customFormat="1" ht="30" customHeight="1" x14ac:dyDescent="0.2">
      <c r="A1" s="1183" t="s">
        <v>66</v>
      </c>
      <c r="B1" s="155"/>
      <c r="C1" s="1182" t="s">
        <v>4375</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85" customFormat="1" x14ac:dyDescent="0.2">
      <c r="A5" s="134"/>
      <c r="B5" s="204"/>
      <c r="C5" s="204"/>
      <c r="D5" s="720"/>
      <c r="E5" s="204"/>
      <c r="F5" s="204"/>
      <c r="G5" s="20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row>
    <row r="6" spans="1:33" s="85" customFormat="1" ht="15" x14ac:dyDescent="0.2">
      <c r="A6" s="134"/>
      <c r="C6" s="215" t="s">
        <v>218</v>
      </c>
      <c r="D6" s="214" t="s">
        <v>69</v>
      </c>
      <c r="E6" s="135"/>
      <c r="F6" s="135"/>
      <c r="G6" s="135"/>
      <c r="H6" s="135"/>
      <c r="I6" s="135"/>
      <c r="J6" s="135"/>
      <c r="K6" s="135"/>
      <c r="L6" s="135"/>
      <c r="M6" s="135"/>
      <c r="N6" s="134"/>
      <c r="O6" s="134"/>
      <c r="P6" s="134"/>
      <c r="Q6" s="134"/>
      <c r="R6" s="134"/>
      <c r="S6" s="134"/>
      <c r="T6" s="134"/>
      <c r="U6" s="134"/>
      <c r="V6" s="134"/>
      <c r="W6" s="134"/>
      <c r="X6" s="134"/>
      <c r="Y6" s="134"/>
      <c r="Z6" s="134"/>
      <c r="AA6" s="134"/>
      <c r="AB6" s="134"/>
      <c r="AC6" s="134"/>
      <c r="AD6" s="134"/>
      <c r="AE6" s="134"/>
      <c r="AF6" s="134"/>
    </row>
    <row r="7" spans="1:33" s="85" customFormat="1" x14ac:dyDescent="0.2">
      <c r="A7" s="134"/>
      <c r="B7" s="134"/>
      <c r="C7" s="214"/>
      <c r="D7" s="720"/>
      <c r="E7" s="135"/>
      <c r="F7" s="135"/>
      <c r="G7" s="135"/>
      <c r="H7" s="135"/>
      <c r="I7" s="135"/>
      <c r="J7" s="135"/>
      <c r="K7" s="135"/>
      <c r="L7" s="135"/>
      <c r="M7" s="135"/>
      <c r="N7" s="134"/>
      <c r="O7" s="134"/>
      <c r="P7" s="134"/>
      <c r="Q7" s="134"/>
      <c r="R7" s="134"/>
      <c r="S7" s="134"/>
      <c r="T7" s="134"/>
      <c r="U7" s="134"/>
      <c r="V7" s="134"/>
      <c r="W7" s="134"/>
      <c r="X7" s="134"/>
      <c r="Y7" s="134"/>
      <c r="Z7" s="134"/>
      <c r="AA7" s="134"/>
      <c r="AB7" s="134"/>
      <c r="AC7" s="134"/>
      <c r="AD7" s="134"/>
      <c r="AE7" s="134"/>
      <c r="AF7" s="134"/>
    </row>
    <row r="8" spans="1:33" s="85" customFormat="1" ht="15" customHeight="1" x14ac:dyDescent="0.2">
      <c r="A8" s="1404" t="s">
        <v>4211</v>
      </c>
      <c r="B8" s="134"/>
      <c r="D8" s="1044" t="s">
        <v>22</v>
      </c>
      <c r="E8" s="42" t="s">
        <v>12</v>
      </c>
      <c r="F8" s="42" t="s">
        <v>11</v>
      </c>
      <c r="G8" s="42" t="s">
        <v>10</v>
      </c>
      <c r="H8" s="42" t="s">
        <v>39</v>
      </c>
      <c r="I8" s="42" t="s">
        <v>40</v>
      </c>
      <c r="J8" s="42" t="s">
        <v>41</v>
      </c>
      <c r="K8" s="42" t="s">
        <v>42</v>
      </c>
      <c r="L8" s="42" t="s">
        <v>43</v>
      </c>
      <c r="M8" s="42" t="s">
        <v>44</v>
      </c>
      <c r="N8" s="42" t="s">
        <v>45</v>
      </c>
      <c r="O8" s="1412"/>
      <c r="P8" s="134"/>
      <c r="Q8" s="134"/>
      <c r="R8" s="134"/>
      <c r="S8" s="134"/>
      <c r="T8" s="134"/>
      <c r="U8" s="134"/>
      <c r="V8" s="134"/>
      <c r="W8" s="134"/>
      <c r="X8" s="134"/>
      <c r="Y8" s="134"/>
      <c r="Z8" s="134"/>
      <c r="AA8" s="134"/>
      <c r="AB8" s="134"/>
      <c r="AC8" s="134"/>
      <c r="AD8" s="134"/>
      <c r="AE8" s="134"/>
      <c r="AF8" s="134"/>
    </row>
    <row r="9" spans="1:33" s="85" customFormat="1" ht="15" customHeight="1" x14ac:dyDescent="0.2">
      <c r="A9" s="1405"/>
      <c r="B9" s="134"/>
      <c r="D9" s="720"/>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412"/>
      <c r="P9" s="134"/>
      <c r="Q9" s="134"/>
      <c r="R9" s="134"/>
      <c r="S9" s="134"/>
      <c r="T9" s="134"/>
      <c r="U9" s="134"/>
      <c r="V9" s="134"/>
      <c r="W9" s="134"/>
      <c r="X9" s="134"/>
      <c r="Y9" s="134"/>
      <c r="Z9" s="134"/>
      <c r="AA9" s="134"/>
      <c r="AB9" s="134"/>
      <c r="AC9" s="134"/>
      <c r="AD9" s="134"/>
      <c r="AE9" s="134"/>
      <c r="AF9" s="134"/>
    </row>
    <row r="10" spans="1:33" s="85" customFormat="1" ht="15" customHeight="1" x14ac:dyDescent="0.2">
      <c r="A10" s="1405"/>
      <c r="B10" s="134"/>
      <c r="D10" s="720"/>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412"/>
      <c r="P10" s="134"/>
      <c r="Q10" s="134"/>
      <c r="R10" s="134"/>
      <c r="S10" s="134"/>
      <c r="T10" s="134"/>
      <c r="U10" s="134"/>
      <c r="V10" s="134"/>
      <c r="W10" s="134"/>
      <c r="X10" s="134"/>
      <c r="Y10" s="134"/>
      <c r="Z10" s="134"/>
      <c r="AA10" s="134"/>
      <c r="AB10" s="134"/>
      <c r="AC10" s="134"/>
      <c r="AD10" s="134"/>
      <c r="AE10" s="134"/>
      <c r="AF10" s="134"/>
    </row>
    <row r="11" spans="1:33" ht="15" customHeight="1" x14ac:dyDescent="0.2">
      <c r="A11" s="1406"/>
      <c r="B11" s="213"/>
      <c r="D11" s="721"/>
      <c r="E11" s="203"/>
      <c r="F11" s="203"/>
      <c r="G11" s="203"/>
      <c r="H11" s="212"/>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row>
    <row r="12" spans="1:33" ht="15.75" customHeight="1" x14ac:dyDescent="0.2">
      <c r="A12" s="88"/>
      <c r="B12" s="213"/>
      <c r="C12" s="203"/>
      <c r="D12" s="721"/>
      <c r="E12" s="203"/>
      <c r="F12" s="203"/>
      <c r="G12" s="203"/>
      <c r="H12" s="204"/>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88" customFormat="1" x14ac:dyDescent="0.2">
      <c r="D14" s="1038"/>
    </row>
    <row r="15" spans="1:33" s="217" customFormat="1" ht="20.100000000000001" customHeight="1" x14ac:dyDescent="0.2">
      <c r="A15" s="1400" t="s">
        <v>4220</v>
      </c>
      <c r="B15" s="72"/>
      <c r="C15" s="1415" t="s">
        <v>274</v>
      </c>
      <c r="D15" s="1416"/>
      <c r="E15" s="218"/>
      <c r="F15" s="218"/>
      <c r="G15" s="218"/>
      <c r="H15" s="218"/>
      <c r="I15" s="218"/>
      <c r="J15" s="218"/>
      <c r="K15" s="218"/>
      <c r="L15" s="218"/>
      <c r="M15" s="218"/>
      <c r="N15" s="218"/>
      <c r="O15" s="219"/>
      <c r="P15" s="219"/>
    </row>
    <row r="16" spans="1:33" s="203" customFormat="1" x14ac:dyDescent="0.2">
      <c r="A16" s="1407"/>
      <c r="B16" s="72"/>
      <c r="C16" s="204"/>
      <c r="D16" s="723"/>
      <c r="E16" s="210"/>
      <c r="F16" s="210"/>
      <c r="G16" s="210"/>
      <c r="H16" s="210"/>
      <c r="I16" s="210"/>
      <c r="J16" s="210"/>
      <c r="K16" s="210"/>
      <c r="L16" s="210"/>
      <c r="M16" s="210"/>
      <c r="N16" s="210"/>
      <c r="O16" s="210"/>
      <c r="P16" s="204"/>
    </row>
    <row r="17" spans="1:33" s="203" customFormat="1" ht="46.5" customHeight="1" x14ac:dyDescent="0.2">
      <c r="A17" s="1408"/>
      <c r="B17" s="72"/>
      <c r="C17" s="204"/>
      <c r="D17" s="723"/>
      <c r="E17" s="210"/>
      <c r="F17" s="210"/>
      <c r="G17" s="210"/>
      <c r="H17" s="210"/>
      <c r="I17" s="210"/>
      <c r="J17" s="210"/>
      <c r="K17" s="210"/>
      <c r="L17" s="210"/>
      <c r="M17" s="210"/>
      <c r="N17" s="210"/>
      <c r="O17" s="210"/>
      <c r="P17" s="204"/>
    </row>
    <row r="18" spans="1:33" s="203" customFormat="1" ht="13.5" hidden="1" outlineLevel="1" thickBot="1" x14ac:dyDescent="0.25">
      <c r="A18" s="217"/>
      <c r="B18" s="72"/>
      <c r="C18" s="204"/>
      <c r="D18" s="723"/>
      <c r="E18" s="210"/>
      <c r="F18" s="210"/>
      <c r="G18" s="210"/>
      <c r="H18" s="210"/>
      <c r="I18" s="210"/>
      <c r="J18" s="210"/>
      <c r="K18" s="210"/>
      <c r="L18" s="210"/>
      <c r="M18" s="210"/>
      <c r="N18" s="210"/>
      <c r="O18" s="332"/>
      <c r="P18" s="204"/>
    </row>
    <row r="19" spans="1:33" s="203" customFormat="1" ht="20.100000000000001" hidden="1" customHeight="1" outlineLevel="1" x14ac:dyDescent="0.2">
      <c r="A19" s="1400" t="s">
        <v>4173</v>
      </c>
      <c r="C19" s="1413" t="s">
        <v>201</v>
      </c>
      <c r="D19" s="1414"/>
      <c r="E19" s="322"/>
      <c r="F19" s="322"/>
      <c r="G19" s="322"/>
      <c r="H19" s="322"/>
      <c r="I19" s="322"/>
      <c r="J19" s="322"/>
      <c r="K19" s="322"/>
      <c r="L19" s="322"/>
      <c r="M19" s="322"/>
      <c r="N19" s="322"/>
      <c r="O19" s="323"/>
      <c r="P19" s="204"/>
    </row>
    <row r="20" spans="1:33" s="203" customFormat="1" ht="15.75" hidden="1" customHeight="1" outlineLevel="1" x14ac:dyDescent="0.2">
      <c r="A20" s="1407"/>
      <c r="B20" s="12"/>
      <c r="C20" s="328"/>
      <c r="D20" s="1006" t="s">
        <v>72</v>
      </c>
      <c r="E20" s="329">
        <v>2</v>
      </c>
      <c r="F20" s="329">
        <v>3</v>
      </c>
      <c r="G20" s="329">
        <v>3</v>
      </c>
      <c r="H20" s="329">
        <v>2</v>
      </c>
      <c r="I20" s="329">
        <v>2</v>
      </c>
      <c r="J20" s="329">
        <v>3</v>
      </c>
      <c r="K20" s="329">
        <v>3</v>
      </c>
      <c r="L20" s="329">
        <v>2</v>
      </c>
      <c r="M20" s="329">
        <v>2</v>
      </c>
      <c r="N20" s="329">
        <v>3</v>
      </c>
      <c r="O20" s="324" t="s">
        <v>202</v>
      </c>
      <c r="P20" s="204"/>
    </row>
    <row r="21" spans="1:33" s="203" customFormat="1" ht="13.5" hidden="1" outlineLevel="1" thickBot="1" x14ac:dyDescent="0.25">
      <c r="A21" s="1408"/>
      <c r="B21" s="12"/>
      <c r="C21" s="330"/>
      <c r="D21" s="722"/>
      <c r="E21" s="326"/>
      <c r="F21" s="326"/>
      <c r="G21" s="326"/>
      <c r="H21" s="326"/>
      <c r="I21" s="326"/>
      <c r="J21" s="326"/>
      <c r="K21" s="326"/>
      <c r="L21" s="326"/>
      <c r="M21" s="326"/>
      <c r="N21" s="326"/>
      <c r="O21" s="327"/>
      <c r="P21" s="204"/>
    </row>
    <row r="22" spans="1:33" s="203" customFormat="1" ht="13.5" hidden="1" outlineLevel="1" thickBot="1" x14ac:dyDescent="0.25">
      <c r="A22" s="217"/>
      <c r="B22" s="72"/>
      <c r="C22" s="204"/>
      <c r="D22" s="723"/>
      <c r="E22" s="210"/>
      <c r="F22" s="210"/>
      <c r="G22" s="210"/>
      <c r="H22" s="210"/>
      <c r="I22" s="210"/>
      <c r="J22" s="210"/>
      <c r="K22" s="210"/>
      <c r="L22" s="210"/>
      <c r="M22" s="210"/>
      <c r="N22" s="210"/>
      <c r="O22" s="332"/>
      <c r="P22" s="204"/>
    </row>
    <row r="23" spans="1:33" s="8" customFormat="1" ht="20.100000000000001" hidden="1" customHeight="1" outlineLevel="1" x14ac:dyDescent="0.25">
      <c r="A23" s="1400" t="s">
        <v>4370</v>
      </c>
      <c r="B23" s="194"/>
      <c r="C23" s="1007" t="str">
        <f>Scenario1&amp;" Lessee Labor Hours per Return"</f>
        <v>pSystems (Paper) Lessee Labor Hours per Return</v>
      </c>
      <c r="D23" s="310"/>
      <c r="E23" s="240"/>
      <c r="F23" s="240"/>
      <c r="G23" s="240"/>
      <c r="H23" s="240"/>
      <c r="I23" s="240"/>
      <c r="J23" s="240"/>
      <c r="K23" s="240"/>
      <c r="L23" s="240"/>
      <c r="M23" s="240"/>
      <c r="N23" s="240"/>
      <c r="O23" s="435"/>
      <c r="P23" s="17"/>
      <c r="Q23" s="17"/>
      <c r="R23" s="17"/>
      <c r="S23" s="17"/>
      <c r="T23" s="17"/>
      <c r="U23" s="17"/>
      <c r="V23" s="17"/>
      <c r="W23" s="17"/>
      <c r="X23" s="17"/>
      <c r="Y23" s="17"/>
      <c r="Z23" s="17"/>
      <c r="AA23" s="17"/>
      <c r="AB23" s="17"/>
      <c r="AC23" s="17"/>
      <c r="AD23" s="17"/>
      <c r="AE23" s="17"/>
      <c r="AF23" s="17"/>
      <c r="AG23" s="17"/>
    </row>
    <row r="24" spans="1:33" s="142" customFormat="1" ht="18" hidden="1" customHeight="1" outlineLevel="1" x14ac:dyDescent="0.2">
      <c r="A24" s="1407"/>
      <c r="B24" s="138"/>
      <c r="C24" s="235"/>
      <c r="D24" s="726" t="s">
        <v>1572</v>
      </c>
      <c r="E24" s="570">
        <v>500</v>
      </c>
      <c r="F24" s="570">
        <v>500</v>
      </c>
      <c r="G24" s="570">
        <v>500</v>
      </c>
      <c r="H24" s="570">
        <v>500</v>
      </c>
      <c r="I24" s="570">
        <v>500</v>
      </c>
      <c r="J24" s="570">
        <v>500</v>
      </c>
      <c r="K24" s="570">
        <v>500</v>
      </c>
      <c r="L24" s="570">
        <v>500</v>
      </c>
      <c r="M24" s="570">
        <v>500</v>
      </c>
      <c r="N24" s="570">
        <v>500</v>
      </c>
      <c r="O24" s="535" t="s">
        <v>1584</v>
      </c>
    </row>
    <row r="25" spans="1:33" s="142" customFormat="1" ht="18" hidden="1" customHeight="1" outlineLevel="1" x14ac:dyDescent="0.2">
      <c r="A25" s="1407"/>
      <c r="B25" s="138"/>
      <c r="C25" s="235"/>
      <c r="D25" s="726" t="s">
        <v>1573</v>
      </c>
      <c r="E25" s="570">
        <v>1000</v>
      </c>
      <c r="F25" s="570">
        <v>1000</v>
      </c>
      <c r="G25" s="570">
        <v>1000</v>
      </c>
      <c r="H25" s="570">
        <v>1000</v>
      </c>
      <c r="I25" s="570">
        <v>1000</v>
      </c>
      <c r="J25" s="570">
        <v>1000</v>
      </c>
      <c r="K25" s="570">
        <v>1000</v>
      </c>
      <c r="L25" s="570">
        <v>1000</v>
      </c>
      <c r="M25" s="570">
        <v>1000</v>
      </c>
      <c r="N25" s="570">
        <v>1000</v>
      </c>
      <c r="O25" s="535" t="s">
        <v>1585</v>
      </c>
    </row>
    <row r="26" spans="1:33" s="142" customFormat="1" ht="18" hidden="1" customHeight="1" outlineLevel="1" x14ac:dyDescent="0.2">
      <c r="A26" s="1407"/>
      <c r="B26" s="138"/>
      <c r="C26" s="235"/>
      <c r="D26" s="726" t="s">
        <v>1574</v>
      </c>
      <c r="E26" s="570">
        <v>3000</v>
      </c>
      <c r="F26" s="570">
        <v>3000</v>
      </c>
      <c r="G26" s="570">
        <v>3000</v>
      </c>
      <c r="H26" s="570">
        <v>3000</v>
      </c>
      <c r="I26" s="570">
        <v>3000</v>
      </c>
      <c r="J26" s="570">
        <v>3000</v>
      </c>
      <c r="K26" s="570">
        <v>3000</v>
      </c>
      <c r="L26" s="570">
        <v>3000</v>
      </c>
      <c r="M26" s="570">
        <v>3000</v>
      </c>
      <c r="N26" s="570">
        <v>3000</v>
      </c>
      <c r="O26" s="535" t="s">
        <v>1586</v>
      </c>
    </row>
    <row r="27" spans="1:33" s="142" customFormat="1" ht="18" hidden="1" customHeight="1" outlineLevel="1" x14ac:dyDescent="0.2">
      <c r="A27" s="1407"/>
      <c r="B27" s="138"/>
      <c r="C27" s="235"/>
      <c r="D27" s="726" t="s">
        <v>1575</v>
      </c>
      <c r="E27" s="570">
        <v>1000</v>
      </c>
      <c r="F27" s="570">
        <v>1000</v>
      </c>
      <c r="G27" s="570">
        <v>1000</v>
      </c>
      <c r="H27" s="570">
        <v>1000</v>
      </c>
      <c r="I27" s="570">
        <v>1000</v>
      </c>
      <c r="J27" s="570">
        <v>1000</v>
      </c>
      <c r="K27" s="570">
        <v>1000</v>
      </c>
      <c r="L27" s="570">
        <v>1000</v>
      </c>
      <c r="M27" s="570">
        <v>1000</v>
      </c>
      <c r="N27" s="570">
        <v>1000</v>
      </c>
      <c r="O27" s="535" t="s">
        <v>1587</v>
      </c>
    </row>
    <row r="28" spans="1:33" s="142" customFormat="1" ht="18" hidden="1" customHeight="1" outlineLevel="1" x14ac:dyDescent="0.2">
      <c r="A28" s="1407"/>
      <c r="B28" s="138"/>
      <c r="C28" s="235"/>
      <c r="D28" s="726" t="s">
        <v>1576</v>
      </c>
      <c r="E28" s="570">
        <v>1500</v>
      </c>
      <c r="F28" s="570">
        <v>1500</v>
      </c>
      <c r="G28" s="570">
        <v>1500</v>
      </c>
      <c r="H28" s="570">
        <v>1500</v>
      </c>
      <c r="I28" s="570">
        <v>1500</v>
      </c>
      <c r="J28" s="570">
        <v>1500</v>
      </c>
      <c r="K28" s="570">
        <v>1500</v>
      </c>
      <c r="L28" s="570">
        <v>1500</v>
      </c>
      <c r="M28" s="570">
        <v>1500</v>
      </c>
      <c r="N28" s="570">
        <v>1500</v>
      </c>
      <c r="O28" s="535" t="s">
        <v>1588</v>
      </c>
    </row>
    <row r="29" spans="1:33" s="142" customFormat="1" ht="18" hidden="1" customHeight="1" outlineLevel="1" x14ac:dyDescent="0.2">
      <c r="A29" s="1407"/>
      <c r="B29" s="138"/>
      <c r="C29" s="235"/>
      <c r="D29" s="726" t="s">
        <v>1577</v>
      </c>
      <c r="E29" s="570">
        <v>100</v>
      </c>
      <c r="F29" s="570">
        <v>100</v>
      </c>
      <c r="G29" s="570">
        <v>100</v>
      </c>
      <c r="H29" s="570">
        <v>100</v>
      </c>
      <c r="I29" s="570">
        <v>100</v>
      </c>
      <c r="J29" s="570">
        <v>100</v>
      </c>
      <c r="K29" s="570">
        <v>100</v>
      </c>
      <c r="L29" s="570">
        <v>100</v>
      </c>
      <c r="M29" s="570">
        <v>100</v>
      </c>
      <c r="N29" s="570">
        <v>100</v>
      </c>
      <c r="O29" s="535" t="s">
        <v>206</v>
      </c>
    </row>
    <row r="30" spans="1:33" s="142" customFormat="1" ht="18" hidden="1" customHeight="1" outlineLevel="1" x14ac:dyDescent="0.2">
      <c r="A30" s="1407"/>
      <c r="B30" s="138"/>
      <c r="C30" s="235"/>
      <c r="D30" s="726" t="s">
        <v>1578</v>
      </c>
      <c r="E30" s="570">
        <v>100</v>
      </c>
      <c r="F30" s="570">
        <v>100</v>
      </c>
      <c r="G30" s="570">
        <v>100</v>
      </c>
      <c r="H30" s="570">
        <v>100</v>
      </c>
      <c r="I30" s="570">
        <v>100</v>
      </c>
      <c r="J30" s="570">
        <v>100</v>
      </c>
      <c r="K30" s="570">
        <v>100</v>
      </c>
      <c r="L30" s="570">
        <v>100</v>
      </c>
      <c r="M30" s="570">
        <v>100</v>
      </c>
      <c r="N30" s="570">
        <v>100</v>
      </c>
      <c r="O30" s="535" t="s">
        <v>1589</v>
      </c>
    </row>
    <row r="31" spans="1:33" s="142" customFormat="1" ht="18" hidden="1" customHeight="1" outlineLevel="1" x14ac:dyDescent="0.2">
      <c r="A31" s="1407"/>
      <c r="B31" s="138"/>
      <c r="C31" s="235"/>
      <c r="D31" s="726" t="s">
        <v>1579</v>
      </c>
      <c r="E31" s="570">
        <v>0</v>
      </c>
      <c r="F31" s="570">
        <v>0</v>
      </c>
      <c r="G31" s="570">
        <v>0</v>
      </c>
      <c r="H31" s="570">
        <v>0</v>
      </c>
      <c r="I31" s="570">
        <v>0</v>
      </c>
      <c r="J31" s="570">
        <v>0</v>
      </c>
      <c r="K31" s="570">
        <v>0</v>
      </c>
      <c r="L31" s="570">
        <v>0</v>
      </c>
      <c r="M31" s="570">
        <v>0</v>
      </c>
      <c r="N31" s="570">
        <v>0</v>
      </c>
      <c r="O31" s="535" t="s">
        <v>1590</v>
      </c>
    </row>
    <row r="32" spans="1:33" s="142" customFormat="1" ht="18" hidden="1" customHeight="1" outlineLevel="1" x14ac:dyDescent="0.2">
      <c r="A32" s="1407"/>
      <c r="B32" s="565"/>
      <c r="C32" s="235"/>
      <c r="D32" s="726" t="s">
        <v>1580</v>
      </c>
      <c r="E32" s="570">
        <v>0</v>
      </c>
      <c r="F32" s="570">
        <v>0</v>
      </c>
      <c r="G32" s="570">
        <v>0</v>
      </c>
      <c r="H32" s="570">
        <v>0</v>
      </c>
      <c r="I32" s="570">
        <v>0</v>
      </c>
      <c r="J32" s="570">
        <v>0</v>
      </c>
      <c r="K32" s="570">
        <v>0</v>
      </c>
      <c r="L32" s="570">
        <v>0</v>
      </c>
      <c r="M32" s="570">
        <v>0</v>
      </c>
      <c r="N32" s="570">
        <v>0</v>
      </c>
      <c r="O32" s="535" t="s">
        <v>1591</v>
      </c>
    </row>
    <row r="33" spans="1:33" s="142" customFormat="1" ht="18" hidden="1" customHeight="1" outlineLevel="1" x14ac:dyDescent="0.2">
      <c r="A33" s="1407"/>
      <c r="B33" s="565"/>
      <c r="C33" s="235"/>
      <c r="D33" s="726" t="s">
        <v>1581</v>
      </c>
      <c r="E33" s="570">
        <v>0</v>
      </c>
      <c r="F33" s="570">
        <v>0</v>
      </c>
      <c r="G33" s="570">
        <v>0</v>
      </c>
      <c r="H33" s="570">
        <v>0</v>
      </c>
      <c r="I33" s="570">
        <v>0</v>
      </c>
      <c r="J33" s="570">
        <v>0</v>
      </c>
      <c r="K33" s="570">
        <v>0</v>
      </c>
      <c r="L33" s="570">
        <v>0</v>
      </c>
      <c r="M33" s="570">
        <v>0</v>
      </c>
      <c r="N33" s="570">
        <v>0</v>
      </c>
      <c r="O33" s="535" t="s">
        <v>1592</v>
      </c>
    </row>
    <row r="34" spans="1:33" s="142" customFormat="1" ht="18" hidden="1" customHeight="1" outlineLevel="1" x14ac:dyDescent="0.2">
      <c r="A34" s="1407"/>
      <c r="B34" s="138"/>
      <c r="C34" s="235"/>
      <c r="D34" s="726" t="s">
        <v>1582</v>
      </c>
      <c r="E34" s="570">
        <v>0</v>
      </c>
      <c r="F34" s="570">
        <v>0</v>
      </c>
      <c r="G34" s="570">
        <v>0</v>
      </c>
      <c r="H34" s="570">
        <v>0</v>
      </c>
      <c r="I34" s="570">
        <v>0</v>
      </c>
      <c r="J34" s="570">
        <v>0</v>
      </c>
      <c r="K34" s="570">
        <v>0</v>
      </c>
      <c r="L34" s="570">
        <v>0</v>
      </c>
      <c r="M34" s="570">
        <v>0</v>
      </c>
      <c r="N34" s="570">
        <v>0</v>
      </c>
      <c r="O34" s="535" t="s">
        <v>1593</v>
      </c>
    </row>
    <row r="35" spans="1:33" s="142" customFormat="1" hidden="1" outlineLevel="1" x14ac:dyDescent="0.2">
      <c r="A35" s="1407"/>
      <c r="B35" s="138"/>
      <c r="C35" s="235"/>
      <c r="D35" s="726" t="s">
        <v>1583</v>
      </c>
      <c r="E35" s="570">
        <v>0</v>
      </c>
      <c r="F35" s="570">
        <v>0</v>
      </c>
      <c r="G35" s="570">
        <v>0</v>
      </c>
      <c r="H35" s="570">
        <v>0</v>
      </c>
      <c r="I35" s="570">
        <v>0</v>
      </c>
      <c r="J35" s="570">
        <v>0</v>
      </c>
      <c r="K35" s="570">
        <v>0</v>
      </c>
      <c r="L35" s="570">
        <v>0</v>
      </c>
      <c r="M35" s="570">
        <v>0</v>
      </c>
      <c r="N35" s="570">
        <v>0</v>
      </c>
      <c r="O35" s="535" t="s">
        <v>1594</v>
      </c>
    </row>
    <row r="36" spans="1:33" s="206" customFormat="1" ht="15.75" hidden="1" outlineLevel="1" thickBot="1" x14ac:dyDescent="0.3">
      <c r="A36" s="1408"/>
      <c r="B36" s="563"/>
      <c r="C36" s="564"/>
      <c r="D36" s="724"/>
      <c r="E36" s="571"/>
      <c r="F36" s="571"/>
      <c r="G36" s="571"/>
      <c r="H36" s="571"/>
      <c r="I36" s="571"/>
      <c r="J36" s="571"/>
      <c r="K36" s="571"/>
      <c r="L36" s="571"/>
      <c r="M36" s="571"/>
      <c r="N36" s="571"/>
      <c r="O36" s="572"/>
      <c r="P36" s="210"/>
    </row>
    <row r="37" spans="1:33" s="8" customFormat="1" ht="21" hidden="1" outlineLevel="1" thickBot="1" x14ac:dyDescent="0.25">
      <c r="A37" s="142"/>
      <c r="B37" s="102"/>
      <c r="D37" s="310"/>
      <c r="E37" s="316"/>
      <c r="F37" s="316"/>
      <c r="G37" s="316"/>
      <c r="H37" s="316"/>
      <c r="I37" s="316"/>
      <c r="J37" s="316"/>
      <c r="K37" s="316"/>
      <c r="L37" s="316"/>
      <c r="M37" s="316"/>
      <c r="N37" s="316"/>
      <c r="O37" s="316"/>
      <c r="P37" s="17"/>
      <c r="Q37" s="17"/>
      <c r="R37" s="17"/>
      <c r="S37" s="17"/>
      <c r="T37" s="17"/>
      <c r="U37" s="17"/>
      <c r="V37" s="17"/>
      <c r="W37" s="17"/>
      <c r="X37" s="17"/>
      <c r="Y37" s="17"/>
      <c r="Z37" s="17"/>
      <c r="AA37" s="17"/>
      <c r="AB37" s="17"/>
      <c r="AC37" s="17"/>
      <c r="AD37" s="17"/>
      <c r="AE37" s="17"/>
      <c r="AF37" s="17"/>
      <c r="AG37" s="17"/>
    </row>
    <row r="38" spans="1:33" s="8" customFormat="1" ht="20.25" hidden="1" outlineLevel="1" x14ac:dyDescent="0.2">
      <c r="A38" s="1400" t="s">
        <v>4180</v>
      </c>
      <c r="B38" s="102"/>
      <c r="C38" s="1008" t="str">
        <f>Scenario1&amp;"  Lease Return Labor Cost pa (based on Touch Hour Rate)"</f>
        <v>pSystems (Paper)  Lease Return Labor Cost pa (based on Touch Hour Rate)</v>
      </c>
      <c r="D38" s="310"/>
      <c r="E38" s="316"/>
      <c r="F38" s="316"/>
      <c r="G38" s="316"/>
      <c r="H38" s="316"/>
      <c r="I38" s="316"/>
      <c r="J38" s="316"/>
      <c r="K38" s="316"/>
      <c r="L38" s="316"/>
      <c r="M38" s="316"/>
      <c r="N38" s="316"/>
      <c r="O38" s="566"/>
      <c r="P38" s="17"/>
      <c r="Q38" s="17"/>
      <c r="R38" s="17"/>
      <c r="S38" s="17"/>
      <c r="T38" s="17"/>
      <c r="U38" s="17"/>
      <c r="V38" s="17"/>
      <c r="W38" s="17"/>
      <c r="X38" s="17"/>
      <c r="Y38" s="17"/>
      <c r="Z38" s="17"/>
      <c r="AA38" s="17"/>
      <c r="AB38" s="17"/>
      <c r="AC38" s="17"/>
      <c r="AD38" s="17"/>
      <c r="AE38" s="17"/>
      <c r="AF38" s="17"/>
      <c r="AG38" s="17"/>
    </row>
    <row r="39" spans="1:33" s="142" customFormat="1" ht="18" hidden="1" customHeight="1" outlineLevel="1" x14ac:dyDescent="0.2">
      <c r="A39" s="1407"/>
      <c r="B39" s="138"/>
      <c r="C39" s="235"/>
      <c r="D39" s="726" t="s">
        <v>1595</v>
      </c>
      <c r="E39" s="555">
        <f>(pSystemsTouchRateHourHM*pSystemsLeaseLaborHrsHM*LeaseReturnForecast)</f>
        <v>108231.41137643174</v>
      </c>
      <c r="F39" s="555">
        <f>(pSystemsTouchRateHourHM*pSystemsLeaseLaborHrsHM*LeaseReturnForecast)*(1+Inflation)^1</f>
        <v>165594.05940594056</v>
      </c>
      <c r="G39" s="555">
        <f>(pSystemsTouchRateHourHM*pSystemsLeaseLaborHrsHM*LeaseReturnForecast)*(1+Inflation)^2</f>
        <v>168905.94059405936</v>
      </c>
      <c r="H39" s="555">
        <f>(pSystemsTouchRateHourHM*pSystemsLeaseLaborHrsHM*LeaseReturnForecast)*(1+Inflation)^3</f>
        <v>114856.03960396037</v>
      </c>
      <c r="I39" s="555">
        <f>(pSystemsTouchRateHourHM*pSystemsLeaseLaborHrsHM*LeaseReturnForecast)*(1+Inflation)^4</f>
        <v>117153.16039603959</v>
      </c>
      <c r="J39" s="555">
        <f>(pSystemsTouchRateHourHM*pSystemsLeaseLaborHrsHM*LeaseReturnForecast)*(1+Inflation)^5</f>
        <v>179244.33540594057</v>
      </c>
      <c r="K39" s="555">
        <f>(pSystemsTouchRateHourHM*pSystemsLeaseLaborHrsHM*LeaseReturnForecast)*(1+Inflation)^6</f>
        <v>182829.22211405938</v>
      </c>
      <c r="L39" s="555">
        <f>(pSystemsTouchRateHourHM*pSystemsLeaseLaborHrsHM*LeaseReturnForecast)*(1+Inflation)^7</f>
        <v>124323.87103756036</v>
      </c>
      <c r="M39" s="555">
        <f>(pSystemsTouchRateHourHM*pSystemsLeaseLaborHrsHM*LeaseReturnForecast)*(1+Inflation)^8</f>
        <v>126810.34845831158</v>
      </c>
      <c r="N39" s="555">
        <f>(pSystemsTouchRateHourHM*pSystemsLeaseLaborHrsHM*LeaseReturnForecast)*(1+Inflation)^9</f>
        <v>194019.83314121672</v>
      </c>
      <c r="O39" s="535" t="s">
        <v>1608</v>
      </c>
    </row>
    <row r="40" spans="1:33" s="142" customFormat="1" ht="18" hidden="1" customHeight="1" outlineLevel="1" x14ac:dyDescent="0.2">
      <c r="A40" s="1407"/>
      <c r="B40" s="128"/>
      <c r="C40" s="235"/>
      <c r="D40" s="726" t="s">
        <v>1596</v>
      </c>
      <c r="E40" s="555">
        <f>(pSystemsTouchRateHourLM*pSystemsLeaseLaborHrsLM*LeaseReturnForecast)</f>
        <v>270578.52844107943</v>
      </c>
      <c r="F40" s="555">
        <f>(pSystemsTouchRateHourLM*pSystemsLeaseLaborHrsLM*LeaseReturnForecast)*(1+Inflation)^1</f>
        <v>413985.14851485152</v>
      </c>
      <c r="G40" s="555">
        <f>(pSystemsTouchRateHourLM*pSystemsLeaseLaborHrsLM*LeaseReturnForecast)*(1+Inflation)^2</f>
        <v>422264.85148514854</v>
      </c>
      <c r="H40" s="555">
        <f>(pSystemsTouchRateHourLM*pSystemsLeaseLaborHrsLM*LeaseReturnForecast)*(1+Inflation)^3</f>
        <v>287140.09900990099</v>
      </c>
      <c r="I40" s="555">
        <f>(pSystemsTouchRateHourLM*pSystemsLeaseLaborHrsLM*LeaseReturnForecast)*(1+Inflation)^4</f>
        <v>292882.90099009901</v>
      </c>
      <c r="J40" s="555">
        <f>(pSystemsTouchRateHourLM*pSystemsLeaseLaborHrsLM*LeaseReturnForecast)*(1+Inflation)^5</f>
        <v>448110.83851485152</v>
      </c>
      <c r="K40" s="555">
        <f>(pSystemsTouchRateHourLM*pSystemsLeaseLaborHrsLM*LeaseReturnForecast)*(1+Inflation)^6</f>
        <v>457073.05528514856</v>
      </c>
      <c r="L40" s="555">
        <f>(pSystemsTouchRateHourLM*pSystemsLeaseLaborHrsLM*LeaseReturnForecast)*(1+Inflation)^7</f>
        <v>310809.677593901</v>
      </c>
      <c r="M40" s="555">
        <f>(pSystemsTouchRateHourLM*pSystemsLeaseLaborHrsLM*LeaseReturnForecast)*(1+Inflation)^8</f>
        <v>317025.87114577903</v>
      </c>
      <c r="N40" s="555">
        <f>(pSystemsTouchRateHourLM*pSystemsLeaseLaborHrsLM*LeaseReturnForecast)*(1+Inflation)^9</f>
        <v>485049.58285304188</v>
      </c>
      <c r="O40" s="535" t="s">
        <v>1609</v>
      </c>
    </row>
    <row r="41" spans="1:33" s="142" customFormat="1" ht="18" hidden="1" customHeight="1" outlineLevel="1" x14ac:dyDescent="0.2">
      <c r="A41" s="1407"/>
      <c r="B41" s="128"/>
      <c r="C41" s="235"/>
      <c r="D41" s="727" t="s">
        <v>1597</v>
      </c>
      <c r="E41" s="555">
        <f>(pSystemsTouchRateHourENG*pSystemsLeaseLaborHrsENG*LeaseReturnForecast)</f>
        <v>730562.02679091436</v>
      </c>
      <c r="F41" s="555">
        <f>(pSystemsTouchRateHourENG*pSystemsLeaseLaborHrsENG*LeaseReturnForecast)*(1+Inflation)^1</f>
        <v>1117759.9009900992</v>
      </c>
      <c r="G41" s="555">
        <f>(pSystemsTouchRateHourENG*pSystemsLeaseLaborHrsENG*LeaseReturnForecast)*(1+Inflation)^2</f>
        <v>1140115.0990099011</v>
      </c>
      <c r="H41" s="555">
        <f>(pSystemsTouchRateHourENG*pSystemsLeaseLaborHrsENG*LeaseReturnForecast)*(1+Inflation)^3</f>
        <v>775278.26732673263</v>
      </c>
      <c r="I41" s="555">
        <f>(pSystemsTouchRateHourENG*pSystemsLeaseLaborHrsENG*LeaseReturnForecast)*(1+Inflation)^4</f>
        <v>790783.83267326723</v>
      </c>
      <c r="J41" s="555">
        <f>(pSystemsTouchRateHourENG*pSystemsLeaseLaborHrsENG*LeaseReturnForecast)*(1+Inflation)^5</f>
        <v>1209899.2639900991</v>
      </c>
      <c r="K41" s="555">
        <f>(pSystemsTouchRateHourENG*pSystemsLeaseLaborHrsENG*LeaseReturnForecast)*(1+Inflation)^6</f>
        <v>1234097.2492699011</v>
      </c>
      <c r="L41" s="555">
        <f>(pSystemsTouchRateHourENG*pSystemsLeaseLaborHrsENG*LeaseReturnForecast)*(1+Inflation)^7</f>
        <v>839186.12950353255</v>
      </c>
      <c r="M41" s="555">
        <f>(pSystemsTouchRateHourENG*pSystemsLeaseLaborHrsENG*LeaseReturnForecast)*(1+Inflation)^8</f>
        <v>855969.85209360323</v>
      </c>
      <c r="N41" s="555">
        <f>(pSystemsTouchRateHourENG*pSystemsLeaseLaborHrsENG*LeaseReturnForecast)*(1+Inflation)^9</f>
        <v>1309633.8737032132</v>
      </c>
      <c r="O41" s="535" t="s">
        <v>1610</v>
      </c>
    </row>
    <row r="42" spans="1:33" s="142" customFormat="1" ht="18" hidden="1" customHeight="1" outlineLevel="1" x14ac:dyDescent="0.2">
      <c r="A42" s="1407"/>
      <c r="B42" s="138"/>
      <c r="C42" s="235"/>
      <c r="D42" s="726" t="s">
        <v>1598</v>
      </c>
      <c r="E42" s="555">
        <f>(pSystemsTouchRateHourPLG*pSystemsLeaseLaborHrsPLG*LeaseReturnForecast)</f>
        <v>229991.7491749175</v>
      </c>
      <c r="F42" s="555">
        <f>(pSystemsTouchRateHourPLG*pSystemsLeaseLaborHrsPLG*LeaseReturnForecast)*(1+Inflation)^1</f>
        <v>351887.3762376238</v>
      </c>
      <c r="G42" s="555">
        <f>(pSystemsTouchRateHourPLG*pSystemsLeaseLaborHrsPLG*LeaseReturnForecast)*(1+Inflation)^2</f>
        <v>358925.12376237626</v>
      </c>
      <c r="H42" s="555">
        <f>(pSystemsTouchRateHourPLG*pSystemsLeaseLaborHrsPLG*LeaseReturnForecast)*(1+Inflation)^3</f>
        <v>244069.08415841582</v>
      </c>
      <c r="I42" s="555">
        <f>(pSystemsTouchRateHourPLG*pSystemsLeaseLaborHrsPLG*LeaseReturnForecast)*(1+Inflation)^4</f>
        <v>248950.46584158417</v>
      </c>
      <c r="J42" s="555">
        <f>(pSystemsTouchRateHourPLG*pSystemsLeaseLaborHrsPLG*LeaseReturnForecast)*(1+Inflation)^5</f>
        <v>380894.21273762378</v>
      </c>
      <c r="K42" s="555">
        <f>(pSystemsTouchRateHourPLG*pSystemsLeaseLaborHrsPLG*LeaseReturnForecast)*(1+Inflation)^6</f>
        <v>388512.09699237626</v>
      </c>
      <c r="L42" s="555">
        <f>(pSystemsTouchRateHourPLG*pSystemsLeaseLaborHrsPLG*LeaseReturnForecast)*(1+Inflation)^7</f>
        <v>264188.2259548158</v>
      </c>
      <c r="M42" s="555">
        <f>(pSystemsTouchRateHourPLG*pSystemsLeaseLaborHrsPLG*LeaseReturnForecast)*(1+Inflation)^8</f>
        <v>269471.99047391216</v>
      </c>
      <c r="N42" s="555">
        <f>(pSystemsTouchRateHourPLG*pSystemsLeaseLaborHrsPLG*LeaseReturnForecast)*(1+Inflation)^9</f>
        <v>412292.14542508562</v>
      </c>
      <c r="O42" s="535" t="s">
        <v>1611</v>
      </c>
    </row>
    <row r="43" spans="1:33" s="142" customFormat="1" ht="18" hidden="1" customHeight="1" outlineLevel="1" x14ac:dyDescent="0.2">
      <c r="A43" s="1407"/>
      <c r="B43" s="138"/>
      <c r="C43" s="235"/>
      <c r="D43" s="726" t="s">
        <v>1599</v>
      </c>
      <c r="E43" s="555">
        <f>(pSystemsTouchRateHourCRT*pSystemsLeaseLaborHrsCRT*LeaseReturnForecast)</f>
        <v>202933.89633080957</v>
      </c>
      <c r="F43" s="555">
        <f>(pSystemsTouchRateHourCRT*pSystemsLeaseLaborHrsCRT*LeaseReturnForecast)*(1+Inflation)^1</f>
        <v>310488.86138613865</v>
      </c>
      <c r="G43" s="555">
        <f>(pSystemsTouchRateHourCRT*pSystemsLeaseLaborHrsCRT*LeaseReturnForecast)*(1+Inflation)^2</f>
        <v>316698.6386138614</v>
      </c>
      <c r="H43" s="555">
        <f>(pSystemsTouchRateHourCRT*pSystemsLeaseLaborHrsCRT*LeaseReturnForecast)*(1+Inflation)^3</f>
        <v>215355.07425742576</v>
      </c>
      <c r="I43" s="555">
        <f>(pSystemsTouchRateHourCRT*pSystemsLeaseLaborHrsCRT*LeaseReturnForecast)*(1+Inflation)^4</f>
        <v>219662.17574257427</v>
      </c>
      <c r="J43" s="555">
        <f>(pSystemsTouchRateHourCRT*pSystemsLeaseLaborHrsCRT*LeaseReturnForecast)*(1+Inflation)^5</f>
        <v>336083.12888613867</v>
      </c>
      <c r="K43" s="555">
        <f>(pSystemsTouchRateHourCRT*pSystemsLeaseLaborHrsCRT*LeaseReturnForecast)*(1+Inflation)^6</f>
        <v>342804.79146386142</v>
      </c>
      <c r="L43" s="555">
        <f>(pSystemsTouchRateHourCRT*pSystemsLeaseLaborHrsCRT*LeaseReturnForecast)*(1+Inflation)^7</f>
        <v>233107.25819542573</v>
      </c>
      <c r="M43" s="555">
        <f>(pSystemsTouchRateHourCRT*pSystemsLeaseLaborHrsCRT*LeaseReturnForecast)*(1+Inflation)^8</f>
        <v>237769.40335933428</v>
      </c>
      <c r="N43" s="555">
        <f>(pSystemsTouchRateHourCRT*pSystemsLeaseLaborHrsCRT*LeaseReturnForecast)*(1+Inflation)^9</f>
        <v>363787.18713978142</v>
      </c>
      <c r="O43" s="535" t="s">
        <v>1612</v>
      </c>
    </row>
    <row r="44" spans="1:33" s="142" customFormat="1" ht="18" hidden="1" customHeight="1" outlineLevel="1" x14ac:dyDescent="0.2">
      <c r="A44" s="1407"/>
      <c r="B44" s="128"/>
      <c r="C44" s="235"/>
      <c r="D44" s="726" t="s">
        <v>1600</v>
      </c>
      <c r="E44" s="555">
        <f>(pSystemsTouchRateHourSCL*pSystemsLeaseLaborHrsSCL*LeaseReturnForecast)</f>
        <v>16234.711706464765</v>
      </c>
      <c r="F44" s="555">
        <f>(pSystemsTouchRateHourSCL*pSystemsLeaseLaborHrsSCL*LeaseReturnForecast)*(1+Inflation)^1</f>
        <v>24839.108910891093</v>
      </c>
      <c r="G44" s="555">
        <f>(pSystemsTouchRateHourSCL*pSystemsLeaseLaborHrsSCL*LeaseReturnForecast)*(1+Inflation)^2</f>
        <v>25335.891089108914</v>
      </c>
      <c r="H44" s="555">
        <f>(pSystemsTouchRateHourSCL*pSystemsLeaseLaborHrsSCL*LeaseReturnForecast)*(1+Inflation)^3</f>
        <v>17228.405940594057</v>
      </c>
      <c r="I44" s="555">
        <f>(pSystemsTouchRateHourSCL*pSystemsLeaseLaborHrsSCL*LeaseReturnForecast)*(1+Inflation)^4</f>
        <v>17572.97405940594</v>
      </c>
      <c r="J44" s="555">
        <f>(pSystemsTouchRateHourSCL*pSystemsLeaseLaborHrsSCL*LeaseReturnForecast)*(1+Inflation)^5</f>
        <v>26886.650310891091</v>
      </c>
      <c r="K44" s="555">
        <f>(pSystemsTouchRateHourSCL*pSystemsLeaseLaborHrsSCL*LeaseReturnForecast)*(1+Inflation)^6</f>
        <v>27424.383317108914</v>
      </c>
      <c r="L44" s="555">
        <f>(pSystemsTouchRateHourSCL*pSystemsLeaseLaborHrsSCL*LeaseReturnForecast)*(1+Inflation)^7</f>
        <v>18648.580655634058</v>
      </c>
      <c r="M44" s="555">
        <f>(pSystemsTouchRateHourSCL*pSystemsLeaseLaborHrsSCL*LeaseReturnForecast)*(1+Inflation)^8</f>
        <v>19021.552268746738</v>
      </c>
      <c r="N44" s="555">
        <f>(pSystemsTouchRateHourSCL*pSystemsLeaseLaborHrsSCL*LeaseReturnForecast)*(1+Inflation)^9</f>
        <v>29102.974971182513</v>
      </c>
      <c r="O44" s="535" t="s">
        <v>1613</v>
      </c>
    </row>
    <row r="45" spans="1:33" s="142" customFormat="1" ht="18" hidden="1" customHeight="1" outlineLevel="1" x14ac:dyDescent="0.2">
      <c r="A45" s="1407"/>
      <c r="B45" s="138"/>
      <c r="C45" s="235"/>
      <c r="D45" s="726" t="s">
        <v>1601</v>
      </c>
      <c r="E45" s="555">
        <f>(pSystemsTouchRateHourQSC*pSystemsLeaseLaborHrsQSC*LeaseReturnForecast)</f>
        <v>20293.389633080955</v>
      </c>
      <c r="F45" s="555">
        <f>(pSystemsTouchRateHourQSC*pSystemsLeaseLaborHrsQSC*LeaseReturnForecast)*(1+Inflation)^1</f>
        <v>31048.886138613863</v>
      </c>
      <c r="G45" s="555">
        <f>(pSystemsTouchRateHourQSC*pSystemsLeaseLaborHrsQSC*LeaseReturnForecast)*(1+Inflation)^2</f>
        <v>31669.86386138614</v>
      </c>
      <c r="H45" s="555">
        <f>(pSystemsTouchRateHourQSC*pSystemsLeaseLaborHrsQSC*LeaseReturnForecast)*(1+Inflation)^3</f>
        <v>21535.507425742573</v>
      </c>
      <c r="I45" s="555">
        <f>(pSystemsTouchRateHourQSC*pSystemsLeaseLaborHrsQSC*LeaseReturnForecast)*(1+Inflation)^4</f>
        <v>21966.217574257425</v>
      </c>
      <c r="J45" s="555">
        <f>(pSystemsTouchRateHourQSC*pSystemsLeaseLaborHrsQSC*LeaseReturnForecast)*(1+Inflation)^5</f>
        <v>33608.312888613866</v>
      </c>
      <c r="K45" s="555">
        <f>(pSystemsTouchRateHourQSC*pSystemsLeaseLaborHrsQSC*LeaseReturnForecast)*(1+Inflation)^6</f>
        <v>34280.47914638614</v>
      </c>
      <c r="L45" s="555">
        <f>(pSystemsTouchRateHourQSC*pSystemsLeaseLaborHrsQSC*LeaseReturnForecast)*(1+Inflation)^7</f>
        <v>23310.725819542571</v>
      </c>
      <c r="M45" s="555">
        <f>(pSystemsTouchRateHourQSC*pSystemsLeaseLaborHrsQSC*LeaseReturnForecast)*(1+Inflation)^8</f>
        <v>23776.940335933425</v>
      </c>
      <c r="N45" s="555">
        <f>(pSystemsTouchRateHourQSC*pSystemsLeaseLaborHrsQSC*LeaseReturnForecast)*(1+Inflation)^9</f>
        <v>36378.718713978138</v>
      </c>
      <c r="O45" s="535" t="s">
        <v>1614</v>
      </c>
    </row>
    <row r="46" spans="1:33" s="142" customFormat="1" ht="18" hidden="1" customHeight="1" outlineLevel="1" x14ac:dyDescent="0.2">
      <c r="A46" s="1407"/>
      <c r="B46" s="138"/>
      <c r="C46" s="235"/>
      <c r="D46" s="726" t="s">
        <v>1602</v>
      </c>
      <c r="E46" s="555">
        <f>(pSystemsTouchRateHourEM*pSystemsLeaseLaborHrsEM*LeaseReturnForecast)</f>
        <v>0</v>
      </c>
      <c r="F46" s="555">
        <f>(pSystemsTouchRateHourEM*pSystemsLeaseLaborHrsEM*LeaseReturnForecast)*(1+Inflation)^1</f>
        <v>0</v>
      </c>
      <c r="G46" s="555">
        <f>(pSystemsTouchRateHourEM*pSystemsLeaseLaborHrsEM*LeaseReturnForecast)*(1+Inflation)^2</f>
        <v>0</v>
      </c>
      <c r="H46" s="555">
        <f>(pSystemsTouchRateHourEM*pSystemsLeaseLaborHrsEM*LeaseReturnForecast)*(1+Inflation)^3</f>
        <v>0</v>
      </c>
      <c r="I46" s="555">
        <f>(pSystemsTouchRateHourEM*pSystemsLeaseLaborHrsEM*LeaseReturnForecast)*(1+Inflation)^4</f>
        <v>0</v>
      </c>
      <c r="J46" s="555">
        <f>(pSystemsTouchRateHourEM*pSystemsLeaseLaborHrsEM*LeaseReturnForecast)*(1+Inflation)^5</f>
        <v>0</v>
      </c>
      <c r="K46" s="555">
        <f>(pSystemsTouchRateHourEM*pSystemsLeaseLaborHrsEM*LeaseReturnForecast)*(1+Inflation)^6</f>
        <v>0</v>
      </c>
      <c r="L46" s="555">
        <f>(pSystemsTouchRateHourEM*pSystemsLeaseLaborHrsEM*LeaseReturnForecast)*(1+Inflation)^7</f>
        <v>0</v>
      </c>
      <c r="M46" s="555">
        <f>(pSystemsTouchRateHourEM*pSystemsLeaseLaborHrsEM*LeaseReturnForecast)*(1+Inflation)^8</f>
        <v>0</v>
      </c>
      <c r="N46" s="555">
        <f>(pSystemsTouchRateHourEM*pSystemsLeaseLaborHrsEM*LeaseReturnForecast)*(1+Inflation)^9</f>
        <v>0</v>
      </c>
      <c r="O46" s="535" t="s">
        <v>1615</v>
      </c>
    </row>
    <row r="47" spans="1:33" s="142" customFormat="1" ht="18" hidden="1" customHeight="1" outlineLevel="1" x14ac:dyDescent="0.2">
      <c r="A47" s="1407"/>
      <c r="B47" s="138"/>
      <c r="C47" s="235"/>
      <c r="D47" s="726" t="s">
        <v>1603</v>
      </c>
      <c r="E47" s="555">
        <f>(pSystemsTouchRateHourCM*pSystemsLeaseLaborHrsCM*LeaseReturnForecast)</f>
        <v>0</v>
      </c>
      <c r="F47" s="555">
        <f>(pSystemsTouchRateHourCM*pSystemsLeaseLaborHrsCM*LeaseReturnForecast)*(1+Inflation)^1</f>
        <v>0</v>
      </c>
      <c r="G47" s="555">
        <f>(pSystemsTouchRateHourCM*pSystemsLeaseLaborHrsCM*LeaseReturnForecast)*(1+Inflation)^2</f>
        <v>0</v>
      </c>
      <c r="H47" s="555">
        <f>(pSystemsTouchRateHourCM*pSystemsLeaseLaborHrsCM*LeaseReturnForecast)*(1+Inflation)^3</f>
        <v>0</v>
      </c>
      <c r="I47" s="555">
        <f>(pSystemsTouchRateHourCM*pSystemsLeaseLaborHrsCM*LeaseReturnForecast)*(1+Inflation)^4</f>
        <v>0</v>
      </c>
      <c r="J47" s="555">
        <f>(pSystemsTouchRateHourCM*pSystemsLeaseLaborHrsCM*LeaseReturnForecast)*(1+Inflation)^5</f>
        <v>0</v>
      </c>
      <c r="K47" s="555">
        <f>(pSystemsTouchRateHourCM*pSystemsLeaseLaborHrsCM*LeaseReturnForecast)*(1+Inflation)^6</f>
        <v>0</v>
      </c>
      <c r="L47" s="555">
        <f>(pSystemsTouchRateHourCM*pSystemsLeaseLaborHrsCM*LeaseReturnForecast)*(1+Inflation)^7</f>
        <v>0</v>
      </c>
      <c r="M47" s="555">
        <f>(pSystemsTouchRateHourCM*pSystemsLeaseLaborHrsCM*LeaseReturnForecast)*(1+Inflation)^8</f>
        <v>0</v>
      </c>
      <c r="N47" s="555">
        <f>(pSystemsTouchRateHourCM*pSystemsLeaseLaborHrsCM*LeaseReturnForecast)*(1+Inflation)^9</f>
        <v>0</v>
      </c>
      <c r="O47" s="535" t="s">
        <v>1616</v>
      </c>
    </row>
    <row r="48" spans="1:33" s="142" customFormat="1" ht="18" hidden="1" customHeight="1" outlineLevel="1" x14ac:dyDescent="0.2">
      <c r="A48" s="1407"/>
      <c r="B48" s="138"/>
      <c r="C48" s="235"/>
      <c r="D48" s="726" t="s">
        <v>1604</v>
      </c>
      <c r="E48" s="555">
        <f>(pSystemsTouchRateHourSMCS*pSystemsLeaseLaborHrsSMCS*LeaseReturnForecast)</f>
        <v>0</v>
      </c>
      <c r="F48" s="555">
        <f>(pSystemsTouchRateHourSMCS*pSystemsLeaseLaborHrsSMCS*LeaseReturnForecast)*(1+Inflation)^1</f>
        <v>0</v>
      </c>
      <c r="G48" s="555">
        <f>(pSystemsTouchRateHourSMCS*pSystemsLeaseLaborHrsSMCS*LeaseReturnForecast)*(1+Inflation)^2</f>
        <v>0</v>
      </c>
      <c r="H48" s="555">
        <f>(pSystemsTouchRateHourSMCS*pSystemsLeaseLaborHrsSMCS*LeaseReturnForecast)*(1+Inflation)^3</f>
        <v>0</v>
      </c>
      <c r="I48" s="555">
        <f>(pSystemsTouchRateHourSMCS*pSystemsLeaseLaborHrsSMCS*LeaseReturnForecast)*(1+Inflation)^4</f>
        <v>0</v>
      </c>
      <c r="J48" s="555">
        <f>(pSystemsTouchRateHourSMCS*pSystemsLeaseLaborHrsSMCS*LeaseReturnForecast)*(1+Inflation)^5</f>
        <v>0</v>
      </c>
      <c r="K48" s="555">
        <f>(pSystemsTouchRateHourSMCS*pSystemsLeaseLaborHrsSMCS*LeaseReturnForecast)*(1+Inflation)^6</f>
        <v>0</v>
      </c>
      <c r="L48" s="555">
        <f>(pSystemsTouchRateHourSMCS*pSystemsLeaseLaborHrsSMCS*LeaseReturnForecast)*(1+Inflation)^7</f>
        <v>0</v>
      </c>
      <c r="M48" s="555">
        <f>(pSystemsTouchRateHourSMCS*pSystemsLeaseLaborHrsSMCS*LeaseReturnForecast)*(1+Inflation)^8</f>
        <v>0</v>
      </c>
      <c r="N48" s="555">
        <f>(pSystemsTouchRateHourSMCS*pSystemsLeaseLaborHrsSMCS*LeaseReturnForecast)*(1+Inflation)^9</f>
        <v>0</v>
      </c>
      <c r="O48" s="535" t="s">
        <v>1617</v>
      </c>
    </row>
    <row r="49" spans="1:33" s="142" customFormat="1" ht="18" hidden="1" customHeight="1" outlineLevel="1" x14ac:dyDescent="0.2">
      <c r="A49" s="1407"/>
      <c r="B49" s="138"/>
      <c r="C49" s="235"/>
      <c r="D49" s="726" t="s">
        <v>1605</v>
      </c>
      <c r="E49" s="555">
        <f>(pSystemsTouchRateHourO1*pSystemsLeaseLaborHrsO1*LeaseReturnForecast)</f>
        <v>0</v>
      </c>
      <c r="F49" s="555">
        <f>(pSystemsTouchRateHourO1*pSystemsLeaseLaborHrsO1*LeaseReturnForecast)*(1+Inflation)^1</f>
        <v>0</v>
      </c>
      <c r="G49" s="555">
        <f>(pSystemsTouchRateHourO1*pSystemsLeaseLaborHrsO1*LeaseReturnForecast)*(1+Inflation)^2</f>
        <v>0</v>
      </c>
      <c r="H49" s="555">
        <f>(pSystemsTouchRateHourO1*pSystemsLeaseLaborHrsO1*LeaseReturnForecast)*(1+Inflation)^3</f>
        <v>0</v>
      </c>
      <c r="I49" s="555">
        <f>(pSystemsTouchRateHourO1*pSystemsLeaseLaborHrsO1*LeaseReturnForecast)*(1+Inflation)^4</f>
        <v>0</v>
      </c>
      <c r="J49" s="555">
        <f>(pSystemsTouchRateHourO1*pSystemsLeaseLaborHrsO1*LeaseReturnForecast)*(1+Inflation)^5</f>
        <v>0</v>
      </c>
      <c r="K49" s="555">
        <f>(pSystemsTouchRateHourO1*pSystemsLeaseLaborHrsO1*LeaseReturnForecast)*(1+Inflation)^6</f>
        <v>0</v>
      </c>
      <c r="L49" s="555">
        <f>(pSystemsTouchRateHourO1*pSystemsLeaseLaborHrsO1*LeaseReturnForecast)*(1+Inflation)^7</f>
        <v>0</v>
      </c>
      <c r="M49" s="555">
        <f>(pSystemsTouchRateHourO1*pSystemsLeaseLaborHrsO1*LeaseReturnForecast)*(1+Inflation)^8</f>
        <v>0</v>
      </c>
      <c r="N49" s="555">
        <f>(pSystemsTouchRateHourO1*pSystemsLeaseLaborHrsO1*LeaseReturnForecast)*(1+Inflation)^9</f>
        <v>0</v>
      </c>
      <c r="O49" s="535" t="s">
        <v>1618</v>
      </c>
    </row>
    <row r="50" spans="1:33" s="142" customFormat="1" ht="18" hidden="1" customHeight="1" outlineLevel="1" x14ac:dyDescent="0.2">
      <c r="A50" s="1407"/>
      <c r="B50" s="138"/>
      <c r="C50" s="235"/>
      <c r="D50" s="726" t="s">
        <v>1606</v>
      </c>
      <c r="E50" s="555">
        <f>(pSystemsTouchRateHourO2*pSystemsLeaseLaborHrsO2*LeaseReturnForecast)</f>
        <v>0</v>
      </c>
      <c r="F50" s="555">
        <f>(pSystemsTouchRateHourO2*pSystemsLeaseLaborHrsO2*LeaseReturnForecast)*(1+Inflation)^1</f>
        <v>0</v>
      </c>
      <c r="G50" s="555">
        <f>(pSystemsTouchRateHourO2*pSystemsLeaseLaborHrsO2*LeaseReturnForecast)*(1+Inflation)^2</f>
        <v>0</v>
      </c>
      <c r="H50" s="555">
        <f>(pSystemsTouchRateHourO2*pSystemsLeaseLaborHrsO2*LeaseReturnForecast)*(1+Inflation)^3</f>
        <v>0</v>
      </c>
      <c r="I50" s="555">
        <f>(pSystemsTouchRateHourO2*pSystemsLeaseLaborHrsO2*LeaseReturnForecast)*(1+Inflation)^4</f>
        <v>0</v>
      </c>
      <c r="J50" s="555">
        <f>(pSystemsTouchRateHourO2*pSystemsLeaseLaborHrsO2*LeaseReturnForecast)*(1+Inflation)^5</f>
        <v>0</v>
      </c>
      <c r="K50" s="555">
        <f>(pSystemsTouchRateHourO2*pSystemsLeaseLaborHrsO2*LeaseReturnForecast)*(1+Inflation)^6</f>
        <v>0</v>
      </c>
      <c r="L50" s="555">
        <f>(pSystemsTouchRateHourO2*pSystemsLeaseLaborHrsO2*LeaseReturnForecast)*(1+Inflation)^7</f>
        <v>0</v>
      </c>
      <c r="M50" s="555">
        <f>(pSystemsTouchRateHourO2*pSystemsLeaseLaborHrsO2*LeaseReturnForecast)*(1+Inflation)^8</f>
        <v>0</v>
      </c>
      <c r="N50" s="555">
        <f>(pSystemsTouchRateHourO2*pSystemsLeaseLaborHrsO2*LeaseReturnForecast)*(1+Inflation)^9</f>
        <v>0</v>
      </c>
      <c r="O50" s="535" t="s">
        <v>1619</v>
      </c>
    </row>
    <row r="51" spans="1:33" s="142" customFormat="1" ht="18" hidden="1" customHeight="1" outlineLevel="1" x14ac:dyDescent="0.25">
      <c r="A51" s="1407"/>
      <c r="B51" s="138"/>
      <c r="C51" s="235"/>
      <c r="D51" s="728" t="s">
        <v>1607</v>
      </c>
      <c r="E51" s="556">
        <f>SUM(E39:E50)</f>
        <v>1578825.7134536987</v>
      </c>
      <c r="F51" s="556">
        <f t="shared" ref="F51:N51" si="0">SUM(F39:F50)</f>
        <v>2415603.3415841586</v>
      </c>
      <c r="G51" s="556">
        <f t="shared" si="0"/>
        <v>2463915.4084158419</v>
      </c>
      <c r="H51" s="556">
        <f t="shared" si="0"/>
        <v>1675462.4777227724</v>
      </c>
      <c r="I51" s="556">
        <f t="shared" si="0"/>
        <v>1708971.7272772277</v>
      </c>
      <c r="J51" s="556">
        <f t="shared" si="0"/>
        <v>2614726.7427341584</v>
      </c>
      <c r="K51" s="556">
        <f t="shared" si="0"/>
        <v>2667021.2775888415</v>
      </c>
      <c r="L51" s="556">
        <f t="shared" si="0"/>
        <v>1813574.468760412</v>
      </c>
      <c r="M51" s="556">
        <f t="shared" si="0"/>
        <v>1849845.9581356202</v>
      </c>
      <c r="N51" s="556">
        <f t="shared" si="0"/>
        <v>2830264.3159475001</v>
      </c>
      <c r="O51" s="535" t="s">
        <v>2929</v>
      </c>
    </row>
    <row r="52" spans="1:33" s="203" customFormat="1" ht="13.5" hidden="1" outlineLevel="1" thickBot="1" x14ac:dyDescent="0.25">
      <c r="A52" s="1408"/>
      <c r="B52" s="74"/>
      <c r="C52" s="325"/>
      <c r="D52" s="725"/>
      <c r="E52" s="568"/>
      <c r="F52" s="568"/>
      <c r="G52" s="568"/>
      <c r="H52" s="568"/>
      <c r="I52" s="568"/>
      <c r="J52" s="568"/>
      <c r="K52" s="568"/>
      <c r="L52" s="568"/>
      <c r="M52" s="568"/>
      <c r="N52" s="568"/>
      <c r="O52" s="569"/>
      <c r="P52" s="204"/>
    </row>
    <row r="53" spans="1:33" s="203" customFormat="1" ht="13.5" hidden="1" outlineLevel="1" thickBot="1" x14ac:dyDescent="0.25">
      <c r="A53" s="74"/>
      <c r="B53" s="74"/>
      <c r="C53" s="211"/>
      <c r="D53" s="214"/>
      <c r="E53" s="210"/>
      <c r="F53" s="210"/>
      <c r="G53" s="210"/>
      <c r="H53" s="210"/>
      <c r="I53" s="210"/>
      <c r="J53" s="210"/>
      <c r="K53" s="210"/>
      <c r="L53" s="210"/>
      <c r="M53" s="210"/>
      <c r="N53" s="210"/>
      <c r="O53" s="204"/>
      <c r="P53" s="204"/>
    </row>
    <row r="54" spans="1:33" customFormat="1" ht="20.25" hidden="1" outlineLevel="1" x14ac:dyDescent="0.2">
      <c r="A54" s="1400" t="s">
        <v>4176</v>
      </c>
      <c r="B54" s="13"/>
      <c r="C54" s="1008" t="str">
        <f>Scenario1&amp;"  Lease Return FTEs"</f>
        <v>pSystems (Paper)  Lease Return FTEs</v>
      </c>
      <c r="D54" s="310"/>
      <c r="E54" s="434"/>
      <c r="F54" s="434"/>
      <c r="G54" s="434"/>
      <c r="H54" s="434"/>
      <c r="I54" s="434"/>
      <c r="J54" s="434"/>
      <c r="K54" s="434"/>
      <c r="L54" s="434"/>
      <c r="M54" s="434"/>
      <c r="N54" s="434"/>
      <c r="O54" s="573"/>
      <c r="P54" s="18"/>
      <c r="Q54" s="18"/>
      <c r="R54" s="18"/>
      <c r="S54" s="18"/>
      <c r="T54" s="18"/>
      <c r="U54" s="18"/>
      <c r="V54" s="18"/>
      <c r="W54" s="18"/>
      <c r="X54" s="18"/>
      <c r="Y54" s="18"/>
      <c r="Z54" s="18"/>
      <c r="AA54" s="18"/>
      <c r="AB54" s="18"/>
      <c r="AC54" s="18"/>
      <c r="AD54" s="18"/>
      <c r="AE54" s="18"/>
      <c r="AF54" s="18"/>
      <c r="AG54" s="18"/>
    </row>
    <row r="55" spans="1:33" s="142" customFormat="1" ht="18" hidden="1" customHeight="1" outlineLevel="1" x14ac:dyDescent="0.2">
      <c r="A55" s="1407"/>
      <c r="B55" s="138"/>
      <c r="C55" s="235"/>
      <c r="D55" s="726" t="s">
        <v>1620</v>
      </c>
      <c r="E55" s="557">
        <f t="shared" ref="E55:N55" si="1">(pSystemsLeaseLaborHrsHM/pSystemsTouchHourspaHM)*LeaseReturnForecast</f>
        <v>0.97068530382450002</v>
      </c>
      <c r="F55" s="557">
        <f t="shared" si="1"/>
        <v>1.4560279557367499</v>
      </c>
      <c r="G55" s="557">
        <f t="shared" si="1"/>
        <v>1.4560279557367499</v>
      </c>
      <c r="H55" s="557">
        <f t="shared" si="1"/>
        <v>0.97068530382450002</v>
      </c>
      <c r="I55" s="557">
        <f t="shared" si="1"/>
        <v>0.97068530382450002</v>
      </c>
      <c r="J55" s="557">
        <f t="shared" si="1"/>
        <v>1.4560279557367499</v>
      </c>
      <c r="K55" s="557">
        <f t="shared" si="1"/>
        <v>1.4560279557367499</v>
      </c>
      <c r="L55" s="557">
        <f t="shared" si="1"/>
        <v>0.97068530382450002</v>
      </c>
      <c r="M55" s="557">
        <f t="shared" si="1"/>
        <v>0.97068530382450002</v>
      </c>
      <c r="N55" s="557">
        <f t="shared" si="1"/>
        <v>1.4560279557367499</v>
      </c>
      <c r="O55" s="535" t="s">
        <v>1633</v>
      </c>
    </row>
    <row r="56" spans="1:33" s="142" customFormat="1" ht="18" hidden="1" customHeight="1" outlineLevel="1" x14ac:dyDescent="0.2">
      <c r="A56" s="1407"/>
      <c r="B56" s="138"/>
      <c r="C56" s="235"/>
      <c r="D56" s="726" t="s">
        <v>1621</v>
      </c>
      <c r="E56" s="557">
        <f t="shared" ref="E56:N56" si="2">(pSystemsLeaseLaborHrsLM/pSystemsTouchHourspaLM)*LeaseReturnForecast</f>
        <v>1.941370607649</v>
      </c>
      <c r="F56" s="557">
        <f t="shared" si="2"/>
        <v>2.9120559114734998</v>
      </c>
      <c r="G56" s="557">
        <f t="shared" si="2"/>
        <v>2.9120559114734998</v>
      </c>
      <c r="H56" s="557">
        <f t="shared" si="2"/>
        <v>1.941370607649</v>
      </c>
      <c r="I56" s="557">
        <f t="shared" si="2"/>
        <v>1.941370607649</v>
      </c>
      <c r="J56" s="557">
        <f t="shared" si="2"/>
        <v>2.9120559114734998</v>
      </c>
      <c r="K56" s="557">
        <f t="shared" si="2"/>
        <v>2.9120559114734998</v>
      </c>
      <c r="L56" s="557">
        <f t="shared" si="2"/>
        <v>1.941370607649</v>
      </c>
      <c r="M56" s="557">
        <f t="shared" si="2"/>
        <v>1.941370607649</v>
      </c>
      <c r="N56" s="557">
        <f t="shared" si="2"/>
        <v>2.9120559114734998</v>
      </c>
      <c r="O56" s="535" t="s">
        <v>1634</v>
      </c>
    </row>
    <row r="57" spans="1:33" s="142" customFormat="1" ht="18" hidden="1" customHeight="1" outlineLevel="1" x14ac:dyDescent="0.2">
      <c r="A57" s="1407"/>
      <c r="B57" s="138"/>
      <c r="C57" s="235"/>
      <c r="D57" s="727" t="s">
        <v>1622</v>
      </c>
      <c r="E57" s="557">
        <f t="shared" ref="E57:N57" si="3">(pSystemsLeaseLaborHrsENG/pSystemsTouchHourspaENG)*LeaseReturnForecast</f>
        <v>5.8241118229470006</v>
      </c>
      <c r="F57" s="557">
        <f t="shared" si="3"/>
        <v>8.7361677344205013</v>
      </c>
      <c r="G57" s="557">
        <f t="shared" si="3"/>
        <v>8.7361677344205013</v>
      </c>
      <c r="H57" s="557">
        <f t="shared" si="3"/>
        <v>5.8241118229470006</v>
      </c>
      <c r="I57" s="557">
        <f t="shared" si="3"/>
        <v>5.8241118229470006</v>
      </c>
      <c r="J57" s="557">
        <f t="shared" si="3"/>
        <v>8.7361677344205013</v>
      </c>
      <c r="K57" s="557">
        <f t="shared" si="3"/>
        <v>8.7361677344205013</v>
      </c>
      <c r="L57" s="557">
        <f t="shared" si="3"/>
        <v>5.8241118229470006</v>
      </c>
      <c r="M57" s="557">
        <f t="shared" si="3"/>
        <v>5.8241118229470006</v>
      </c>
      <c r="N57" s="557">
        <f t="shared" si="3"/>
        <v>8.7361677344205013</v>
      </c>
      <c r="O57" s="535" t="s">
        <v>1635</v>
      </c>
    </row>
    <row r="58" spans="1:33" s="142" customFormat="1" ht="18" hidden="1" customHeight="1" outlineLevel="1" x14ac:dyDescent="0.2">
      <c r="A58" s="1407"/>
      <c r="B58" s="138"/>
      <c r="C58" s="235"/>
      <c r="D58" s="726" t="s">
        <v>1623</v>
      </c>
      <c r="E58" s="557">
        <f t="shared" ref="E58:N58" si="4">(pSystemsLeaseLaborHrsPLG/pSystemsTouchHourspaPLG)*LeaseReturnForecast</f>
        <v>1.941370607649</v>
      </c>
      <c r="F58" s="557">
        <f t="shared" si="4"/>
        <v>2.9120559114734998</v>
      </c>
      <c r="G58" s="557">
        <f t="shared" si="4"/>
        <v>2.9120559114734998</v>
      </c>
      <c r="H58" s="557">
        <f t="shared" si="4"/>
        <v>1.941370607649</v>
      </c>
      <c r="I58" s="557">
        <f t="shared" si="4"/>
        <v>1.941370607649</v>
      </c>
      <c r="J58" s="557">
        <f t="shared" si="4"/>
        <v>2.9120559114734998</v>
      </c>
      <c r="K58" s="557">
        <f t="shared" si="4"/>
        <v>2.9120559114734998</v>
      </c>
      <c r="L58" s="557">
        <f t="shared" si="4"/>
        <v>1.941370607649</v>
      </c>
      <c r="M58" s="557">
        <f t="shared" si="4"/>
        <v>1.941370607649</v>
      </c>
      <c r="N58" s="557">
        <f t="shared" si="4"/>
        <v>2.9120559114734998</v>
      </c>
      <c r="O58" s="535" t="s">
        <v>1636</v>
      </c>
    </row>
    <row r="59" spans="1:33" s="142" customFormat="1" ht="18" hidden="1" customHeight="1" outlineLevel="1" x14ac:dyDescent="0.2">
      <c r="A59" s="1407"/>
      <c r="B59" s="138"/>
      <c r="C59" s="235"/>
      <c r="D59" s="726" t="s">
        <v>1624</v>
      </c>
      <c r="E59" s="557">
        <f t="shared" ref="E59:N59" si="5">(pSystemsLeaseLaborHrsCRT/pSystemsTouchHourspaCRT)*LeaseReturnForecast</f>
        <v>2.9120559114735003</v>
      </c>
      <c r="F59" s="557">
        <f t="shared" si="5"/>
        <v>4.3680838672102507</v>
      </c>
      <c r="G59" s="557">
        <f t="shared" si="5"/>
        <v>4.3680838672102507</v>
      </c>
      <c r="H59" s="557">
        <f t="shared" si="5"/>
        <v>2.9120559114735003</v>
      </c>
      <c r="I59" s="557">
        <f t="shared" si="5"/>
        <v>2.9120559114735003</v>
      </c>
      <c r="J59" s="557">
        <f t="shared" si="5"/>
        <v>4.3680838672102507</v>
      </c>
      <c r="K59" s="557">
        <f t="shared" si="5"/>
        <v>4.3680838672102507</v>
      </c>
      <c r="L59" s="557">
        <f t="shared" si="5"/>
        <v>2.9120559114735003</v>
      </c>
      <c r="M59" s="557">
        <f t="shared" si="5"/>
        <v>2.9120559114735003</v>
      </c>
      <c r="N59" s="557">
        <f t="shared" si="5"/>
        <v>4.3680838672102507</v>
      </c>
      <c r="O59" s="535" t="s">
        <v>1637</v>
      </c>
    </row>
    <row r="60" spans="1:33" s="142" customFormat="1" ht="18" hidden="1" customHeight="1" outlineLevel="1" x14ac:dyDescent="0.2">
      <c r="A60" s="1407"/>
      <c r="B60" s="138"/>
      <c r="C60" s="235"/>
      <c r="D60" s="726" t="s">
        <v>1625</v>
      </c>
      <c r="E60" s="557">
        <f t="shared" ref="E60:N60" si="6">(pSystemsLeaseLaborHrsSCL/pSystemsTouchHourspaSCL)*LeaseReturnForecast</f>
        <v>0.1941370607649</v>
      </c>
      <c r="F60" s="557">
        <f t="shared" si="6"/>
        <v>0.29120559114735001</v>
      </c>
      <c r="G60" s="557">
        <f t="shared" si="6"/>
        <v>0.29120559114735001</v>
      </c>
      <c r="H60" s="557">
        <f t="shared" si="6"/>
        <v>0.1941370607649</v>
      </c>
      <c r="I60" s="557">
        <f t="shared" si="6"/>
        <v>0.1941370607649</v>
      </c>
      <c r="J60" s="557">
        <f t="shared" si="6"/>
        <v>0.29120559114735001</v>
      </c>
      <c r="K60" s="557">
        <f t="shared" si="6"/>
        <v>0.29120559114735001</v>
      </c>
      <c r="L60" s="557">
        <f t="shared" si="6"/>
        <v>0.1941370607649</v>
      </c>
      <c r="M60" s="557">
        <f t="shared" si="6"/>
        <v>0.1941370607649</v>
      </c>
      <c r="N60" s="557">
        <f t="shared" si="6"/>
        <v>0.29120559114735001</v>
      </c>
      <c r="O60" s="535" t="s">
        <v>1638</v>
      </c>
    </row>
    <row r="61" spans="1:33" s="142" customFormat="1" ht="18" hidden="1" customHeight="1" outlineLevel="1" x14ac:dyDescent="0.2">
      <c r="A61" s="1407"/>
      <c r="B61" s="138"/>
      <c r="C61" s="235"/>
      <c r="D61" s="726" t="s">
        <v>1626</v>
      </c>
      <c r="E61" s="557">
        <f t="shared" ref="E61:N61" si="7">(pSystemsLeaseLaborHrsQSC/pSystemsTouchHourspaQSC)*LeaseReturnForecast</f>
        <v>0.1941370607649</v>
      </c>
      <c r="F61" s="557">
        <f t="shared" si="7"/>
        <v>0.29120559114735001</v>
      </c>
      <c r="G61" s="557">
        <f t="shared" si="7"/>
        <v>0.29120559114735001</v>
      </c>
      <c r="H61" s="557">
        <f t="shared" si="7"/>
        <v>0.1941370607649</v>
      </c>
      <c r="I61" s="557">
        <f t="shared" si="7"/>
        <v>0.1941370607649</v>
      </c>
      <c r="J61" s="557">
        <f t="shared" si="7"/>
        <v>0.29120559114735001</v>
      </c>
      <c r="K61" s="557">
        <f t="shared" si="7"/>
        <v>0.29120559114735001</v>
      </c>
      <c r="L61" s="557">
        <f t="shared" si="7"/>
        <v>0.1941370607649</v>
      </c>
      <c r="M61" s="557">
        <f t="shared" si="7"/>
        <v>0.1941370607649</v>
      </c>
      <c r="N61" s="557">
        <f t="shared" si="7"/>
        <v>0.29120559114735001</v>
      </c>
      <c r="O61" s="535" t="s">
        <v>1639</v>
      </c>
    </row>
    <row r="62" spans="1:33" s="142" customFormat="1" ht="18" hidden="1" customHeight="1" outlineLevel="1" x14ac:dyDescent="0.2">
      <c r="A62" s="1407"/>
      <c r="B62" s="138"/>
      <c r="C62" s="235"/>
      <c r="D62" s="726" t="s">
        <v>1627</v>
      </c>
      <c r="E62" s="557">
        <f t="shared" ref="E62:N62" si="8">(pSystemsLeaseLaborHrsEM/pSystemsTouchHourspaEM)*LeaseReturnForecast</f>
        <v>0</v>
      </c>
      <c r="F62" s="557">
        <f t="shared" si="8"/>
        <v>0</v>
      </c>
      <c r="G62" s="557">
        <f t="shared" si="8"/>
        <v>0</v>
      </c>
      <c r="H62" s="557">
        <f t="shared" si="8"/>
        <v>0</v>
      </c>
      <c r="I62" s="557">
        <f t="shared" si="8"/>
        <v>0</v>
      </c>
      <c r="J62" s="557">
        <f t="shared" si="8"/>
        <v>0</v>
      </c>
      <c r="K62" s="557">
        <f t="shared" si="8"/>
        <v>0</v>
      </c>
      <c r="L62" s="557">
        <f t="shared" si="8"/>
        <v>0</v>
      </c>
      <c r="M62" s="557">
        <f t="shared" si="8"/>
        <v>0</v>
      </c>
      <c r="N62" s="557">
        <f t="shared" si="8"/>
        <v>0</v>
      </c>
      <c r="O62" s="535" t="s">
        <v>1640</v>
      </c>
    </row>
    <row r="63" spans="1:33" s="142" customFormat="1" ht="18" hidden="1" customHeight="1" outlineLevel="1" x14ac:dyDescent="0.2">
      <c r="A63" s="1407"/>
      <c r="B63" s="138"/>
      <c r="C63" s="235"/>
      <c r="D63" s="726" t="s">
        <v>1628</v>
      </c>
      <c r="E63" s="557">
        <f t="shared" ref="E63:N63" si="9">(pSystemsLeaseLaborHrsCM/pSystemsTouchHourspaCM)*LeaseReturnForecast</f>
        <v>0</v>
      </c>
      <c r="F63" s="557">
        <f t="shared" si="9"/>
        <v>0</v>
      </c>
      <c r="G63" s="557">
        <f t="shared" si="9"/>
        <v>0</v>
      </c>
      <c r="H63" s="557">
        <f t="shared" si="9"/>
        <v>0</v>
      </c>
      <c r="I63" s="557">
        <f t="shared" si="9"/>
        <v>0</v>
      </c>
      <c r="J63" s="557">
        <f t="shared" si="9"/>
        <v>0</v>
      </c>
      <c r="K63" s="557">
        <f t="shared" si="9"/>
        <v>0</v>
      </c>
      <c r="L63" s="557">
        <f t="shared" si="9"/>
        <v>0</v>
      </c>
      <c r="M63" s="557">
        <f t="shared" si="9"/>
        <v>0</v>
      </c>
      <c r="N63" s="557">
        <f t="shared" si="9"/>
        <v>0</v>
      </c>
      <c r="O63" s="535" t="s">
        <v>1641</v>
      </c>
    </row>
    <row r="64" spans="1:33" s="142" customFormat="1" ht="18" hidden="1" customHeight="1" outlineLevel="1" x14ac:dyDescent="0.2">
      <c r="A64" s="1407"/>
      <c r="B64" s="138"/>
      <c r="C64" s="235"/>
      <c r="D64" s="726" t="s">
        <v>1629</v>
      </c>
      <c r="E64" s="557">
        <f t="shared" ref="E64:N64" si="10">(pSystemsLeaseLaborHrsSMCS/pSystemsTouchHourspaSMCS)*LeaseReturnForecast</f>
        <v>0</v>
      </c>
      <c r="F64" s="557">
        <f t="shared" si="10"/>
        <v>0</v>
      </c>
      <c r="G64" s="557">
        <f t="shared" si="10"/>
        <v>0</v>
      </c>
      <c r="H64" s="557">
        <f t="shared" si="10"/>
        <v>0</v>
      </c>
      <c r="I64" s="557">
        <f t="shared" si="10"/>
        <v>0</v>
      </c>
      <c r="J64" s="557">
        <f t="shared" si="10"/>
        <v>0</v>
      </c>
      <c r="K64" s="557">
        <f t="shared" si="10"/>
        <v>0</v>
      </c>
      <c r="L64" s="557">
        <f t="shared" si="10"/>
        <v>0</v>
      </c>
      <c r="M64" s="557">
        <f t="shared" si="10"/>
        <v>0</v>
      </c>
      <c r="N64" s="557">
        <f t="shared" si="10"/>
        <v>0</v>
      </c>
      <c r="O64" s="535" t="s">
        <v>1642</v>
      </c>
    </row>
    <row r="65" spans="1:33" s="142" customFormat="1" ht="18" hidden="1" customHeight="1" outlineLevel="1" x14ac:dyDescent="0.2">
      <c r="A65" s="1407"/>
      <c r="B65" s="138"/>
      <c r="C65" s="235"/>
      <c r="D65" s="726" t="s">
        <v>1630</v>
      </c>
      <c r="E65" s="557">
        <f t="shared" ref="E65:N65" si="11">(pSystemsLeaseLaborHrsO1/pSystemsTouchHourspaO1)*LeaseReturnForecast</f>
        <v>0</v>
      </c>
      <c r="F65" s="557">
        <f t="shared" si="11"/>
        <v>0</v>
      </c>
      <c r="G65" s="557">
        <f t="shared" si="11"/>
        <v>0</v>
      </c>
      <c r="H65" s="557">
        <f t="shared" si="11"/>
        <v>0</v>
      </c>
      <c r="I65" s="557">
        <f t="shared" si="11"/>
        <v>0</v>
      </c>
      <c r="J65" s="557">
        <f t="shared" si="11"/>
        <v>0</v>
      </c>
      <c r="K65" s="557">
        <f t="shared" si="11"/>
        <v>0</v>
      </c>
      <c r="L65" s="557">
        <f t="shared" si="11"/>
        <v>0</v>
      </c>
      <c r="M65" s="557">
        <f t="shared" si="11"/>
        <v>0</v>
      </c>
      <c r="N65" s="557">
        <f t="shared" si="11"/>
        <v>0</v>
      </c>
      <c r="O65" s="535" t="s">
        <v>1643</v>
      </c>
    </row>
    <row r="66" spans="1:33" s="142" customFormat="1" ht="18" hidden="1" customHeight="1" outlineLevel="1" x14ac:dyDescent="0.2">
      <c r="A66" s="1407"/>
      <c r="B66" s="138"/>
      <c r="C66" s="235"/>
      <c r="D66" s="726" t="s">
        <v>1631</v>
      </c>
      <c r="E66" s="557">
        <f t="shared" ref="E66:N66" si="12">(pSystemsLeaseLaborHrsO2/pSystemsTouchHourspaO2)*LeaseReturnForecast</f>
        <v>0</v>
      </c>
      <c r="F66" s="557">
        <f t="shared" si="12"/>
        <v>0</v>
      </c>
      <c r="G66" s="557">
        <f t="shared" si="12"/>
        <v>0</v>
      </c>
      <c r="H66" s="557">
        <f t="shared" si="12"/>
        <v>0</v>
      </c>
      <c r="I66" s="557">
        <f t="shared" si="12"/>
        <v>0</v>
      </c>
      <c r="J66" s="557">
        <f t="shared" si="12"/>
        <v>0</v>
      </c>
      <c r="K66" s="557">
        <f t="shared" si="12"/>
        <v>0</v>
      </c>
      <c r="L66" s="557">
        <f t="shared" si="12"/>
        <v>0</v>
      </c>
      <c r="M66" s="557">
        <f t="shared" si="12"/>
        <v>0</v>
      </c>
      <c r="N66" s="557">
        <f t="shared" si="12"/>
        <v>0</v>
      </c>
      <c r="O66" s="535" t="s">
        <v>1644</v>
      </c>
    </row>
    <row r="67" spans="1:33" s="142" customFormat="1" ht="18" hidden="1" customHeight="1" outlineLevel="1" x14ac:dyDescent="0.25">
      <c r="A67" s="1407"/>
      <c r="B67" s="138"/>
      <c r="C67" s="235"/>
      <c r="D67" s="728" t="s">
        <v>1632</v>
      </c>
      <c r="E67" s="574">
        <f>SUM(E55:E66)</f>
        <v>13.977868375072802</v>
      </c>
      <c r="F67" s="574">
        <f t="shared" ref="F67:N67" si="13">SUM(F55:F66)</f>
        <v>20.966802562609203</v>
      </c>
      <c r="G67" s="574">
        <f t="shared" si="13"/>
        <v>20.966802562609203</v>
      </c>
      <c r="H67" s="574">
        <f t="shared" si="13"/>
        <v>13.977868375072802</v>
      </c>
      <c r="I67" s="574">
        <f t="shared" si="13"/>
        <v>13.977868375072802</v>
      </c>
      <c r="J67" s="574">
        <f t="shared" si="13"/>
        <v>20.966802562609203</v>
      </c>
      <c r="K67" s="574">
        <f t="shared" si="13"/>
        <v>20.966802562609203</v>
      </c>
      <c r="L67" s="574">
        <f t="shared" si="13"/>
        <v>13.977868375072802</v>
      </c>
      <c r="M67" s="574">
        <f t="shared" si="13"/>
        <v>13.977868375072802</v>
      </c>
      <c r="N67" s="574">
        <f t="shared" si="13"/>
        <v>20.966802562609203</v>
      </c>
      <c r="O67" s="535" t="s">
        <v>1645</v>
      </c>
    </row>
    <row r="68" spans="1:33" s="203" customFormat="1" ht="13.5" hidden="1" outlineLevel="1" thickBot="1" x14ac:dyDescent="0.25">
      <c r="A68" s="1408"/>
      <c r="B68" s="74"/>
      <c r="C68" s="325"/>
      <c r="D68" s="725"/>
      <c r="E68" s="568"/>
      <c r="F68" s="568"/>
      <c r="G68" s="568"/>
      <c r="H68" s="568"/>
      <c r="I68" s="568"/>
      <c r="J68" s="568"/>
      <c r="K68" s="568"/>
      <c r="L68" s="568"/>
      <c r="M68" s="568"/>
      <c r="N68" s="568"/>
      <c r="O68" s="569"/>
      <c r="P68" s="204"/>
    </row>
    <row r="69" spans="1:33" s="203" customFormat="1" ht="13.5" hidden="1" outlineLevel="1" thickBot="1" x14ac:dyDescent="0.25">
      <c r="A69" s="74"/>
      <c r="B69" s="74"/>
      <c r="C69" s="211"/>
      <c r="D69" s="214"/>
      <c r="E69" s="210"/>
      <c r="F69" s="210"/>
      <c r="G69" s="210"/>
      <c r="H69" s="210"/>
      <c r="I69" s="210"/>
      <c r="J69" s="210"/>
      <c r="K69" s="210"/>
      <c r="L69" s="210"/>
      <c r="M69" s="210"/>
      <c r="N69" s="210"/>
      <c r="O69" s="204"/>
      <c r="P69" s="204"/>
    </row>
    <row r="70" spans="1:33" s="8" customFormat="1" ht="20.25" hidden="1" outlineLevel="1" x14ac:dyDescent="0.25">
      <c r="A70" s="194"/>
      <c r="B70" s="194"/>
      <c r="C70" s="1009" t="str">
        <f>Scenario2&amp;" Lessee Labor Hours per Return"</f>
        <v>hSystems (Hybrid) Lessee Labor Hours per Return</v>
      </c>
      <c r="D70" s="310"/>
      <c r="E70" s="240"/>
      <c r="F70" s="240"/>
      <c r="G70" s="240"/>
      <c r="H70" s="240"/>
      <c r="I70" s="240"/>
      <c r="J70" s="240"/>
      <c r="K70" s="240"/>
      <c r="L70" s="240"/>
      <c r="M70" s="240"/>
      <c r="N70" s="240"/>
      <c r="O70" s="435"/>
      <c r="P70" s="17"/>
      <c r="Q70" s="17"/>
      <c r="R70" s="17"/>
      <c r="S70" s="17"/>
      <c r="T70" s="17"/>
      <c r="U70" s="17"/>
      <c r="V70" s="17"/>
      <c r="W70" s="17"/>
      <c r="X70" s="17"/>
      <c r="Y70" s="17"/>
      <c r="Z70" s="17"/>
      <c r="AA70" s="17"/>
      <c r="AB70" s="17"/>
      <c r="AC70" s="17"/>
      <c r="AD70" s="17"/>
      <c r="AE70" s="17"/>
      <c r="AF70" s="17"/>
      <c r="AG70" s="17"/>
    </row>
    <row r="71" spans="1:33" s="142" customFormat="1" ht="18" hidden="1" customHeight="1" outlineLevel="1" x14ac:dyDescent="0.25">
      <c r="A71" s="194"/>
      <c r="B71" s="138"/>
      <c r="C71" s="235"/>
      <c r="D71" s="726" t="s">
        <v>1682</v>
      </c>
      <c r="E71" s="570">
        <v>500</v>
      </c>
      <c r="F71" s="570">
        <v>500</v>
      </c>
      <c r="G71" s="570">
        <v>500</v>
      </c>
      <c r="H71" s="570">
        <v>500</v>
      </c>
      <c r="I71" s="570">
        <v>500</v>
      </c>
      <c r="J71" s="570">
        <v>500</v>
      </c>
      <c r="K71" s="570">
        <v>500</v>
      </c>
      <c r="L71" s="570">
        <v>500</v>
      </c>
      <c r="M71" s="570">
        <v>500</v>
      </c>
      <c r="N71" s="570">
        <v>500</v>
      </c>
      <c r="O71" s="535" t="s">
        <v>1683</v>
      </c>
    </row>
    <row r="72" spans="1:33" s="142" customFormat="1" ht="18" hidden="1" customHeight="1" outlineLevel="1" x14ac:dyDescent="0.25">
      <c r="A72" s="194"/>
      <c r="B72" s="138"/>
      <c r="C72" s="235"/>
      <c r="D72" s="726" t="s">
        <v>1684</v>
      </c>
      <c r="E72" s="570">
        <v>1000</v>
      </c>
      <c r="F72" s="570">
        <v>1000</v>
      </c>
      <c r="G72" s="570">
        <v>1000</v>
      </c>
      <c r="H72" s="570">
        <v>1000</v>
      </c>
      <c r="I72" s="570">
        <v>1000</v>
      </c>
      <c r="J72" s="570">
        <v>1000</v>
      </c>
      <c r="K72" s="570">
        <v>1000</v>
      </c>
      <c r="L72" s="570">
        <v>1000</v>
      </c>
      <c r="M72" s="570">
        <v>1000</v>
      </c>
      <c r="N72" s="570">
        <v>1000</v>
      </c>
      <c r="O72" s="535" t="s">
        <v>1685</v>
      </c>
    </row>
    <row r="73" spans="1:33" s="142" customFormat="1" ht="18" hidden="1" customHeight="1" outlineLevel="1" x14ac:dyDescent="0.25">
      <c r="A73" s="194"/>
      <c r="B73" s="138"/>
      <c r="C73" s="235"/>
      <c r="D73" s="726" t="s">
        <v>1686</v>
      </c>
      <c r="E73" s="570">
        <v>1500</v>
      </c>
      <c r="F73" s="570">
        <v>1500</v>
      </c>
      <c r="G73" s="570">
        <v>1500</v>
      </c>
      <c r="H73" s="570">
        <v>1500</v>
      </c>
      <c r="I73" s="570">
        <v>1500</v>
      </c>
      <c r="J73" s="570">
        <v>1500</v>
      </c>
      <c r="K73" s="570">
        <v>1500</v>
      </c>
      <c r="L73" s="570">
        <v>1500</v>
      </c>
      <c r="M73" s="570">
        <v>1500</v>
      </c>
      <c r="N73" s="570">
        <v>1500</v>
      </c>
      <c r="O73" s="535" t="s">
        <v>1687</v>
      </c>
    </row>
    <row r="74" spans="1:33" s="142" customFormat="1" ht="18" hidden="1" customHeight="1" outlineLevel="1" x14ac:dyDescent="0.25">
      <c r="A74" s="194"/>
      <c r="B74" s="138"/>
      <c r="C74" s="235"/>
      <c r="D74" s="726" t="s">
        <v>1688</v>
      </c>
      <c r="E74" s="570">
        <v>500</v>
      </c>
      <c r="F74" s="570">
        <v>500</v>
      </c>
      <c r="G74" s="570">
        <v>500</v>
      </c>
      <c r="H74" s="570">
        <v>500</v>
      </c>
      <c r="I74" s="570">
        <v>500</v>
      </c>
      <c r="J74" s="570">
        <v>500</v>
      </c>
      <c r="K74" s="570">
        <v>500</v>
      </c>
      <c r="L74" s="570">
        <v>500</v>
      </c>
      <c r="M74" s="570">
        <v>500</v>
      </c>
      <c r="N74" s="570">
        <v>500</v>
      </c>
      <c r="O74" s="535" t="s">
        <v>1689</v>
      </c>
    </row>
    <row r="75" spans="1:33" s="142" customFormat="1" ht="18" hidden="1" customHeight="1" outlineLevel="1" x14ac:dyDescent="0.25">
      <c r="A75" s="194"/>
      <c r="B75" s="138"/>
      <c r="C75" s="235"/>
      <c r="D75" s="726" t="s">
        <v>1690</v>
      </c>
      <c r="E75" s="570">
        <v>750</v>
      </c>
      <c r="F75" s="570">
        <v>750</v>
      </c>
      <c r="G75" s="570">
        <v>750</v>
      </c>
      <c r="H75" s="570">
        <v>750</v>
      </c>
      <c r="I75" s="570">
        <v>750</v>
      </c>
      <c r="J75" s="570">
        <v>750</v>
      </c>
      <c r="K75" s="570">
        <v>750</v>
      </c>
      <c r="L75" s="570">
        <v>750</v>
      </c>
      <c r="M75" s="570">
        <v>750</v>
      </c>
      <c r="N75" s="570">
        <v>750</v>
      </c>
      <c r="O75" s="535" t="s">
        <v>1691</v>
      </c>
    </row>
    <row r="76" spans="1:33" s="142" customFormat="1" ht="18" hidden="1" customHeight="1" outlineLevel="1" x14ac:dyDescent="0.25">
      <c r="A76" s="194"/>
      <c r="B76" s="138"/>
      <c r="C76" s="235"/>
      <c r="D76" s="726" t="s">
        <v>1692</v>
      </c>
      <c r="E76" s="570">
        <v>100</v>
      </c>
      <c r="F76" s="570">
        <v>100</v>
      </c>
      <c r="G76" s="570">
        <v>100</v>
      </c>
      <c r="H76" s="570">
        <v>100</v>
      </c>
      <c r="I76" s="570">
        <v>100</v>
      </c>
      <c r="J76" s="570">
        <v>100</v>
      </c>
      <c r="K76" s="570">
        <v>100</v>
      </c>
      <c r="L76" s="570">
        <v>100</v>
      </c>
      <c r="M76" s="570">
        <v>100</v>
      </c>
      <c r="N76" s="570">
        <v>100</v>
      </c>
      <c r="O76" s="535" t="s">
        <v>207</v>
      </c>
    </row>
    <row r="77" spans="1:33" s="142" customFormat="1" ht="18" hidden="1" customHeight="1" outlineLevel="1" x14ac:dyDescent="0.25">
      <c r="A77" s="194"/>
      <c r="B77" s="138"/>
      <c r="C77" s="235"/>
      <c r="D77" s="726" t="s">
        <v>1693</v>
      </c>
      <c r="E77" s="570">
        <v>100</v>
      </c>
      <c r="F77" s="570">
        <v>100</v>
      </c>
      <c r="G77" s="570">
        <v>100</v>
      </c>
      <c r="H77" s="570">
        <v>100</v>
      </c>
      <c r="I77" s="570">
        <v>100</v>
      </c>
      <c r="J77" s="570">
        <v>100</v>
      </c>
      <c r="K77" s="570">
        <v>100</v>
      </c>
      <c r="L77" s="570">
        <v>100</v>
      </c>
      <c r="M77" s="570">
        <v>100</v>
      </c>
      <c r="N77" s="570">
        <v>100</v>
      </c>
      <c r="O77" s="535" t="s">
        <v>1694</v>
      </c>
    </row>
    <row r="78" spans="1:33" s="142" customFormat="1" ht="18" hidden="1" customHeight="1" outlineLevel="1" x14ac:dyDescent="0.25">
      <c r="A78" s="194"/>
      <c r="B78" s="138"/>
      <c r="C78" s="235"/>
      <c r="D78" s="726" t="s">
        <v>1695</v>
      </c>
      <c r="E78" s="570">
        <v>0</v>
      </c>
      <c r="F78" s="570">
        <v>0</v>
      </c>
      <c r="G78" s="570">
        <v>0</v>
      </c>
      <c r="H78" s="570">
        <v>0</v>
      </c>
      <c r="I78" s="570">
        <v>0</v>
      </c>
      <c r="J78" s="570">
        <v>0</v>
      </c>
      <c r="K78" s="570">
        <v>0</v>
      </c>
      <c r="L78" s="570">
        <v>0</v>
      </c>
      <c r="M78" s="570">
        <v>0</v>
      </c>
      <c r="N78" s="570">
        <v>0</v>
      </c>
      <c r="O78" s="535" t="s">
        <v>1696</v>
      </c>
    </row>
    <row r="79" spans="1:33" s="142" customFormat="1" ht="18" hidden="1" customHeight="1" outlineLevel="1" x14ac:dyDescent="0.25">
      <c r="A79" s="194"/>
      <c r="B79" s="565"/>
      <c r="C79" s="235"/>
      <c r="D79" s="726" t="s">
        <v>1697</v>
      </c>
      <c r="E79" s="570">
        <v>0</v>
      </c>
      <c r="F79" s="570">
        <v>0</v>
      </c>
      <c r="G79" s="570">
        <v>0</v>
      </c>
      <c r="H79" s="570">
        <v>0</v>
      </c>
      <c r="I79" s="570">
        <v>0</v>
      </c>
      <c r="J79" s="570">
        <v>0</v>
      </c>
      <c r="K79" s="570">
        <v>0</v>
      </c>
      <c r="L79" s="570">
        <v>0</v>
      </c>
      <c r="M79" s="570">
        <v>0</v>
      </c>
      <c r="N79" s="570">
        <v>0</v>
      </c>
      <c r="O79" s="535" t="s">
        <v>1698</v>
      </c>
    </row>
    <row r="80" spans="1:33" s="142" customFormat="1" ht="18" hidden="1" customHeight="1" outlineLevel="1" x14ac:dyDescent="0.25">
      <c r="A80" s="194"/>
      <c r="B80" s="565"/>
      <c r="C80" s="235"/>
      <c r="D80" s="726" t="s">
        <v>1699</v>
      </c>
      <c r="E80" s="570">
        <v>0</v>
      </c>
      <c r="F80" s="570">
        <v>0</v>
      </c>
      <c r="G80" s="570">
        <v>0</v>
      </c>
      <c r="H80" s="570">
        <v>0</v>
      </c>
      <c r="I80" s="570">
        <v>0</v>
      </c>
      <c r="J80" s="570">
        <v>0</v>
      </c>
      <c r="K80" s="570">
        <v>0</v>
      </c>
      <c r="L80" s="570">
        <v>0</v>
      </c>
      <c r="M80" s="570">
        <v>0</v>
      </c>
      <c r="N80" s="570">
        <v>0</v>
      </c>
      <c r="O80" s="535" t="s">
        <v>1700</v>
      </c>
    </row>
    <row r="81" spans="1:33" s="142" customFormat="1" ht="18" hidden="1" customHeight="1" outlineLevel="1" x14ac:dyDescent="0.25">
      <c r="A81" s="194"/>
      <c r="B81" s="138"/>
      <c r="C81" s="235"/>
      <c r="D81" s="726" t="s">
        <v>1701</v>
      </c>
      <c r="E81" s="570">
        <v>0</v>
      </c>
      <c r="F81" s="570">
        <v>0</v>
      </c>
      <c r="G81" s="570">
        <v>0</v>
      </c>
      <c r="H81" s="570">
        <v>0</v>
      </c>
      <c r="I81" s="570">
        <v>0</v>
      </c>
      <c r="J81" s="570">
        <v>0</v>
      </c>
      <c r="K81" s="570">
        <v>0</v>
      </c>
      <c r="L81" s="570">
        <v>0</v>
      </c>
      <c r="M81" s="570">
        <v>0</v>
      </c>
      <c r="N81" s="570">
        <v>0</v>
      </c>
      <c r="O81" s="535" t="s">
        <v>1702</v>
      </c>
    </row>
    <row r="82" spans="1:33" s="142" customFormat="1" ht="18" hidden="1" customHeight="1" outlineLevel="1" x14ac:dyDescent="0.25">
      <c r="A82" s="194"/>
      <c r="B82" s="138"/>
      <c r="C82" s="235"/>
      <c r="D82" s="726" t="s">
        <v>1703</v>
      </c>
      <c r="E82" s="570">
        <v>0</v>
      </c>
      <c r="F82" s="570">
        <v>0</v>
      </c>
      <c r="G82" s="570">
        <v>0</v>
      </c>
      <c r="H82" s="570">
        <v>0</v>
      </c>
      <c r="I82" s="570">
        <v>0</v>
      </c>
      <c r="J82" s="570">
        <v>0</v>
      </c>
      <c r="K82" s="570">
        <v>0</v>
      </c>
      <c r="L82" s="570">
        <v>0</v>
      </c>
      <c r="M82" s="570">
        <v>0</v>
      </c>
      <c r="N82" s="570">
        <v>0</v>
      </c>
      <c r="O82" s="535" t="s">
        <v>1704</v>
      </c>
    </row>
    <row r="83" spans="1:33" s="206" customFormat="1" ht="16.5" hidden="1" outlineLevel="1" thickBot="1" x14ac:dyDescent="0.3">
      <c r="A83" s="194"/>
      <c r="B83" s="563"/>
      <c r="C83" s="564"/>
      <c r="D83" s="724"/>
      <c r="E83" s="571"/>
      <c r="F83" s="571"/>
      <c r="G83" s="571"/>
      <c r="H83" s="571"/>
      <c r="I83" s="571"/>
      <c r="J83" s="571"/>
      <c r="K83" s="571"/>
      <c r="L83" s="571"/>
      <c r="M83" s="571"/>
      <c r="N83" s="571"/>
      <c r="O83" s="572"/>
      <c r="P83" s="210"/>
    </row>
    <row r="84" spans="1:33" s="8" customFormat="1" ht="21" hidden="1" outlineLevel="1" thickBot="1" x14ac:dyDescent="0.3">
      <c r="A84" s="194"/>
      <c r="B84" s="102"/>
      <c r="C84" s="575"/>
      <c r="D84" s="310"/>
      <c r="E84" s="316"/>
      <c r="F84" s="316"/>
      <c r="G84" s="316"/>
      <c r="H84" s="316"/>
      <c r="I84" s="316"/>
      <c r="J84" s="316"/>
      <c r="K84" s="316"/>
      <c r="L84" s="316"/>
      <c r="M84" s="316"/>
      <c r="N84" s="316"/>
      <c r="O84" s="316"/>
      <c r="P84" s="17"/>
      <c r="Q84" s="17"/>
      <c r="R84" s="17"/>
      <c r="S84" s="17"/>
      <c r="T84" s="17"/>
      <c r="U84" s="17"/>
      <c r="V84" s="17"/>
      <c r="W84" s="17"/>
      <c r="X84" s="17"/>
      <c r="Y84" s="17"/>
      <c r="Z84" s="17"/>
      <c r="AA84" s="17"/>
      <c r="AB84" s="17"/>
      <c r="AC84" s="17"/>
      <c r="AD84" s="17"/>
      <c r="AE84" s="17"/>
      <c r="AF84" s="17"/>
      <c r="AG84" s="17"/>
    </row>
    <row r="85" spans="1:33" s="8" customFormat="1" ht="20.25" hidden="1" outlineLevel="1" x14ac:dyDescent="0.25">
      <c r="A85" s="194"/>
      <c r="B85" s="102"/>
      <c r="C85" s="1010" t="str">
        <f>Scenario2&amp;"  Lease Return Cost pa (based on Touch Hour Rate)"</f>
        <v>hSystems (Hybrid)  Lease Return Cost pa (based on Touch Hour Rate)</v>
      </c>
      <c r="D85" s="310"/>
      <c r="E85" s="316"/>
      <c r="F85" s="316"/>
      <c r="G85" s="316"/>
      <c r="H85" s="316"/>
      <c r="I85" s="316"/>
      <c r="J85" s="316"/>
      <c r="K85" s="316"/>
      <c r="L85" s="316"/>
      <c r="M85" s="316"/>
      <c r="N85" s="316"/>
      <c r="O85" s="566"/>
      <c r="P85" s="17"/>
      <c r="Q85" s="17"/>
      <c r="R85" s="17"/>
      <c r="S85" s="17"/>
      <c r="T85" s="17"/>
      <c r="U85" s="17"/>
      <c r="V85" s="17"/>
      <c r="W85" s="17"/>
      <c r="X85" s="17"/>
      <c r="Y85" s="17"/>
      <c r="Z85" s="17"/>
      <c r="AA85" s="17"/>
      <c r="AB85" s="17"/>
      <c r="AC85" s="17"/>
      <c r="AD85" s="17"/>
      <c r="AE85" s="17"/>
      <c r="AF85" s="17"/>
      <c r="AG85" s="17"/>
    </row>
    <row r="86" spans="1:33" s="142" customFormat="1" ht="18" hidden="1" customHeight="1" outlineLevel="1" x14ac:dyDescent="0.25">
      <c r="A86" s="194"/>
      <c r="B86" s="138"/>
      <c r="C86" s="235"/>
      <c r="D86" s="726" t="s">
        <v>1705</v>
      </c>
      <c r="E86" s="555">
        <f>(hSystemsTouchRateHourHM*hSystemsLeaseLaborHrsHM*LeaseReturnForecast)</f>
        <v>92769.781179798651</v>
      </c>
      <c r="F86" s="555">
        <f>(hSystemsTouchRateHourHM*hSystemsLeaseLaborHrsHM*LeaseReturnForecast)*(1+Inflation)^1</f>
        <v>141937.76520509194</v>
      </c>
      <c r="G86" s="555">
        <f>(hSystemsTouchRateHourHM*hSystemsLeaseLaborHrsHM*LeaseReturnForecast)*(1+Inflation)^2</f>
        <v>144776.52050919377</v>
      </c>
      <c r="H86" s="555">
        <f>(hSystemsTouchRateHourHM*hSystemsLeaseLaborHrsHM*LeaseReturnForecast)*(1+Inflation)^3</f>
        <v>98448.033946251759</v>
      </c>
      <c r="I86" s="555">
        <f>(hSystemsTouchRateHourHM*hSystemsLeaseLaborHrsHM*LeaseReturnForecast)*(1+Inflation)^4</f>
        <v>100416.9946251768</v>
      </c>
      <c r="J86" s="555">
        <f>(hSystemsTouchRateHourHM*hSystemsLeaseLaborHrsHM*LeaseReturnForecast)*(1+Inflation)^5</f>
        <v>153638.00177652051</v>
      </c>
      <c r="K86" s="555">
        <f>(hSystemsTouchRateHourHM*hSystemsLeaseLaborHrsHM*LeaseReturnForecast)*(1+Inflation)^6</f>
        <v>156710.76181205091</v>
      </c>
      <c r="L86" s="555">
        <f>(hSystemsTouchRateHourHM*hSystemsLeaseLaborHrsHM*LeaseReturnForecast)*(1+Inflation)^7</f>
        <v>106563.31803219461</v>
      </c>
      <c r="M86" s="555">
        <f>(hSystemsTouchRateHourHM*hSystemsLeaseLaborHrsHM*LeaseReturnForecast)*(1+Inflation)^8</f>
        <v>108694.58439283851</v>
      </c>
      <c r="N86" s="555">
        <f>(hSystemsTouchRateHourHM*hSystemsLeaseLaborHrsHM*LeaseReturnForecast)*(1+Inflation)^9</f>
        <v>166302.71412104293</v>
      </c>
      <c r="O86" s="535" t="s">
        <v>1706</v>
      </c>
    </row>
    <row r="87" spans="1:33" s="142" customFormat="1" ht="18" hidden="1" customHeight="1" outlineLevel="1" x14ac:dyDescent="0.25">
      <c r="A87" s="194"/>
      <c r="B87" s="128"/>
      <c r="C87" s="235"/>
      <c r="D87" s="726" t="s">
        <v>1707</v>
      </c>
      <c r="E87" s="555">
        <f>(hSystemsTouchRateHourLM*hSystemsLeaseLaborHrsLM*LeaseReturnForecast)</f>
        <v>231924.45294949666</v>
      </c>
      <c r="F87" s="555">
        <f>(hSystemsTouchRateHourLM*hSystemsLeaseLaborHrsLM*LeaseReturnForecast)*(1+Inflation)^1</f>
        <v>354844.4130127299</v>
      </c>
      <c r="G87" s="555">
        <f>(hSystemsTouchRateHourLM*hSystemsLeaseLaborHrsLM*LeaseReturnForecast)*(1+Inflation)^2</f>
        <v>361941.30127298448</v>
      </c>
      <c r="H87" s="555">
        <f>(hSystemsTouchRateHourLM*hSystemsLeaseLaborHrsLM*LeaseReturnForecast)*(1+Inflation)^3</f>
        <v>246120.08486562944</v>
      </c>
      <c r="I87" s="555">
        <f>(hSystemsTouchRateHourLM*hSystemsLeaseLaborHrsLM*LeaseReturnForecast)*(1+Inflation)^4</f>
        <v>251042.48656294204</v>
      </c>
      <c r="J87" s="555">
        <f>(hSystemsTouchRateHourLM*hSystemsLeaseLaborHrsLM*LeaseReturnForecast)*(1+Inflation)^5</f>
        <v>384095.00444130128</v>
      </c>
      <c r="K87" s="555">
        <f>(hSystemsTouchRateHourLM*hSystemsLeaseLaborHrsLM*LeaseReturnForecast)*(1+Inflation)^6</f>
        <v>391776.90453012736</v>
      </c>
      <c r="L87" s="555">
        <f>(hSystemsTouchRateHourLM*hSystemsLeaseLaborHrsLM*LeaseReturnForecast)*(1+Inflation)^7</f>
        <v>266408.29508048657</v>
      </c>
      <c r="M87" s="555">
        <f>(hSystemsTouchRateHourLM*hSystemsLeaseLaborHrsLM*LeaseReturnForecast)*(1+Inflation)^8</f>
        <v>271736.46098209632</v>
      </c>
      <c r="N87" s="555">
        <f>(hSystemsTouchRateHourLM*hSystemsLeaseLaborHrsLM*LeaseReturnForecast)*(1+Inflation)^9</f>
        <v>415756.78530260734</v>
      </c>
      <c r="O87" s="535" t="s">
        <v>1708</v>
      </c>
    </row>
    <row r="88" spans="1:33" s="142" customFormat="1" ht="18" hidden="1" customHeight="1" outlineLevel="1" x14ac:dyDescent="0.25">
      <c r="A88" s="194"/>
      <c r="B88" s="128"/>
      <c r="C88" s="235"/>
      <c r="D88" s="727" t="s">
        <v>1709</v>
      </c>
      <c r="E88" s="555">
        <f>(hSystemsTouchRateHourENG*hSystemsLeaseLaborHrsENG*LeaseReturnForecast)</f>
        <v>313098.01148182049</v>
      </c>
      <c r="F88" s="555">
        <f>(hSystemsTouchRateHourENG*hSystemsLeaseLaborHrsENG*LeaseReturnForecast)*(1+Inflation)^1</f>
        <v>479039.95756718534</v>
      </c>
      <c r="G88" s="555">
        <f>(hSystemsTouchRateHourENG*hSystemsLeaseLaborHrsENG*LeaseReturnForecast)*(1+Inflation)^2</f>
        <v>488620.75671852904</v>
      </c>
      <c r="H88" s="555">
        <f>(hSystemsTouchRateHourENG*hSystemsLeaseLaborHrsENG*LeaseReturnForecast)*(1+Inflation)^3</f>
        <v>332262.11456859973</v>
      </c>
      <c r="I88" s="555">
        <f>(hSystemsTouchRateHourENG*hSystemsLeaseLaborHrsENG*LeaseReturnForecast)*(1+Inflation)^4</f>
        <v>338907.35685997177</v>
      </c>
      <c r="J88" s="555">
        <f>(hSystemsTouchRateHourENG*hSystemsLeaseLaborHrsENG*LeaseReturnForecast)*(1+Inflation)^5</f>
        <v>518528.25599575677</v>
      </c>
      <c r="K88" s="555">
        <f>(hSystemsTouchRateHourENG*hSystemsLeaseLaborHrsENG*LeaseReturnForecast)*(1+Inflation)^6</f>
        <v>528898.82111567201</v>
      </c>
      <c r="L88" s="555">
        <f>(hSystemsTouchRateHourENG*hSystemsLeaseLaborHrsENG*LeaseReturnForecast)*(1+Inflation)^7</f>
        <v>359651.19835865684</v>
      </c>
      <c r="M88" s="555">
        <f>(hSystemsTouchRateHourENG*hSystemsLeaseLaborHrsENG*LeaseReturnForecast)*(1+Inflation)^8</f>
        <v>366844.22232583002</v>
      </c>
      <c r="N88" s="555">
        <f>(hSystemsTouchRateHourENG*hSystemsLeaseLaborHrsENG*LeaseReturnForecast)*(1+Inflation)^9</f>
        <v>561271.66015851998</v>
      </c>
      <c r="O88" s="535" t="s">
        <v>1710</v>
      </c>
    </row>
    <row r="89" spans="1:33" s="142" customFormat="1" ht="18" hidden="1" customHeight="1" outlineLevel="1" x14ac:dyDescent="0.25">
      <c r="A89" s="194"/>
      <c r="B89" s="138"/>
      <c r="C89" s="235"/>
      <c r="D89" s="726" t="s">
        <v>1711</v>
      </c>
      <c r="E89" s="555">
        <f>(hSystemsTouchRateHourPLG*hSystemsLeaseLaborHrsPLG*LeaseReturnForecast)</f>
        <v>98567.892503536073</v>
      </c>
      <c r="F89" s="555">
        <f>(hSystemsTouchRateHourPLG*hSystemsLeaseLaborHrsPLG*LeaseReturnForecast)*(1+Inflation)^1</f>
        <v>150808.87553041021</v>
      </c>
      <c r="G89" s="555">
        <f>(hSystemsTouchRateHourPLG*hSystemsLeaseLaborHrsPLG*LeaseReturnForecast)*(1+Inflation)^2</f>
        <v>153825.0530410184</v>
      </c>
      <c r="H89" s="555">
        <f>(hSystemsTouchRateHourPLG*hSystemsLeaseLaborHrsPLG*LeaseReturnForecast)*(1+Inflation)^3</f>
        <v>104601.03606789251</v>
      </c>
      <c r="I89" s="555">
        <f>(hSystemsTouchRateHourPLG*hSystemsLeaseLaborHrsPLG*LeaseReturnForecast)*(1+Inflation)^4</f>
        <v>106693.05678925036</v>
      </c>
      <c r="J89" s="555">
        <f>(hSystemsTouchRateHourPLG*hSystemsLeaseLaborHrsPLG*LeaseReturnForecast)*(1+Inflation)^5</f>
        <v>163240.37688755305</v>
      </c>
      <c r="K89" s="555">
        <f>(hSystemsTouchRateHourPLG*hSystemsLeaseLaborHrsPLG*LeaseReturnForecast)*(1+Inflation)^6</f>
        <v>166505.18442530412</v>
      </c>
      <c r="L89" s="555">
        <f>(hSystemsTouchRateHourPLG*hSystemsLeaseLaborHrsPLG*LeaseReturnForecast)*(1+Inflation)^7</f>
        <v>113223.52540920678</v>
      </c>
      <c r="M89" s="555">
        <f>(hSystemsTouchRateHourPLG*hSystemsLeaseLaborHrsPLG*LeaseReturnForecast)*(1+Inflation)^8</f>
        <v>115487.99591739093</v>
      </c>
      <c r="N89" s="555">
        <f>(hSystemsTouchRateHourPLG*hSystemsLeaseLaborHrsPLG*LeaseReturnForecast)*(1+Inflation)^9</f>
        <v>176696.63375360813</v>
      </c>
      <c r="O89" s="535" t="s">
        <v>1712</v>
      </c>
    </row>
    <row r="90" spans="1:33" s="142" customFormat="1" ht="18" hidden="1" customHeight="1" outlineLevel="1" x14ac:dyDescent="0.25">
      <c r="A90" s="194"/>
      <c r="B90" s="138"/>
      <c r="C90" s="235"/>
      <c r="D90" s="726" t="s">
        <v>1713</v>
      </c>
      <c r="E90" s="555">
        <f>(hSystemsTouchRateHourCRT*hSystemsLeaseLaborHrsCRT*LeaseReturnForecast)</f>
        <v>86971.669856061257</v>
      </c>
      <c r="F90" s="555">
        <f>(hSystemsTouchRateHourCRT*hSystemsLeaseLaborHrsCRT*LeaseReturnForecast)*(1+Inflation)^1</f>
        <v>133066.65487977373</v>
      </c>
      <c r="G90" s="555">
        <f>(hSystemsTouchRateHourCRT*hSystemsLeaseLaborHrsCRT*LeaseReturnForecast)*(1+Inflation)^2</f>
        <v>135727.98797736919</v>
      </c>
      <c r="H90" s="555">
        <f>(hSystemsTouchRateHourCRT*hSystemsLeaseLaborHrsCRT*LeaseReturnForecast)*(1+Inflation)^3</f>
        <v>92295.031824611055</v>
      </c>
      <c r="I90" s="555">
        <f>(hSystemsTouchRateHourCRT*hSystemsLeaseLaborHrsCRT*LeaseReturnForecast)*(1+Inflation)^4</f>
        <v>94140.932461103279</v>
      </c>
      <c r="J90" s="555">
        <f>(hSystemsTouchRateHourCRT*hSystemsLeaseLaborHrsCRT*LeaseReturnForecast)*(1+Inflation)^5</f>
        <v>144035.626665488</v>
      </c>
      <c r="K90" s="555">
        <f>(hSystemsTouchRateHourCRT*hSystemsLeaseLaborHrsCRT*LeaseReturnForecast)*(1+Inflation)^6</f>
        <v>146916.33919879777</v>
      </c>
      <c r="L90" s="555">
        <f>(hSystemsTouchRateHourCRT*hSystemsLeaseLaborHrsCRT*LeaseReturnForecast)*(1+Inflation)^7</f>
        <v>99903.110655182463</v>
      </c>
      <c r="M90" s="555">
        <f>(hSystemsTouchRateHourCRT*hSystemsLeaseLaborHrsCRT*LeaseReturnForecast)*(1+Inflation)^8</f>
        <v>101901.17286828613</v>
      </c>
      <c r="N90" s="555">
        <f>(hSystemsTouchRateHourCRT*hSystemsLeaseLaborHrsCRT*LeaseReturnForecast)*(1+Inflation)^9</f>
        <v>155908.79448847778</v>
      </c>
      <c r="O90" s="535" t="s">
        <v>1714</v>
      </c>
    </row>
    <row r="91" spans="1:33" s="142" customFormat="1" ht="18" hidden="1" customHeight="1" outlineLevel="1" x14ac:dyDescent="0.25">
      <c r="A91" s="194"/>
      <c r="B91" s="128"/>
      <c r="C91" s="235"/>
      <c r="D91" s="726" t="s">
        <v>1715</v>
      </c>
      <c r="E91" s="555">
        <f>(hSystemsTouchRateHourSCL*hSystemsLeaseLaborHrsSCL*LeaseReturnForecast)</f>
        <v>13915.467176969798</v>
      </c>
      <c r="F91" s="555">
        <f>(hSystemsTouchRateHourSCL*hSystemsLeaseLaborHrsSCL*LeaseReturnForecast)*(1+Inflation)^1</f>
        <v>21290.664780763793</v>
      </c>
      <c r="G91" s="555">
        <f>(hSystemsTouchRateHourSCL*hSystemsLeaseLaborHrsSCL*LeaseReturnForecast)*(1+Inflation)^2</f>
        <v>21716.478076379066</v>
      </c>
      <c r="H91" s="555">
        <f>(hSystemsTouchRateHourSCL*hSystemsLeaseLaborHrsSCL*LeaseReturnForecast)*(1+Inflation)^3</f>
        <v>14767.205091937765</v>
      </c>
      <c r="I91" s="555">
        <f>(hSystemsTouchRateHourSCL*hSystemsLeaseLaborHrsSCL*LeaseReturnForecast)*(1+Inflation)^4</f>
        <v>15062.54919377652</v>
      </c>
      <c r="J91" s="555">
        <f>(hSystemsTouchRateHourSCL*hSystemsLeaseLaborHrsSCL*LeaseReturnForecast)*(1+Inflation)^5</f>
        <v>23045.700266478078</v>
      </c>
      <c r="K91" s="555">
        <f>(hSystemsTouchRateHourSCL*hSystemsLeaseLaborHrsSCL*LeaseReturnForecast)*(1+Inflation)^6</f>
        <v>23506.614271807641</v>
      </c>
      <c r="L91" s="555">
        <f>(hSystemsTouchRateHourSCL*hSystemsLeaseLaborHrsSCL*LeaseReturnForecast)*(1+Inflation)^7</f>
        <v>15984.497704829191</v>
      </c>
      <c r="M91" s="555">
        <f>(hSystemsTouchRateHourSCL*hSystemsLeaseLaborHrsSCL*LeaseReturnForecast)*(1+Inflation)^8</f>
        <v>16304.187658925777</v>
      </c>
      <c r="N91" s="555">
        <f>(hSystemsTouchRateHourSCL*hSystemsLeaseLaborHrsSCL*LeaseReturnForecast)*(1+Inflation)^9</f>
        <v>24945.40711815644</v>
      </c>
      <c r="O91" s="535" t="s">
        <v>1716</v>
      </c>
    </row>
    <row r="92" spans="1:33" s="142" customFormat="1" ht="18" hidden="1" customHeight="1" outlineLevel="1" x14ac:dyDescent="0.25">
      <c r="A92" s="194"/>
      <c r="B92" s="138"/>
      <c r="C92" s="235"/>
      <c r="D92" s="726" t="s">
        <v>1717</v>
      </c>
      <c r="E92" s="555">
        <f>(hSystemsTouchRateHourQSC*hSystemsLeaseLaborHrsQSC*LeaseReturnForecast)</f>
        <v>17394.333971212247</v>
      </c>
      <c r="F92" s="555">
        <f>(hSystemsTouchRateHourQSC*hSystemsLeaseLaborHrsQSC*LeaseReturnForecast)*(1+Inflation)^1</f>
        <v>26613.330975954737</v>
      </c>
      <c r="G92" s="555">
        <f>(hSystemsTouchRateHourQSC*hSystemsLeaseLaborHrsQSC*LeaseReturnForecast)*(1+Inflation)^2</f>
        <v>27145.597595473831</v>
      </c>
      <c r="H92" s="555">
        <f>(hSystemsTouchRateHourQSC*hSystemsLeaseLaborHrsQSC*LeaseReturnForecast)*(1+Inflation)^3</f>
        <v>18459.006364922207</v>
      </c>
      <c r="I92" s="555">
        <f>(hSystemsTouchRateHourQSC*hSystemsLeaseLaborHrsQSC*LeaseReturnForecast)*(1+Inflation)^4</f>
        <v>18828.186492220651</v>
      </c>
      <c r="J92" s="555">
        <f>(hSystemsTouchRateHourQSC*hSystemsLeaseLaborHrsQSC*LeaseReturnForecast)*(1+Inflation)^5</f>
        <v>28807.125333097596</v>
      </c>
      <c r="K92" s="555">
        <f>(hSystemsTouchRateHourQSC*hSystemsLeaseLaborHrsQSC*LeaseReturnForecast)*(1+Inflation)^6</f>
        <v>29383.267839759548</v>
      </c>
      <c r="L92" s="555">
        <f>(hSystemsTouchRateHourQSC*hSystemsLeaseLaborHrsQSC*LeaseReturnForecast)*(1+Inflation)^7</f>
        <v>19980.622131036489</v>
      </c>
      <c r="M92" s="555">
        <f>(hSystemsTouchRateHourQSC*hSystemsLeaseLaborHrsQSC*LeaseReturnForecast)*(1+Inflation)^8</f>
        <v>20380.234573657221</v>
      </c>
      <c r="N92" s="555">
        <f>(hSystemsTouchRateHourQSC*hSystemsLeaseLaborHrsQSC*LeaseReturnForecast)*(1+Inflation)^9</f>
        <v>31181.758897695549</v>
      </c>
      <c r="O92" s="535" t="s">
        <v>1718</v>
      </c>
    </row>
    <row r="93" spans="1:33" s="142" customFormat="1" ht="18" hidden="1" customHeight="1" outlineLevel="1" x14ac:dyDescent="0.25">
      <c r="A93" s="194"/>
      <c r="B93" s="138"/>
      <c r="C93" s="235"/>
      <c r="D93" s="726" t="s">
        <v>1719</v>
      </c>
      <c r="E93" s="555">
        <f>(hSystemsTouchRateHourEM*hSystemsLeaseLaborHrsEM*LeaseReturnForecast)</f>
        <v>0</v>
      </c>
      <c r="F93" s="555">
        <f>(hSystemsTouchRateHourEM*hSystemsLeaseLaborHrsEM*LeaseReturnForecast)*(1+Inflation)^1</f>
        <v>0</v>
      </c>
      <c r="G93" s="555">
        <f>(hSystemsTouchRateHourEM*hSystemsLeaseLaborHrsEM*LeaseReturnForecast)*(1+Inflation)^2</f>
        <v>0</v>
      </c>
      <c r="H93" s="555">
        <f>(hSystemsTouchRateHourEM*hSystemsLeaseLaborHrsEM*LeaseReturnForecast)*(1+Inflation)^3</f>
        <v>0</v>
      </c>
      <c r="I93" s="555">
        <f>(hSystemsTouchRateHourEM*hSystemsLeaseLaborHrsEM*LeaseReturnForecast)*(1+Inflation)^4</f>
        <v>0</v>
      </c>
      <c r="J93" s="555">
        <f>(hSystemsTouchRateHourEM*hSystemsLeaseLaborHrsEM*LeaseReturnForecast)*(1+Inflation)^5</f>
        <v>0</v>
      </c>
      <c r="K93" s="555">
        <f>(hSystemsTouchRateHourEM*hSystemsLeaseLaborHrsEM*LeaseReturnForecast)*(1+Inflation)^6</f>
        <v>0</v>
      </c>
      <c r="L93" s="555">
        <f>(hSystemsTouchRateHourEM*hSystemsLeaseLaborHrsEM*LeaseReturnForecast)*(1+Inflation)^7</f>
        <v>0</v>
      </c>
      <c r="M93" s="555">
        <f>(hSystemsTouchRateHourEM*hSystemsLeaseLaborHrsEM*LeaseReturnForecast)*(1+Inflation)^8</f>
        <v>0</v>
      </c>
      <c r="N93" s="555">
        <f>(hSystemsTouchRateHourEM*hSystemsLeaseLaborHrsEM*LeaseReturnForecast)*(1+Inflation)^9</f>
        <v>0</v>
      </c>
      <c r="O93" s="535" t="s">
        <v>1720</v>
      </c>
    </row>
    <row r="94" spans="1:33" s="142" customFormat="1" ht="18" hidden="1" customHeight="1" outlineLevel="1" x14ac:dyDescent="0.25">
      <c r="A94" s="194"/>
      <c r="B94" s="138"/>
      <c r="C94" s="235"/>
      <c r="D94" s="726" t="s">
        <v>1721</v>
      </c>
      <c r="E94" s="555">
        <f>(hSystemsTouchRateHourCM*hSystemsLeaseLaborHrsCM*LeaseReturnForecast)</f>
        <v>0</v>
      </c>
      <c r="F94" s="555">
        <f>(hSystemsTouchRateHourCM*hSystemsLeaseLaborHrsCM*LeaseReturnForecast)*(1+Inflation)^1</f>
        <v>0</v>
      </c>
      <c r="G94" s="555">
        <f>(hSystemsTouchRateHourCM*hSystemsLeaseLaborHrsCM*LeaseReturnForecast)*(1+Inflation)^2</f>
        <v>0</v>
      </c>
      <c r="H94" s="555">
        <f>(hSystemsTouchRateHourCM*hSystemsLeaseLaborHrsCM*LeaseReturnForecast)*(1+Inflation)^3</f>
        <v>0</v>
      </c>
      <c r="I94" s="555">
        <f>(hSystemsTouchRateHourCM*hSystemsLeaseLaborHrsCM*LeaseReturnForecast)*(1+Inflation)^4</f>
        <v>0</v>
      </c>
      <c r="J94" s="555">
        <f>(hSystemsTouchRateHourCM*hSystemsLeaseLaborHrsCM*LeaseReturnForecast)*(1+Inflation)^5</f>
        <v>0</v>
      </c>
      <c r="K94" s="555">
        <f>(hSystemsTouchRateHourCM*hSystemsLeaseLaborHrsCM*LeaseReturnForecast)*(1+Inflation)^6</f>
        <v>0</v>
      </c>
      <c r="L94" s="555">
        <f>(hSystemsTouchRateHourCM*hSystemsLeaseLaborHrsCM*LeaseReturnForecast)*(1+Inflation)^7</f>
        <v>0</v>
      </c>
      <c r="M94" s="555">
        <f>(hSystemsTouchRateHourCM*hSystemsLeaseLaborHrsCM*LeaseReturnForecast)*(1+Inflation)^8</f>
        <v>0</v>
      </c>
      <c r="N94" s="555">
        <f>(hSystemsTouchRateHourCM*hSystemsLeaseLaborHrsCM*LeaseReturnForecast)*(1+Inflation)^9</f>
        <v>0</v>
      </c>
      <c r="O94" s="535" t="s">
        <v>1722</v>
      </c>
    </row>
    <row r="95" spans="1:33" s="142" customFormat="1" ht="18" hidden="1" customHeight="1" outlineLevel="1" x14ac:dyDescent="0.25">
      <c r="A95" s="194"/>
      <c r="B95" s="138"/>
      <c r="C95" s="235"/>
      <c r="D95" s="726" t="s">
        <v>1723</v>
      </c>
      <c r="E95" s="555">
        <f>(hSystemsTouchRateHourSMCS*hSystemsLeaseLaborHrsSMCS*LeaseReturnForecast)</f>
        <v>0</v>
      </c>
      <c r="F95" s="555">
        <f>(hSystemsTouchRateHourSMCS*hSystemsLeaseLaborHrsSMCS*LeaseReturnForecast)*(1+Inflation)^1</f>
        <v>0</v>
      </c>
      <c r="G95" s="555">
        <f>(hSystemsTouchRateHourSMCS*hSystemsLeaseLaborHrsSMCS*LeaseReturnForecast)*(1+Inflation)^2</f>
        <v>0</v>
      </c>
      <c r="H95" s="555">
        <f>(hSystemsTouchRateHourSMCS*hSystemsLeaseLaborHrsSMCS*LeaseReturnForecast)*(1+Inflation)^3</f>
        <v>0</v>
      </c>
      <c r="I95" s="555">
        <f>(hSystemsTouchRateHourSMCS*hSystemsLeaseLaborHrsSMCS*LeaseReturnForecast)*(1+Inflation)^4</f>
        <v>0</v>
      </c>
      <c r="J95" s="555">
        <f>(hSystemsTouchRateHourSMCS*hSystemsLeaseLaborHrsSMCS*LeaseReturnForecast)*(1+Inflation)^5</f>
        <v>0</v>
      </c>
      <c r="K95" s="555">
        <f>(hSystemsTouchRateHourSMCS*hSystemsLeaseLaborHrsSMCS*LeaseReturnForecast)*(1+Inflation)^6</f>
        <v>0</v>
      </c>
      <c r="L95" s="555">
        <f>(hSystemsTouchRateHourSMCS*hSystemsLeaseLaborHrsSMCS*LeaseReturnForecast)*(1+Inflation)^7</f>
        <v>0</v>
      </c>
      <c r="M95" s="555">
        <f>(hSystemsTouchRateHourSMCS*hSystemsLeaseLaborHrsSMCS*LeaseReturnForecast)*(1+Inflation)^8</f>
        <v>0</v>
      </c>
      <c r="N95" s="555">
        <f>(hSystemsTouchRateHourSMCS*hSystemsLeaseLaborHrsSMCS*LeaseReturnForecast)*(1+Inflation)^9</f>
        <v>0</v>
      </c>
      <c r="O95" s="535" t="s">
        <v>1724</v>
      </c>
    </row>
    <row r="96" spans="1:33" s="142" customFormat="1" ht="18" hidden="1" customHeight="1" outlineLevel="1" x14ac:dyDescent="0.25">
      <c r="A96" s="194"/>
      <c r="B96" s="138"/>
      <c r="C96" s="235"/>
      <c r="D96" s="726" t="s">
        <v>1725</v>
      </c>
      <c r="E96" s="555">
        <f>(hSystemsTouchRateHourO1*hSystemsLeaseLaborHrsO1*LeaseReturnForecast)</f>
        <v>0</v>
      </c>
      <c r="F96" s="555">
        <f>(hSystemsTouchRateHourO1*hSystemsLeaseLaborHrsO1*LeaseReturnForecast)*(1+Inflation)^1</f>
        <v>0</v>
      </c>
      <c r="G96" s="555">
        <f>(hSystemsTouchRateHourO1*hSystemsLeaseLaborHrsO1*LeaseReturnForecast)*(1+Inflation)^2</f>
        <v>0</v>
      </c>
      <c r="H96" s="555">
        <f>(hSystemsTouchRateHourO1*hSystemsLeaseLaborHrsO1*LeaseReturnForecast)*(1+Inflation)^3</f>
        <v>0</v>
      </c>
      <c r="I96" s="555">
        <f>(hSystemsTouchRateHourO1*hSystemsLeaseLaborHrsO1*LeaseReturnForecast)*(1+Inflation)^4</f>
        <v>0</v>
      </c>
      <c r="J96" s="555">
        <f>(hSystemsTouchRateHourO1*hSystemsLeaseLaborHrsO1*LeaseReturnForecast)*(1+Inflation)^5</f>
        <v>0</v>
      </c>
      <c r="K96" s="555">
        <f>(hSystemsTouchRateHourO1*hSystemsLeaseLaborHrsO1*LeaseReturnForecast)*(1+Inflation)^6</f>
        <v>0</v>
      </c>
      <c r="L96" s="555">
        <f>(hSystemsTouchRateHourO1*hSystemsLeaseLaborHrsO1*LeaseReturnForecast)*(1+Inflation)^7</f>
        <v>0</v>
      </c>
      <c r="M96" s="555">
        <f>(hSystemsTouchRateHourO1*hSystemsLeaseLaborHrsO1*LeaseReturnForecast)*(1+Inflation)^8</f>
        <v>0</v>
      </c>
      <c r="N96" s="555">
        <f>(hSystemsTouchRateHourO1*hSystemsLeaseLaborHrsO1*LeaseReturnForecast)*(1+Inflation)^9</f>
        <v>0</v>
      </c>
      <c r="O96" s="535" t="s">
        <v>1726</v>
      </c>
    </row>
    <row r="97" spans="1:33" s="142" customFormat="1" ht="18" hidden="1" customHeight="1" outlineLevel="1" x14ac:dyDescent="0.25">
      <c r="A97" s="194"/>
      <c r="B97" s="138"/>
      <c r="C97" s="235"/>
      <c r="D97" s="726" t="s">
        <v>1727</v>
      </c>
      <c r="E97" s="555">
        <f>(hSystemsTouchRateHourO2*hSystemsLeaseLaborHrsO2*LeaseReturnForecast)</f>
        <v>0</v>
      </c>
      <c r="F97" s="555">
        <f>(hSystemsTouchRateHourO2*hSystemsLeaseLaborHrsO2*LeaseReturnForecast)*(1+Inflation)^1</f>
        <v>0</v>
      </c>
      <c r="G97" s="555">
        <f>(hSystemsTouchRateHourO2*hSystemsLeaseLaborHrsO2*LeaseReturnForecast)*(1+Inflation)^2</f>
        <v>0</v>
      </c>
      <c r="H97" s="555">
        <f>(hSystemsTouchRateHourO2*hSystemsLeaseLaborHrsO2*LeaseReturnForecast)*(1+Inflation)^3</f>
        <v>0</v>
      </c>
      <c r="I97" s="555">
        <f>(hSystemsTouchRateHourO2*hSystemsLeaseLaborHrsO2*LeaseReturnForecast)*(1+Inflation)^4</f>
        <v>0</v>
      </c>
      <c r="J97" s="555">
        <f>(hSystemsTouchRateHourO2*hSystemsLeaseLaborHrsO2*LeaseReturnForecast)*(1+Inflation)^5</f>
        <v>0</v>
      </c>
      <c r="K97" s="555">
        <f>(hSystemsTouchRateHourO2*hSystemsLeaseLaborHrsO2*LeaseReturnForecast)*(1+Inflation)^6</f>
        <v>0</v>
      </c>
      <c r="L97" s="555">
        <f>(hSystemsTouchRateHourO2*hSystemsLeaseLaborHrsO2*LeaseReturnForecast)*(1+Inflation)^7</f>
        <v>0</v>
      </c>
      <c r="M97" s="555">
        <f>(hSystemsTouchRateHourO2*hSystemsLeaseLaborHrsO2*LeaseReturnForecast)*(1+Inflation)^8</f>
        <v>0</v>
      </c>
      <c r="N97" s="555">
        <f>(hSystemsTouchRateHourO2*hSystemsLeaseLaborHrsO2*LeaseReturnForecast)*(1+Inflation)^9</f>
        <v>0</v>
      </c>
      <c r="O97" s="535" t="s">
        <v>1728</v>
      </c>
    </row>
    <row r="98" spans="1:33" s="142" customFormat="1" ht="18" hidden="1" customHeight="1" outlineLevel="1" x14ac:dyDescent="0.25">
      <c r="A98" s="194"/>
      <c r="B98" s="138"/>
      <c r="C98" s="235"/>
      <c r="D98" s="728" t="s">
        <v>1729</v>
      </c>
      <c r="E98" s="556">
        <f>SUM(E86:E97)</f>
        <v>854641.60911889514</v>
      </c>
      <c r="F98" s="556">
        <f t="shared" ref="F98:N98" si="14">SUM(F86:F97)</f>
        <v>1307601.6619519095</v>
      </c>
      <c r="G98" s="556">
        <f t="shared" si="14"/>
        <v>1333753.6951909477</v>
      </c>
      <c r="H98" s="556">
        <f t="shared" si="14"/>
        <v>906952.51272984443</v>
      </c>
      <c r="I98" s="556">
        <f t="shared" si="14"/>
        <v>925091.56298444141</v>
      </c>
      <c r="J98" s="556">
        <f t="shared" si="14"/>
        <v>1415390.0913661954</v>
      </c>
      <c r="K98" s="556">
        <f t="shared" si="14"/>
        <v>1443697.8931935194</v>
      </c>
      <c r="L98" s="556">
        <f t="shared" si="14"/>
        <v>981714.56737159297</v>
      </c>
      <c r="M98" s="556">
        <f t="shared" si="14"/>
        <v>1001348.8587190249</v>
      </c>
      <c r="N98" s="556">
        <f t="shared" si="14"/>
        <v>1532063.7538401082</v>
      </c>
      <c r="O98" s="535" t="s">
        <v>2930</v>
      </c>
    </row>
    <row r="99" spans="1:33" s="203" customFormat="1" ht="16.5" hidden="1" outlineLevel="1" thickBot="1" x14ac:dyDescent="0.3">
      <c r="A99" s="194"/>
      <c r="B99" s="74"/>
      <c r="C99" s="325"/>
      <c r="D99" s="725"/>
      <c r="E99" s="568"/>
      <c r="F99" s="568"/>
      <c r="G99" s="568"/>
      <c r="H99" s="568"/>
      <c r="I99" s="568"/>
      <c r="J99" s="568"/>
      <c r="K99" s="568"/>
      <c r="L99" s="568"/>
      <c r="M99" s="568"/>
      <c r="N99" s="568"/>
      <c r="O99" s="569"/>
      <c r="P99" s="204"/>
    </row>
    <row r="100" spans="1:33" s="203" customFormat="1" ht="16.5" hidden="1" outlineLevel="1" thickBot="1" x14ac:dyDescent="0.3">
      <c r="A100" s="194"/>
      <c r="B100" s="74"/>
      <c r="C100" s="211"/>
      <c r="D100" s="214"/>
      <c r="E100" s="210"/>
      <c r="F100" s="210"/>
      <c r="G100" s="210"/>
      <c r="H100" s="210"/>
      <c r="I100" s="210"/>
      <c r="J100" s="210"/>
      <c r="K100" s="210"/>
      <c r="L100" s="210"/>
      <c r="M100" s="210"/>
      <c r="N100" s="210"/>
      <c r="O100" s="204"/>
      <c r="P100" s="204"/>
    </row>
    <row r="101" spans="1:33" customFormat="1" ht="20.25" hidden="1" outlineLevel="1" x14ac:dyDescent="0.25">
      <c r="A101" s="194"/>
      <c r="B101" s="13"/>
      <c r="C101" s="1010" t="str">
        <f>Scenario2&amp;"  Lease Return FTEs"</f>
        <v>hSystems (Hybrid)  Lease Return FTEs</v>
      </c>
      <c r="D101" s="310"/>
      <c r="E101" s="434"/>
      <c r="F101" s="434"/>
      <c r="G101" s="434"/>
      <c r="H101" s="434"/>
      <c r="I101" s="434"/>
      <c r="J101" s="434"/>
      <c r="K101" s="434"/>
      <c r="L101" s="434"/>
      <c r="M101" s="434"/>
      <c r="N101" s="434"/>
      <c r="O101" s="573"/>
      <c r="P101" s="18"/>
      <c r="Q101" s="18"/>
      <c r="R101" s="18"/>
      <c r="S101" s="18"/>
      <c r="T101" s="18"/>
      <c r="U101" s="18"/>
      <c r="V101" s="18"/>
      <c r="W101" s="18"/>
      <c r="X101" s="18"/>
      <c r="Y101" s="18"/>
      <c r="Z101" s="18"/>
      <c r="AA101" s="18"/>
      <c r="AB101" s="18"/>
      <c r="AC101" s="18"/>
      <c r="AD101" s="18"/>
      <c r="AE101" s="18"/>
      <c r="AF101" s="18"/>
      <c r="AG101" s="18"/>
    </row>
    <row r="102" spans="1:33" s="142" customFormat="1" ht="18" hidden="1" customHeight="1" outlineLevel="1" x14ac:dyDescent="0.25">
      <c r="A102" s="194"/>
      <c r="B102" s="138"/>
      <c r="C102" s="235"/>
      <c r="D102" s="726" t="s">
        <v>1730</v>
      </c>
      <c r="E102" s="557">
        <f t="shared" ref="E102:N102" si="15">(hSystemsLeaseLaborHrsHM/hSystemsTouchHourspaHM)*LeaseReturnForecast</f>
        <v>0.83201597470671451</v>
      </c>
      <c r="F102" s="557">
        <f t="shared" si="15"/>
        <v>1.2480239620600717</v>
      </c>
      <c r="G102" s="557">
        <f t="shared" si="15"/>
        <v>1.2480239620600717</v>
      </c>
      <c r="H102" s="557">
        <f t="shared" si="15"/>
        <v>0.83201597470671451</v>
      </c>
      <c r="I102" s="557">
        <f t="shared" si="15"/>
        <v>0.83201597470671451</v>
      </c>
      <c r="J102" s="557">
        <f t="shared" si="15"/>
        <v>1.2480239620600717</v>
      </c>
      <c r="K102" s="557">
        <f t="shared" si="15"/>
        <v>1.2480239620600717</v>
      </c>
      <c r="L102" s="557">
        <f t="shared" si="15"/>
        <v>0.83201597470671451</v>
      </c>
      <c r="M102" s="557">
        <f t="shared" si="15"/>
        <v>0.83201597470671451</v>
      </c>
      <c r="N102" s="557">
        <f t="shared" si="15"/>
        <v>1.2480239620600717</v>
      </c>
      <c r="O102" s="535" t="s">
        <v>1731</v>
      </c>
    </row>
    <row r="103" spans="1:33" s="142" customFormat="1" ht="18" hidden="1" customHeight="1" outlineLevel="1" x14ac:dyDescent="0.25">
      <c r="A103" s="194"/>
      <c r="B103" s="138"/>
      <c r="C103" s="235"/>
      <c r="D103" s="726" t="s">
        <v>1732</v>
      </c>
      <c r="E103" s="557">
        <f t="shared" ref="E103:N103" si="16">(hSystemsLeaseLaborHrsLM/hSystemsTouchHourspaLM)*LeaseReturnForecast</f>
        <v>1.664031949413429</v>
      </c>
      <c r="F103" s="557">
        <f t="shared" si="16"/>
        <v>2.4960479241201434</v>
      </c>
      <c r="G103" s="557">
        <f t="shared" si="16"/>
        <v>2.4960479241201434</v>
      </c>
      <c r="H103" s="557">
        <f t="shared" si="16"/>
        <v>1.664031949413429</v>
      </c>
      <c r="I103" s="557">
        <f t="shared" si="16"/>
        <v>1.664031949413429</v>
      </c>
      <c r="J103" s="557">
        <f t="shared" si="16"/>
        <v>2.4960479241201434</v>
      </c>
      <c r="K103" s="557">
        <f t="shared" si="16"/>
        <v>2.4960479241201434</v>
      </c>
      <c r="L103" s="557">
        <f t="shared" si="16"/>
        <v>1.664031949413429</v>
      </c>
      <c r="M103" s="557">
        <f t="shared" si="16"/>
        <v>1.664031949413429</v>
      </c>
      <c r="N103" s="557">
        <f t="shared" si="16"/>
        <v>2.4960479241201434</v>
      </c>
      <c r="O103" s="535" t="s">
        <v>1733</v>
      </c>
    </row>
    <row r="104" spans="1:33" s="142" customFormat="1" ht="18" hidden="1" customHeight="1" outlineLevel="1" x14ac:dyDescent="0.25">
      <c r="A104" s="194"/>
      <c r="B104" s="138"/>
      <c r="C104" s="235"/>
      <c r="D104" s="727" t="s">
        <v>1734</v>
      </c>
      <c r="E104" s="557">
        <f t="shared" ref="E104:N104" si="17">(hSystemsLeaseLaborHrsENG/hSystemsTouchHourspaENG)*LeaseReturnForecast</f>
        <v>2.4960479241201434</v>
      </c>
      <c r="F104" s="557">
        <f t="shared" si="17"/>
        <v>3.7440718861802154</v>
      </c>
      <c r="G104" s="557">
        <f t="shared" si="17"/>
        <v>3.7440718861802154</v>
      </c>
      <c r="H104" s="557">
        <f t="shared" si="17"/>
        <v>2.4960479241201434</v>
      </c>
      <c r="I104" s="557">
        <f t="shared" si="17"/>
        <v>2.4960479241201434</v>
      </c>
      <c r="J104" s="557">
        <f t="shared" si="17"/>
        <v>3.7440718861802154</v>
      </c>
      <c r="K104" s="557">
        <f t="shared" si="17"/>
        <v>3.7440718861802154</v>
      </c>
      <c r="L104" s="557">
        <f t="shared" si="17"/>
        <v>2.4960479241201434</v>
      </c>
      <c r="M104" s="557">
        <f t="shared" si="17"/>
        <v>2.4960479241201434</v>
      </c>
      <c r="N104" s="557">
        <f t="shared" si="17"/>
        <v>3.7440718861802154</v>
      </c>
      <c r="O104" s="535" t="s">
        <v>1735</v>
      </c>
    </row>
    <row r="105" spans="1:33" s="142" customFormat="1" ht="18" hidden="1" customHeight="1" outlineLevel="1" x14ac:dyDescent="0.25">
      <c r="A105" s="194"/>
      <c r="B105" s="138"/>
      <c r="C105" s="235"/>
      <c r="D105" s="726" t="s">
        <v>1736</v>
      </c>
      <c r="E105" s="557">
        <f t="shared" ref="E105:N105" si="18">(hSystemsLeaseLaborHrsPLG/hSystemsTouchHourspaPLG)*LeaseReturnForecast</f>
        <v>0.83201597470671451</v>
      </c>
      <c r="F105" s="557">
        <f t="shared" si="18"/>
        <v>1.2480239620600717</v>
      </c>
      <c r="G105" s="557">
        <f t="shared" si="18"/>
        <v>1.2480239620600717</v>
      </c>
      <c r="H105" s="557">
        <f t="shared" si="18"/>
        <v>0.83201597470671451</v>
      </c>
      <c r="I105" s="557">
        <f t="shared" si="18"/>
        <v>0.83201597470671451</v>
      </c>
      <c r="J105" s="557">
        <f t="shared" si="18"/>
        <v>1.2480239620600717</v>
      </c>
      <c r="K105" s="557">
        <f t="shared" si="18"/>
        <v>1.2480239620600717</v>
      </c>
      <c r="L105" s="557">
        <f t="shared" si="18"/>
        <v>0.83201597470671451</v>
      </c>
      <c r="M105" s="557">
        <f t="shared" si="18"/>
        <v>0.83201597470671451</v>
      </c>
      <c r="N105" s="557">
        <f t="shared" si="18"/>
        <v>1.2480239620600717</v>
      </c>
      <c r="O105" s="535" t="s">
        <v>1737</v>
      </c>
    </row>
    <row r="106" spans="1:33" s="142" customFormat="1" ht="18" hidden="1" customHeight="1" outlineLevel="1" x14ac:dyDescent="0.25">
      <c r="A106" s="194"/>
      <c r="B106" s="138"/>
      <c r="C106" s="235"/>
      <c r="D106" s="726" t="s">
        <v>1738</v>
      </c>
      <c r="E106" s="557">
        <f t="shared" ref="E106:N106" si="19">(hSystemsLeaseLaborHrsCRT/hSystemsTouchHourspaCRT)*LeaseReturnForecast</f>
        <v>1.2480239620600717</v>
      </c>
      <c r="F106" s="557">
        <f t="shared" si="19"/>
        <v>1.8720359430901077</v>
      </c>
      <c r="G106" s="557">
        <f t="shared" si="19"/>
        <v>1.8720359430901077</v>
      </c>
      <c r="H106" s="557">
        <f t="shared" si="19"/>
        <v>1.2480239620600717</v>
      </c>
      <c r="I106" s="557">
        <f t="shared" si="19"/>
        <v>1.2480239620600717</v>
      </c>
      <c r="J106" s="557">
        <f t="shared" si="19"/>
        <v>1.8720359430901077</v>
      </c>
      <c r="K106" s="557">
        <f t="shared" si="19"/>
        <v>1.8720359430901077</v>
      </c>
      <c r="L106" s="557">
        <f t="shared" si="19"/>
        <v>1.2480239620600717</v>
      </c>
      <c r="M106" s="557">
        <f t="shared" si="19"/>
        <v>1.2480239620600717</v>
      </c>
      <c r="N106" s="557">
        <f t="shared" si="19"/>
        <v>1.8720359430901077</v>
      </c>
      <c r="O106" s="535" t="s">
        <v>1739</v>
      </c>
    </row>
    <row r="107" spans="1:33" s="142" customFormat="1" ht="18" hidden="1" customHeight="1" outlineLevel="1" x14ac:dyDescent="0.25">
      <c r="A107" s="194"/>
      <c r="B107" s="138"/>
      <c r="C107" s="235"/>
      <c r="D107" s="726" t="s">
        <v>1740</v>
      </c>
      <c r="E107" s="557">
        <f t="shared" ref="E107:N107" si="20">(hSystemsLeaseLaborHrsSCL/hSystemsTouchHourspaSCL)*LeaseReturnForecast</f>
        <v>0.1664031949413429</v>
      </c>
      <c r="F107" s="557">
        <f t="shared" si="20"/>
        <v>0.24960479241201433</v>
      </c>
      <c r="G107" s="557">
        <f t="shared" si="20"/>
        <v>0.24960479241201433</v>
      </c>
      <c r="H107" s="557">
        <f t="shared" si="20"/>
        <v>0.1664031949413429</v>
      </c>
      <c r="I107" s="557">
        <f t="shared" si="20"/>
        <v>0.1664031949413429</v>
      </c>
      <c r="J107" s="557">
        <f t="shared" si="20"/>
        <v>0.24960479241201433</v>
      </c>
      <c r="K107" s="557">
        <f t="shared" si="20"/>
        <v>0.24960479241201433</v>
      </c>
      <c r="L107" s="557">
        <f t="shared" si="20"/>
        <v>0.1664031949413429</v>
      </c>
      <c r="M107" s="557">
        <f t="shared" si="20"/>
        <v>0.1664031949413429</v>
      </c>
      <c r="N107" s="557">
        <f t="shared" si="20"/>
        <v>0.24960479241201433</v>
      </c>
      <c r="O107" s="535" t="s">
        <v>1741</v>
      </c>
    </row>
    <row r="108" spans="1:33" s="142" customFormat="1" ht="18" hidden="1" customHeight="1" outlineLevel="1" x14ac:dyDescent="0.25">
      <c r="A108" s="194"/>
      <c r="B108" s="138"/>
      <c r="C108" s="235"/>
      <c r="D108" s="726" t="s">
        <v>1742</v>
      </c>
      <c r="E108" s="557">
        <f t="shared" ref="E108:N108" si="21">(hSystemsLeaseLaborHrsQSC/hSystemsTouchHourspaQSC)*LeaseReturnForecast</f>
        <v>0.1664031949413429</v>
      </c>
      <c r="F108" s="557">
        <f t="shared" si="21"/>
        <v>0.24960479241201433</v>
      </c>
      <c r="G108" s="557">
        <f t="shared" si="21"/>
        <v>0.24960479241201433</v>
      </c>
      <c r="H108" s="557">
        <f t="shared" si="21"/>
        <v>0.1664031949413429</v>
      </c>
      <c r="I108" s="557">
        <f t="shared" si="21"/>
        <v>0.1664031949413429</v>
      </c>
      <c r="J108" s="557">
        <f t="shared" si="21"/>
        <v>0.24960479241201433</v>
      </c>
      <c r="K108" s="557">
        <f t="shared" si="21"/>
        <v>0.24960479241201433</v>
      </c>
      <c r="L108" s="557">
        <f t="shared" si="21"/>
        <v>0.1664031949413429</v>
      </c>
      <c r="M108" s="557">
        <f t="shared" si="21"/>
        <v>0.1664031949413429</v>
      </c>
      <c r="N108" s="557">
        <f t="shared" si="21"/>
        <v>0.24960479241201433</v>
      </c>
      <c r="O108" s="535" t="s">
        <v>1743</v>
      </c>
    </row>
    <row r="109" spans="1:33" s="142" customFormat="1" ht="18" hidden="1" customHeight="1" outlineLevel="1" x14ac:dyDescent="0.25">
      <c r="A109" s="194"/>
      <c r="B109" s="138"/>
      <c r="C109" s="235"/>
      <c r="D109" s="726" t="s">
        <v>1744</v>
      </c>
      <c r="E109" s="557">
        <f t="shared" ref="E109:N109" si="22">(hSystemsLeaseLaborHrsEM/hSystemsTouchHourspaEM)*LeaseReturnForecast</f>
        <v>0</v>
      </c>
      <c r="F109" s="557">
        <f t="shared" si="22"/>
        <v>0</v>
      </c>
      <c r="G109" s="557">
        <f t="shared" si="22"/>
        <v>0</v>
      </c>
      <c r="H109" s="557">
        <f t="shared" si="22"/>
        <v>0</v>
      </c>
      <c r="I109" s="557">
        <f t="shared" si="22"/>
        <v>0</v>
      </c>
      <c r="J109" s="557">
        <f t="shared" si="22"/>
        <v>0</v>
      </c>
      <c r="K109" s="557">
        <f t="shared" si="22"/>
        <v>0</v>
      </c>
      <c r="L109" s="557">
        <f t="shared" si="22"/>
        <v>0</v>
      </c>
      <c r="M109" s="557">
        <f t="shared" si="22"/>
        <v>0</v>
      </c>
      <c r="N109" s="557">
        <f t="shared" si="22"/>
        <v>0</v>
      </c>
      <c r="O109" s="535" t="s">
        <v>1745</v>
      </c>
    </row>
    <row r="110" spans="1:33" s="142" customFormat="1" ht="18" hidden="1" customHeight="1" outlineLevel="1" x14ac:dyDescent="0.25">
      <c r="A110" s="194"/>
      <c r="B110" s="138"/>
      <c r="C110" s="235"/>
      <c r="D110" s="726" t="s">
        <v>1746</v>
      </c>
      <c r="E110" s="557">
        <f t="shared" ref="E110:N110" si="23">(hSystemsLeaseLaborHrsCM/hSystemsTouchHourspaCM)*LeaseReturnForecast</f>
        <v>0</v>
      </c>
      <c r="F110" s="557">
        <f t="shared" si="23"/>
        <v>0</v>
      </c>
      <c r="G110" s="557">
        <f t="shared" si="23"/>
        <v>0</v>
      </c>
      <c r="H110" s="557">
        <f t="shared" si="23"/>
        <v>0</v>
      </c>
      <c r="I110" s="557">
        <f t="shared" si="23"/>
        <v>0</v>
      </c>
      <c r="J110" s="557">
        <f t="shared" si="23"/>
        <v>0</v>
      </c>
      <c r="K110" s="557">
        <f t="shared" si="23"/>
        <v>0</v>
      </c>
      <c r="L110" s="557">
        <f t="shared" si="23"/>
        <v>0</v>
      </c>
      <c r="M110" s="557">
        <f t="shared" si="23"/>
        <v>0</v>
      </c>
      <c r="N110" s="557">
        <f t="shared" si="23"/>
        <v>0</v>
      </c>
      <c r="O110" s="535" t="s">
        <v>1747</v>
      </c>
    </row>
    <row r="111" spans="1:33" s="142" customFormat="1" ht="18" hidden="1" customHeight="1" outlineLevel="1" x14ac:dyDescent="0.25">
      <c r="A111" s="194"/>
      <c r="B111" s="138"/>
      <c r="C111" s="235"/>
      <c r="D111" s="726" t="s">
        <v>1748</v>
      </c>
      <c r="E111" s="557">
        <f t="shared" ref="E111:N111" si="24">(hSystemsLeaseLaborHrsSMCS/hSystemsTouchHourspaSMCS)*LeaseReturnForecast</f>
        <v>0</v>
      </c>
      <c r="F111" s="557">
        <f t="shared" si="24"/>
        <v>0</v>
      </c>
      <c r="G111" s="557">
        <f t="shared" si="24"/>
        <v>0</v>
      </c>
      <c r="H111" s="557">
        <f t="shared" si="24"/>
        <v>0</v>
      </c>
      <c r="I111" s="557">
        <f t="shared" si="24"/>
        <v>0</v>
      </c>
      <c r="J111" s="557">
        <f t="shared" si="24"/>
        <v>0</v>
      </c>
      <c r="K111" s="557">
        <f t="shared" si="24"/>
        <v>0</v>
      </c>
      <c r="L111" s="557">
        <f t="shared" si="24"/>
        <v>0</v>
      </c>
      <c r="M111" s="557">
        <f t="shared" si="24"/>
        <v>0</v>
      </c>
      <c r="N111" s="557">
        <f t="shared" si="24"/>
        <v>0</v>
      </c>
      <c r="O111" s="535" t="s">
        <v>1749</v>
      </c>
    </row>
    <row r="112" spans="1:33" s="142" customFormat="1" ht="18" hidden="1" customHeight="1" outlineLevel="1" x14ac:dyDescent="0.25">
      <c r="A112" s="194"/>
      <c r="B112" s="138"/>
      <c r="C112" s="235"/>
      <c r="D112" s="726" t="s">
        <v>1750</v>
      </c>
      <c r="E112" s="557">
        <f t="shared" ref="E112:N112" si="25">(hSystemsLeaseLaborHrsO1/hSystemsTouchHourspaO1)*LeaseReturnForecast</f>
        <v>0</v>
      </c>
      <c r="F112" s="557">
        <f t="shared" si="25"/>
        <v>0</v>
      </c>
      <c r="G112" s="557">
        <f t="shared" si="25"/>
        <v>0</v>
      </c>
      <c r="H112" s="557">
        <f t="shared" si="25"/>
        <v>0</v>
      </c>
      <c r="I112" s="557">
        <f t="shared" si="25"/>
        <v>0</v>
      </c>
      <c r="J112" s="557">
        <f t="shared" si="25"/>
        <v>0</v>
      </c>
      <c r="K112" s="557">
        <f t="shared" si="25"/>
        <v>0</v>
      </c>
      <c r="L112" s="557">
        <f t="shared" si="25"/>
        <v>0</v>
      </c>
      <c r="M112" s="557">
        <f t="shared" si="25"/>
        <v>0</v>
      </c>
      <c r="N112" s="557">
        <f t="shared" si="25"/>
        <v>0</v>
      </c>
      <c r="O112" s="535" t="s">
        <v>1751</v>
      </c>
    </row>
    <row r="113" spans="1:33" s="142" customFormat="1" ht="18" hidden="1" customHeight="1" outlineLevel="1" x14ac:dyDescent="0.25">
      <c r="A113" s="194"/>
      <c r="B113" s="138"/>
      <c r="C113" s="235"/>
      <c r="D113" s="726" t="s">
        <v>1752</v>
      </c>
      <c r="E113" s="557">
        <f t="shared" ref="E113:N113" si="26">(hSystemsLeaseLaborHrsO2/hSystemsTouchHourspaO2)*LeaseReturnForecast</f>
        <v>0</v>
      </c>
      <c r="F113" s="557">
        <f t="shared" si="26"/>
        <v>0</v>
      </c>
      <c r="G113" s="557">
        <f t="shared" si="26"/>
        <v>0</v>
      </c>
      <c r="H113" s="557">
        <f t="shared" si="26"/>
        <v>0</v>
      </c>
      <c r="I113" s="557">
        <f t="shared" si="26"/>
        <v>0</v>
      </c>
      <c r="J113" s="557">
        <f t="shared" si="26"/>
        <v>0</v>
      </c>
      <c r="K113" s="557">
        <f t="shared" si="26"/>
        <v>0</v>
      </c>
      <c r="L113" s="557">
        <f t="shared" si="26"/>
        <v>0</v>
      </c>
      <c r="M113" s="557">
        <f t="shared" si="26"/>
        <v>0</v>
      </c>
      <c r="N113" s="557">
        <f t="shared" si="26"/>
        <v>0</v>
      </c>
      <c r="O113" s="535" t="s">
        <v>1753</v>
      </c>
    </row>
    <row r="114" spans="1:33" s="142" customFormat="1" ht="18" hidden="1" customHeight="1" outlineLevel="1" x14ac:dyDescent="0.25">
      <c r="A114" s="194"/>
      <c r="B114" s="138"/>
      <c r="C114" s="235"/>
      <c r="D114" s="728" t="s">
        <v>1754</v>
      </c>
      <c r="E114" s="574">
        <f>SUM(E102:E113)</f>
        <v>7.4049421748897588</v>
      </c>
      <c r="F114" s="574">
        <f t="shared" ref="F114:N114" si="27">SUM(F102:F113)</f>
        <v>11.10741326233464</v>
      </c>
      <c r="G114" s="574">
        <f t="shared" si="27"/>
        <v>11.10741326233464</v>
      </c>
      <c r="H114" s="574">
        <f t="shared" si="27"/>
        <v>7.4049421748897588</v>
      </c>
      <c r="I114" s="574">
        <f t="shared" si="27"/>
        <v>7.4049421748897588</v>
      </c>
      <c r="J114" s="574">
        <f t="shared" si="27"/>
        <v>11.10741326233464</v>
      </c>
      <c r="K114" s="574">
        <f t="shared" si="27"/>
        <v>11.10741326233464</v>
      </c>
      <c r="L114" s="574">
        <f t="shared" si="27"/>
        <v>7.4049421748897588</v>
      </c>
      <c r="M114" s="574">
        <f t="shared" si="27"/>
        <v>7.4049421748897588</v>
      </c>
      <c r="N114" s="574">
        <f t="shared" si="27"/>
        <v>11.10741326233464</v>
      </c>
      <c r="O114" s="535" t="s">
        <v>1755</v>
      </c>
    </row>
    <row r="115" spans="1:33" s="203" customFormat="1" ht="16.5" hidden="1" outlineLevel="1" thickBot="1" x14ac:dyDescent="0.3">
      <c r="A115" s="194"/>
      <c r="B115" s="74"/>
      <c r="C115" s="325"/>
      <c r="D115" s="725"/>
      <c r="E115" s="568"/>
      <c r="F115" s="568"/>
      <c r="G115" s="568"/>
      <c r="H115" s="568"/>
      <c r="I115" s="568"/>
      <c r="J115" s="568"/>
      <c r="K115" s="568"/>
      <c r="L115" s="568"/>
      <c r="M115" s="568"/>
      <c r="N115" s="568"/>
      <c r="O115" s="569"/>
      <c r="P115" s="204"/>
    </row>
    <row r="116" spans="1:33" s="203" customFormat="1" ht="16.5" hidden="1" outlineLevel="1" thickBot="1" x14ac:dyDescent="0.3">
      <c r="A116" s="194"/>
      <c r="B116" s="74"/>
      <c r="C116" s="211"/>
      <c r="D116" s="214"/>
      <c r="E116" s="210"/>
      <c r="F116" s="210"/>
      <c r="G116" s="210"/>
      <c r="H116" s="210"/>
      <c r="I116" s="210"/>
      <c r="J116" s="210"/>
      <c r="K116" s="210"/>
      <c r="L116" s="210"/>
      <c r="M116" s="210"/>
      <c r="N116" s="210"/>
      <c r="O116" s="204"/>
      <c r="P116" s="204"/>
    </row>
    <row r="117" spans="1:33" s="8" customFormat="1" ht="20.25" hidden="1" outlineLevel="1" x14ac:dyDescent="0.25">
      <c r="A117" s="194"/>
      <c r="B117" s="194"/>
      <c r="C117" s="1011" t="str">
        <f>Scenario3&amp;" Lessee Labor Hours per Return"</f>
        <v>eSystems (Paperless) Lessee Labor Hours per Return</v>
      </c>
      <c r="D117" s="310"/>
      <c r="E117" s="240"/>
      <c r="F117" s="240"/>
      <c r="G117" s="240"/>
      <c r="H117" s="240"/>
      <c r="I117" s="240"/>
      <c r="J117" s="240"/>
      <c r="K117" s="240"/>
      <c r="L117" s="240"/>
      <c r="M117" s="240"/>
      <c r="N117" s="240"/>
      <c r="O117" s="435"/>
      <c r="P117" s="17"/>
      <c r="Q117" s="17"/>
      <c r="R117" s="17"/>
      <c r="S117" s="17"/>
      <c r="T117" s="17"/>
      <c r="U117" s="17"/>
      <c r="V117" s="17"/>
      <c r="W117" s="17"/>
      <c r="X117" s="17"/>
      <c r="Y117" s="17"/>
      <c r="Z117" s="17"/>
      <c r="AA117" s="17"/>
      <c r="AB117" s="17"/>
      <c r="AC117" s="17"/>
      <c r="AD117" s="17"/>
      <c r="AE117" s="17"/>
      <c r="AF117" s="17"/>
      <c r="AG117" s="17"/>
    </row>
    <row r="118" spans="1:33" s="142" customFormat="1" ht="18" hidden="1" customHeight="1" outlineLevel="1" x14ac:dyDescent="0.25">
      <c r="A118" s="194"/>
      <c r="B118" s="138"/>
      <c r="C118" s="235"/>
      <c r="D118" s="726" t="s">
        <v>1756</v>
      </c>
      <c r="E118" s="570">
        <v>500</v>
      </c>
      <c r="F118" s="570">
        <v>500</v>
      </c>
      <c r="G118" s="570">
        <v>500</v>
      </c>
      <c r="H118" s="570">
        <v>500</v>
      </c>
      <c r="I118" s="570">
        <v>500</v>
      </c>
      <c r="J118" s="570">
        <v>500</v>
      </c>
      <c r="K118" s="570">
        <v>500</v>
      </c>
      <c r="L118" s="570">
        <v>500</v>
      </c>
      <c r="M118" s="570">
        <v>500</v>
      </c>
      <c r="N118" s="570">
        <v>500</v>
      </c>
      <c r="O118" s="535" t="s">
        <v>1757</v>
      </c>
    </row>
    <row r="119" spans="1:33" s="142" customFormat="1" ht="18" hidden="1" customHeight="1" outlineLevel="1" x14ac:dyDescent="0.25">
      <c r="A119" s="194"/>
      <c r="B119" s="138"/>
      <c r="C119" s="235"/>
      <c r="D119" s="726" t="s">
        <v>1758</v>
      </c>
      <c r="E119" s="570">
        <v>750</v>
      </c>
      <c r="F119" s="570">
        <v>750</v>
      </c>
      <c r="G119" s="570">
        <v>750</v>
      </c>
      <c r="H119" s="570">
        <v>750</v>
      </c>
      <c r="I119" s="570">
        <v>750</v>
      </c>
      <c r="J119" s="570">
        <v>750</v>
      </c>
      <c r="K119" s="570">
        <v>750</v>
      </c>
      <c r="L119" s="570">
        <v>750</v>
      </c>
      <c r="M119" s="570">
        <v>750</v>
      </c>
      <c r="N119" s="570">
        <v>750</v>
      </c>
      <c r="O119" s="535" t="s">
        <v>1759</v>
      </c>
    </row>
    <row r="120" spans="1:33" s="142" customFormat="1" ht="18" hidden="1" customHeight="1" outlineLevel="1" x14ac:dyDescent="0.25">
      <c r="A120" s="194"/>
      <c r="B120" s="138"/>
      <c r="C120" s="235"/>
      <c r="D120" s="726" t="s">
        <v>1760</v>
      </c>
      <c r="E120" s="570">
        <v>500</v>
      </c>
      <c r="F120" s="570">
        <v>500</v>
      </c>
      <c r="G120" s="570">
        <v>500</v>
      </c>
      <c r="H120" s="570">
        <v>500</v>
      </c>
      <c r="I120" s="570">
        <v>500</v>
      </c>
      <c r="J120" s="570">
        <v>500</v>
      </c>
      <c r="K120" s="570">
        <v>500</v>
      </c>
      <c r="L120" s="570">
        <v>500</v>
      </c>
      <c r="M120" s="570">
        <v>500</v>
      </c>
      <c r="N120" s="570">
        <v>500</v>
      </c>
      <c r="O120" s="535" t="s">
        <v>1761</v>
      </c>
    </row>
    <row r="121" spans="1:33" s="142" customFormat="1" ht="18" hidden="1" customHeight="1" outlineLevel="1" x14ac:dyDescent="0.25">
      <c r="A121" s="194"/>
      <c r="B121" s="138"/>
      <c r="C121" s="235"/>
      <c r="D121" s="726" t="s">
        <v>1762</v>
      </c>
      <c r="E121" s="570">
        <v>250</v>
      </c>
      <c r="F121" s="570">
        <v>250</v>
      </c>
      <c r="G121" s="570">
        <v>250</v>
      </c>
      <c r="H121" s="570">
        <v>250</v>
      </c>
      <c r="I121" s="570">
        <v>250</v>
      </c>
      <c r="J121" s="570">
        <v>250</v>
      </c>
      <c r="K121" s="570">
        <v>250</v>
      </c>
      <c r="L121" s="570">
        <v>250</v>
      </c>
      <c r="M121" s="570">
        <v>250</v>
      </c>
      <c r="N121" s="570">
        <v>250</v>
      </c>
      <c r="O121" s="535" t="s">
        <v>1763</v>
      </c>
    </row>
    <row r="122" spans="1:33" s="142" customFormat="1" ht="18" hidden="1" customHeight="1" outlineLevel="1" x14ac:dyDescent="0.25">
      <c r="A122" s="194"/>
      <c r="B122" s="138"/>
      <c r="C122" s="235"/>
      <c r="D122" s="726" t="s">
        <v>1764</v>
      </c>
      <c r="E122" s="570">
        <v>100</v>
      </c>
      <c r="F122" s="570">
        <v>100</v>
      </c>
      <c r="G122" s="570">
        <v>100</v>
      </c>
      <c r="H122" s="570">
        <v>100</v>
      </c>
      <c r="I122" s="570">
        <v>100</v>
      </c>
      <c r="J122" s="570">
        <v>100</v>
      </c>
      <c r="K122" s="570">
        <v>100</v>
      </c>
      <c r="L122" s="570">
        <v>100</v>
      </c>
      <c r="M122" s="570">
        <v>100</v>
      </c>
      <c r="N122" s="570">
        <v>100</v>
      </c>
      <c r="O122" s="535" t="s">
        <v>1765</v>
      </c>
    </row>
    <row r="123" spans="1:33" s="142" customFormat="1" ht="18" hidden="1" customHeight="1" outlineLevel="1" x14ac:dyDescent="0.25">
      <c r="A123" s="194"/>
      <c r="B123" s="138"/>
      <c r="C123" s="235"/>
      <c r="D123" s="726" t="s">
        <v>1766</v>
      </c>
      <c r="E123" s="570">
        <v>50</v>
      </c>
      <c r="F123" s="570">
        <v>50</v>
      </c>
      <c r="G123" s="570">
        <v>50</v>
      </c>
      <c r="H123" s="570">
        <v>50</v>
      </c>
      <c r="I123" s="570">
        <v>50</v>
      </c>
      <c r="J123" s="570">
        <v>50</v>
      </c>
      <c r="K123" s="570">
        <v>50</v>
      </c>
      <c r="L123" s="570">
        <v>50</v>
      </c>
      <c r="M123" s="570">
        <v>50</v>
      </c>
      <c r="N123" s="570">
        <v>50</v>
      </c>
      <c r="O123" s="535" t="s">
        <v>208</v>
      </c>
    </row>
    <row r="124" spans="1:33" s="142" customFormat="1" ht="18" hidden="1" customHeight="1" outlineLevel="1" x14ac:dyDescent="0.25">
      <c r="A124" s="194"/>
      <c r="B124" s="138"/>
      <c r="C124" s="235"/>
      <c r="D124" s="726" t="s">
        <v>1767</v>
      </c>
      <c r="E124" s="570">
        <v>50</v>
      </c>
      <c r="F124" s="570">
        <v>50</v>
      </c>
      <c r="G124" s="570">
        <v>50</v>
      </c>
      <c r="H124" s="570">
        <v>50</v>
      </c>
      <c r="I124" s="570">
        <v>50</v>
      </c>
      <c r="J124" s="570">
        <v>50</v>
      </c>
      <c r="K124" s="570">
        <v>50</v>
      </c>
      <c r="L124" s="570">
        <v>50</v>
      </c>
      <c r="M124" s="570">
        <v>50</v>
      </c>
      <c r="N124" s="570">
        <v>50</v>
      </c>
      <c r="O124" s="535" t="s">
        <v>1768</v>
      </c>
    </row>
    <row r="125" spans="1:33" s="142" customFormat="1" ht="18" hidden="1" customHeight="1" outlineLevel="1" x14ac:dyDescent="0.25">
      <c r="A125" s="194"/>
      <c r="B125" s="138"/>
      <c r="C125" s="235"/>
      <c r="D125" s="726" t="s">
        <v>1769</v>
      </c>
      <c r="E125" s="570">
        <v>0</v>
      </c>
      <c r="F125" s="570">
        <v>0</v>
      </c>
      <c r="G125" s="570">
        <v>0</v>
      </c>
      <c r="H125" s="570">
        <v>0</v>
      </c>
      <c r="I125" s="570">
        <v>0</v>
      </c>
      <c r="J125" s="570">
        <v>0</v>
      </c>
      <c r="K125" s="570">
        <v>0</v>
      </c>
      <c r="L125" s="570">
        <v>0</v>
      </c>
      <c r="M125" s="570">
        <v>0</v>
      </c>
      <c r="N125" s="570">
        <v>0</v>
      </c>
      <c r="O125" s="535" t="s">
        <v>1770</v>
      </c>
    </row>
    <row r="126" spans="1:33" s="142" customFormat="1" ht="18" hidden="1" customHeight="1" outlineLevel="1" x14ac:dyDescent="0.25">
      <c r="A126" s="194"/>
      <c r="B126" s="565"/>
      <c r="C126" s="235"/>
      <c r="D126" s="726" t="s">
        <v>1771</v>
      </c>
      <c r="E126" s="570">
        <v>0</v>
      </c>
      <c r="F126" s="570">
        <v>0</v>
      </c>
      <c r="G126" s="570">
        <v>0</v>
      </c>
      <c r="H126" s="570">
        <v>0</v>
      </c>
      <c r="I126" s="570">
        <v>0</v>
      </c>
      <c r="J126" s="570">
        <v>0</v>
      </c>
      <c r="K126" s="570">
        <v>0</v>
      </c>
      <c r="L126" s="570">
        <v>0</v>
      </c>
      <c r="M126" s="570">
        <v>0</v>
      </c>
      <c r="N126" s="570">
        <v>0</v>
      </c>
      <c r="O126" s="535" t="s">
        <v>1772</v>
      </c>
    </row>
    <row r="127" spans="1:33" s="142" customFormat="1" ht="18" hidden="1" customHeight="1" outlineLevel="1" x14ac:dyDescent="0.25">
      <c r="A127" s="194"/>
      <c r="B127" s="565"/>
      <c r="C127" s="235"/>
      <c r="D127" s="726" t="s">
        <v>1773</v>
      </c>
      <c r="E127" s="570">
        <v>0</v>
      </c>
      <c r="F127" s="570">
        <v>0</v>
      </c>
      <c r="G127" s="570">
        <v>0</v>
      </c>
      <c r="H127" s="570">
        <v>0</v>
      </c>
      <c r="I127" s="570">
        <v>0</v>
      </c>
      <c r="J127" s="570">
        <v>0</v>
      </c>
      <c r="K127" s="570">
        <v>0</v>
      </c>
      <c r="L127" s="570">
        <v>0</v>
      </c>
      <c r="M127" s="570">
        <v>0</v>
      </c>
      <c r="N127" s="570">
        <v>0</v>
      </c>
      <c r="O127" s="535" t="s">
        <v>1774</v>
      </c>
    </row>
    <row r="128" spans="1:33" s="142" customFormat="1" ht="18" hidden="1" customHeight="1" outlineLevel="1" x14ac:dyDescent="0.25">
      <c r="A128" s="194"/>
      <c r="B128" s="138"/>
      <c r="C128" s="235"/>
      <c r="D128" s="726" t="s">
        <v>1775</v>
      </c>
      <c r="E128" s="570">
        <v>0</v>
      </c>
      <c r="F128" s="570">
        <v>0</v>
      </c>
      <c r="G128" s="570">
        <v>0</v>
      </c>
      <c r="H128" s="570">
        <v>0</v>
      </c>
      <c r="I128" s="570">
        <v>0</v>
      </c>
      <c r="J128" s="570">
        <v>0</v>
      </c>
      <c r="K128" s="570">
        <v>0</v>
      </c>
      <c r="L128" s="570">
        <v>0</v>
      </c>
      <c r="M128" s="570">
        <v>0</v>
      </c>
      <c r="N128" s="570">
        <v>0</v>
      </c>
      <c r="O128" s="535" t="s">
        <v>1776</v>
      </c>
    </row>
    <row r="129" spans="1:33" s="142" customFormat="1" ht="18" hidden="1" customHeight="1" outlineLevel="1" x14ac:dyDescent="0.25">
      <c r="A129" s="194"/>
      <c r="B129" s="138"/>
      <c r="C129" s="235"/>
      <c r="D129" s="726" t="s">
        <v>1777</v>
      </c>
      <c r="E129" s="570">
        <v>0</v>
      </c>
      <c r="F129" s="570">
        <v>0</v>
      </c>
      <c r="G129" s="570">
        <v>0</v>
      </c>
      <c r="H129" s="570">
        <v>0</v>
      </c>
      <c r="I129" s="570">
        <v>0</v>
      </c>
      <c r="J129" s="570">
        <v>0</v>
      </c>
      <c r="K129" s="570">
        <v>0</v>
      </c>
      <c r="L129" s="570">
        <v>0</v>
      </c>
      <c r="M129" s="570">
        <v>0</v>
      </c>
      <c r="N129" s="570">
        <v>0</v>
      </c>
      <c r="O129" s="535" t="s">
        <v>1778</v>
      </c>
    </row>
    <row r="130" spans="1:33" s="206" customFormat="1" ht="16.5" hidden="1" outlineLevel="1" thickBot="1" x14ac:dyDescent="0.3">
      <c r="A130" s="194"/>
      <c r="B130" s="563"/>
      <c r="C130" s="564"/>
      <c r="D130" s="724"/>
      <c r="E130" s="571"/>
      <c r="F130" s="571"/>
      <c r="G130" s="571"/>
      <c r="H130" s="571"/>
      <c r="I130" s="571"/>
      <c r="J130" s="571"/>
      <c r="K130" s="571"/>
      <c r="L130" s="571"/>
      <c r="M130" s="571"/>
      <c r="N130" s="571"/>
      <c r="O130" s="572"/>
      <c r="P130" s="210"/>
    </row>
    <row r="131" spans="1:33" s="8" customFormat="1" ht="21" hidden="1" outlineLevel="1" thickBot="1" x14ac:dyDescent="0.3">
      <c r="A131" s="194"/>
      <c r="B131" s="102"/>
      <c r="D131" s="310"/>
      <c r="E131" s="316"/>
      <c r="F131" s="316"/>
      <c r="G131" s="316"/>
      <c r="H131" s="316"/>
      <c r="I131" s="316"/>
      <c r="J131" s="316"/>
      <c r="K131" s="316"/>
      <c r="L131" s="316"/>
      <c r="M131" s="316"/>
      <c r="N131" s="316"/>
      <c r="O131" s="316"/>
      <c r="P131" s="17"/>
      <c r="Q131" s="17"/>
      <c r="R131" s="17"/>
      <c r="S131" s="17"/>
      <c r="T131" s="17"/>
      <c r="U131" s="17"/>
      <c r="V131" s="17"/>
      <c r="W131" s="17"/>
      <c r="X131" s="17"/>
      <c r="Y131" s="17"/>
      <c r="Z131" s="17"/>
      <c r="AA131" s="17"/>
      <c r="AB131" s="17"/>
      <c r="AC131" s="17"/>
      <c r="AD131" s="17"/>
      <c r="AE131" s="17"/>
      <c r="AF131" s="17"/>
      <c r="AG131" s="17"/>
    </row>
    <row r="132" spans="1:33" s="8" customFormat="1" ht="20.25" hidden="1" outlineLevel="1" x14ac:dyDescent="0.25">
      <c r="A132" s="194"/>
      <c r="B132" s="102"/>
      <c r="C132" s="1012" t="str">
        <f>Scenario3&amp;"  Lease Return Cost pa (based on Touch Hour Rate)"</f>
        <v>eSystems (Paperless)  Lease Return Cost pa (based on Touch Hour Rate)</v>
      </c>
      <c r="D132" s="310"/>
      <c r="E132" s="316"/>
      <c r="F132" s="316"/>
      <c r="G132" s="316"/>
      <c r="H132" s="316"/>
      <c r="I132" s="316"/>
      <c r="J132" s="316"/>
      <c r="K132" s="316"/>
      <c r="L132" s="316"/>
      <c r="M132" s="316"/>
      <c r="N132" s="316"/>
      <c r="O132" s="566"/>
      <c r="P132" s="17"/>
      <c r="Q132" s="17"/>
      <c r="R132" s="17"/>
      <c r="S132" s="17"/>
      <c r="T132" s="17"/>
      <c r="U132" s="17"/>
      <c r="V132" s="17"/>
      <c r="W132" s="17"/>
      <c r="X132" s="17"/>
      <c r="Y132" s="17"/>
      <c r="Z132" s="17"/>
      <c r="AA132" s="17"/>
      <c r="AB132" s="17"/>
      <c r="AC132" s="17"/>
      <c r="AD132" s="17"/>
      <c r="AE132" s="17"/>
      <c r="AF132" s="17"/>
      <c r="AG132" s="17"/>
    </row>
    <row r="133" spans="1:33" s="142" customFormat="1" ht="18" hidden="1" customHeight="1" outlineLevel="1" x14ac:dyDescent="0.25">
      <c r="A133" s="194"/>
      <c r="B133" s="138"/>
      <c r="C133" s="235"/>
      <c r="D133" s="726" t="s">
        <v>1779</v>
      </c>
      <c r="E133" s="555">
        <f>(eSystemsTouchRateHourHM*eSystemsLeaseLaborHrsHM*LeaseReturnForecast)</f>
        <v>81173.558532323805</v>
      </c>
      <c r="F133" s="555">
        <f>(eSystemsTouchRateHourHM*eSystemsLeaseLaborHrsHM*LeaseReturnForecast)*(1+Inflation)^1</f>
        <v>124195.54455445542</v>
      </c>
      <c r="G133" s="555">
        <f>(eSystemsTouchRateHourHM*eSystemsLeaseLaborHrsHM*LeaseReturnForecast)*(1+Inflation)^2</f>
        <v>126679.45544554453</v>
      </c>
      <c r="H133" s="555">
        <f>(eSystemsTouchRateHourHM*eSystemsLeaseLaborHrsHM*LeaseReturnForecast)*(1+Inflation)^3</f>
        <v>86142.029702970278</v>
      </c>
      <c r="I133" s="555">
        <f>(eSystemsTouchRateHourHM*eSystemsLeaseLaborHrsHM*LeaseReturnForecast)*(1+Inflation)^4</f>
        <v>87864.870297029687</v>
      </c>
      <c r="J133" s="555">
        <f>(eSystemsTouchRateHourHM*eSystemsLeaseLaborHrsHM*LeaseReturnForecast)*(1+Inflation)^5</f>
        <v>134433.25155445543</v>
      </c>
      <c r="K133" s="555">
        <f>(eSystemsTouchRateHourHM*eSystemsLeaseLaborHrsHM*LeaseReturnForecast)*(1+Inflation)^6</f>
        <v>137121.91658554453</v>
      </c>
      <c r="L133" s="555">
        <f>(eSystemsTouchRateHourHM*eSystemsLeaseLaborHrsHM*LeaseReturnForecast)*(1+Inflation)^7</f>
        <v>93242.90327817027</v>
      </c>
      <c r="M133" s="555">
        <f>(eSystemsTouchRateHourHM*eSystemsLeaseLaborHrsHM*LeaseReturnForecast)*(1+Inflation)^8</f>
        <v>95107.761343733684</v>
      </c>
      <c r="N133" s="555">
        <f>(eSystemsTouchRateHourHM*eSystemsLeaseLaborHrsHM*LeaseReturnForecast)*(1+Inflation)^9</f>
        <v>145514.87485591252</v>
      </c>
      <c r="O133" s="535" t="s">
        <v>1780</v>
      </c>
    </row>
    <row r="134" spans="1:33" s="142" customFormat="1" ht="18" hidden="1" customHeight="1" outlineLevel="1" x14ac:dyDescent="0.25">
      <c r="A134" s="194"/>
      <c r="B134" s="128"/>
      <c r="C134" s="235"/>
      <c r="D134" s="726" t="s">
        <v>1781</v>
      </c>
      <c r="E134" s="555">
        <f>(eSystemsTouchRateHourLM*eSystemsLeaseLaborHrsLM*LeaseReturnForecast)</f>
        <v>152200.42224810715</v>
      </c>
      <c r="F134" s="555">
        <f>(eSystemsTouchRateHourLM*eSystemsLeaseLaborHrsLM*LeaseReturnForecast)*(1+Inflation)^1</f>
        <v>232866.64603960395</v>
      </c>
      <c r="G134" s="555">
        <f>(eSystemsTouchRateHourLM*eSystemsLeaseLaborHrsLM*LeaseReturnForecast)*(1+Inflation)^2</f>
        <v>237523.97896039602</v>
      </c>
      <c r="H134" s="555">
        <f>(eSystemsTouchRateHourLM*eSystemsLeaseLaborHrsLM*LeaseReturnForecast)*(1+Inflation)^3</f>
        <v>161516.30569306927</v>
      </c>
      <c r="I134" s="555">
        <f>(eSystemsTouchRateHourLM*eSystemsLeaseLaborHrsLM*LeaseReturnForecast)*(1+Inflation)^4</f>
        <v>164746.63180693067</v>
      </c>
      <c r="J134" s="555">
        <f>(eSystemsTouchRateHourLM*eSystemsLeaseLaborHrsLM*LeaseReturnForecast)*(1+Inflation)^5</f>
        <v>252062.34666460395</v>
      </c>
      <c r="K134" s="555">
        <f>(eSystemsTouchRateHourLM*eSystemsLeaseLaborHrsLM*LeaseReturnForecast)*(1+Inflation)^6</f>
        <v>257103.59359789602</v>
      </c>
      <c r="L134" s="555">
        <f>(eSystemsTouchRateHourLM*eSystemsLeaseLaborHrsLM*LeaseReturnForecast)*(1+Inflation)^7</f>
        <v>174830.44364656927</v>
      </c>
      <c r="M134" s="555">
        <f>(eSystemsTouchRateHourLM*eSystemsLeaseLaborHrsLM*LeaseReturnForecast)*(1+Inflation)^8</f>
        <v>178327.05251950066</v>
      </c>
      <c r="N134" s="555">
        <f>(eSystemsTouchRateHourLM*eSystemsLeaseLaborHrsLM*LeaseReturnForecast)*(1+Inflation)^9</f>
        <v>272840.39035483601</v>
      </c>
      <c r="O134" s="535" t="s">
        <v>1782</v>
      </c>
    </row>
    <row r="135" spans="1:33" s="142" customFormat="1" ht="18" hidden="1" customHeight="1" outlineLevel="1" x14ac:dyDescent="0.25">
      <c r="A135" s="194"/>
      <c r="B135" s="128"/>
      <c r="C135" s="235"/>
      <c r="D135" s="727" t="s">
        <v>1783</v>
      </c>
      <c r="E135" s="555">
        <f>(eSystemsTouchRateHourENG*eSystemsLeaseLaborHrsENG*LeaseReturnForecast)</f>
        <v>91320.25334886428</v>
      </c>
      <c r="F135" s="555">
        <f>(eSystemsTouchRateHourENG*eSystemsLeaseLaborHrsENG*LeaseReturnForecast)*(1+Inflation)^1</f>
        <v>139719.98762376237</v>
      </c>
      <c r="G135" s="555">
        <f>(eSystemsTouchRateHourENG*eSystemsLeaseLaborHrsENG*LeaseReturnForecast)*(1+Inflation)^2</f>
        <v>142514.3873762376</v>
      </c>
      <c r="H135" s="555">
        <f>(eSystemsTouchRateHourENG*eSystemsLeaseLaborHrsENG*LeaseReturnForecast)*(1+Inflation)^3</f>
        <v>96909.783415841564</v>
      </c>
      <c r="I135" s="555">
        <f>(eSystemsTouchRateHourENG*eSystemsLeaseLaborHrsENG*LeaseReturnForecast)*(1+Inflation)^4</f>
        <v>98847.979084158389</v>
      </c>
      <c r="J135" s="555">
        <f>(eSystemsTouchRateHourENG*eSystemsLeaseLaborHrsENG*LeaseReturnForecast)*(1+Inflation)^5</f>
        <v>151237.40799876236</v>
      </c>
      <c r="K135" s="555">
        <f>(eSystemsTouchRateHourENG*eSystemsLeaseLaborHrsENG*LeaseReturnForecast)*(1+Inflation)^6</f>
        <v>154262.15615873761</v>
      </c>
      <c r="L135" s="555">
        <f>(eSystemsTouchRateHourENG*eSystemsLeaseLaborHrsENG*LeaseReturnForecast)*(1+Inflation)^7</f>
        <v>104898.26618794155</v>
      </c>
      <c r="M135" s="555">
        <f>(eSystemsTouchRateHourENG*eSystemsLeaseLaborHrsENG*LeaseReturnForecast)*(1+Inflation)^8</f>
        <v>106996.23151170039</v>
      </c>
      <c r="N135" s="555">
        <f>(eSystemsTouchRateHourENG*eSystemsLeaseLaborHrsENG*LeaseReturnForecast)*(1+Inflation)^9</f>
        <v>163704.23421290159</v>
      </c>
      <c r="O135" s="535" t="s">
        <v>1784</v>
      </c>
    </row>
    <row r="136" spans="1:33" s="142" customFormat="1" ht="18" hidden="1" customHeight="1" outlineLevel="1" x14ac:dyDescent="0.25">
      <c r="A136" s="194"/>
      <c r="B136" s="138"/>
      <c r="C136" s="235"/>
      <c r="D136" s="726" t="s">
        <v>1785</v>
      </c>
      <c r="E136" s="555">
        <f>(eSystemsTouchRateHourPLG*eSystemsLeaseLaborHrsPLG*LeaseReturnForecast)</f>
        <v>43123.452970297025</v>
      </c>
      <c r="F136" s="555">
        <f>(eSystemsTouchRateHourPLG*eSystemsLeaseLaborHrsPLG*LeaseReturnForecast)*(1+Inflation)^1</f>
        <v>65978.883044554459</v>
      </c>
      <c r="G136" s="555">
        <f>(eSystemsTouchRateHourPLG*eSystemsLeaseLaborHrsPLG*LeaseReturnForecast)*(1+Inflation)^2</f>
        <v>67298.460705445541</v>
      </c>
      <c r="H136" s="555">
        <f>(eSystemsTouchRateHourPLG*eSystemsLeaseLaborHrsPLG*LeaseReturnForecast)*(1+Inflation)^3</f>
        <v>45762.953279702961</v>
      </c>
      <c r="I136" s="555">
        <f>(eSystemsTouchRateHourPLG*eSystemsLeaseLaborHrsPLG*LeaseReturnForecast)*(1+Inflation)^4</f>
        <v>46678.212345297026</v>
      </c>
      <c r="J136" s="555">
        <f>(eSystemsTouchRateHourPLG*eSystemsLeaseLaborHrsPLG*LeaseReturnForecast)*(1+Inflation)^5</f>
        <v>71417.664888304455</v>
      </c>
      <c r="K136" s="555">
        <f>(eSystemsTouchRateHourPLG*eSystemsLeaseLaborHrsPLG*LeaseReturnForecast)*(1+Inflation)^6</f>
        <v>72846.018186070549</v>
      </c>
      <c r="L136" s="555">
        <f>(eSystemsTouchRateHourPLG*eSystemsLeaseLaborHrsPLG*LeaseReturnForecast)*(1+Inflation)^7</f>
        <v>49535.29236652796</v>
      </c>
      <c r="M136" s="555">
        <f>(eSystemsTouchRateHourPLG*eSystemsLeaseLaborHrsPLG*LeaseReturnForecast)*(1+Inflation)^8</f>
        <v>50525.998213858518</v>
      </c>
      <c r="N136" s="555">
        <f>(eSystemsTouchRateHourPLG*eSystemsLeaseLaborHrsPLG*LeaseReturnForecast)*(1+Inflation)^9</f>
        <v>77304.777267203535</v>
      </c>
      <c r="O136" s="535" t="s">
        <v>1786</v>
      </c>
    </row>
    <row r="137" spans="1:33" s="142" customFormat="1" ht="18" hidden="1" customHeight="1" outlineLevel="1" x14ac:dyDescent="0.25">
      <c r="A137" s="194"/>
      <c r="B137" s="138"/>
      <c r="C137" s="235"/>
      <c r="D137" s="726" t="s">
        <v>1787</v>
      </c>
      <c r="E137" s="555">
        <f>(eSystemsTouchRateHourCRT*eSystemsLeaseLaborHrsCRT*LeaseReturnForecast)</f>
        <v>10146.694816540476</v>
      </c>
      <c r="F137" s="555">
        <f>(eSystemsTouchRateHourCRT*eSystemsLeaseLaborHrsCRT*LeaseReturnForecast)*(1+Inflation)^1</f>
        <v>15524.443069306928</v>
      </c>
      <c r="G137" s="555">
        <f>(eSystemsTouchRateHourCRT*eSystemsLeaseLaborHrsCRT*LeaseReturnForecast)*(1+Inflation)^2</f>
        <v>15834.931930693067</v>
      </c>
      <c r="H137" s="555">
        <f>(eSystemsTouchRateHourCRT*eSystemsLeaseLaborHrsCRT*LeaseReturnForecast)*(1+Inflation)^3</f>
        <v>10767.753712871285</v>
      </c>
      <c r="I137" s="555">
        <f>(eSystemsTouchRateHourCRT*eSystemsLeaseLaborHrsCRT*LeaseReturnForecast)*(1+Inflation)^4</f>
        <v>10983.108787128711</v>
      </c>
      <c r="J137" s="555">
        <f>(eSystemsTouchRateHourCRT*eSystemsLeaseLaborHrsCRT*LeaseReturnForecast)*(1+Inflation)^5</f>
        <v>16804.156444306929</v>
      </c>
      <c r="K137" s="555">
        <f>(eSystemsTouchRateHourCRT*eSystemsLeaseLaborHrsCRT*LeaseReturnForecast)*(1+Inflation)^6</f>
        <v>17140.239573193066</v>
      </c>
      <c r="L137" s="555">
        <f>(eSystemsTouchRateHourCRT*eSystemsLeaseLaborHrsCRT*LeaseReturnForecast)*(1+Inflation)^7</f>
        <v>11655.362909771284</v>
      </c>
      <c r="M137" s="555">
        <f>(eSystemsTouchRateHourCRT*eSystemsLeaseLaborHrsCRT*LeaseReturnForecast)*(1+Inflation)^8</f>
        <v>11888.470167966711</v>
      </c>
      <c r="N137" s="555">
        <f>(eSystemsTouchRateHourCRT*eSystemsLeaseLaborHrsCRT*LeaseReturnForecast)*(1+Inflation)^9</f>
        <v>18189.359356989065</v>
      </c>
      <c r="O137" s="535" t="s">
        <v>1788</v>
      </c>
    </row>
    <row r="138" spans="1:33" s="142" customFormat="1" ht="18" hidden="1" customHeight="1" outlineLevel="1" x14ac:dyDescent="0.25">
      <c r="A138" s="194"/>
      <c r="B138" s="128"/>
      <c r="C138" s="235"/>
      <c r="D138" s="726" t="s">
        <v>1789</v>
      </c>
      <c r="E138" s="555">
        <f>(eSystemsTouchRateHourSCL*eSystemsLeaseLaborHrsSCL*LeaseReturnForecast)</f>
        <v>6088.0168899242863</v>
      </c>
      <c r="F138" s="555">
        <f>(eSystemsTouchRateHourSCL*eSystemsLeaseLaborHrsSCL*LeaseReturnForecast)*(1+Inflation)^1</f>
        <v>9314.6658415841594</v>
      </c>
      <c r="G138" s="555">
        <f>(eSystemsTouchRateHourSCL*eSystemsLeaseLaborHrsSCL*LeaseReturnForecast)*(1+Inflation)^2</f>
        <v>9500.9591584158406</v>
      </c>
      <c r="H138" s="555">
        <f>(eSystemsTouchRateHourSCL*eSystemsLeaseLaborHrsSCL*LeaseReturnForecast)*(1+Inflation)^3</f>
        <v>6460.6522277227714</v>
      </c>
      <c r="I138" s="555">
        <f>(eSystemsTouchRateHourSCL*eSystemsLeaseLaborHrsSCL*LeaseReturnForecast)*(1+Inflation)^4</f>
        <v>6589.8652722772276</v>
      </c>
      <c r="J138" s="555">
        <f>(eSystemsTouchRateHourSCL*eSystemsLeaseLaborHrsSCL*LeaseReturnForecast)*(1+Inflation)^5</f>
        <v>10082.493866584158</v>
      </c>
      <c r="K138" s="555">
        <f>(eSystemsTouchRateHourSCL*eSystemsLeaseLaborHrsSCL*LeaseReturnForecast)*(1+Inflation)^6</f>
        <v>10284.143743915842</v>
      </c>
      <c r="L138" s="555">
        <f>(eSystemsTouchRateHourSCL*eSystemsLeaseLaborHrsSCL*LeaseReturnForecast)*(1+Inflation)^7</f>
        <v>6993.2177458627712</v>
      </c>
      <c r="M138" s="555">
        <f>(eSystemsTouchRateHourSCL*eSystemsLeaseLaborHrsSCL*LeaseReturnForecast)*(1+Inflation)^8</f>
        <v>7133.0821007800268</v>
      </c>
      <c r="N138" s="555">
        <f>(eSystemsTouchRateHourSCL*eSystemsLeaseLaborHrsSCL*LeaseReturnForecast)*(1+Inflation)^9</f>
        <v>10913.615614193443</v>
      </c>
      <c r="O138" s="535" t="s">
        <v>1790</v>
      </c>
    </row>
    <row r="139" spans="1:33" s="142" customFormat="1" ht="18" hidden="1" customHeight="1" outlineLevel="1" x14ac:dyDescent="0.25">
      <c r="A139" s="194"/>
      <c r="B139" s="138"/>
      <c r="C139" s="235"/>
      <c r="D139" s="726" t="s">
        <v>1791</v>
      </c>
      <c r="E139" s="555">
        <f>(eSystemsTouchRateHourQSC*eSystemsLeaseLaborHrsQSC*LeaseReturnForecast)</f>
        <v>7610.0211124053576</v>
      </c>
      <c r="F139" s="555">
        <f>(eSystemsTouchRateHourQSC*eSystemsLeaseLaborHrsQSC*LeaseReturnForecast)*(1+Inflation)^1</f>
        <v>11643.332301980197</v>
      </c>
      <c r="G139" s="555">
        <f>(eSystemsTouchRateHourQSC*eSystemsLeaseLaborHrsQSC*LeaseReturnForecast)*(1+Inflation)^2</f>
        <v>11876.198948019801</v>
      </c>
      <c r="H139" s="555">
        <f>(eSystemsTouchRateHourQSC*eSystemsLeaseLaborHrsQSC*LeaseReturnForecast)*(1+Inflation)^3</f>
        <v>8075.815284653464</v>
      </c>
      <c r="I139" s="555">
        <f>(eSystemsTouchRateHourQSC*eSystemsLeaseLaborHrsQSC*LeaseReturnForecast)*(1+Inflation)^4</f>
        <v>8237.3315903465336</v>
      </c>
      <c r="J139" s="555">
        <f>(eSystemsTouchRateHourQSC*eSystemsLeaseLaborHrsQSC*LeaseReturnForecast)*(1+Inflation)^5</f>
        <v>12603.117333230197</v>
      </c>
      <c r="K139" s="555">
        <f>(eSystemsTouchRateHourQSC*eSystemsLeaseLaborHrsQSC*LeaseReturnForecast)*(1+Inflation)^6</f>
        <v>12855.179679894802</v>
      </c>
      <c r="L139" s="555">
        <f>(eSystemsTouchRateHourQSC*eSystemsLeaseLaborHrsQSC*LeaseReturnForecast)*(1+Inflation)^7</f>
        <v>8741.5221823284628</v>
      </c>
      <c r="M139" s="555">
        <f>(eSystemsTouchRateHourQSC*eSystemsLeaseLaborHrsQSC*LeaseReturnForecast)*(1+Inflation)^8</f>
        <v>8916.3526259750342</v>
      </c>
      <c r="N139" s="555">
        <f>(eSystemsTouchRateHourQSC*eSystemsLeaseLaborHrsQSC*LeaseReturnForecast)*(1+Inflation)^9</f>
        <v>13642.019517741801</v>
      </c>
      <c r="O139" s="535" t="s">
        <v>1792</v>
      </c>
    </row>
    <row r="140" spans="1:33" s="142" customFormat="1" ht="18" hidden="1" customHeight="1" outlineLevel="1" x14ac:dyDescent="0.25">
      <c r="A140" s="194"/>
      <c r="B140" s="138"/>
      <c r="C140" s="235"/>
      <c r="D140" s="726" t="s">
        <v>1793</v>
      </c>
      <c r="E140" s="555">
        <f>(eSystemsTouchRateHourEM*eSystemsLeaseLaborHrsEM*LeaseReturnForecast)</f>
        <v>0</v>
      </c>
      <c r="F140" s="555">
        <f>(eSystemsTouchRateHourEM*eSystemsLeaseLaborHrsEM*LeaseReturnForecast)*(1+Inflation)^1</f>
        <v>0</v>
      </c>
      <c r="G140" s="555">
        <f>(eSystemsTouchRateHourEM*eSystemsLeaseLaborHrsEM*LeaseReturnForecast)*(1+Inflation)^2</f>
        <v>0</v>
      </c>
      <c r="H140" s="555">
        <f>(eSystemsTouchRateHourEM*eSystemsLeaseLaborHrsEM*LeaseReturnForecast)*(1+Inflation)^3</f>
        <v>0</v>
      </c>
      <c r="I140" s="555">
        <f>(eSystemsTouchRateHourEM*eSystemsLeaseLaborHrsEM*LeaseReturnForecast)*(1+Inflation)^4</f>
        <v>0</v>
      </c>
      <c r="J140" s="555">
        <f>(eSystemsTouchRateHourEM*eSystemsLeaseLaborHrsEM*LeaseReturnForecast)*(1+Inflation)^5</f>
        <v>0</v>
      </c>
      <c r="K140" s="555">
        <f>(eSystemsTouchRateHourEM*eSystemsLeaseLaborHrsEM*LeaseReturnForecast)*(1+Inflation)^6</f>
        <v>0</v>
      </c>
      <c r="L140" s="555">
        <f>(eSystemsTouchRateHourEM*eSystemsLeaseLaborHrsEM*LeaseReturnForecast)*(1+Inflation)^7</f>
        <v>0</v>
      </c>
      <c r="M140" s="555">
        <f>(eSystemsTouchRateHourEM*eSystemsLeaseLaborHrsEM*LeaseReturnForecast)*(1+Inflation)^8</f>
        <v>0</v>
      </c>
      <c r="N140" s="555">
        <f>(eSystemsTouchRateHourEM*eSystemsLeaseLaborHrsEM*LeaseReturnForecast)*(1+Inflation)^9</f>
        <v>0</v>
      </c>
      <c r="O140" s="535" t="s">
        <v>1794</v>
      </c>
    </row>
    <row r="141" spans="1:33" s="142" customFormat="1" ht="18" hidden="1" customHeight="1" outlineLevel="1" x14ac:dyDescent="0.25">
      <c r="A141" s="194"/>
      <c r="B141" s="138"/>
      <c r="C141" s="235"/>
      <c r="D141" s="726" t="s">
        <v>1795</v>
      </c>
      <c r="E141" s="555">
        <f>(eSystemsTouchRateHourCM*eSystemsLeaseLaborHrsCM*LeaseReturnForecast)</f>
        <v>0</v>
      </c>
      <c r="F141" s="555">
        <f>(eSystemsTouchRateHourCM*eSystemsLeaseLaborHrsCM*LeaseReturnForecast)*(1+Inflation)^1</f>
        <v>0</v>
      </c>
      <c r="G141" s="555">
        <f>(eSystemsTouchRateHourCM*eSystemsLeaseLaborHrsCM*LeaseReturnForecast)*(1+Inflation)^2</f>
        <v>0</v>
      </c>
      <c r="H141" s="555">
        <f>(eSystemsTouchRateHourCM*eSystemsLeaseLaborHrsCM*LeaseReturnForecast)*(1+Inflation)^3</f>
        <v>0</v>
      </c>
      <c r="I141" s="555">
        <f>(eSystemsTouchRateHourCM*eSystemsLeaseLaborHrsCM*LeaseReturnForecast)*(1+Inflation)^4</f>
        <v>0</v>
      </c>
      <c r="J141" s="555">
        <f>(eSystemsTouchRateHourCM*eSystemsLeaseLaborHrsCM*LeaseReturnForecast)*(1+Inflation)^5</f>
        <v>0</v>
      </c>
      <c r="K141" s="555">
        <f>(eSystemsTouchRateHourCM*eSystemsLeaseLaborHrsCM*LeaseReturnForecast)*(1+Inflation)^6</f>
        <v>0</v>
      </c>
      <c r="L141" s="555">
        <f>(eSystemsTouchRateHourCM*eSystemsLeaseLaborHrsCM*LeaseReturnForecast)*(1+Inflation)^7</f>
        <v>0</v>
      </c>
      <c r="M141" s="555">
        <f>(eSystemsTouchRateHourCM*eSystemsLeaseLaborHrsCM*LeaseReturnForecast)*(1+Inflation)^8</f>
        <v>0</v>
      </c>
      <c r="N141" s="555">
        <f>(eSystemsTouchRateHourCM*eSystemsLeaseLaborHrsCM*LeaseReturnForecast)*(1+Inflation)^9</f>
        <v>0</v>
      </c>
      <c r="O141" s="535" t="s">
        <v>1796</v>
      </c>
    </row>
    <row r="142" spans="1:33" s="142" customFormat="1" ht="18" hidden="1" customHeight="1" outlineLevel="1" x14ac:dyDescent="0.25">
      <c r="A142" s="194"/>
      <c r="B142" s="138"/>
      <c r="C142" s="235"/>
      <c r="D142" s="726" t="s">
        <v>1797</v>
      </c>
      <c r="E142" s="555">
        <f>(eSystemsTouchRateHourSMCS*eSystemsLeaseLaborHrsSMCS*LeaseReturnForecast)</f>
        <v>0</v>
      </c>
      <c r="F142" s="555">
        <f>(eSystemsTouchRateHourSMCS*eSystemsLeaseLaborHrsSMCS*LeaseReturnForecast)*(1+Inflation)^1</f>
        <v>0</v>
      </c>
      <c r="G142" s="555">
        <f>(eSystemsTouchRateHourSMCS*eSystemsLeaseLaborHrsSMCS*LeaseReturnForecast)*(1+Inflation)^2</f>
        <v>0</v>
      </c>
      <c r="H142" s="555">
        <f>(eSystemsTouchRateHourSMCS*eSystemsLeaseLaborHrsSMCS*LeaseReturnForecast)*(1+Inflation)^3</f>
        <v>0</v>
      </c>
      <c r="I142" s="555">
        <f>(eSystemsTouchRateHourSMCS*eSystemsLeaseLaborHrsSMCS*LeaseReturnForecast)*(1+Inflation)^4</f>
        <v>0</v>
      </c>
      <c r="J142" s="555">
        <f>(eSystemsTouchRateHourSMCS*eSystemsLeaseLaborHrsSMCS*LeaseReturnForecast)*(1+Inflation)^5</f>
        <v>0</v>
      </c>
      <c r="K142" s="555">
        <f>(eSystemsTouchRateHourSMCS*eSystemsLeaseLaborHrsSMCS*LeaseReturnForecast)*(1+Inflation)^6</f>
        <v>0</v>
      </c>
      <c r="L142" s="555">
        <f>(eSystemsTouchRateHourSMCS*eSystemsLeaseLaborHrsSMCS*LeaseReturnForecast)*(1+Inflation)^7</f>
        <v>0</v>
      </c>
      <c r="M142" s="555">
        <f>(eSystemsTouchRateHourSMCS*eSystemsLeaseLaborHrsSMCS*LeaseReturnForecast)*(1+Inflation)^8</f>
        <v>0</v>
      </c>
      <c r="N142" s="555">
        <f>(eSystemsTouchRateHourSMCS*eSystemsLeaseLaborHrsSMCS*LeaseReturnForecast)*(1+Inflation)^9</f>
        <v>0</v>
      </c>
      <c r="O142" s="535" t="s">
        <v>1798</v>
      </c>
    </row>
    <row r="143" spans="1:33" s="142" customFormat="1" ht="18" hidden="1" customHeight="1" outlineLevel="1" x14ac:dyDescent="0.25">
      <c r="A143" s="194"/>
      <c r="B143" s="138"/>
      <c r="C143" s="235"/>
      <c r="D143" s="726" t="s">
        <v>1799</v>
      </c>
      <c r="E143" s="555">
        <f>(eSystemsTouchRateHourO1*eSystemsLeaseLaborHrsO1*LeaseReturnForecast)</f>
        <v>0</v>
      </c>
      <c r="F143" s="555">
        <f>(eSystemsTouchRateHourO1*eSystemsLeaseLaborHrsO1*LeaseReturnForecast)*(1+Inflation)^1</f>
        <v>0</v>
      </c>
      <c r="G143" s="555">
        <f>(eSystemsTouchRateHourO1*eSystemsLeaseLaborHrsO1*LeaseReturnForecast)*(1+Inflation)^2</f>
        <v>0</v>
      </c>
      <c r="H143" s="555">
        <f>(eSystemsTouchRateHourO1*eSystemsLeaseLaborHrsO1*LeaseReturnForecast)*(1+Inflation)^3</f>
        <v>0</v>
      </c>
      <c r="I143" s="555">
        <f>(eSystemsTouchRateHourO1*eSystemsLeaseLaborHrsO1*LeaseReturnForecast)*(1+Inflation)^4</f>
        <v>0</v>
      </c>
      <c r="J143" s="555">
        <f>(eSystemsTouchRateHourO1*eSystemsLeaseLaborHrsO1*LeaseReturnForecast)*(1+Inflation)^5</f>
        <v>0</v>
      </c>
      <c r="K143" s="555">
        <f>(eSystemsTouchRateHourO1*eSystemsLeaseLaborHrsO1*LeaseReturnForecast)*(1+Inflation)^6</f>
        <v>0</v>
      </c>
      <c r="L143" s="555">
        <f>(eSystemsTouchRateHourO1*eSystemsLeaseLaborHrsO1*LeaseReturnForecast)*(1+Inflation)^7</f>
        <v>0</v>
      </c>
      <c r="M143" s="555">
        <f>(eSystemsTouchRateHourO1*eSystemsLeaseLaborHrsO1*LeaseReturnForecast)*(1+Inflation)^8</f>
        <v>0</v>
      </c>
      <c r="N143" s="555">
        <f>(eSystemsTouchRateHourO1*eSystemsLeaseLaborHrsO1*LeaseReturnForecast)*(1+Inflation)^9</f>
        <v>0</v>
      </c>
      <c r="O143" s="535" t="s">
        <v>1800</v>
      </c>
    </row>
    <row r="144" spans="1:33" s="142" customFormat="1" ht="18" hidden="1" customHeight="1" outlineLevel="1" x14ac:dyDescent="0.25">
      <c r="A144" s="194"/>
      <c r="B144" s="138"/>
      <c r="C144" s="235"/>
      <c r="D144" s="726" t="s">
        <v>1801</v>
      </c>
      <c r="E144" s="555">
        <f>(eSystemsTouchRateHourO2*eSystemsLeaseLaborHrsO2*LeaseReturnForecast)</f>
        <v>0</v>
      </c>
      <c r="F144" s="555">
        <f>(eSystemsTouchRateHourO2*eSystemsLeaseLaborHrsO2*LeaseReturnForecast)*(1+Inflation)^1</f>
        <v>0</v>
      </c>
      <c r="G144" s="555">
        <f>(eSystemsTouchRateHourO2*eSystemsLeaseLaborHrsO2*LeaseReturnForecast)*(1+Inflation)^2</f>
        <v>0</v>
      </c>
      <c r="H144" s="555">
        <f>(eSystemsTouchRateHourO2*eSystemsLeaseLaborHrsO2*LeaseReturnForecast)*(1+Inflation)^3</f>
        <v>0</v>
      </c>
      <c r="I144" s="555">
        <f>(eSystemsTouchRateHourO2*eSystemsLeaseLaborHrsO2*LeaseReturnForecast)*(1+Inflation)^4</f>
        <v>0</v>
      </c>
      <c r="J144" s="555">
        <f>(eSystemsTouchRateHourO2*eSystemsLeaseLaborHrsO2*LeaseReturnForecast)*(1+Inflation)^5</f>
        <v>0</v>
      </c>
      <c r="K144" s="555">
        <f>(eSystemsTouchRateHourO2*eSystemsLeaseLaborHrsO2*LeaseReturnForecast)*(1+Inflation)^6</f>
        <v>0</v>
      </c>
      <c r="L144" s="555">
        <f>(eSystemsTouchRateHourO2*eSystemsLeaseLaborHrsO2*LeaseReturnForecast)*(1+Inflation)^7</f>
        <v>0</v>
      </c>
      <c r="M144" s="555">
        <f>(eSystemsTouchRateHourO2*eSystemsLeaseLaborHrsO2*LeaseReturnForecast)*(1+Inflation)^8</f>
        <v>0</v>
      </c>
      <c r="N144" s="555">
        <f>(eSystemsTouchRateHourO2*eSystemsLeaseLaborHrsO2*LeaseReturnForecast)*(1+Inflation)^9</f>
        <v>0</v>
      </c>
      <c r="O144" s="535" t="s">
        <v>1802</v>
      </c>
    </row>
    <row r="145" spans="1:33" s="142" customFormat="1" ht="18" hidden="1" customHeight="1" outlineLevel="1" x14ac:dyDescent="0.25">
      <c r="A145" s="194"/>
      <c r="B145" s="138"/>
      <c r="C145" s="235"/>
      <c r="D145" s="728" t="s">
        <v>1803</v>
      </c>
      <c r="E145" s="556">
        <f>SUM(E133:E144)</f>
        <v>391662.41991846234</v>
      </c>
      <c r="F145" s="556">
        <f t="shared" ref="F145:N145" si="28">SUM(F133:F144)</f>
        <v>599243.5024752476</v>
      </c>
      <c r="G145" s="556">
        <f t="shared" si="28"/>
        <v>611228.3725247524</v>
      </c>
      <c r="H145" s="556">
        <f t="shared" si="28"/>
        <v>415635.29331683158</v>
      </c>
      <c r="I145" s="556">
        <f t="shared" si="28"/>
        <v>423947.99918316823</v>
      </c>
      <c r="J145" s="556">
        <f t="shared" si="28"/>
        <v>648640.43875024747</v>
      </c>
      <c r="K145" s="556">
        <f t="shared" si="28"/>
        <v>661613.24752525229</v>
      </c>
      <c r="L145" s="556">
        <f t="shared" si="28"/>
        <v>449897.00831717154</v>
      </c>
      <c r="M145" s="556">
        <f t="shared" si="28"/>
        <v>458894.94848351507</v>
      </c>
      <c r="N145" s="556">
        <f t="shared" si="28"/>
        <v>702109.27117977792</v>
      </c>
      <c r="O145" s="535" t="s">
        <v>2931</v>
      </c>
    </row>
    <row r="146" spans="1:33" s="203" customFormat="1" ht="16.5" hidden="1" outlineLevel="1" thickBot="1" x14ac:dyDescent="0.3">
      <c r="A146" s="194"/>
      <c r="B146" s="74"/>
      <c r="C146" s="325"/>
      <c r="D146" s="725"/>
      <c r="E146" s="568"/>
      <c r="F146" s="568"/>
      <c r="G146" s="568"/>
      <c r="H146" s="568"/>
      <c r="I146" s="568"/>
      <c r="J146" s="568"/>
      <c r="K146" s="568"/>
      <c r="L146" s="568"/>
      <c r="M146" s="568"/>
      <c r="N146" s="568"/>
      <c r="O146" s="569"/>
      <c r="P146" s="204"/>
    </row>
    <row r="147" spans="1:33" s="203" customFormat="1" ht="16.5" hidden="1" outlineLevel="1" thickBot="1" x14ac:dyDescent="0.3">
      <c r="A147" s="194"/>
      <c r="B147" s="74"/>
      <c r="C147" s="211"/>
      <c r="D147" s="214"/>
      <c r="E147" s="210"/>
      <c r="F147" s="210"/>
      <c r="G147" s="210"/>
      <c r="H147" s="210"/>
      <c r="I147" s="210"/>
      <c r="J147" s="210"/>
      <c r="K147" s="210"/>
      <c r="L147" s="210"/>
      <c r="M147" s="210"/>
      <c r="N147" s="210"/>
      <c r="O147" s="204"/>
      <c r="P147" s="204"/>
    </row>
    <row r="148" spans="1:33" customFormat="1" ht="20.25" hidden="1" outlineLevel="1" x14ac:dyDescent="0.25">
      <c r="A148" s="194"/>
      <c r="B148" s="13"/>
      <c r="C148" s="1012" t="str">
        <f>Scenario3&amp;"  Lease Return FTEs"</f>
        <v>eSystems (Paperless)  Lease Return FTEs</v>
      </c>
      <c r="D148" s="310"/>
      <c r="E148" s="434"/>
      <c r="F148" s="434"/>
      <c r="G148" s="434"/>
      <c r="H148" s="434"/>
      <c r="I148" s="434"/>
      <c r="J148" s="434"/>
      <c r="K148" s="434"/>
      <c r="L148" s="434"/>
      <c r="M148" s="434"/>
      <c r="N148" s="434"/>
      <c r="O148" s="573"/>
      <c r="P148" s="18"/>
      <c r="Q148" s="18"/>
      <c r="R148" s="18"/>
      <c r="S148" s="18"/>
      <c r="T148" s="18"/>
      <c r="U148" s="18"/>
      <c r="V148" s="18"/>
      <c r="W148" s="18"/>
      <c r="X148" s="18"/>
      <c r="Y148" s="18"/>
      <c r="Z148" s="18"/>
      <c r="AA148" s="18"/>
      <c r="AB148" s="18"/>
      <c r="AC148" s="18"/>
      <c r="AD148" s="18"/>
      <c r="AE148" s="18"/>
      <c r="AF148" s="18"/>
      <c r="AG148" s="18"/>
    </row>
    <row r="149" spans="1:33" s="142" customFormat="1" ht="18" hidden="1" customHeight="1" outlineLevel="1" x14ac:dyDescent="0.25">
      <c r="A149" s="194"/>
      <c r="B149" s="138"/>
      <c r="C149" s="235"/>
      <c r="D149" s="726" t="s">
        <v>1804</v>
      </c>
      <c r="E149" s="557">
        <f t="shared" ref="E149:N149" si="29">(eSystemsLeaseLaborHrsHM/eSystemsTouchHourspaHM)*LeaseReturnForecast</f>
        <v>0.72801397786837496</v>
      </c>
      <c r="F149" s="557">
        <f t="shared" si="29"/>
        <v>1.0920209668025624</v>
      </c>
      <c r="G149" s="557">
        <f t="shared" si="29"/>
        <v>1.0920209668025624</v>
      </c>
      <c r="H149" s="557">
        <f t="shared" si="29"/>
        <v>0.72801397786837496</v>
      </c>
      <c r="I149" s="557">
        <f t="shared" si="29"/>
        <v>0.72801397786837496</v>
      </c>
      <c r="J149" s="557">
        <f t="shared" si="29"/>
        <v>1.0920209668025624</v>
      </c>
      <c r="K149" s="557">
        <f t="shared" si="29"/>
        <v>1.0920209668025624</v>
      </c>
      <c r="L149" s="557">
        <f t="shared" si="29"/>
        <v>0.72801397786837496</v>
      </c>
      <c r="M149" s="557">
        <f t="shared" si="29"/>
        <v>0.72801397786837496</v>
      </c>
      <c r="N149" s="557">
        <f t="shared" si="29"/>
        <v>1.0920209668025624</v>
      </c>
      <c r="O149" s="535" t="s">
        <v>1805</v>
      </c>
    </row>
    <row r="150" spans="1:33" s="142" customFormat="1" ht="18" hidden="1" customHeight="1" outlineLevel="1" x14ac:dyDescent="0.25">
      <c r="A150" s="194"/>
      <c r="B150" s="138"/>
      <c r="C150" s="235"/>
      <c r="D150" s="726" t="s">
        <v>1806</v>
      </c>
      <c r="E150" s="557">
        <f t="shared" ref="E150:N150" si="30">(eSystemsLeaseLaborHrsLM/eSystemsTouchHourspaLM)*LeaseReturnForecast</f>
        <v>1.0920209668025624</v>
      </c>
      <c r="F150" s="557">
        <f t="shared" si="30"/>
        <v>1.6380314502038438</v>
      </c>
      <c r="G150" s="557">
        <f t="shared" si="30"/>
        <v>1.6380314502038438</v>
      </c>
      <c r="H150" s="557">
        <f t="shared" si="30"/>
        <v>1.0920209668025624</v>
      </c>
      <c r="I150" s="557">
        <f t="shared" si="30"/>
        <v>1.0920209668025624</v>
      </c>
      <c r="J150" s="557">
        <f t="shared" si="30"/>
        <v>1.6380314502038438</v>
      </c>
      <c r="K150" s="557">
        <f t="shared" si="30"/>
        <v>1.6380314502038438</v>
      </c>
      <c r="L150" s="557">
        <f t="shared" si="30"/>
        <v>1.0920209668025624</v>
      </c>
      <c r="M150" s="557">
        <f t="shared" si="30"/>
        <v>1.0920209668025624</v>
      </c>
      <c r="N150" s="557">
        <f t="shared" si="30"/>
        <v>1.6380314502038438</v>
      </c>
      <c r="O150" s="535" t="s">
        <v>1807</v>
      </c>
    </row>
    <row r="151" spans="1:33" s="142" customFormat="1" ht="18" hidden="1" customHeight="1" outlineLevel="1" x14ac:dyDescent="0.25">
      <c r="A151" s="194"/>
      <c r="B151" s="138"/>
      <c r="C151" s="235"/>
      <c r="D151" s="727" t="s">
        <v>1808</v>
      </c>
      <c r="E151" s="557">
        <f t="shared" ref="E151:N151" si="31">(eSystemsLeaseLaborHrsENG/eSystemsTouchHourspaENG)*LeaseReturnForecast</f>
        <v>0.72801397786837496</v>
      </c>
      <c r="F151" s="557">
        <f t="shared" si="31"/>
        <v>1.0920209668025624</v>
      </c>
      <c r="G151" s="557">
        <f t="shared" si="31"/>
        <v>1.0920209668025624</v>
      </c>
      <c r="H151" s="557">
        <f t="shared" si="31"/>
        <v>0.72801397786837496</v>
      </c>
      <c r="I151" s="557">
        <f t="shared" si="31"/>
        <v>0.72801397786837496</v>
      </c>
      <c r="J151" s="557">
        <f t="shared" si="31"/>
        <v>1.0920209668025624</v>
      </c>
      <c r="K151" s="557">
        <f t="shared" si="31"/>
        <v>1.0920209668025624</v>
      </c>
      <c r="L151" s="557">
        <f t="shared" si="31"/>
        <v>0.72801397786837496</v>
      </c>
      <c r="M151" s="557">
        <f t="shared" si="31"/>
        <v>0.72801397786837496</v>
      </c>
      <c r="N151" s="557">
        <f t="shared" si="31"/>
        <v>1.0920209668025624</v>
      </c>
      <c r="O151" s="535" t="s">
        <v>1809</v>
      </c>
    </row>
    <row r="152" spans="1:33" s="142" customFormat="1" ht="18" hidden="1" customHeight="1" outlineLevel="1" x14ac:dyDescent="0.25">
      <c r="A152" s="194"/>
      <c r="B152" s="138"/>
      <c r="C152" s="235"/>
      <c r="D152" s="726" t="s">
        <v>1810</v>
      </c>
      <c r="E152" s="557">
        <f t="shared" ref="E152:N152" si="32">(eSystemsLeaseLaborHrsPLG/eSystemsTouchHourspaPLG)*LeaseReturnForecast</f>
        <v>0.36400698893418748</v>
      </c>
      <c r="F152" s="557">
        <f t="shared" si="32"/>
        <v>0.54601048340128122</v>
      </c>
      <c r="G152" s="557">
        <f t="shared" si="32"/>
        <v>0.54601048340128122</v>
      </c>
      <c r="H152" s="557">
        <f t="shared" si="32"/>
        <v>0.36400698893418748</v>
      </c>
      <c r="I152" s="557">
        <f t="shared" si="32"/>
        <v>0.36400698893418748</v>
      </c>
      <c r="J152" s="557">
        <f t="shared" si="32"/>
        <v>0.54601048340128122</v>
      </c>
      <c r="K152" s="557">
        <f t="shared" si="32"/>
        <v>0.54601048340128122</v>
      </c>
      <c r="L152" s="557">
        <f t="shared" si="32"/>
        <v>0.36400698893418748</v>
      </c>
      <c r="M152" s="557">
        <f t="shared" si="32"/>
        <v>0.36400698893418748</v>
      </c>
      <c r="N152" s="557">
        <f t="shared" si="32"/>
        <v>0.54601048340128122</v>
      </c>
      <c r="O152" s="535" t="s">
        <v>1811</v>
      </c>
    </row>
    <row r="153" spans="1:33" s="142" customFormat="1" ht="18" hidden="1" customHeight="1" outlineLevel="1" x14ac:dyDescent="0.25">
      <c r="A153" s="194"/>
      <c r="B153" s="138"/>
      <c r="C153" s="235"/>
      <c r="D153" s="726" t="s">
        <v>1812</v>
      </c>
      <c r="E153" s="557">
        <f t="shared" ref="E153:N153" si="33">(eSystemsLeaseLaborHrsCRT/eSystemsTouchHourspaCRT)*LeaseReturnForecast</f>
        <v>0.145602795573675</v>
      </c>
      <c r="F153" s="557">
        <f t="shared" si="33"/>
        <v>0.21840419336051251</v>
      </c>
      <c r="G153" s="557">
        <f t="shared" si="33"/>
        <v>0.21840419336051251</v>
      </c>
      <c r="H153" s="557">
        <f t="shared" si="33"/>
        <v>0.145602795573675</v>
      </c>
      <c r="I153" s="557">
        <f t="shared" si="33"/>
        <v>0.145602795573675</v>
      </c>
      <c r="J153" s="557">
        <f t="shared" si="33"/>
        <v>0.21840419336051251</v>
      </c>
      <c r="K153" s="557">
        <f t="shared" si="33"/>
        <v>0.21840419336051251</v>
      </c>
      <c r="L153" s="557">
        <f t="shared" si="33"/>
        <v>0.145602795573675</v>
      </c>
      <c r="M153" s="557">
        <f t="shared" si="33"/>
        <v>0.145602795573675</v>
      </c>
      <c r="N153" s="557">
        <f t="shared" si="33"/>
        <v>0.21840419336051251</v>
      </c>
      <c r="O153" s="535" t="s">
        <v>1813</v>
      </c>
    </row>
    <row r="154" spans="1:33" s="142" customFormat="1" ht="18" hidden="1" customHeight="1" outlineLevel="1" x14ac:dyDescent="0.25">
      <c r="A154" s="194"/>
      <c r="B154" s="138"/>
      <c r="C154" s="235"/>
      <c r="D154" s="726" t="s">
        <v>1814</v>
      </c>
      <c r="E154" s="557">
        <f t="shared" ref="E154:N154" si="34">(eSystemsLeaseLaborHrsSCL/eSystemsTouchHourspaSCL)*LeaseReturnForecast</f>
        <v>7.2801397786837502E-2</v>
      </c>
      <c r="F154" s="557">
        <f t="shared" si="34"/>
        <v>0.10920209668025625</v>
      </c>
      <c r="G154" s="557">
        <f t="shared" si="34"/>
        <v>0.10920209668025625</v>
      </c>
      <c r="H154" s="557">
        <f t="shared" si="34"/>
        <v>7.2801397786837502E-2</v>
      </c>
      <c r="I154" s="557">
        <f t="shared" si="34"/>
        <v>7.2801397786837502E-2</v>
      </c>
      <c r="J154" s="557">
        <f t="shared" si="34"/>
        <v>0.10920209668025625</v>
      </c>
      <c r="K154" s="557">
        <f t="shared" si="34"/>
        <v>0.10920209668025625</v>
      </c>
      <c r="L154" s="557">
        <f t="shared" si="34"/>
        <v>7.2801397786837502E-2</v>
      </c>
      <c r="M154" s="557">
        <f t="shared" si="34"/>
        <v>7.2801397786837502E-2</v>
      </c>
      <c r="N154" s="557">
        <f t="shared" si="34"/>
        <v>0.10920209668025625</v>
      </c>
      <c r="O154" s="535" t="s">
        <v>1815</v>
      </c>
    </row>
    <row r="155" spans="1:33" s="142" customFormat="1" ht="18" hidden="1" customHeight="1" outlineLevel="1" x14ac:dyDescent="0.25">
      <c r="A155" s="194"/>
      <c r="B155" s="138"/>
      <c r="C155" s="235"/>
      <c r="D155" s="726" t="s">
        <v>1816</v>
      </c>
      <c r="E155" s="557">
        <f t="shared" ref="E155:N155" si="35">(eSystemsLeaseLaborHrsQSC/eSystemsTouchHourspaQSC)*LeaseReturnForecast</f>
        <v>7.2801397786837502E-2</v>
      </c>
      <c r="F155" s="557">
        <f t="shared" si="35"/>
        <v>0.10920209668025625</v>
      </c>
      <c r="G155" s="557">
        <f t="shared" si="35"/>
        <v>0.10920209668025625</v>
      </c>
      <c r="H155" s="557">
        <f t="shared" si="35"/>
        <v>7.2801397786837502E-2</v>
      </c>
      <c r="I155" s="557">
        <f t="shared" si="35"/>
        <v>7.2801397786837502E-2</v>
      </c>
      <c r="J155" s="557">
        <f t="shared" si="35"/>
        <v>0.10920209668025625</v>
      </c>
      <c r="K155" s="557">
        <f t="shared" si="35"/>
        <v>0.10920209668025625</v>
      </c>
      <c r="L155" s="557">
        <f t="shared" si="35"/>
        <v>7.2801397786837502E-2</v>
      </c>
      <c r="M155" s="557">
        <f t="shared" si="35"/>
        <v>7.2801397786837502E-2</v>
      </c>
      <c r="N155" s="557">
        <f t="shared" si="35"/>
        <v>0.10920209668025625</v>
      </c>
      <c r="O155" s="535" t="s">
        <v>1817</v>
      </c>
    </row>
    <row r="156" spans="1:33" s="142" customFormat="1" ht="18" hidden="1" customHeight="1" outlineLevel="1" x14ac:dyDescent="0.25">
      <c r="A156" s="194"/>
      <c r="B156" s="138"/>
      <c r="C156" s="235"/>
      <c r="D156" s="726" t="s">
        <v>1818</v>
      </c>
      <c r="E156" s="557">
        <f t="shared" ref="E156:N156" si="36">(eSystemsLeaseLaborHrsEM/eSystemsTouchHourspaEM)*LeaseReturnForecast</f>
        <v>0</v>
      </c>
      <c r="F156" s="557">
        <f t="shared" si="36"/>
        <v>0</v>
      </c>
      <c r="G156" s="557">
        <f t="shared" si="36"/>
        <v>0</v>
      </c>
      <c r="H156" s="557">
        <f t="shared" si="36"/>
        <v>0</v>
      </c>
      <c r="I156" s="557">
        <f t="shared" si="36"/>
        <v>0</v>
      </c>
      <c r="J156" s="557">
        <f t="shared" si="36"/>
        <v>0</v>
      </c>
      <c r="K156" s="557">
        <f t="shared" si="36"/>
        <v>0</v>
      </c>
      <c r="L156" s="557">
        <f t="shared" si="36"/>
        <v>0</v>
      </c>
      <c r="M156" s="557">
        <f t="shared" si="36"/>
        <v>0</v>
      </c>
      <c r="N156" s="557">
        <f t="shared" si="36"/>
        <v>0</v>
      </c>
      <c r="O156" s="535" t="s">
        <v>1819</v>
      </c>
    </row>
    <row r="157" spans="1:33" s="142" customFormat="1" ht="18" hidden="1" customHeight="1" outlineLevel="1" x14ac:dyDescent="0.25">
      <c r="A157" s="194"/>
      <c r="B157" s="138"/>
      <c r="C157" s="235"/>
      <c r="D157" s="726" t="s">
        <v>1820</v>
      </c>
      <c r="E157" s="557">
        <f t="shared" ref="E157:N157" si="37">(eSystemsLeaseLaborHrsCM/eSystemsTouchHourspaCM)*LeaseReturnForecast</f>
        <v>0</v>
      </c>
      <c r="F157" s="557">
        <f t="shared" si="37"/>
        <v>0</v>
      </c>
      <c r="G157" s="557">
        <f t="shared" si="37"/>
        <v>0</v>
      </c>
      <c r="H157" s="557">
        <f t="shared" si="37"/>
        <v>0</v>
      </c>
      <c r="I157" s="557">
        <f t="shared" si="37"/>
        <v>0</v>
      </c>
      <c r="J157" s="557">
        <f t="shared" si="37"/>
        <v>0</v>
      </c>
      <c r="K157" s="557">
        <f t="shared" si="37"/>
        <v>0</v>
      </c>
      <c r="L157" s="557">
        <f t="shared" si="37"/>
        <v>0</v>
      </c>
      <c r="M157" s="557">
        <f t="shared" si="37"/>
        <v>0</v>
      </c>
      <c r="N157" s="557">
        <f t="shared" si="37"/>
        <v>0</v>
      </c>
      <c r="O157" s="535" t="s">
        <v>1821</v>
      </c>
    </row>
    <row r="158" spans="1:33" s="142" customFormat="1" ht="18" hidden="1" customHeight="1" outlineLevel="1" x14ac:dyDescent="0.25">
      <c r="A158" s="194"/>
      <c r="B158" s="138"/>
      <c r="C158" s="235"/>
      <c r="D158" s="726" t="s">
        <v>1822</v>
      </c>
      <c r="E158" s="557">
        <f t="shared" ref="E158:N158" si="38">(eSystemsLeaseLaborHrsSMCS/eSystemsTouchHourspaSMCS)*LeaseReturnForecast</f>
        <v>0</v>
      </c>
      <c r="F158" s="557">
        <f t="shared" si="38"/>
        <v>0</v>
      </c>
      <c r="G158" s="557">
        <f t="shared" si="38"/>
        <v>0</v>
      </c>
      <c r="H158" s="557">
        <f t="shared" si="38"/>
        <v>0</v>
      </c>
      <c r="I158" s="557">
        <f t="shared" si="38"/>
        <v>0</v>
      </c>
      <c r="J158" s="557">
        <f t="shared" si="38"/>
        <v>0</v>
      </c>
      <c r="K158" s="557">
        <f t="shared" si="38"/>
        <v>0</v>
      </c>
      <c r="L158" s="557">
        <f t="shared" si="38"/>
        <v>0</v>
      </c>
      <c r="M158" s="557">
        <f t="shared" si="38"/>
        <v>0</v>
      </c>
      <c r="N158" s="557">
        <f t="shared" si="38"/>
        <v>0</v>
      </c>
      <c r="O158" s="535" t="s">
        <v>1823</v>
      </c>
    </row>
    <row r="159" spans="1:33" s="142" customFormat="1" ht="18" hidden="1" customHeight="1" outlineLevel="1" x14ac:dyDescent="0.25">
      <c r="A159" s="194"/>
      <c r="B159" s="138"/>
      <c r="C159" s="235"/>
      <c r="D159" s="726" t="s">
        <v>1824</v>
      </c>
      <c r="E159" s="557">
        <f t="shared" ref="E159:N159" si="39">(eSystemsLeaseLaborHrsO1/eSystemsTouchHourspaO1)*LeaseReturnForecast</f>
        <v>0</v>
      </c>
      <c r="F159" s="557">
        <f t="shared" si="39"/>
        <v>0</v>
      </c>
      <c r="G159" s="557">
        <f t="shared" si="39"/>
        <v>0</v>
      </c>
      <c r="H159" s="557">
        <f t="shared" si="39"/>
        <v>0</v>
      </c>
      <c r="I159" s="557">
        <f t="shared" si="39"/>
        <v>0</v>
      </c>
      <c r="J159" s="557">
        <f t="shared" si="39"/>
        <v>0</v>
      </c>
      <c r="K159" s="557">
        <f t="shared" si="39"/>
        <v>0</v>
      </c>
      <c r="L159" s="557">
        <f t="shared" si="39"/>
        <v>0</v>
      </c>
      <c r="M159" s="557">
        <f t="shared" si="39"/>
        <v>0</v>
      </c>
      <c r="N159" s="557">
        <f t="shared" si="39"/>
        <v>0</v>
      </c>
      <c r="O159" s="535" t="s">
        <v>1825</v>
      </c>
    </row>
    <row r="160" spans="1:33" s="142" customFormat="1" ht="18" hidden="1" customHeight="1" outlineLevel="1" x14ac:dyDescent="0.25">
      <c r="A160" s="194"/>
      <c r="B160" s="138"/>
      <c r="C160" s="235"/>
      <c r="D160" s="726" t="s">
        <v>1826</v>
      </c>
      <c r="E160" s="557">
        <f t="shared" ref="E160:N160" si="40">(eSystemsLeaseLaborHrsO2/eSystemsTouchHourspaO2)*LeaseReturnForecast</f>
        <v>0</v>
      </c>
      <c r="F160" s="557">
        <f t="shared" si="40"/>
        <v>0</v>
      </c>
      <c r="G160" s="557">
        <f t="shared" si="40"/>
        <v>0</v>
      </c>
      <c r="H160" s="557">
        <f t="shared" si="40"/>
        <v>0</v>
      </c>
      <c r="I160" s="557">
        <f t="shared" si="40"/>
        <v>0</v>
      </c>
      <c r="J160" s="557">
        <f t="shared" si="40"/>
        <v>0</v>
      </c>
      <c r="K160" s="557">
        <f t="shared" si="40"/>
        <v>0</v>
      </c>
      <c r="L160" s="557">
        <f t="shared" si="40"/>
        <v>0</v>
      </c>
      <c r="M160" s="557">
        <f t="shared" si="40"/>
        <v>0</v>
      </c>
      <c r="N160" s="557">
        <f t="shared" si="40"/>
        <v>0</v>
      </c>
      <c r="O160" s="535" t="s">
        <v>1827</v>
      </c>
    </row>
    <row r="161" spans="1:33" s="142" customFormat="1" ht="18" hidden="1" customHeight="1" outlineLevel="1" x14ac:dyDescent="0.25">
      <c r="A161" s="194"/>
      <c r="B161" s="138"/>
      <c r="C161" s="235"/>
      <c r="D161" s="728" t="s">
        <v>1828</v>
      </c>
      <c r="E161" s="574">
        <f>SUM(E149:E160)</f>
        <v>3.2032615026208497</v>
      </c>
      <c r="F161" s="574">
        <f t="shared" ref="F161:N161" si="41">SUM(F149:F160)</f>
        <v>4.8048922539312748</v>
      </c>
      <c r="G161" s="574">
        <f t="shared" si="41"/>
        <v>4.8048922539312748</v>
      </c>
      <c r="H161" s="574">
        <f t="shared" si="41"/>
        <v>3.2032615026208497</v>
      </c>
      <c r="I161" s="574">
        <f t="shared" si="41"/>
        <v>3.2032615026208497</v>
      </c>
      <c r="J161" s="574">
        <f t="shared" si="41"/>
        <v>4.8048922539312748</v>
      </c>
      <c r="K161" s="574">
        <f t="shared" si="41"/>
        <v>4.8048922539312748</v>
      </c>
      <c r="L161" s="574">
        <f t="shared" si="41"/>
        <v>3.2032615026208497</v>
      </c>
      <c r="M161" s="574">
        <f t="shared" si="41"/>
        <v>3.2032615026208497</v>
      </c>
      <c r="N161" s="574">
        <f t="shared" si="41"/>
        <v>4.8048922539312748</v>
      </c>
      <c r="O161" s="535" t="s">
        <v>1829</v>
      </c>
    </row>
    <row r="162" spans="1:33" s="203" customFormat="1" ht="16.5" hidden="1" outlineLevel="1" thickBot="1" x14ac:dyDescent="0.3">
      <c r="A162" s="194"/>
      <c r="B162" s="138"/>
      <c r="C162" s="325"/>
      <c r="D162" s="725"/>
      <c r="E162" s="568"/>
      <c r="F162" s="568"/>
      <c r="G162" s="568"/>
      <c r="H162" s="568"/>
      <c r="I162" s="568"/>
      <c r="J162" s="568"/>
      <c r="K162" s="568"/>
      <c r="L162" s="568"/>
      <c r="M162" s="568"/>
      <c r="N162" s="568"/>
      <c r="O162" s="569"/>
      <c r="P162" s="204"/>
    </row>
    <row r="163" spans="1:33" s="204" customFormat="1" collapsed="1" x14ac:dyDescent="0.2">
      <c r="A163" s="211"/>
      <c r="B163" s="72"/>
      <c r="C163" s="211"/>
      <c r="D163" s="214"/>
      <c r="E163" s="210"/>
      <c r="F163" s="210"/>
      <c r="G163" s="210"/>
      <c r="H163" s="210"/>
      <c r="I163" s="210"/>
      <c r="J163" s="210"/>
      <c r="K163" s="210"/>
      <c r="L163" s="210"/>
      <c r="M163" s="210"/>
      <c r="N163" s="210"/>
    </row>
    <row r="164" spans="1:33" s="122" customFormat="1" ht="15.75" x14ac:dyDescent="0.2">
      <c r="A164" s="1043">
        <v>2</v>
      </c>
      <c r="B164" s="1039"/>
      <c r="C164" s="1039"/>
      <c r="D164" s="1039"/>
      <c r="E164" s="1039"/>
      <c r="F164" s="1039"/>
      <c r="G164" s="1039"/>
      <c r="H164" s="1039"/>
      <c r="I164" s="1039"/>
      <c r="J164" s="1039"/>
      <c r="K164" s="1039"/>
      <c r="L164" s="1039"/>
      <c r="M164" s="1039"/>
      <c r="N164" s="1039"/>
      <c r="O164" s="1039"/>
      <c r="P164" s="206"/>
      <c r="Q164" s="206"/>
      <c r="R164" s="206"/>
      <c r="S164" s="206"/>
      <c r="T164" s="206"/>
      <c r="U164" s="206"/>
      <c r="V164" s="206"/>
      <c r="W164" s="206"/>
      <c r="X164" s="206"/>
      <c r="Y164" s="206"/>
      <c r="Z164" s="206"/>
      <c r="AA164" s="206"/>
      <c r="AB164" s="206"/>
      <c r="AC164" s="206"/>
      <c r="AD164" s="206"/>
      <c r="AE164" s="206"/>
      <c r="AF164" s="206"/>
    </row>
    <row r="165" spans="1:33" s="204" customFormat="1" x14ac:dyDescent="0.2">
      <c r="A165" s="211"/>
      <c r="B165" s="72"/>
      <c r="C165" s="211"/>
      <c r="D165" s="214"/>
      <c r="E165" s="210"/>
      <c r="F165" s="210"/>
      <c r="G165" s="210"/>
      <c r="H165" s="210"/>
      <c r="I165" s="210"/>
      <c r="J165" s="210"/>
      <c r="K165" s="210"/>
      <c r="L165" s="210"/>
      <c r="M165" s="210"/>
      <c r="N165" s="210"/>
    </row>
    <row r="166" spans="1:33" s="337" customFormat="1" ht="20.100000000000001" customHeight="1" x14ac:dyDescent="0.2">
      <c r="A166" s="1394" t="s">
        <v>4177</v>
      </c>
      <c r="C166" s="1415" t="s">
        <v>4174</v>
      </c>
      <c r="D166" s="1416"/>
      <c r="E166" s="211"/>
      <c r="F166" s="211"/>
      <c r="G166" s="211"/>
      <c r="H166" s="211"/>
      <c r="I166" s="211"/>
      <c r="J166" s="211"/>
      <c r="K166" s="211"/>
      <c r="L166" s="211"/>
      <c r="M166" s="211"/>
      <c r="N166" s="211"/>
      <c r="O166" s="211"/>
      <c r="P166" s="336"/>
    </row>
    <row r="167" spans="1:33" s="206" customFormat="1" ht="15" customHeight="1" x14ac:dyDescent="0.2">
      <c r="A167" s="1395"/>
      <c r="B167" s="222"/>
      <c r="C167" s="222"/>
      <c r="D167" s="214"/>
      <c r="E167" s="210"/>
      <c r="F167" s="210"/>
      <c r="G167" s="210"/>
      <c r="H167" s="210"/>
      <c r="I167" s="210"/>
      <c r="J167" s="210"/>
      <c r="K167" s="210"/>
      <c r="L167" s="210"/>
      <c r="M167" s="210"/>
      <c r="N167" s="210"/>
      <c r="O167" s="210"/>
      <c r="P167" s="210"/>
    </row>
    <row r="168" spans="1:33" s="206" customFormat="1" ht="23.25" customHeight="1" x14ac:dyDescent="0.2">
      <c r="A168" s="1396"/>
      <c r="B168" s="222"/>
      <c r="C168" s="222"/>
      <c r="D168" s="214"/>
      <c r="E168" s="210"/>
      <c r="F168" s="210"/>
      <c r="G168" s="210"/>
      <c r="H168" s="210"/>
      <c r="I168" s="210"/>
      <c r="J168" s="210"/>
      <c r="K168" s="210"/>
      <c r="L168" s="210"/>
      <c r="M168" s="210"/>
      <c r="N168" s="210"/>
      <c r="O168" s="210"/>
      <c r="P168" s="210"/>
    </row>
    <row r="169" spans="1:33" s="206" customFormat="1" ht="15" customHeight="1" x14ac:dyDescent="0.2">
      <c r="A169" s="222"/>
      <c r="B169" s="222"/>
      <c r="C169" s="222"/>
      <c r="D169" s="214"/>
      <c r="E169" s="210"/>
      <c r="F169" s="210"/>
      <c r="G169" s="210"/>
      <c r="H169" s="210"/>
      <c r="I169" s="210"/>
      <c r="J169" s="210"/>
      <c r="K169" s="210"/>
      <c r="L169" s="210"/>
      <c r="M169" s="210"/>
      <c r="N169" s="210"/>
      <c r="O169" s="210"/>
      <c r="P169" s="210"/>
    </row>
    <row r="170" spans="1:33" s="206" customFormat="1" ht="15" hidden="1" customHeight="1" outlineLevel="1" thickBot="1" x14ac:dyDescent="0.25">
      <c r="A170" s="222"/>
      <c r="B170" s="222"/>
      <c r="C170" s="222"/>
      <c r="D170" s="214"/>
      <c r="E170" s="210"/>
      <c r="F170" s="210"/>
      <c r="G170" s="210"/>
      <c r="H170" s="210"/>
      <c r="I170" s="210"/>
      <c r="J170" s="210"/>
      <c r="K170" s="210"/>
      <c r="L170" s="210"/>
      <c r="M170" s="210"/>
      <c r="N170" s="210"/>
      <c r="O170" s="210"/>
      <c r="P170" s="210"/>
    </row>
    <row r="171" spans="1:33" s="206" customFormat="1" ht="20.100000000000001" hidden="1" customHeight="1" outlineLevel="1" x14ac:dyDescent="0.2">
      <c r="A171" s="1394" t="s">
        <v>4178</v>
      </c>
      <c r="B171" s="220"/>
      <c r="C171" s="1007" t="s">
        <v>461</v>
      </c>
      <c r="D171" s="729"/>
      <c r="E171" s="322"/>
      <c r="F171" s="322"/>
      <c r="G171" s="322"/>
      <c r="H171" s="322"/>
      <c r="I171" s="322"/>
      <c r="J171" s="322"/>
      <c r="K171" s="322"/>
      <c r="L171" s="322"/>
      <c r="M171" s="322"/>
      <c r="N171" s="322"/>
      <c r="O171" s="584"/>
      <c r="P171" s="210"/>
    </row>
    <row r="172" spans="1:33" s="206" customFormat="1" ht="12" hidden="1" customHeight="1" outlineLevel="1" x14ac:dyDescent="0.25">
      <c r="A172" s="1395"/>
      <c r="B172" s="576"/>
      <c r="C172" s="339"/>
      <c r="D172" s="730" t="s">
        <v>209</v>
      </c>
      <c r="E172" s="570">
        <v>6</v>
      </c>
      <c r="F172" s="570">
        <v>6</v>
      </c>
      <c r="G172" s="570">
        <v>6</v>
      </c>
      <c r="H172" s="570">
        <v>6</v>
      </c>
      <c r="I172" s="570">
        <v>6</v>
      </c>
      <c r="J172" s="570">
        <v>6</v>
      </c>
      <c r="K172" s="570">
        <v>6</v>
      </c>
      <c r="L172" s="570">
        <v>6</v>
      </c>
      <c r="M172" s="570">
        <v>6</v>
      </c>
      <c r="N172" s="570">
        <v>6</v>
      </c>
      <c r="O172" s="324" t="s">
        <v>205</v>
      </c>
      <c r="P172" s="210"/>
    </row>
    <row r="173" spans="1:33" s="206" customFormat="1" ht="87.75" hidden="1" customHeight="1" outlineLevel="1" thickBot="1" x14ac:dyDescent="0.3">
      <c r="A173" s="1396"/>
      <c r="B173" s="576"/>
      <c r="C173" s="325"/>
      <c r="D173" s="731"/>
      <c r="E173" s="585"/>
      <c r="F173" s="585"/>
      <c r="G173" s="585"/>
      <c r="H173" s="585"/>
      <c r="I173" s="585"/>
      <c r="J173" s="585"/>
      <c r="K173" s="585"/>
      <c r="L173" s="585"/>
      <c r="M173" s="585"/>
      <c r="N173" s="585"/>
      <c r="O173" s="586"/>
      <c r="P173" s="210"/>
    </row>
    <row r="174" spans="1:33" s="206" customFormat="1" ht="12" hidden="1" customHeight="1" outlineLevel="1" thickBot="1" x14ac:dyDescent="0.3">
      <c r="A174" s="576"/>
      <c r="B174" s="576"/>
      <c r="C174" s="587"/>
      <c r="D174" s="730"/>
      <c r="E174" s="136"/>
      <c r="F174" s="136"/>
      <c r="G174" s="136"/>
      <c r="H174" s="136"/>
      <c r="I174" s="136"/>
      <c r="J174" s="136"/>
      <c r="K174" s="136"/>
      <c r="L174" s="136"/>
      <c r="M174" s="136"/>
      <c r="N174" s="136"/>
      <c r="O174" s="578"/>
      <c r="P174" s="210"/>
    </row>
    <row r="175" spans="1:33" s="8" customFormat="1" ht="20.25" hidden="1" outlineLevel="1" x14ac:dyDescent="0.25">
      <c r="A175" s="1397" t="s">
        <v>4190</v>
      </c>
      <c r="B175" s="194"/>
      <c r="C175" s="1007" t="str">
        <f>Scenario1&amp;" Lessee Labor Hours per Lessor Visit"</f>
        <v>pSystems (Paper) Lessee Labor Hours per Lessor Visit</v>
      </c>
      <c r="D175" s="310"/>
      <c r="E175" s="240"/>
      <c r="F175" s="240"/>
      <c r="G175" s="240"/>
      <c r="H175" s="240"/>
      <c r="I175" s="240"/>
      <c r="J175" s="240"/>
      <c r="K175" s="240"/>
      <c r="L175" s="240"/>
      <c r="M175" s="240"/>
      <c r="N175" s="240"/>
      <c r="O175" s="435"/>
      <c r="P175" s="17"/>
      <c r="Q175" s="17"/>
      <c r="R175" s="17"/>
      <c r="S175" s="17"/>
      <c r="T175" s="17"/>
      <c r="U175" s="17"/>
      <c r="V175" s="17"/>
      <c r="W175" s="17"/>
      <c r="X175" s="17"/>
      <c r="Y175" s="17"/>
      <c r="Z175" s="17"/>
      <c r="AA175" s="17"/>
      <c r="AB175" s="17"/>
      <c r="AC175" s="17"/>
      <c r="AD175" s="17"/>
      <c r="AE175" s="17"/>
      <c r="AF175" s="17"/>
      <c r="AG175" s="17"/>
    </row>
    <row r="176" spans="1:33" s="142" customFormat="1" ht="18" hidden="1" customHeight="1" outlineLevel="1" x14ac:dyDescent="0.2">
      <c r="A176" s="1398"/>
      <c r="B176" s="138"/>
      <c r="C176" s="235"/>
      <c r="D176" s="726" t="s">
        <v>1830</v>
      </c>
      <c r="E176" s="570">
        <v>0</v>
      </c>
      <c r="F176" s="570">
        <v>0</v>
      </c>
      <c r="G176" s="570">
        <v>0</v>
      </c>
      <c r="H176" s="570">
        <v>0</v>
      </c>
      <c r="I176" s="570">
        <v>0</v>
      </c>
      <c r="J176" s="570">
        <v>0</v>
      </c>
      <c r="K176" s="570">
        <v>0</v>
      </c>
      <c r="L176" s="570">
        <v>0</v>
      </c>
      <c r="M176" s="570">
        <v>0</v>
      </c>
      <c r="N176" s="570">
        <v>0</v>
      </c>
      <c r="O176" s="535" t="s">
        <v>1944</v>
      </c>
    </row>
    <row r="177" spans="1:33" s="142" customFormat="1" ht="18" hidden="1" customHeight="1" outlineLevel="1" x14ac:dyDescent="0.2">
      <c r="A177" s="1398"/>
      <c r="B177" s="138"/>
      <c r="C177" s="235"/>
      <c r="D177" s="726" t="s">
        <v>1831</v>
      </c>
      <c r="E177" s="570">
        <v>0</v>
      </c>
      <c r="F177" s="570">
        <v>0</v>
      </c>
      <c r="G177" s="570">
        <v>0</v>
      </c>
      <c r="H177" s="570">
        <v>0</v>
      </c>
      <c r="I177" s="570">
        <v>0</v>
      </c>
      <c r="J177" s="570">
        <v>0</v>
      </c>
      <c r="K177" s="570">
        <v>0</v>
      </c>
      <c r="L177" s="570">
        <v>0</v>
      </c>
      <c r="M177" s="570">
        <v>0</v>
      </c>
      <c r="N177" s="570">
        <v>0</v>
      </c>
      <c r="O177" s="535" t="s">
        <v>1945</v>
      </c>
    </row>
    <row r="178" spans="1:33" s="142" customFormat="1" ht="18" hidden="1" customHeight="1" outlineLevel="1" x14ac:dyDescent="0.2">
      <c r="A178" s="1398"/>
      <c r="B178" s="138"/>
      <c r="C178" s="235"/>
      <c r="D178" s="726" t="s">
        <v>1832</v>
      </c>
      <c r="E178" s="570">
        <v>80</v>
      </c>
      <c r="F178" s="570">
        <v>80</v>
      </c>
      <c r="G178" s="570">
        <v>80</v>
      </c>
      <c r="H178" s="570">
        <v>80</v>
      </c>
      <c r="I178" s="570">
        <v>80</v>
      </c>
      <c r="J178" s="570">
        <v>80</v>
      </c>
      <c r="K178" s="570">
        <v>80</v>
      </c>
      <c r="L178" s="570">
        <v>80</v>
      </c>
      <c r="M178" s="570">
        <v>80</v>
      </c>
      <c r="N178" s="570">
        <v>80</v>
      </c>
      <c r="O178" s="535" t="s">
        <v>1946</v>
      </c>
    </row>
    <row r="179" spans="1:33" s="142" customFormat="1" ht="18" hidden="1" customHeight="1" outlineLevel="1" x14ac:dyDescent="0.2">
      <c r="A179" s="1398"/>
      <c r="B179" s="138"/>
      <c r="C179" s="235"/>
      <c r="D179" s="726" t="s">
        <v>1833</v>
      </c>
      <c r="E179" s="570">
        <v>80</v>
      </c>
      <c r="F179" s="570">
        <v>80</v>
      </c>
      <c r="G179" s="570">
        <v>80</v>
      </c>
      <c r="H179" s="570">
        <v>80</v>
      </c>
      <c r="I179" s="570">
        <v>80</v>
      </c>
      <c r="J179" s="570">
        <v>80</v>
      </c>
      <c r="K179" s="570">
        <v>80</v>
      </c>
      <c r="L179" s="570">
        <v>80</v>
      </c>
      <c r="M179" s="570">
        <v>80</v>
      </c>
      <c r="N179" s="570">
        <v>80</v>
      </c>
      <c r="O179" s="535" t="s">
        <v>1947</v>
      </c>
    </row>
    <row r="180" spans="1:33" s="142" customFormat="1" ht="18" hidden="1" customHeight="1" outlineLevel="1" x14ac:dyDescent="0.2">
      <c r="A180" s="1398"/>
      <c r="B180" s="138"/>
      <c r="C180" s="235"/>
      <c r="D180" s="726" t="s">
        <v>1834</v>
      </c>
      <c r="E180" s="570">
        <v>80</v>
      </c>
      <c r="F180" s="570">
        <v>80</v>
      </c>
      <c r="G180" s="570">
        <v>80</v>
      </c>
      <c r="H180" s="570">
        <v>80</v>
      </c>
      <c r="I180" s="570">
        <v>80</v>
      </c>
      <c r="J180" s="570">
        <v>80</v>
      </c>
      <c r="K180" s="570">
        <v>80</v>
      </c>
      <c r="L180" s="570">
        <v>80</v>
      </c>
      <c r="M180" s="570">
        <v>80</v>
      </c>
      <c r="N180" s="570">
        <v>80</v>
      </c>
      <c r="O180" s="535" t="s">
        <v>1948</v>
      </c>
    </row>
    <row r="181" spans="1:33" s="142" customFormat="1" ht="18" hidden="1" customHeight="1" outlineLevel="1" x14ac:dyDescent="0.2">
      <c r="A181" s="1398"/>
      <c r="B181" s="138"/>
      <c r="C181" s="235"/>
      <c r="D181" s="726" t="s">
        <v>1835</v>
      </c>
      <c r="E181" s="570">
        <v>0</v>
      </c>
      <c r="F181" s="570">
        <v>0</v>
      </c>
      <c r="G181" s="570">
        <v>0</v>
      </c>
      <c r="H181" s="570">
        <v>0</v>
      </c>
      <c r="I181" s="570">
        <v>0</v>
      </c>
      <c r="J181" s="570">
        <v>0</v>
      </c>
      <c r="K181" s="570">
        <v>0</v>
      </c>
      <c r="L181" s="570">
        <v>0</v>
      </c>
      <c r="M181" s="570">
        <v>0</v>
      </c>
      <c r="N181" s="570">
        <v>0</v>
      </c>
      <c r="O181" s="535" t="s">
        <v>1949</v>
      </c>
    </row>
    <row r="182" spans="1:33" s="142" customFormat="1" ht="18" hidden="1" customHeight="1" outlineLevel="1" x14ac:dyDescent="0.2">
      <c r="A182" s="1398"/>
      <c r="B182" s="138"/>
      <c r="C182" s="235"/>
      <c r="D182" s="726" t="s">
        <v>1836</v>
      </c>
      <c r="E182" s="570">
        <v>80</v>
      </c>
      <c r="F182" s="570">
        <v>80</v>
      </c>
      <c r="G182" s="570">
        <v>80</v>
      </c>
      <c r="H182" s="570">
        <v>80</v>
      </c>
      <c r="I182" s="570">
        <v>80</v>
      </c>
      <c r="J182" s="570">
        <v>80</v>
      </c>
      <c r="K182" s="570">
        <v>80</v>
      </c>
      <c r="L182" s="570">
        <v>80</v>
      </c>
      <c r="M182" s="570">
        <v>80</v>
      </c>
      <c r="N182" s="570">
        <v>80</v>
      </c>
      <c r="O182" s="535" t="s">
        <v>1950</v>
      </c>
    </row>
    <row r="183" spans="1:33" s="142" customFormat="1" ht="18" hidden="1" customHeight="1" outlineLevel="1" x14ac:dyDescent="0.2">
      <c r="A183" s="1398"/>
      <c r="B183" s="138"/>
      <c r="C183" s="235"/>
      <c r="D183" s="726" t="s">
        <v>1837</v>
      </c>
      <c r="E183" s="570">
        <v>0</v>
      </c>
      <c r="F183" s="570">
        <v>0</v>
      </c>
      <c r="G183" s="570">
        <v>0</v>
      </c>
      <c r="H183" s="570">
        <v>0</v>
      </c>
      <c r="I183" s="570">
        <v>0</v>
      </c>
      <c r="J183" s="570">
        <v>0</v>
      </c>
      <c r="K183" s="570">
        <v>0</v>
      </c>
      <c r="L183" s="570">
        <v>0</v>
      </c>
      <c r="M183" s="570">
        <v>0</v>
      </c>
      <c r="N183" s="570">
        <v>0</v>
      </c>
      <c r="O183" s="535" t="s">
        <v>1951</v>
      </c>
    </row>
    <row r="184" spans="1:33" s="142" customFormat="1" ht="18" hidden="1" customHeight="1" outlineLevel="1" x14ac:dyDescent="0.2">
      <c r="A184" s="1398"/>
      <c r="B184" s="565"/>
      <c r="C184" s="235"/>
      <c r="D184" s="726" t="s">
        <v>1838</v>
      </c>
      <c r="E184" s="570">
        <v>0</v>
      </c>
      <c r="F184" s="570">
        <v>0</v>
      </c>
      <c r="G184" s="570">
        <v>0</v>
      </c>
      <c r="H184" s="570">
        <v>0</v>
      </c>
      <c r="I184" s="570">
        <v>0</v>
      </c>
      <c r="J184" s="570">
        <v>0</v>
      </c>
      <c r="K184" s="570">
        <v>0</v>
      </c>
      <c r="L184" s="570">
        <v>0</v>
      </c>
      <c r="M184" s="570">
        <v>0</v>
      </c>
      <c r="N184" s="570">
        <v>0</v>
      </c>
      <c r="O184" s="535" t="s">
        <v>2953</v>
      </c>
    </row>
    <row r="185" spans="1:33" s="142" customFormat="1" ht="18" hidden="1" customHeight="1" outlineLevel="1" x14ac:dyDescent="0.2">
      <c r="A185" s="1398"/>
      <c r="B185" s="565"/>
      <c r="C185" s="235"/>
      <c r="D185" s="726" t="s">
        <v>1839</v>
      </c>
      <c r="E185" s="570">
        <v>0</v>
      </c>
      <c r="F185" s="570">
        <v>0</v>
      </c>
      <c r="G185" s="570">
        <v>0</v>
      </c>
      <c r="H185" s="570">
        <v>0</v>
      </c>
      <c r="I185" s="570">
        <v>0</v>
      </c>
      <c r="J185" s="570">
        <v>0</v>
      </c>
      <c r="K185" s="570">
        <v>0</v>
      </c>
      <c r="L185" s="570">
        <v>0</v>
      </c>
      <c r="M185" s="570">
        <v>0</v>
      </c>
      <c r="N185" s="570">
        <v>0</v>
      </c>
      <c r="O185" s="535" t="s">
        <v>1952</v>
      </c>
    </row>
    <row r="186" spans="1:33" s="142" customFormat="1" ht="18" hidden="1" customHeight="1" outlineLevel="1" x14ac:dyDescent="0.2">
      <c r="A186" s="1398"/>
      <c r="B186" s="138"/>
      <c r="C186" s="235"/>
      <c r="D186" s="726" t="s">
        <v>1840</v>
      </c>
      <c r="E186" s="570">
        <v>0</v>
      </c>
      <c r="F186" s="570">
        <v>0</v>
      </c>
      <c r="G186" s="570">
        <v>0</v>
      </c>
      <c r="H186" s="570">
        <v>0</v>
      </c>
      <c r="I186" s="570">
        <v>0</v>
      </c>
      <c r="J186" s="570">
        <v>0</v>
      </c>
      <c r="K186" s="570">
        <v>0</v>
      </c>
      <c r="L186" s="570">
        <v>0</v>
      </c>
      <c r="M186" s="570">
        <v>0</v>
      </c>
      <c r="N186" s="570">
        <v>0</v>
      </c>
      <c r="O186" s="535" t="s">
        <v>1953</v>
      </c>
    </row>
    <row r="187" spans="1:33" s="142" customFormat="1" ht="18" hidden="1" customHeight="1" outlineLevel="1" x14ac:dyDescent="0.2">
      <c r="A187" s="1398"/>
      <c r="B187" s="138"/>
      <c r="C187" s="235"/>
      <c r="D187" s="726" t="s">
        <v>1841</v>
      </c>
      <c r="E187" s="570">
        <v>0</v>
      </c>
      <c r="F187" s="570">
        <v>0</v>
      </c>
      <c r="G187" s="570">
        <v>0</v>
      </c>
      <c r="H187" s="570">
        <v>0</v>
      </c>
      <c r="I187" s="570">
        <v>0</v>
      </c>
      <c r="J187" s="570">
        <v>0</v>
      </c>
      <c r="K187" s="570">
        <v>0</v>
      </c>
      <c r="L187" s="570">
        <v>0</v>
      </c>
      <c r="M187" s="570">
        <v>0</v>
      </c>
      <c r="N187" s="570">
        <v>0</v>
      </c>
      <c r="O187" s="535" t="s">
        <v>1954</v>
      </c>
    </row>
    <row r="188" spans="1:33" s="206" customFormat="1" ht="15.75" hidden="1" outlineLevel="1" thickBot="1" x14ac:dyDescent="0.3">
      <c r="A188" s="1399"/>
      <c r="B188" s="563"/>
      <c r="C188" s="564"/>
      <c r="D188" s="724"/>
      <c r="E188" s="571"/>
      <c r="F188" s="571"/>
      <c r="G188" s="571"/>
      <c r="H188" s="571"/>
      <c r="I188" s="571"/>
      <c r="J188" s="571"/>
      <c r="K188" s="571"/>
      <c r="L188" s="571"/>
      <c r="M188" s="571"/>
      <c r="N188" s="571"/>
      <c r="O188" s="572"/>
      <c r="P188" s="210"/>
    </row>
    <row r="189" spans="1:33" s="206" customFormat="1" ht="15.75" hidden="1" outlineLevel="1" thickBot="1" x14ac:dyDescent="0.3">
      <c r="A189" s="563"/>
      <c r="B189" s="563"/>
      <c r="C189" s="582"/>
      <c r="D189" s="732"/>
      <c r="E189" s="581"/>
      <c r="F189" s="581"/>
      <c r="G189" s="581"/>
      <c r="H189" s="581"/>
      <c r="I189" s="581"/>
      <c r="J189" s="581"/>
      <c r="K189" s="581"/>
      <c r="L189" s="581"/>
      <c r="M189" s="581"/>
      <c r="N189" s="581"/>
      <c r="O189" s="558"/>
      <c r="P189" s="210"/>
    </row>
    <row r="190" spans="1:33" s="8" customFormat="1" ht="20.25" hidden="1" outlineLevel="1" x14ac:dyDescent="0.2">
      <c r="A190" s="1397" t="s">
        <v>4179</v>
      </c>
      <c r="B190" s="102"/>
      <c r="C190" s="1007" t="str">
        <f>Scenario1&amp;"  Lease Lessor Visit Cost pa (based on Touch Hour Rate)"</f>
        <v>pSystems (Paper)  Lease Lessor Visit Cost pa (based on Touch Hour Rate)</v>
      </c>
      <c r="D190" s="310"/>
      <c r="E190" s="316"/>
      <c r="F190" s="316"/>
      <c r="G190" s="316"/>
      <c r="H190" s="316"/>
      <c r="I190" s="316"/>
      <c r="J190" s="316"/>
      <c r="K190" s="316"/>
      <c r="L190" s="316"/>
      <c r="M190" s="316"/>
      <c r="N190" s="316"/>
      <c r="O190" s="583"/>
      <c r="P190" s="17"/>
      <c r="Q190" s="17"/>
      <c r="R190" s="17"/>
      <c r="S190" s="17"/>
      <c r="T190" s="17"/>
      <c r="U190" s="17"/>
      <c r="V190" s="17"/>
      <c r="W190" s="17"/>
      <c r="X190" s="17"/>
      <c r="Y190" s="17"/>
      <c r="Z190" s="17"/>
      <c r="AA190" s="17"/>
      <c r="AB190" s="17"/>
      <c r="AC190" s="17"/>
      <c r="AD190" s="17"/>
      <c r="AE190" s="17"/>
      <c r="AF190" s="17"/>
      <c r="AG190" s="17"/>
    </row>
    <row r="191" spans="1:33" s="142" customFormat="1" ht="18" hidden="1" customHeight="1" outlineLevel="1" x14ac:dyDescent="0.2">
      <c r="A191" s="1398"/>
      <c r="B191" s="138"/>
      <c r="C191" s="235"/>
      <c r="D191" s="726" t="s">
        <v>1842</v>
      </c>
      <c r="E191" s="555">
        <f>(pSystemsTouchRateHourHM*pSystemsLeaseHostLaborHrsHM*pSystemsLessorVisitForecast)</f>
        <v>0</v>
      </c>
      <c r="F191" s="555">
        <f>(pSystemsTouchRateHourHM*pSystemsLeaseHostLaborHrsHM*pSystemsLessorVisitForecast)*(1+Inflation)</f>
        <v>0</v>
      </c>
      <c r="G191" s="555">
        <f>(pSystemsTouchRateHourHM*pSystemsLeaseHostLaborHrsHM*pSystemsLessorVisitForecast)*(1+Inflation)^2</f>
        <v>0</v>
      </c>
      <c r="H191" s="555">
        <f>(pSystemsTouchRateHourHM*pSystemsLeaseHostLaborHrsHM*pSystemsLessorVisitForecast)*(1+Inflation)^3</f>
        <v>0</v>
      </c>
      <c r="I191" s="555">
        <f>(pSystemsTouchRateHourHM*pSystemsLeaseHostLaborHrsHM*pSystemsLessorVisitForecast)*(1+Inflation)^4</f>
        <v>0</v>
      </c>
      <c r="J191" s="555">
        <f>(pSystemsTouchRateHourHM*pSystemsLeaseHostLaborHrsHM*pSystemsLessorVisitForecast)*(1+Inflation)^5</f>
        <v>0</v>
      </c>
      <c r="K191" s="555">
        <f>(pSystemsTouchRateHourHM*pSystemsLeaseHostLaborHrsHM*pSystemsLessorVisitForecast)*(1+Inflation)^6</f>
        <v>0</v>
      </c>
      <c r="L191" s="555">
        <f>(pSystemsTouchRateHourHM*pSystemsLeaseHostLaborHrsHM*pSystemsLessorVisitForecast)*(1+Inflation)^7</f>
        <v>0</v>
      </c>
      <c r="M191" s="555">
        <f>(pSystemsTouchRateHourHM*pSystemsLeaseHostLaborHrsHM*pSystemsLessorVisitForecast)*(1+Inflation)^8</f>
        <v>0</v>
      </c>
      <c r="N191" s="555">
        <f>(pSystemsTouchRateHourHM*pSystemsLeaseHostLaborHrsHM*pSystemsLessorVisitForecast)*(1+Inflation)^9</f>
        <v>0</v>
      </c>
      <c r="O191" s="535" t="s">
        <v>1955</v>
      </c>
    </row>
    <row r="192" spans="1:33" s="142" customFormat="1" ht="18" hidden="1" customHeight="1" outlineLevel="1" x14ac:dyDescent="0.2">
      <c r="A192" s="1398"/>
      <c r="B192" s="128"/>
      <c r="C192" s="235"/>
      <c r="D192" s="726" t="s">
        <v>1843</v>
      </c>
      <c r="E192" s="555">
        <f>(pSystemsTouchRateHourLM*pSystemsLeaseHostLaborHrsLM*pSystemsLessorVisitForecast)</f>
        <v>0</v>
      </c>
      <c r="F192" s="555">
        <f>(pSystemsTouchRateHourLM*pSystemsLeaseHostLaborHrsLM*pSystemsLessorVisitForecast)*(1+Inflation)</f>
        <v>0</v>
      </c>
      <c r="G192" s="555">
        <f>(pSystemsTouchRateHourLM*pSystemsLeaseHostLaborHrsLM*pSystemsLessorVisitForecast)*(1+Inflation)^2</f>
        <v>0</v>
      </c>
      <c r="H192" s="555">
        <f>(pSystemsTouchRateHourLM*pSystemsLeaseHostLaborHrsLM*pSystemsLessorVisitForecast)*(1+Inflation)^3</f>
        <v>0</v>
      </c>
      <c r="I192" s="555">
        <f>(pSystemsTouchRateHourLM*pSystemsLeaseHostLaborHrsLM*pSystemsLessorVisitForecast)*(1+Inflation)^4</f>
        <v>0</v>
      </c>
      <c r="J192" s="555">
        <f>(pSystemsTouchRateHourLM*pSystemsLeaseHostLaborHrsLM*pSystemsLessorVisitForecast)*(1+Inflation)^5</f>
        <v>0</v>
      </c>
      <c r="K192" s="555">
        <f>(pSystemsTouchRateHourLM*pSystemsLeaseHostLaborHrsLM*pSystemsLessorVisitForecast)*(1+Inflation)^6</f>
        <v>0</v>
      </c>
      <c r="L192" s="555">
        <f>(pSystemsTouchRateHourLM*pSystemsLeaseHostLaborHrsLM*pSystemsLessorVisitForecast)*(1+Inflation)^7</f>
        <v>0</v>
      </c>
      <c r="M192" s="555">
        <f>(pSystemsTouchRateHourLM*pSystemsLeaseHostLaborHrsLM*pSystemsLessorVisitForecast)*(1+Inflation)^8</f>
        <v>0</v>
      </c>
      <c r="N192" s="555">
        <f>(pSystemsTouchRateHourLM*pSystemsLeaseHostLaborHrsLM*pSystemsLessorVisitForecast)*(1+Inflation)^9</f>
        <v>0</v>
      </c>
      <c r="O192" s="535" t="s">
        <v>1956</v>
      </c>
    </row>
    <row r="193" spans="1:33" s="142" customFormat="1" ht="18" hidden="1" customHeight="1" outlineLevel="1" x14ac:dyDescent="0.2">
      <c r="A193" s="1398"/>
      <c r="B193" s="128"/>
      <c r="C193" s="235"/>
      <c r="D193" s="727" t="s">
        <v>1844</v>
      </c>
      <c r="E193" s="555">
        <f>(pSystemsTouchRateHourENG*pSystemsLeaseHostLaborHrsENG*pSystemsLessorVisitForecast)</f>
        <v>58444.962143273144</v>
      </c>
      <c r="F193" s="555">
        <f>(pSystemsTouchRateHourENG*pSystemsLeaseHostLaborHrsENG*pSystemsLessorVisitForecast)*(1+Inflation)</f>
        <v>59613.861386138611</v>
      </c>
      <c r="G193" s="555">
        <f>(pSystemsTouchRateHourENG*pSystemsLeaseHostLaborHrsENG*pSystemsLessorVisitForecast)*(1+Inflation)^2</f>
        <v>60806.138613861382</v>
      </c>
      <c r="H193" s="555">
        <f>(pSystemsTouchRateHourENG*pSystemsLeaseHostLaborHrsENG*pSystemsLessorVisitForecast)*(1+Inflation)^3</f>
        <v>62022.261386138605</v>
      </c>
      <c r="I193" s="555">
        <f>(pSystemsTouchRateHourENG*pSystemsLeaseHostLaborHrsENG*pSystemsLessorVisitForecast)*(1+Inflation)^4</f>
        <v>63262.706613861374</v>
      </c>
      <c r="J193" s="555">
        <f>(pSystemsTouchRateHourENG*pSystemsLeaseHostLaborHrsENG*pSystemsLessorVisitForecast)*(1+Inflation)^5</f>
        <v>64527.960746138604</v>
      </c>
      <c r="K193" s="555">
        <f>(pSystemsTouchRateHourENG*pSystemsLeaseHostLaborHrsENG*pSystemsLessorVisitForecast)*(1+Inflation)^6</f>
        <v>65818.519961061378</v>
      </c>
      <c r="L193" s="555">
        <f>(pSystemsTouchRateHourENG*pSystemsLeaseHostLaborHrsENG*pSystemsLessorVisitForecast)*(1+Inflation)^7</f>
        <v>67134.890360282589</v>
      </c>
      <c r="M193" s="555">
        <f>(pSystemsTouchRateHourENG*pSystemsLeaseHostLaborHrsENG*pSystemsLessorVisitForecast)*(1+Inflation)^8</f>
        <v>68477.588167488255</v>
      </c>
      <c r="N193" s="555">
        <f>(pSystemsTouchRateHourENG*pSystemsLeaseHostLaborHrsENG*pSystemsLessorVisitForecast)*(1+Inflation)^9</f>
        <v>69847.139930838021</v>
      </c>
      <c r="O193" s="535" t="s">
        <v>1957</v>
      </c>
    </row>
    <row r="194" spans="1:33" s="142" customFormat="1" ht="18" hidden="1" customHeight="1" outlineLevel="1" x14ac:dyDescent="0.2">
      <c r="A194" s="1398"/>
      <c r="B194" s="138"/>
      <c r="C194" s="235"/>
      <c r="D194" s="726" t="s">
        <v>1845</v>
      </c>
      <c r="E194" s="555">
        <f>(pSystemsTouchRateHourPLG*pSystemsLeaseHostLaborHrsPLG*pSystemsLessorVisitForecast)</f>
        <v>55198.019801980205</v>
      </c>
      <c r="F194" s="555">
        <f>(pSystemsTouchRateHourPLG*pSystemsLeaseHostLaborHrsPLG*pSystemsLessorVisitForecast)*(1+Inflation)</f>
        <v>56301.98019801981</v>
      </c>
      <c r="G194" s="555">
        <f>(pSystemsTouchRateHourPLG*pSystemsLeaseHostLaborHrsPLG*pSystemsLessorVisitForecast)*(1+Inflation)^2</f>
        <v>57428.019801980205</v>
      </c>
      <c r="H194" s="555">
        <f>(pSystemsTouchRateHourPLG*pSystemsLeaseHostLaborHrsPLG*pSystemsLessorVisitForecast)*(1+Inflation)^3</f>
        <v>58576.580198019808</v>
      </c>
      <c r="I194" s="555">
        <f>(pSystemsTouchRateHourPLG*pSystemsLeaseHostLaborHrsPLG*pSystemsLessorVisitForecast)*(1+Inflation)^4</f>
        <v>59748.111801980202</v>
      </c>
      <c r="J194" s="555">
        <f>(pSystemsTouchRateHourPLG*pSystemsLeaseHostLaborHrsPLG*pSystemsLessorVisitForecast)*(1+Inflation)^5</f>
        <v>60943.074038019811</v>
      </c>
      <c r="K194" s="555">
        <f>(pSystemsTouchRateHourPLG*pSystemsLeaseHostLaborHrsPLG*pSystemsLessorVisitForecast)*(1+Inflation)^6</f>
        <v>62161.935518780207</v>
      </c>
      <c r="L194" s="555">
        <f>(pSystemsTouchRateHourPLG*pSystemsLeaseHostLaborHrsPLG*pSystemsLessorVisitForecast)*(1+Inflation)^7</f>
        <v>63405.174229155797</v>
      </c>
      <c r="M194" s="555">
        <f>(pSystemsTouchRateHourPLG*pSystemsLeaseHostLaborHrsPLG*pSystemsLessorVisitForecast)*(1+Inflation)^8</f>
        <v>64673.27771373892</v>
      </c>
      <c r="N194" s="555">
        <f>(pSystemsTouchRateHourPLG*pSystemsLeaseHostLaborHrsPLG*pSystemsLessorVisitForecast)*(1+Inflation)^9</f>
        <v>65966.743268013699</v>
      </c>
      <c r="O194" s="535" t="s">
        <v>1958</v>
      </c>
    </row>
    <row r="195" spans="1:33" s="142" customFormat="1" ht="18" hidden="1" customHeight="1" outlineLevel="1" x14ac:dyDescent="0.2">
      <c r="A195" s="1398"/>
      <c r="B195" s="138"/>
      <c r="C195" s="235"/>
      <c r="D195" s="726" t="s">
        <v>1846</v>
      </c>
      <c r="E195" s="555">
        <f>(pSystemsTouchRateHourCRT*pSystemsLeaseHostLaborHrsCRT*pSystemsLessorVisitForecast)</f>
        <v>32469.423412929529</v>
      </c>
      <c r="F195" s="555">
        <f>(pSystemsTouchRateHourCRT*pSystemsLeaseHostLaborHrsCRT*pSystemsLessorVisitForecast)*(1+Inflation)</f>
        <v>33118.811881188121</v>
      </c>
      <c r="G195" s="555">
        <f>(pSystemsTouchRateHourCRT*pSystemsLeaseHostLaborHrsCRT*pSystemsLessorVisitForecast)*(1+Inflation)^2</f>
        <v>33781.188118811879</v>
      </c>
      <c r="H195" s="555">
        <f>(pSystemsTouchRateHourCRT*pSystemsLeaseHostLaborHrsCRT*pSystemsLessorVisitForecast)*(1+Inflation)^3</f>
        <v>34456.811881188114</v>
      </c>
      <c r="I195" s="555">
        <f>(pSystemsTouchRateHourCRT*pSystemsLeaseHostLaborHrsCRT*pSystemsLessorVisitForecast)*(1+Inflation)^4</f>
        <v>35145.948118811881</v>
      </c>
      <c r="J195" s="555">
        <f>(pSystemsTouchRateHourCRT*pSystemsLeaseHostLaborHrsCRT*pSystemsLessorVisitForecast)*(1+Inflation)^5</f>
        <v>35848.867081188124</v>
      </c>
      <c r="K195" s="555">
        <f>(pSystemsTouchRateHourCRT*pSystemsLeaseHostLaborHrsCRT*pSystemsLessorVisitForecast)*(1+Inflation)^6</f>
        <v>36565.844422811882</v>
      </c>
      <c r="L195" s="555">
        <f>(pSystemsTouchRateHourCRT*pSystemsLeaseHostLaborHrsCRT*pSystemsLessorVisitForecast)*(1+Inflation)^7</f>
        <v>37297.161311268115</v>
      </c>
      <c r="M195" s="555">
        <f>(pSystemsTouchRateHourCRT*pSystemsLeaseHostLaborHrsCRT*pSystemsLessorVisitForecast)*(1+Inflation)^8</f>
        <v>38043.104537493477</v>
      </c>
      <c r="N195" s="555">
        <f>(pSystemsTouchRateHourCRT*pSystemsLeaseHostLaborHrsCRT*pSystemsLessorVisitForecast)*(1+Inflation)^9</f>
        <v>38803.966628243346</v>
      </c>
      <c r="O195" s="535" t="s">
        <v>1959</v>
      </c>
    </row>
    <row r="196" spans="1:33" s="142" customFormat="1" ht="18" hidden="1" customHeight="1" outlineLevel="1" x14ac:dyDescent="0.2">
      <c r="A196" s="1398"/>
      <c r="B196" s="128"/>
      <c r="C196" s="235"/>
      <c r="D196" s="726" t="s">
        <v>1847</v>
      </c>
      <c r="E196" s="555">
        <f>(pSystemsTouchRateHourSCL*pSystemsLeaseHostLaborHrsSCL*pSystemsLessorVisitForecast)</f>
        <v>0</v>
      </c>
      <c r="F196" s="555">
        <f>(pSystemsTouchRateHourSCL*pSystemsLeaseHostLaborHrsSCL*pSystemsLessorVisitForecast)*(1+Inflation)</f>
        <v>0</v>
      </c>
      <c r="G196" s="555">
        <f>(pSystemsTouchRateHourSCL*pSystemsLeaseHostLaborHrsSCL*pSystemsLessorVisitForecast)*(1+Inflation)^2</f>
        <v>0</v>
      </c>
      <c r="H196" s="555">
        <f>(pSystemsTouchRateHourSCL*pSystemsLeaseHostLaborHrsSCL*pSystemsLessorVisitForecast)*(1+Inflation)^3</f>
        <v>0</v>
      </c>
      <c r="I196" s="555">
        <f>(pSystemsTouchRateHourSCL*pSystemsLeaseHostLaborHrsSCL*pSystemsLessorVisitForecast)*(1+Inflation)^4</f>
        <v>0</v>
      </c>
      <c r="J196" s="555">
        <f>(pSystemsTouchRateHourSCL*pSystemsLeaseHostLaborHrsSCL*pSystemsLessorVisitForecast)*(1+Inflation)^5</f>
        <v>0</v>
      </c>
      <c r="K196" s="555">
        <f>(pSystemsTouchRateHourSCL*pSystemsLeaseHostLaborHrsSCL*pSystemsLessorVisitForecast)*(1+Inflation)^6</f>
        <v>0</v>
      </c>
      <c r="L196" s="555">
        <f>(pSystemsTouchRateHourSCL*pSystemsLeaseHostLaborHrsSCL*pSystemsLessorVisitForecast)*(1+Inflation)^7</f>
        <v>0</v>
      </c>
      <c r="M196" s="555">
        <f>(pSystemsTouchRateHourSCL*pSystemsLeaseHostLaborHrsSCL*pSystemsLessorVisitForecast)*(1+Inflation)^8</f>
        <v>0</v>
      </c>
      <c r="N196" s="555">
        <f>(pSystemsTouchRateHourSCL*pSystemsLeaseHostLaborHrsSCL*pSystemsLessorVisitForecast)*(1+Inflation)^9</f>
        <v>0</v>
      </c>
      <c r="O196" s="535" t="s">
        <v>1960</v>
      </c>
    </row>
    <row r="197" spans="1:33" s="142" customFormat="1" ht="18" hidden="1" customHeight="1" outlineLevel="1" x14ac:dyDescent="0.2">
      <c r="A197" s="1398"/>
      <c r="B197" s="138"/>
      <c r="C197" s="235"/>
      <c r="D197" s="726" t="s">
        <v>1848</v>
      </c>
      <c r="E197" s="555">
        <f>(pSystemsTouchRateHourQSC*pSystemsLeaseHostLaborHrsQSC*pSystemsLessorVisitForecast)</f>
        <v>48704.135119394297</v>
      </c>
      <c r="F197" s="555">
        <f>(pSystemsTouchRateHourQSC*pSystemsLeaseHostLaborHrsQSC*pSystemsLessorVisitForecast)*(1+Inflation)</f>
        <v>49678.217821782186</v>
      </c>
      <c r="G197" s="555">
        <f>(pSystemsTouchRateHourQSC*pSystemsLeaseHostLaborHrsQSC*pSystemsLessorVisitForecast)*(1+Inflation)^2</f>
        <v>50671.782178217829</v>
      </c>
      <c r="H197" s="555">
        <f>(pSystemsTouchRateHourQSC*pSystemsLeaseHostLaborHrsQSC*pSystemsLessorVisitForecast)*(1+Inflation)^3</f>
        <v>51685.217821782178</v>
      </c>
      <c r="I197" s="555">
        <f>(pSystemsTouchRateHourQSC*pSystemsLeaseHostLaborHrsQSC*pSystemsLessorVisitForecast)*(1+Inflation)^4</f>
        <v>52718.922178217828</v>
      </c>
      <c r="J197" s="555">
        <f>(pSystemsTouchRateHourQSC*pSystemsLeaseHostLaborHrsQSC*pSystemsLessorVisitForecast)*(1+Inflation)^5</f>
        <v>53773.300621782182</v>
      </c>
      <c r="K197" s="555">
        <f>(pSystemsTouchRateHourQSC*pSystemsLeaseHostLaborHrsQSC*pSystemsLessorVisitForecast)*(1+Inflation)^6</f>
        <v>54848.766634217827</v>
      </c>
      <c r="L197" s="555">
        <f>(pSystemsTouchRateHourQSC*pSystemsLeaseHostLaborHrsQSC*pSystemsLessorVisitForecast)*(1+Inflation)^7</f>
        <v>55945.741966902177</v>
      </c>
      <c r="M197" s="555">
        <f>(pSystemsTouchRateHourQSC*pSystemsLeaseHostLaborHrsQSC*pSystemsLessorVisitForecast)*(1+Inflation)^8</f>
        <v>57064.656806240222</v>
      </c>
      <c r="N197" s="555">
        <f>(pSystemsTouchRateHourQSC*pSystemsLeaseHostLaborHrsQSC*pSystemsLessorVisitForecast)*(1+Inflation)^9</f>
        <v>58205.949942365027</v>
      </c>
      <c r="O197" s="535" t="s">
        <v>1961</v>
      </c>
    </row>
    <row r="198" spans="1:33" s="142" customFormat="1" ht="18" hidden="1" customHeight="1" outlineLevel="1" x14ac:dyDescent="0.2">
      <c r="A198" s="1398"/>
      <c r="B198" s="138"/>
      <c r="C198" s="235"/>
      <c r="D198" s="726" t="s">
        <v>1849</v>
      </c>
      <c r="E198" s="555">
        <f>(pSystemsTouchRateHourEM*pSystemsLeaseHostLaborHrsEM*pSystemsLessorVisitForecast)</f>
        <v>0</v>
      </c>
      <c r="F198" s="555">
        <f>(pSystemsTouchRateHourEM*pSystemsLeaseHostLaborHrsEM*pSystemsLessorVisitForecast)*(1+Inflation)</f>
        <v>0</v>
      </c>
      <c r="G198" s="555">
        <f>(pSystemsTouchRateHourEM*pSystemsLeaseHostLaborHrsEM*pSystemsLessorVisitForecast)*(1+Inflation)^2</f>
        <v>0</v>
      </c>
      <c r="H198" s="555">
        <f>(pSystemsTouchRateHourEM*pSystemsLeaseHostLaborHrsEM*pSystemsLessorVisitForecast)*(1+Inflation)^3</f>
        <v>0</v>
      </c>
      <c r="I198" s="555">
        <f>(pSystemsTouchRateHourEM*pSystemsLeaseHostLaborHrsEM*pSystemsLessorVisitForecast)*(1+Inflation)^4</f>
        <v>0</v>
      </c>
      <c r="J198" s="555">
        <f>(pSystemsTouchRateHourEM*pSystemsLeaseHostLaborHrsEM*pSystemsLessorVisitForecast)*(1+Inflation)^5</f>
        <v>0</v>
      </c>
      <c r="K198" s="555">
        <f>(pSystemsTouchRateHourEM*pSystemsLeaseHostLaborHrsEM*pSystemsLessorVisitForecast)*(1+Inflation)^6</f>
        <v>0</v>
      </c>
      <c r="L198" s="555">
        <f>(pSystemsTouchRateHourEM*pSystemsLeaseHostLaborHrsEM*pSystemsLessorVisitForecast)*(1+Inflation)^7</f>
        <v>0</v>
      </c>
      <c r="M198" s="555">
        <f>(pSystemsTouchRateHourEM*pSystemsLeaseHostLaborHrsEM*pSystemsLessorVisitForecast)*(1+Inflation)^8</f>
        <v>0</v>
      </c>
      <c r="N198" s="555">
        <f>(pSystemsTouchRateHourEM*pSystemsLeaseHostLaborHrsEM*pSystemsLessorVisitForecast)*(1+Inflation)^9</f>
        <v>0</v>
      </c>
      <c r="O198" s="535" t="s">
        <v>1962</v>
      </c>
    </row>
    <row r="199" spans="1:33" s="142" customFormat="1" ht="18" hidden="1" customHeight="1" outlineLevel="1" x14ac:dyDescent="0.2">
      <c r="A199" s="1398"/>
      <c r="B199" s="138"/>
      <c r="C199" s="235"/>
      <c r="D199" s="726" t="s">
        <v>1850</v>
      </c>
      <c r="E199" s="555">
        <f>(pSystemsTouchRateHourCM*pSystemsLeaseHostLaborHrsCM*pSystemsLessorVisitForecast)</f>
        <v>0</v>
      </c>
      <c r="F199" s="555">
        <f>(pSystemsTouchRateHourCM*pSystemsLeaseHostLaborHrsCM*pSystemsLessorVisitForecast)*(1+Inflation)</f>
        <v>0</v>
      </c>
      <c r="G199" s="555">
        <f>(pSystemsTouchRateHourCM*pSystemsLeaseHostLaborHrsCM*pSystemsLessorVisitForecast)*(1+Inflation)^2</f>
        <v>0</v>
      </c>
      <c r="H199" s="555">
        <f>(pSystemsTouchRateHourCM*pSystemsLeaseHostLaborHrsCM*pSystemsLessorVisitForecast)*(1+Inflation)^3</f>
        <v>0</v>
      </c>
      <c r="I199" s="555">
        <f>(pSystemsTouchRateHourCM*pSystemsLeaseHostLaborHrsCM*pSystemsLessorVisitForecast)*(1+Inflation)^4</f>
        <v>0</v>
      </c>
      <c r="J199" s="555">
        <f>(pSystemsTouchRateHourCM*pSystemsLeaseHostLaborHrsCM*pSystemsLessorVisitForecast)*(1+Inflation)^5</f>
        <v>0</v>
      </c>
      <c r="K199" s="555">
        <f>(pSystemsTouchRateHourCM*pSystemsLeaseHostLaborHrsCM*pSystemsLessorVisitForecast)*(1+Inflation)^6</f>
        <v>0</v>
      </c>
      <c r="L199" s="555">
        <f>(pSystemsTouchRateHourCM*pSystemsLeaseHostLaborHrsCM*pSystemsLessorVisitForecast)*(1+Inflation)^7</f>
        <v>0</v>
      </c>
      <c r="M199" s="555">
        <f>(pSystemsTouchRateHourCM*pSystemsLeaseHostLaborHrsCM*pSystemsLessorVisitForecast)*(1+Inflation)^8</f>
        <v>0</v>
      </c>
      <c r="N199" s="555">
        <f>(pSystemsTouchRateHourCM*pSystemsLeaseHostLaborHrsCM*pSystemsLessorVisitForecast)*(1+Inflation)^9</f>
        <v>0</v>
      </c>
      <c r="O199" s="535" t="s">
        <v>1963</v>
      </c>
    </row>
    <row r="200" spans="1:33" s="142" customFormat="1" ht="18" hidden="1" customHeight="1" outlineLevel="1" x14ac:dyDescent="0.2">
      <c r="A200" s="1398"/>
      <c r="B200" s="138"/>
      <c r="C200" s="235"/>
      <c r="D200" s="726" t="s">
        <v>1851</v>
      </c>
      <c r="E200" s="555">
        <f>(pSystemsTouchRateHourSMCS*pSystemsLeaseHostLaborHrsSMCS*pSystemsLessorVisitForecast)</f>
        <v>0</v>
      </c>
      <c r="F200" s="555">
        <f>(pSystemsTouchRateHourSMCS*pSystemsLeaseHostLaborHrsSMCS*pSystemsLessorVisitForecast)*(1+Inflation)</f>
        <v>0</v>
      </c>
      <c r="G200" s="555">
        <f>(pSystemsTouchRateHourSMCS*pSystemsLeaseHostLaborHrsSMCS*pSystemsLessorVisitForecast)*(1+Inflation)^2</f>
        <v>0</v>
      </c>
      <c r="H200" s="555">
        <f>(pSystemsTouchRateHourSMCS*pSystemsLeaseHostLaborHrsSMCS*pSystemsLessorVisitForecast)*(1+Inflation)^3</f>
        <v>0</v>
      </c>
      <c r="I200" s="555">
        <f>(pSystemsTouchRateHourSMCS*pSystemsLeaseHostLaborHrsSMCS*pSystemsLessorVisitForecast)*(1+Inflation)^4</f>
        <v>0</v>
      </c>
      <c r="J200" s="555">
        <f>(pSystemsTouchRateHourSMCS*pSystemsLeaseHostLaborHrsSMCS*pSystemsLessorVisitForecast)*(1+Inflation)^5</f>
        <v>0</v>
      </c>
      <c r="K200" s="555">
        <f>(pSystemsTouchRateHourSMCS*pSystemsLeaseHostLaborHrsSMCS*pSystemsLessorVisitForecast)*(1+Inflation)^6</f>
        <v>0</v>
      </c>
      <c r="L200" s="555">
        <f>(pSystemsTouchRateHourSMCS*pSystemsLeaseHostLaborHrsSMCS*pSystemsLessorVisitForecast)*(1+Inflation)^7</f>
        <v>0</v>
      </c>
      <c r="M200" s="555">
        <f>(pSystemsTouchRateHourSMCS*pSystemsLeaseHostLaborHrsSMCS*pSystemsLessorVisitForecast)*(1+Inflation)^8</f>
        <v>0</v>
      </c>
      <c r="N200" s="555">
        <f>(pSystemsTouchRateHourSMCS*pSystemsLeaseHostLaborHrsSMCS*pSystemsLessorVisitForecast)*(1+Inflation)^9</f>
        <v>0</v>
      </c>
      <c r="O200" s="535" t="s">
        <v>1964</v>
      </c>
    </row>
    <row r="201" spans="1:33" s="142" customFormat="1" ht="18" hidden="1" customHeight="1" outlineLevel="1" x14ac:dyDescent="0.2">
      <c r="A201" s="1398"/>
      <c r="B201" s="138"/>
      <c r="C201" s="235"/>
      <c r="D201" s="726" t="s">
        <v>1852</v>
      </c>
      <c r="E201" s="555">
        <f>(pSystemsTouchRateHourO1*pSystemsLeaseHostLaborHrsO1*pSystemsLessorVisitForecast)</f>
        <v>0</v>
      </c>
      <c r="F201" s="555">
        <f>(pSystemsTouchRateHourO1*pSystemsLeaseHostLaborHrsO1*pSystemsLessorVisitForecast)*(1+Inflation)</f>
        <v>0</v>
      </c>
      <c r="G201" s="555">
        <f>(pSystemsTouchRateHourO1*pSystemsLeaseHostLaborHrsO1*pSystemsLessorVisitForecast)*(1+Inflation)^2</f>
        <v>0</v>
      </c>
      <c r="H201" s="555">
        <f>(pSystemsTouchRateHourO1*pSystemsLeaseHostLaborHrsO1*pSystemsLessorVisitForecast)*(1+Inflation)^3</f>
        <v>0</v>
      </c>
      <c r="I201" s="555">
        <f>(pSystemsTouchRateHourO1*pSystemsLeaseHostLaborHrsO1*pSystemsLessorVisitForecast)*(1+Inflation)^4</f>
        <v>0</v>
      </c>
      <c r="J201" s="555">
        <f>(pSystemsTouchRateHourO1*pSystemsLeaseHostLaborHrsO1*pSystemsLessorVisitForecast)*(1+Inflation)^5</f>
        <v>0</v>
      </c>
      <c r="K201" s="555">
        <f>(pSystemsTouchRateHourO1*pSystemsLeaseHostLaborHrsO1*pSystemsLessorVisitForecast)*(1+Inflation)^6</f>
        <v>0</v>
      </c>
      <c r="L201" s="555">
        <f>(pSystemsTouchRateHourO1*pSystemsLeaseHostLaborHrsO1*pSystemsLessorVisitForecast)*(1+Inflation)^7</f>
        <v>0</v>
      </c>
      <c r="M201" s="555">
        <f>(pSystemsTouchRateHourO1*pSystemsLeaseHostLaborHrsO1*pSystemsLessorVisitForecast)*(1+Inflation)^8</f>
        <v>0</v>
      </c>
      <c r="N201" s="555">
        <f>(pSystemsTouchRateHourO1*pSystemsLeaseHostLaborHrsO1*pSystemsLessorVisitForecast)*(1+Inflation)^9</f>
        <v>0</v>
      </c>
      <c r="O201" s="535" t="s">
        <v>1965</v>
      </c>
    </row>
    <row r="202" spans="1:33" s="142" customFormat="1" ht="18" hidden="1" customHeight="1" outlineLevel="1" x14ac:dyDescent="0.2">
      <c r="A202" s="1398"/>
      <c r="B202" s="138"/>
      <c r="C202" s="235"/>
      <c r="D202" s="726" t="s">
        <v>1853</v>
      </c>
      <c r="E202" s="555">
        <f>(pSystemsTouchRateHourO2*pSystemsLeaseHostLaborHrsO2*pSystemsLessorVisitForecast)</f>
        <v>0</v>
      </c>
      <c r="F202" s="555">
        <f>(pSystemsTouchRateHourO2*pSystemsLeaseHostLaborHrsO2*pSystemsLessorVisitForecast)*(1+Inflation)</f>
        <v>0</v>
      </c>
      <c r="G202" s="555">
        <f>(pSystemsTouchRateHourO2*pSystemsLeaseHostLaborHrsO2*pSystemsLessorVisitForecast)*(1+Inflation)^2</f>
        <v>0</v>
      </c>
      <c r="H202" s="555">
        <f>(pSystemsTouchRateHourO2*pSystemsLeaseHostLaborHrsO2*pSystemsLessorVisitForecast)*(1+Inflation)^3</f>
        <v>0</v>
      </c>
      <c r="I202" s="555">
        <f>(pSystemsTouchRateHourO2*pSystemsLeaseHostLaborHrsO2*pSystemsLessorVisitForecast)*(1+Inflation)^4</f>
        <v>0</v>
      </c>
      <c r="J202" s="555">
        <f>(pSystemsTouchRateHourO2*pSystemsLeaseHostLaborHrsO2*pSystemsLessorVisitForecast)*(1+Inflation)^5</f>
        <v>0</v>
      </c>
      <c r="K202" s="555">
        <f>(pSystemsTouchRateHourO2*pSystemsLeaseHostLaborHrsO2*pSystemsLessorVisitForecast)*(1+Inflation)^6</f>
        <v>0</v>
      </c>
      <c r="L202" s="555">
        <f>(pSystemsTouchRateHourO2*pSystemsLeaseHostLaborHrsO2*pSystemsLessorVisitForecast)*(1+Inflation)^7</f>
        <v>0</v>
      </c>
      <c r="M202" s="555">
        <f>(pSystemsTouchRateHourO2*pSystemsLeaseHostLaborHrsO2*pSystemsLessorVisitForecast)*(1+Inflation)^8</f>
        <v>0</v>
      </c>
      <c r="N202" s="555">
        <f>(pSystemsTouchRateHourO2*pSystemsLeaseHostLaborHrsO2*pSystemsLessorVisitForecast)*(1+Inflation)^9</f>
        <v>0</v>
      </c>
      <c r="O202" s="535" t="s">
        <v>1966</v>
      </c>
    </row>
    <row r="203" spans="1:33" s="142" customFormat="1" ht="18" hidden="1" customHeight="1" outlineLevel="1" x14ac:dyDescent="0.25">
      <c r="A203" s="1398"/>
      <c r="B203" s="138"/>
      <c r="C203" s="235"/>
      <c r="D203" s="728" t="s">
        <v>1854</v>
      </c>
      <c r="E203" s="556">
        <f>SUM(E191:E202)</f>
        <v>194816.54047757719</v>
      </c>
      <c r="F203" s="556">
        <f t="shared" ref="F203:N203" si="42">SUM(F191:F202)</f>
        <v>198712.87128712874</v>
      </c>
      <c r="G203" s="556">
        <f t="shared" si="42"/>
        <v>202687.12871287129</v>
      </c>
      <c r="H203" s="556">
        <f t="shared" si="42"/>
        <v>206740.87128712871</v>
      </c>
      <c r="I203" s="556">
        <f t="shared" si="42"/>
        <v>210875.68871287128</v>
      </c>
      <c r="J203" s="556">
        <f t="shared" si="42"/>
        <v>215093.20248712873</v>
      </c>
      <c r="K203" s="556">
        <f t="shared" si="42"/>
        <v>219395.06653687131</v>
      </c>
      <c r="L203" s="556">
        <f t="shared" si="42"/>
        <v>223782.96786760865</v>
      </c>
      <c r="M203" s="556">
        <f t="shared" si="42"/>
        <v>228258.62722496089</v>
      </c>
      <c r="N203" s="556">
        <f t="shared" si="42"/>
        <v>232823.79976946008</v>
      </c>
      <c r="O203" s="535" t="s">
        <v>1967</v>
      </c>
    </row>
    <row r="204" spans="1:33" s="203" customFormat="1" ht="13.5" hidden="1" outlineLevel="1" thickBot="1" x14ac:dyDescent="0.25">
      <c r="A204" s="1399"/>
      <c r="B204" s="74"/>
      <c r="C204" s="325"/>
      <c r="D204" s="725"/>
      <c r="E204" s="568"/>
      <c r="F204" s="568"/>
      <c r="G204" s="568"/>
      <c r="H204" s="568"/>
      <c r="I204" s="568"/>
      <c r="J204" s="568"/>
      <c r="K204" s="568"/>
      <c r="L204" s="568"/>
      <c r="M204" s="568"/>
      <c r="N204" s="568"/>
      <c r="O204" s="569"/>
      <c r="P204" s="204"/>
    </row>
    <row r="205" spans="1:33" s="203" customFormat="1" ht="13.5" hidden="1" outlineLevel="1" thickBot="1" x14ac:dyDescent="0.25">
      <c r="A205" s="74"/>
      <c r="B205" s="74"/>
      <c r="C205" s="211"/>
      <c r="D205" s="214"/>
      <c r="E205" s="210"/>
      <c r="F205" s="210"/>
      <c r="G205" s="210"/>
      <c r="H205" s="210"/>
      <c r="I205" s="210"/>
      <c r="J205" s="210"/>
      <c r="K205" s="210"/>
      <c r="L205" s="210"/>
      <c r="M205" s="210"/>
      <c r="N205" s="210"/>
      <c r="O205" s="204"/>
      <c r="P205" s="204"/>
    </row>
    <row r="206" spans="1:33" customFormat="1" ht="20.25" hidden="1" outlineLevel="1" x14ac:dyDescent="0.2">
      <c r="A206" s="1397" t="s">
        <v>4181</v>
      </c>
      <c r="B206" s="13"/>
      <c r="C206" s="1007" t="str">
        <f>Scenario1&amp;"  Lease Lessor Visit FTEs"</f>
        <v>pSystems (Paper)  Lease Lessor Visit FTEs</v>
      </c>
      <c r="D206" s="310"/>
      <c r="E206" s="434"/>
      <c r="F206" s="434"/>
      <c r="G206" s="434"/>
      <c r="H206" s="434"/>
      <c r="I206" s="434"/>
      <c r="J206" s="434"/>
      <c r="K206" s="434"/>
      <c r="L206" s="434"/>
      <c r="M206" s="434"/>
      <c r="N206" s="434"/>
      <c r="O206" s="573"/>
      <c r="P206" s="18"/>
      <c r="Q206" s="18"/>
      <c r="R206" s="18"/>
      <c r="S206" s="18"/>
      <c r="T206" s="18"/>
      <c r="U206" s="18"/>
      <c r="V206" s="18"/>
      <c r="W206" s="18"/>
      <c r="X206" s="18"/>
      <c r="Y206" s="18"/>
      <c r="Z206" s="18"/>
      <c r="AA206" s="18"/>
      <c r="AB206" s="18"/>
      <c r="AC206" s="18"/>
      <c r="AD206" s="18"/>
      <c r="AE206" s="18"/>
      <c r="AF206" s="18"/>
      <c r="AG206" s="18"/>
    </row>
    <row r="207" spans="1:33" s="142" customFormat="1" ht="18" hidden="1" customHeight="1" outlineLevel="1" x14ac:dyDescent="0.2">
      <c r="A207" s="1398"/>
      <c r="B207" s="138"/>
      <c r="C207" s="235"/>
      <c r="D207" s="726" t="s">
        <v>1855</v>
      </c>
      <c r="E207" s="557">
        <f t="shared" ref="E207:N207" si="43">(pSystemsLeaseHostLaborHrsHM/pSystemsTouchHourspaHM)*pSystemsLessorVisitForecast</f>
        <v>0</v>
      </c>
      <c r="F207" s="557">
        <f t="shared" si="43"/>
        <v>0</v>
      </c>
      <c r="G207" s="557">
        <f t="shared" si="43"/>
        <v>0</v>
      </c>
      <c r="H207" s="557">
        <f t="shared" si="43"/>
        <v>0</v>
      </c>
      <c r="I207" s="557">
        <f t="shared" si="43"/>
        <v>0</v>
      </c>
      <c r="J207" s="557">
        <f t="shared" si="43"/>
        <v>0</v>
      </c>
      <c r="K207" s="557">
        <f t="shared" si="43"/>
        <v>0</v>
      </c>
      <c r="L207" s="557">
        <f t="shared" si="43"/>
        <v>0</v>
      </c>
      <c r="M207" s="557">
        <f t="shared" si="43"/>
        <v>0</v>
      </c>
      <c r="N207" s="557">
        <f t="shared" si="43"/>
        <v>0</v>
      </c>
      <c r="O207" s="535" t="s">
        <v>2981</v>
      </c>
    </row>
    <row r="208" spans="1:33" s="142" customFormat="1" ht="18" hidden="1" customHeight="1" outlineLevel="1" x14ac:dyDescent="0.2">
      <c r="A208" s="1398"/>
      <c r="B208" s="138"/>
      <c r="C208" s="235"/>
      <c r="D208" s="726" t="s">
        <v>1856</v>
      </c>
      <c r="E208" s="557">
        <f t="shared" ref="E208:N208" si="44">(pSystemsLeaseHostLaborHrsLM/pSystemsTouchHourspaLM)*pSystemsLessorVisitForecast</f>
        <v>0</v>
      </c>
      <c r="F208" s="557">
        <f t="shared" si="44"/>
        <v>0</v>
      </c>
      <c r="G208" s="557">
        <f t="shared" si="44"/>
        <v>0</v>
      </c>
      <c r="H208" s="557">
        <f t="shared" si="44"/>
        <v>0</v>
      </c>
      <c r="I208" s="557">
        <f t="shared" si="44"/>
        <v>0</v>
      </c>
      <c r="J208" s="557">
        <f t="shared" si="44"/>
        <v>0</v>
      </c>
      <c r="K208" s="557">
        <f t="shared" si="44"/>
        <v>0</v>
      </c>
      <c r="L208" s="557">
        <f t="shared" si="44"/>
        <v>0</v>
      </c>
      <c r="M208" s="557">
        <f t="shared" si="44"/>
        <v>0</v>
      </c>
      <c r="N208" s="557">
        <f t="shared" si="44"/>
        <v>0</v>
      </c>
      <c r="O208" s="535" t="s">
        <v>2982</v>
      </c>
    </row>
    <row r="209" spans="1:16" s="142" customFormat="1" ht="18" hidden="1" customHeight="1" outlineLevel="1" x14ac:dyDescent="0.2">
      <c r="A209" s="1398"/>
      <c r="B209" s="138"/>
      <c r="C209" s="235"/>
      <c r="D209" s="727" t="s">
        <v>1857</v>
      </c>
      <c r="E209" s="557">
        <f t="shared" ref="E209:N209" si="45">(pSystemsLeaseHostLaborHrsENG/pSystemsTouchHourspaENG)*pSystemsLessorVisitForecast</f>
        <v>0.46592894583576006</v>
      </c>
      <c r="F209" s="557">
        <f t="shared" si="45"/>
        <v>0.46592894583576006</v>
      </c>
      <c r="G209" s="557">
        <f t="shared" si="45"/>
        <v>0.46592894583576006</v>
      </c>
      <c r="H209" s="557">
        <f t="shared" si="45"/>
        <v>0.46592894583576006</v>
      </c>
      <c r="I209" s="557">
        <f t="shared" si="45"/>
        <v>0.46592894583576006</v>
      </c>
      <c r="J209" s="557">
        <f t="shared" si="45"/>
        <v>0.46592894583576006</v>
      </c>
      <c r="K209" s="557">
        <f t="shared" si="45"/>
        <v>0.46592894583576006</v>
      </c>
      <c r="L209" s="557">
        <f t="shared" si="45"/>
        <v>0.46592894583576006</v>
      </c>
      <c r="M209" s="557">
        <f t="shared" si="45"/>
        <v>0.46592894583576006</v>
      </c>
      <c r="N209" s="557">
        <f t="shared" si="45"/>
        <v>0.46592894583576006</v>
      </c>
      <c r="O209" s="535" t="s">
        <v>2983</v>
      </c>
    </row>
    <row r="210" spans="1:16" s="142" customFormat="1" ht="18" hidden="1" customHeight="1" outlineLevel="1" x14ac:dyDescent="0.2">
      <c r="A210" s="1398"/>
      <c r="B210" s="138"/>
      <c r="C210" s="235"/>
      <c r="D210" s="726" t="s">
        <v>1858</v>
      </c>
      <c r="E210" s="557">
        <f t="shared" ref="E210:N210" si="46">(pSystemsLeaseHostLaborHrsPLG/pSystemsTouchHourspaPLG)*pSystemsLessorVisitForecast</f>
        <v>0.46592894583576006</v>
      </c>
      <c r="F210" s="557">
        <f t="shared" si="46"/>
        <v>0.46592894583576006</v>
      </c>
      <c r="G210" s="557">
        <f t="shared" si="46"/>
        <v>0.46592894583576006</v>
      </c>
      <c r="H210" s="557">
        <f t="shared" si="46"/>
        <v>0.46592894583576006</v>
      </c>
      <c r="I210" s="557">
        <f t="shared" si="46"/>
        <v>0.46592894583576006</v>
      </c>
      <c r="J210" s="557">
        <f t="shared" si="46"/>
        <v>0.46592894583576006</v>
      </c>
      <c r="K210" s="557">
        <f t="shared" si="46"/>
        <v>0.46592894583576006</v>
      </c>
      <c r="L210" s="557">
        <f t="shared" si="46"/>
        <v>0.46592894583576006</v>
      </c>
      <c r="M210" s="557">
        <f t="shared" si="46"/>
        <v>0.46592894583576006</v>
      </c>
      <c r="N210" s="557">
        <f t="shared" si="46"/>
        <v>0.46592894583576006</v>
      </c>
      <c r="O210" s="535" t="s">
        <v>2984</v>
      </c>
    </row>
    <row r="211" spans="1:16" s="142" customFormat="1" ht="18" hidden="1" customHeight="1" outlineLevel="1" x14ac:dyDescent="0.2">
      <c r="A211" s="1398"/>
      <c r="B211" s="138"/>
      <c r="C211" s="235"/>
      <c r="D211" s="726" t="s">
        <v>1859</v>
      </c>
      <c r="E211" s="557">
        <f t="shared" ref="E211:N211" si="47">(pSystemsLeaseHostLaborHrsCRT/pSystemsTouchHourspaCRT)*pSystemsLessorVisitForecast</f>
        <v>0.46592894583576006</v>
      </c>
      <c r="F211" s="557">
        <f t="shared" si="47"/>
        <v>0.46592894583576006</v>
      </c>
      <c r="G211" s="557">
        <f t="shared" si="47"/>
        <v>0.46592894583576006</v>
      </c>
      <c r="H211" s="557">
        <f t="shared" si="47"/>
        <v>0.46592894583576006</v>
      </c>
      <c r="I211" s="557">
        <f t="shared" si="47"/>
        <v>0.46592894583576006</v>
      </c>
      <c r="J211" s="557">
        <f t="shared" si="47"/>
        <v>0.46592894583576006</v>
      </c>
      <c r="K211" s="557">
        <f t="shared" si="47"/>
        <v>0.46592894583576006</v>
      </c>
      <c r="L211" s="557">
        <f t="shared" si="47"/>
        <v>0.46592894583576006</v>
      </c>
      <c r="M211" s="557">
        <f t="shared" si="47"/>
        <v>0.46592894583576006</v>
      </c>
      <c r="N211" s="557">
        <f t="shared" si="47"/>
        <v>0.46592894583576006</v>
      </c>
      <c r="O211" s="535" t="s">
        <v>2985</v>
      </c>
    </row>
    <row r="212" spans="1:16" s="142" customFormat="1" ht="18" hidden="1" customHeight="1" outlineLevel="1" x14ac:dyDescent="0.2">
      <c r="A212" s="1398"/>
      <c r="B212" s="138"/>
      <c r="C212" s="235"/>
      <c r="D212" s="726" t="s">
        <v>1860</v>
      </c>
      <c r="E212" s="557">
        <f t="shared" ref="E212:N212" si="48">(pSystemsLeaseHostLaborHrsSCL/pSystemsTouchHourspaSCL)*pSystemsLessorVisitForecast</f>
        <v>0</v>
      </c>
      <c r="F212" s="557">
        <f t="shared" si="48"/>
        <v>0</v>
      </c>
      <c r="G212" s="557">
        <f t="shared" si="48"/>
        <v>0</v>
      </c>
      <c r="H212" s="557">
        <f t="shared" si="48"/>
        <v>0</v>
      </c>
      <c r="I212" s="557">
        <f t="shared" si="48"/>
        <v>0</v>
      </c>
      <c r="J212" s="557">
        <f t="shared" si="48"/>
        <v>0</v>
      </c>
      <c r="K212" s="557">
        <f t="shared" si="48"/>
        <v>0</v>
      </c>
      <c r="L212" s="557">
        <f t="shared" si="48"/>
        <v>0</v>
      </c>
      <c r="M212" s="557">
        <f t="shared" si="48"/>
        <v>0</v>
      </c>
      <c r="N212" s="557">
        <f t="shared" si="48"/>
        <v>0</v>
      </c>
      <c r="O212" s="535" t="s">
        <v>2986</v>
      </c>
    </row>
    <row r="213" spans="1:16" s="142" customFormat="1" ht="18" hidden="1" customHeight="1" outlineLevel="1" x14ac:dyDescent="0.2">
      <c r="A213" s="1398"/>
      <c r="B213" s="138"/>
      <c r="C213" s="235"/>
      <c r="D213" s="726" t="s">
        <v>1861</v>
      </c>
      <c r="E213" s="557">
        <f t="shared" ref="E213:N213" si="49">(pSystemsLeaseHostLaborHrsQSC/pSystemsTouchHourspaQSC)*pSystemsLessorVisitForecast</f>
        <v>0.46592894583576006</v>
      </c>
      <c r="F213" s="557">
        <f t="shared" si="49"/>
        <v>0.46592894583576006</v>
      </c>
      <c r="G213" s="557">
        <f t="shared" si="49"/>
        <v>0.46592894583576006</v>
      </c>
      <c r="H213" s="557">
        <f t="shared" si="49"/>
        <v>0.46592894583576006</v>
      </c>
      <c r="I213" s="557">
        <f t="shared" si="49"/>
        <v>0.46592894583576006</v>
      </c>
      <c r="J213" s="557">
        <f t="shared" si="49"/>
        <v>0.46592894583576006</v>
      </c>
      <c r="K213" s="557">
        <f t="shared" si="49"/>
        <v>0.46592894583576006</v>
      </c>
      <c r="L213" s="557">
        <f t="shared" si="49"/>
        <v>0.46592894583576006</v>
      </c>
      <c r="M213" s="557">
        <f t="shared" si="49"/>
        <v>0.46592894583576006</v>
      </c>
      <c r="N213" s="557">
        <f t="shared" si="49"/>
        <v>0.46592894583576006</v>
      </c>
      <c r="O213" s="535" t="s">
        <v>2987</v>
      </c>
    </row>
    <row r="214" spans="1:16" s="142" customFormat="1" ht="18" hidden="1" customHeight="1" outlineLevel="1" x14ac:dyDescent="0.2">
      <c r="A214" s="1398"/>
      <c r="B214" s="138"/>
      <c r="C214" s="235"/>
      <c r="D214" s="726" t="s">
        <v>1862</v>
      </c>
      <c r="E214" s="557">
        <f t="shared" ref="E214:N214" si="50">(pSystemsLeaseHostLaborHrsEM/pSystemsTouchHourspaEM)*pSystemsLessorVisitForecast</f>
        <v>0</v>
      </c>
      <c r="F214" s="557">
        <f t="shared" si="50"/>
        <v>0</v>
      </c>
      <c r="G214" s="557">
        <f t="shared" si="50"/>
        <v>0</v>
      </c>
      <c r="H214" s="557">
        <f t="shared" si="50"/>
        <v>0</v>
      </c>
      <c r="I214" s="557">
        <f t="shared" si="50"/>
        <v>0</v>
      </c>
      <c r="J214" s="557">
        <f t="shared" si="50"/>
        <v>0</v>
      </c>
      <c r="K214" s="557">
        <f t="shared" si="50"/>
        <v>0</v>
      </c>
      <c r="L214" s="557">
        <f t="shared" si="50"/>
        <v>0</v>
      </c>
      <c r="M214" s="557">
        <f t="shared" si="50"/>
        <v>0</v>
      </c>
      <c r="N214" s="557">
        <f t="shared" si="50"/>
        <v>0</v>
      </c>
      <c r="O214" s="535" t="s">
        <v>2988</v>
      </c>
    </row>
    <row r="215" spans="1:16" s="142" customFormat="1" ht="18" hidden="1" customHeight="1" outlineLevel="1" x14ac:dyDescent="0.2">
      <c r="A215" s="1398"/>
      <c r="B215" s="138"/>
      <c r="C215" s="235"/>
      <c r="D215" s="726" t="s">
        <v>1863</v>
      </c>
      <c r="E215" s="557">
        <f t="shared" ref="E215:N215" si="51">(pSystemsLeaseHostLaborHrsCM/pSystemsTouchHourspaCM)*pSystemsLessorVisitForecast</f>
        <v>0</v>
      </c>
      <c r="F215" s="557">
        <f t="shared" si="51"/>
        <v>0</v>
      </c>
      <c r="G215" s="557">
        <f t="shared" si="51"/>
        <v>0</v>
      </c>
      <c r="H215" s="557">
        <f t="shared" si="51"/>
        <v>0</v>
      </c>
      <c r="I215" s="557">
        <f t="shared" si="51"/>
        <v>0</v>
      </c>
      <c r="J215" s="557">
        <f t="shared" si="51"/>
        <v>0</v>
      </c>
      <c r="K215" s="557">
        <f t="shared" si="51"/>
        <v>0</v>
      </c>
      <c r="L215" s="557">
        <f t="shared" si="51"/>
        <v>0</v>
      </c>
      <c r="M215" s="557">
        <f t="shared" si="51"/>
        <v>0</v>
      </c>
      <c r="N215" s="557">
        <f t="shared" si="51"/>
        <v>0</v>
      </c>
      <c r="O215" s="535" t="s">
        <v>2989</v>
      </c>
    </row>
    <row r="216" spans="1:16" s="142" customFormat="1" ht="18" hidden="1" customHeight="1" outlineLevel="1" x14ac:dyDescent="0.2">
      <c r="A216" s="1398"/>
      <c r="B216" s="138"/>
      <c r="C216" s="235"/>
      <c r="D216" s="726" t="s">
        <v>1864</v>
      </c>
      <c r="E216" s="557">
        <f t="shared" ref="E216:N216" si="52">(pSystemsLeaseHostLaborHrsSMCS/pSystemsTouchHourspaSMCS)*pSystemsLessorVisitForecast</f>
        <v>0</v>
      </c>
      <c r="F216" s="557">
        <f t="shared" si="52"/>
        <v>0</v>
      </c>
      <c r="G216" s="557">
        <f t="shared" si="52"/>
        <v>0</v>
      </c>
      <c r="H216" s="557">
        <f t="shared" si="52"/>
        <v>0</v>
      </c>
      <c r="I216" s="557">
        <f t="shared" si="52"/>
        <v>0</v>
      </c>
      <c r="J216" s="557">
        <f t="shared" si="52"/>
        <v>0</v>
      </c>
      <c r="K216" s="557">
        <f t="shared" si="52"/>
        <v>0</v>
      </c>
      <c r="L216" s="557">
        <f t="shared" si="52"/>
        <v>0</v>
      </c>
      <c r="M216" s="557">
        <f t="shared" si="52"/>
        <v>0</v>
      </c>
      <c r="N216" s="557">
        <f t="shared" si="52"/>
        <v>0</v>
      </c>
      <c r="O216" s="535" t="s">
        <v>2990</v>
      </c>
    </row>
    <row r="217" spans="1:16" s="142" customFormat="1" ht="18" hidden="1" customHeight="1" outlineLevel="1" x14ac:dyDescent="0.2">
      <c r="A217" s="1398"/>
      <c r="B217" s="138"/>
      <c r="C217" s="235"/>
      <c r="D217" s="726" t="s">
        <v>1865</v>
      </c>
      <c r="E217" s="557">
        <f t="shared" ref="E217:N217" si="53">(pSystemsLeaseHostLaborHrsO1/pSystemsTouchHourspaO1)*pSystemsLessorVisitForecast</f>
        <v>0</v>
      </c>
      <c r="F217" s="557">
        <f t="shared" si="53"/>
        <v>0</v>
      </c>
      <c r="G217" s="557">
        <f t="shared" si="53"/>
        <v>0</v>
      </c>
      <c r="H217" s="557">
        <f t="shared" si="53"/>
        <v>0</v>
      </c>
      <c r="I217" s="557">
        <f t="shared" si="53"/>
        <v>0</v>
      </c>
      <c r="J217" s="557">
        <f t="shared" si="53"/>
        <v>0</v>
      </c>
      <c r="K217" s="557">
        <f t="shared" si="53"/>
        <v>0</v>
      </c>
      <c r="L217" s="557">
        <f t="shared" si="53"/>
        <v>0</v>
      </c>
      <c r="M217" s="557">
        <f t="shared" si="53"/>
        <v>0</v>
      </c>
      <c r="N217" s="557">
        <f t="shared" si="53"/>
        <v>0</v>
      </c>
      <c r="O217" s="535" t="s">
        <v>2991</v>
      </c>
    </row>
    <row r="218" spans="1:16" s="142" customFormat="1" ht="18" hidden="1" customHeight="1" outlineLevel="1" x14ac:dyDescent="0.2">
      <c r="A218" s="1398"/>
      <c r="B218" s="138"/>
      <c r="C218" s="235"/>
      <c r="D218" s="726" t="s">
        <v>1866</v>
      </c>
      <c r="E218" s="557">
        <f t="shared" ref="E218:N218" si="54">(pSystemsLeaseHostLaborHrsO2/pSystemsTouchHourspaO2)*pSystemsLessorVisitForecast</f>
        <v>0</v>
      </c>
      <c r="F218" s="557">
        <f t="shared" si="54"/>
        <v>0</v>
      </c>
      <c r="G218" s="557">
        <f t="shared" si="54"/>
        <v>0</v>
      </c>
      <c r="H218" s="557">
        <f t="shared" si="54"/>
        <v>0</v>
      </c>
      <c r="I218" s="557">
        <f t="shared" si="54"/>
        <v>0</v>
      </c>
      <c r="J218" s="557">
        <f t="shared" si="54"/>
        <v>0</v>
      </c>
      <c r="K218" s="557">
        <f t="shared" si="54"/>
        <v>0</v>
      </c>
      <c r="L218" s="557">
        <f t="shared" si="54"/>
        <v>0</v>
      </c>
      <c r="M218" s="557">
        <f t="shared" si="54"/>
        <v>0</v>
      </c>
      <c r="N218" s="557">
        <f t="shared" si="54"/>
        <v>0</v>
      </c>
      <c r="O218" s="535" t="s">
        <v>2992</v>
      </c>
    </row>
    <row r="219" spans="1:16" s="142" customFormat="1" ht="18" hidden="1" customHeight="1" outlineLevel="1" x14ac:dyDescent="0.25">
      <c r="A219" s="1398"/>
      <c r="B219" s="138"/>
      <c r="C219" s="235"/>
      <c r="D219" s="728" t="s">
        <v>1867</v>
      </c>
      <c r="E219" s="562">
        <f>SUM(E207:E218)</f>
        <v>1.8637157833430402</v>
      </c>
      <c r="F219" s="562">
        <f t="shared" ref="F219:N219" si="55">SUM(F207:F218)</f>
        <v>1.8637157833430402</v>
      </c>
      <c r="G219" s="562">
        <f t="shared" si="55"/>
        <v>1.8637157833430402</v>
      </c>
      <c r="H219" s="562">
        <f t="shared" si="55"/>
        <v>1.8637157833430402</v>
      </c>
      <c r="I219" s="562">
        <f t="shared" si="55"/>
        <v>1.8637157833430402</v>
      </c>
      <c r="J219" s="562">
        <f t="shared" si="55"/>
        <v>1.8637157833430402</v>
      </c>
      <c r="K219" s="562">
        <f t="shared" si="55"/>
        <v>1.8637157833430402</v>
      </c>
      <c r="L219" s="562">
        <f t="shared" si="55"/>
        <v>1.8637157833430402</v>
      </c>
      <c r="M219" s="562">
        <f t="shared" si="55"/>
        <v>1.8637157833430402</v>
      </c>
      <c r="N219" s="562">
        <f t="shared" si="55"/>
        <v>1.8637157833430402</v>
      </c>
      <c r="O219" s="535" t="s">
        <v>2954</v>
      </c>
    </row>
    <row r="220" spans="1:16" s="203" customFormat="1" ht="13.5" hidden="1" outlineLevel="1" thickBot="1" x14ac:dyDescent="0.25">
      <c r="A220" s="1399"/>
      <c r="B220" s="138"/>
      <c r="C220" s="325"/>
      <c r="D220" s="725"/>
      <c r="E220" s="568"/>
      <c r="F220" s="568"/>
      <c r="G220" s="568"/>
      <c r="H220" s="568"/>
      <c r="I220" s="568"/>
      <c r="J220" s="568"/>
      <c r="K220" s="568"/>
      <c r="L220" s="568"/>
      <c r="M220" s="568"/>
      <c r="N220" s="568"/>
      <c r="O220" s="569"/>
      <c r="P220" s="204"/>
    </row>
    <row r="221" spans="1:16" s="203" customFormat="1" ht="13.5" hidden="1" outlineLevel="1" thickBot="1" x14ac:dyDescent="0.25">
      <c r="A221" s="74"/>
      <c r="B221" s="74"/>
      <c r="C221" s="211"/>
      <c r="D221" s="214"/>
      <c r="E221" s="210"/>
      <c r="F221" s="210"/>
      <c r="G221" s="210"/>
      <c r="H221" s="210"/>
      <c r="I221" s="210"/>
      <c r="J221" s="210"/>
      <c r="K221" s="210"/>
      <c r="L221" s="210"/>
      <c r="M221" s="210"/>
      <c r="N221" s="210"/>
      <c r="O221" s="204"/>
      <c r="P221" s="204"/>
    </row>
    <row r="222" spans="1:16" s="206" customFormat="1" ht="20.100000000000001" hidden="1" customHeight="1" outlineLevel="1" x14ac:dyDescent="0.2">
      <c r="A222" s="74"/>
      <c r="B222" s="220"/>
      <c r="C222" s="1009" t="str">
        <f>Scenario2&amp;" Labor Cost per Lessor Visit"</f>
        <v>hSystems (Hybrid) Labor Cost per Lessor Visit</v>
      </c>
      <c r="D222" s="729"/>
      <c r="E222" s="322"/>
      <c r="F222" s="322"/>
      <c r="G222" s="322"/>
      <c r="H222" s="322"/>
      <c r="I222" s="322"/>
      <c r="J222" s="322"/>
      <c r="K222" s="322"/>
      <c r="L222" s="322"/>
      <c r="M222" s="322"/>
      <c r="N222" s="322"/>
      <c r="O222" s="584"/>
      <c r="P222" s="210"/>
    </row>
    <row r="223" spans="1:16" s="206" customFormat="1" ht="12" hidden="1" customHeight="1" outlineLevel="1" x14ac:dyDescent="0.2">
      <c r="A223" s="74"/>
      <c r="B223" s="74"/>
      <c r="C223" s="339"/>
      <c r="D223" s="730" t="s">
        <v>210</v>
      </c>
      <c r="E223" s="570">
        <v>6</v>
      </c>
      <c r="F223" s="570">
        <v>6</v>
      </c>
      <c r="G223" s="570">
        <v>6</v>
      </c>
      <c r="H223" s="570">
        <v>6</v>
      </c>
      <c r="I223" s="570">
        <v>6</v>
      </c>
      <c r="J223" s="570">
        <v>6</v>
      </c>
      <c r="K223" s="570">
        <v>6</v>
      </c>
      <c r="L223" s="570">
        <v>6</v>
      </c>
      <c r="M223" s="570">
        <v>6</v>
      </c>
      <c r="N223" s="570">
        <v>6</v>
      </c>
      <c r="O223" s="324" t="s">
        <v>204</v>
      </c>
      <c r="P223" s="210"/>
    </row>
    <row r="224" spans="1:16" s="203" customFormat="1" ht="13.5" hidden="1" outlineLevel="1" thickBot="1" x14ac:dyDescent="0.25">
      <c r="A224" s="74"/>
      <c r="B224" s="74"/>
      <c r="C224" s="325"/>
      <c r="D224" s="725"/>
      <c r="E224" s="568"/>
      <c r="F224" s="568"/>
      <c r="G224" s="568"/>
      <c r="H224" s="568"/>
      <c r="I224" s="568"/>
      <c r="J224" s="568"/>
      <c r="K224" s="568"/>
      <c r="L224" s="568"/>
      <c r="M224" s="568"/>
      <c r="N224" s="568"/>
      <c r="O224" s="569"/>
      <c r="P224" s="204"/>
    </row>
    <row r="225" spans="1:33" s="203" customFormat="1" ht="13.5" hidden="1" outlineLevel="1" thickBot="1" x14ac:dyDescent="0.25">
      <c r="A225" s="74"/>
      <c r="B225" s="74"/>
      <c r="C225" s="211"/>
      <c r="D225" s="214"/>
      <c r="E225" s="210"/>
      <c r="F225" s="210"/>
      <c r="G225" s="210"/>
      <c r="H225" s="210"/>
      <c r="I225" s="210"/>
      <c r="J225" s="210"/>
      <c r="K225" s="210"/>
      <c r="L225" s="210"/>
      <c r="M225" s="210"/>
      <c r="N225" s="210"/>
      <c r="O225" s="204"/>
      <c r="P225" s="204"/>
    </row>
    <row r="226" spans="1:33" s="8" customFormat="1" ht="20.25" hidden="1" outlineLevel="1" x14ac:dyDescent="0.25">
      <c r="A226" s="74"/>
      <c r="B226" s="194"/>
      <c r="C226" s="1009" t="str">
        <f>Scenario2&amp;" Lessee Labor Hours per Lessor Visit"</f>
        <v>hSystems (Hybrid) Lessee Labor Hours per Lessor Visit</v>
      </c>
      <c r="D226" s="310"/>
      <c r="E226" s="240"/>
      <c r="F226" s="240"/>
      <c r="G226" s="240"/>
      <c r="H226" s="240"/>
      <c r="I226" s="240"/>
      <c r="J226" s="240"/>
      <c r="K226" s="240"/>
      <c r="L226" s="240"/>
      <c r="M226" s="240"/>
      <c r="N226" s="240"/>
      <c r="O226" s="435"/>
      <c r="P226" s="17"/>
      <c r="Q226" s="17"/>
      <c r="R226" s="17"/>
      <c r="S226" s="17"/>
      <c r="T226" s="17"/>
      <c r="U226" s="17"/>
      <c r="V226" s="17"/>
      <c r="W226" s="17"/>
      <c r="X226" s="17"/>
      <c r="Y226" s="17"/>
      <c r="Z226" s="17"/>
      <c r="AA226" s="17"/>
      <c r="AB226" s="17"/>
      <c r="AC226" s="17"/>
      <c r="AD226" s="17"/>
      <c r="AE226" s="17"/>
      <c r="AF226" s="17"/>
      <c r="AG226" s="17"/>
    </row>
    <row r="227" spans="1:33" s="142" customFormat="1" ht="18" hidden="1" customHeight="1" outlineLevel="1" x14ac:dyDescent="0.2">
      <c r="A227" s="74"/>
      <c r="B227" s="138"/>
      <c r="C227" s="235"/>
      <c r="D227" s="726" t="s">
        <v>1868</v>
      </c>
      <c r="E227" s="570">
        <v>0</v>
      </c>
      <c r="F227" s="570">
        <v>0</v>
      </c>
      <c r="G227" s="570">
        <v>0</v>
      </c>
      <c r="H227" s="570">
        <v>0</v>
      </c>
      <c r="I227" s="570">
        <v>0</v>
      </c>
      <c r="J227" s="570">
        <v>0</v>
      </c>
      <c r="K227" s="570">
        <v>0</v>
      </c>
      <c r="L227" s="570">
        <v>0</v>
      </c>
      <c r="M227" s="570">
        <v>0</v>
      </c>
      <c r="N227" s="570">
        <v>0</v>
      </c>
      <c r="O227" s="535" t="s">
        <v>1968</v>
      </c>
    </row>
    <row r="228" spans="1:33" s="142" customFormat="1" ht="18" hidden="1" customHeight="1" outlineLevel="1" x14ac:dyDescent="0.2">
      <c r="A228" s="74"/>
      <c r="B228" s="138"/>
      <c r="C228" s="235"/>
      <c r="D228" s="726" t="s">
        <v>1869</v>
      </c>
      <c r="E228" s="570">
        <v>0</v>
      </c>
      <c r="F228" s="570">
        <v>0</v>
      </c>
      <c r="G228" s="570">
        <v>0</v>
      </c>
      <c r="H228" s="570">
        <v>0</v>
      </c>
      <c r="I228" s="570">
        <v>0</v>
      </c>
      <c r="J228" s="570">
        <v>0</v>
      </c>
      <c r="K228" s="570">
        <v>0</v>
      </c>
      <c r="L228" s="570">
        <v>0</v>
      </c>
      <c r="M228" s="570">
        <v>0</v>
      </c>
      <c r="N228" s="570">
        <v>0</v>
      </c>
      <c r="O228" s="535" t="s">
        <v>1969</v>
      </c>
    </row>
    <row r="229" spans="1:33" s="142" customFormat="1" ht="18" hidden="1" customHeight="1" outlineLevel="1" x14ac:dyDescent="0.2">
      <c r="A229" s="74"/>
      <c r="B229" s="138"/>
      <c r="C229" s="235"/>
      <c r="D229" s="726" t="s">
        <v>1870</v>
      </c>
      <c r="E229" s="570">
        <v>60</v>
      </c>
      <c r="F229" s="570">
        <v>60</v>
      </c>
      <c r="G229" s="570">
        <v>60</v>
      </c>
      <c r="H229" s="570">
        <v>60</v>
      </c>
      <c r="I229" s="570">
        <v>60</v>
      </c>
      <c r="J229" s="570">
        <v>60</v>
      </c>
      <c r="K229" s="570">
        <v>60</v>
      </c>
      <c r="L229" s="570">
        <v>60</v>
      </c>
      <c r="M229" s="570">
        <v>60</v>
      </c>
      <c r="N229" s="570">
        <v>60</v>
      </c>
      <c r="O229" s="535" t="s">
        <v>1970</v>
      </c>
    </row>
    <row r="230" spans="1:33" s="142" customFormat="1" ht="18" hidden="1" customHeight="1" outlineLevel="1" x14ac:dyDescent="0.2">
      <c r="A230" s="74"/>
      <c r="B230" s="138"/>
      <c r="C230" s="235"/>
      <c r="D230" s="726" t="s">
        <v>1871</v>
      </c>
      <c r="E230" s="570">
        <v>60</v>
      </c>
      <c r="F230" s="570">
        <v>60</v>
      </c>
      <c r="G230" s="570">
        <v>60</v>
      </c>
      <c r="H230" s="570">
        <v>60</v>
      </c>
      <c r="I230" s="570">
        <v>60</v>
      </c>
      <c r="J230" s="570">
        <v>60</v>
      </c>
      <c r="K230" s="570">
        <v>60</v>
      </c>
      <c r="L230" s="570">
        <v>60</v>
      </c>
      <c r="M230" s="570">
        <v>60</v>
      </c>
      <c r="N230" s="570">
        <v>60</v>
      </c>
      <c r="O230" s="535" t="s">
        <v>1971</v>
      </c>
    </row>
    <row r="231" spans="1:33" s="142" customFormat="1" ht="18" hidden="1" customHeight="1" outlineLevel="1" x14ac:dyDescent="0.2">
      <c r="A231" s="74"/>
      <c r="B231" s="138"/>
      <c r="C231" s="235"/>
      <c r="D231" s="726" t="s">
        <v>1872</v>
      </c>
      <c r="E231" s="570">
        <v>60</v>
      </c>
      <c r="F231" s="570">
        <v>60</v>
      </c>
      <c r="G231" s="570">
        <v>60</v>
      </c>
      <c r="H231" s="570">
        <v>60</v>
      </c>
      <c r="I231" s="570">
        <v>60</v>
      </c>
      <c r="J231" s="570">
        <v>60</v>
      </c>
      <c r="K231" s="570">
        <v>60</v>
      </c>
      <c r="L231" s="570">
        <v>60</v>
      </c>
      <c r="M231" s="570">
        <v>60</v>
      </c>
      <c r="N231" s="570">
        <v>60</v>
      </c>
      <c r="O231" s="535" t="s">
        <v>1972</v>
      </c>
    </row>
    <row r="232" spans="1:33" s="142" customFormat="1" ht="18" hidden="1" customHeight="1" outlineLevel="1" x14ac:dyDescent="0.2">
      <c r="A232" s="74"/>
      <c r="B232" s="138"/>
      <c r="C232" s="235"/>
      <c r="D232" s="726" t="s">
        <v>1873</v>
      </c>
      <c r="E232" s="570">
        <v>0</v>
      </c>
      <c r="F232" s="570">
        <v>0</v>
      </c>
      <c r="G232" s="570">
        <v>0</v>
      </c>
      <c r="H232" s="570">
        <v>0</v>
      </c>
      <c r="I232" s="570">
        <v>0</v>
      </c>
      <c r="J232" s="570">
        <v>0</v>
      </c>
      <c r="K232" s="570">
        <v>0</v>
      </c>
      <c r="L232" s="570">
        <v>0</v>
      </c>
      <c r="M232" s="570">
        <v>0</v>
      </c>
      <c r="N232" s="570">
        <v>0</v>
      </c>
      <c r="O232" s="535" t="s">
        <v>1973</v>
      </c>
    </row>
    <row r="233" spans="1:33" s="142" customFormat="1" ht="18" hidden="1" customHeight="1" outlineLevel="1" x14ac:dyDescent="0.2">
      <c r="A233" s="74"/>
      <c r="B233" s="138"/>
      <c r="C233" s="235"/>
      <c r="D233" s="726" t="s">
        <v>1874</v>
      </c>
      <c r="E233" s="570">
        <v>60</v>
      </c>
      <c r="F233" s="570">
        <v>60</v>
      </c>
      <c r="G233" s="570">
        <v>60</v>
      </c>
      <c r="H233" s="570">
        <v>60</v>
      </c>
      <c r="I233" s="570">
        <v>60</v>
      </c>
      <c r="J233" s="570">
        <v>60</v>
      </c>
      <c r="K233" s="570">
        <v>60</v>
      </c>
      <c r="L233" s="570">
        <v>60</v>
      </c>
      <c r="M233" s="570">
        <v>60</v>
      </c>
      <c r="N233" s="570">
        <v>60</v>
      </c>
      <c r="O233" s="535" t="s">
        <v>1974</v>
      </c>
    </row>
    <row r="234" spans="1:33" s="142" customFormat="1" ht="18" hidden="1" customHeight="1" outlineLevel="1" x14ac:dyDescent="0.2">
      <c r="A234" s="74"/>
      <c r="B234" s="138"/>
      <c r="C234" s="235"/>
      <c r="D234" s="726" t="s">
        <v>1875</v>
      </c>
      <c r="E234" s="570">
        <v>0</v>
      </c>
      <c r="F234" s="570">
        <v>0</v>
      </c>
      <c r="G234" s="570">
        <v>0</v>
      </c>
      <c r="H234" s="570">
        <v>0</v>
      </c>
      <c r="I234" s="570">
        <v>0</v>
      </c>
      <c r="J234" s="570">
        <v>0</v>
      </c>
      <c r="K234" s="570">
        <v>0</v>
      </c>
      <c r="L234" s="570">
        <v>0</v>
      </c>
      <c r="M234" s="570">
        <v>0</v>
      </c>
      <c r="N234" s="570">
        <v>0</v>
      </c>
      <c r="O234" s="535" t="s">
        <v>1975</v>
      </c>
    </row>
    <row r="235" spans="1:33" s="142" customFormat="1" ht="18" hidden="1" customHeight="1" outlineLevel="1" x14ac:dyDescent="0.2">
      <c r="A235" s="74"/>
      <c r="B235" s="565"/>
      <c r="C235" s="235"/>
      <c r="D235" s="726" t="s">
        <v>1876</v>
      </c>
      <c r="E235" s="570">
        <v>0</v>
      </c>
      <c r="F235" s="570">
        <v>0</v>
      </c>
      <c r="G235" s="570">
        <v>0</v>
      </c>
      <c r="H235" s="570">
        <v>0</v>
      </c>
      <c r="I235" s="570">
        <v>0</v>
      </c>
      <c r="J235" s="570">
        <v>0</v>
      </c>
      <c r="K235" s="570">
        <v>0</v>
      </c>
      <c r="L235" s="570">
        <v>0</v>
      </c>
      <c r="M235" s="570">
        <v>0</v>
      </c>
      <c r="N235" s="570">
        <v>0</v>
      </c>
      <c r="O235" s="535" t="s">
        <v>1976</v>
      </c>
    </row>
    <row r="236" spans="1:33" s="142" customFormat="1" ht="18" hidden="1" customHeight="1" outlineLevel="1" x14ac:dyDescent="0.2">
      <c r="A236" s="74"/>
      <c r="B236" s="565"/>
      <c r="C236" s="235"/>
      <c r="D236" s="726" t="s">
        <v>1877</v>
      </c>
      <c r="E236" s="570">
        <v>0</v>
      </c>
      <c r="F236" s="570">
        <v>0</v>
      </c>
      <c r="G236" s="570">
        <v>0</v>
      </c>
      <c r="H236" s="570">
        <v>0</v>
      </c>
      <c r="I236" s="570">
        <v>0</v>
      </c>
      <c r="J236" s="570">
        <v>0</v>
      </c>
      <c r="K236" s="570">
        <v>0</v>
      </c>
      <c r="L236" s="570">
        <v>0</v>
      </c>
      <c r="M236" s="570">
        <v>0</v>
      </c>
      <c r="N236" s="570">
        <v>0</v>
      </c>
      <c r="O236" s="535" t="s">
        <v>1977</v>
      </c>
    </row>
    <row r="237" spans="1:33" s="142" customFormat="1" ht="18" hidden="1" customHeight="1" outlineLevel="1" x14ac:dyDescent="0.2">
      <c r="A237" s="74"/>
      <c r="B237" s="138"/>
      <c r="C237" s="235"/>
      <c r="D237" s="726" t="s">
        <v>1878</v>
      </c>
      <c r="E237" s="570">
        <v>0</v>
      </c>
      <c r="F237" s="570">
        <v>0</v>
      </c>
      <c r="G237" s="570">
        <v>0</v>
      </c>
      <c r="H237" s="570">
        <v>0</v>
      </c>
      <c r="I237" s="570">
        <v>0</v>
      </c>
      <c r="J237" s="570">
        <v>0</v>
      </c>
      <c r="K237" s="570">
        <v>0</v>
      </c>
      <c r="L237" s="570">
        <v>0</v>
      </c>
      <c r="M237" s="570">
        <v>0</v>
      </c>
      <c r="N237" s="570">
        <v>0</v>
      </c>
      <c r="O237" s="535" t="s">
        <v>1978</v>
      </c>
    </row>
    <row r="238" spans="1:33" s="142" customFormat="1" ht="18" hidden="1" customHeight="1" outlineLevel="1" x14ac:dyDescent="0.2">
      <c r="A238" s="74"/>
      <c r="B238" s="138"/>
      <c r="C238" s="235"/>
      <c r="D238" s="726" t="s">
        <v>1879</v>
      </c>
      <c r="E238" s="570">
        <v>0</v>
      </c>
      <c r="F238" s="570">
        <v>0</v>
      </c>
      <c r="G238" s="570">
        <v>0</v>
      </c>
      <c r="H238" s="570">
        <v>0</v>
      </c>
      <c r="I238" s="570">
        <v>0</v>
      </c>
      <c r="J238" s="570">
        <v>0</v>
      </c>
      <c r="K238" s="570">
        <v>0</v>
      </c>
      <c r="L238" s="570">
        <v>0</v>
      </c>
      <c r="M238" s="570">
        <v>0</v>
      </c>
      <c r="N238" s="570">
        <v>0</v>
      </c>
      <c r="O238" s="535" t="s">
        <v>1979</v>
      </c>
    </row>
    <row r="239" spans="1:33" s="203" customFormat="1" ht="15.75" hidden="1" outlineLevel="1" thickBot="1" x14ac:dyDescent="0.3">
      <c r="A239" s="74"/>
      <c r="B239" s="563"/>
      <c r="C239" s="564"/>
      <c r="D239" s="724"/>
      <c r="E239" s="571"/>
      <c r="F239" s="571"/>
      <c r="G239" s="571"/>
      <c r="H239" s="571"/>
      <c r="I239" s="571"/>
      <c r="J239" s="571"/>
      <c r="K239" s="571"/>
      <c r="L239" s="571"/>
      <c r="M239" s="571"/>
      <c r="N239" s="571"/>
      <c r="O239" s="572"/>
      <c r="P239" s="204"/>
    </row>
    <row r="240" spans="1:33" s="203" customFormat="1" ht="15.75" hidden="1" outlineLevel="1" thickBot="1" x14ac:dyDescent="0.3">
      <c r="A240" s="74"/>
      <c r="B240" s="563"/>
      <c r="C240" s="322"/>
      <c r="D240" s="732"/>
      <c r="E240" s="581"/>
      <c r="F240" s="581"/>
      <c r="G240" s="581"/>
      <c r="H240" s="581"/>
      <c r="I240" s="581"/>
      <c r="J240" s="581"/>
      <c r="K240" s="581"/>
      <c r="L240" s="581"/>
      <c r="M240" s="581"/>
      <c r="N240" s="581"/>
      <c r="O240" s="558"/>
      <c r="P240" s="204"/>
    </row>
    <row r="241" spans="1:33" s="206" customFormat="1" ht="20.25" hidden="1" outlineLevel="1" x14ac:dyDescent="0.25">
      <c r="A241" s="74"/>
      <c r="B241" s="563"/>
      <c r="C241" s="1010" t="str">
        <f>Scenario2&amp;"  Lease Lessor Visit Cost pa (based on Touch Hour Rate)"</f>
        <v>hSystems (Hybrid)  Lease Lessor Visit Cost pa (based on Touch Hour Rate)</v>
      </c>
      <c r="D241" s="310"/>
      <c r="E241" s="316"/>
      <c r="F241" s="316"/>
      <c r="G241" s="316"/>
      <c r="H241" s="316"/>
      <c r="I241" s="316"/>
      <c r="J241" s="316"/>
      <c r="K241" s="316"/>
      <c r="L241" s="316"/>
      <c r="M241" s="316"/>
      <c r="N241" s="316"/>
      <c r="O241" s="583"/>
      <c r="P241" s="210"/>
    </row>
    <row r="242" spans="1:33" s="8" customFormat="1" hidden="1" outlineLevel="1" x14ac:dyDescent="0.2">
      <c r="A242" s="74"/>
      <c r="B242" s="102"/>
      <c r="C242" s="235"/>
      <c r="D242" s="726" t="s">
        <v>1880</v>
      </c>
      <c r="E242" s="555">
        <f>(hSystemsTouchRateHourHM*hSystemsLeaseHostLaborHrsHM*hSystemsLessorVisitForecast)</f>
        <v>0</v>
      </c>
      <c r="F242" s="555">
        <f>(hSystemsTouchRateHourHM*hSystemsLeaseHostLaborHrsHM*hSystemsLessorVisitForecast)*(1+Inflation)</f>
        <v>0</v>
      </c>
      <c r="G242" s="555">
        <f>(hSystemsTouchRateHourHM*hSystemsLeaseHostLaborHrsHM*hSystemsLessorVisitForecast)*(1+Inflation)^2</f>
        <v>0</v>
      </c>
      <c r="H242" s="555">
        <f>(hSystemsTouchRateHourHM*hSystemsLeaseHostLaborHrsHM*hSystemsLessorVisitForecast)*(1+Inflation)^3</f>
        <v>0</v>
      </c>
      <c r="I242" s="555">
        <f>(hSystemsTouchRateHourHM*hSystemsLeaseHostLaborHrsHM*hSystemsLessorVisitForecast)*(1+Inflation)^4</f>
        <v>0</v>
      </c>
      <c r="J242" s="555">
        <f>(hSystemsTouchRateHourHM*hSystemsLeaseHostLaborHrsHM*hSystemsLessorVisitForecast)*(1+Inflation)^5</f>
        <v>0</v>
      </c>
      <c r="K242" s="555">
        <f>(hSystemsTouchRateHourHM*hSystemsLeaseHostLaborHrsHM*hSystemsLessorVisitForecast)*(1+Inflation)^6</f>
        <v>0</v>
      </c>
      <c r="L242" s="555">
        <f>(hSystemsTouchRateHourHM*hSystemsLeaseHostLaborHrsHM*hSystemsLessorVisitForecast)*(1+Inflation)^7</f>
        <v>0</v>
      </c>
      <c r="M242" s="555">
        <f>(hSystemsTouchRateHourHM*hSystemsLeaseHostLaborHrsHM*hSystemsLessorVisitForecast)*(1+Inflation)^8</f>
        <v>0</v>
      </c>
      <c r="N242" s="555">
        <f>(hSystemsTouchRateHourHM*hSystemsLeaseHostLaborHrsHM*hSystemsLessorVisitForecast)*(1+Inflation)^9</f>
        <v>0</v>
      </c>
      <c r="O242" s="535" t="s">
        <v>1980</v>
      </c>
      <c r="P242" s="17"/>
      <c r="Q242" s="17"/>
      <c r="R242" s="17"/>
      <c r="S242" s="17"/>
      <c r="T242" s="17"/>
      <c r="U242" s="17"/>
      <c r="V242" s="17"/>
      <c r="W242" s="17"/>
      <c r="X242" s="17"/>
      <c r="Y242" s="17"/>
      <c r="Z242" s="17"/>
      <c r="AA242" s="17"/>
      <c r="AB242" s="17"/>
      <c r="AC242" s="17"/>
      <c r="AD242" s="17"/>
      <c r="AE242" s="17"/>
      <c r="AF242" s="17"/>
      <c r="AG242" s="17"/>
    </row>
    <row r="243" spans="1:33" s="8" customFormat="1" hidden="1" outlineLevel="1" x14ac:dyDescent="0.2">
      <c r="A243" s="74"/>
      <c r="B243" s="102"/>
      <c r="C243" s="235"/>
      <c r="D243" s="726" t="s">
        <v>1881</v>
      </c>
      <c r="E243" s="555">
        <f>(hSystemsTouchRateHourLM*hSystemsLeaseHostLaborHrsLM*hSystemsLessorVisitForecast)</f>
        <v>0</v>
      </c>
      <c r="F243" s="555">
        <f>(hSystemsTouchRateHourLM*hSystemsLeaseHostLaborHrsLM*hSystemsLessorVisitForecast)*(1+Inflation)</f>
        <v>0</v>
      </c>
      <c r="G243" s="555">
        <f>(hSystemsTouchRateHourLM*hSystemsLeaseHostLaborHrsLM*hSystemsLessorVisitForecast)*(1+Inflation)^2</f>
        <v>0</v>
      </c>
      <c r="H243" s="555">
        <f>(hSystemsTouchRateHourLM*hSystemsLeaseHostLaborHrsLM*hSystemsLessorVisitForecast)*(1+Inflation)^3</f>
        <v>0</v>
      </c>
      <c r="I243" s="555">
        <f>(hSystemsTouchRateHourLM*hSystemsLeaseHostLaborHrsLM*hSystemsLessorVisitForecast)*(1+Inflation)^4</f>
        <v>0</v>
      </c>
      <c r="J243" s="555">
        <f>(hSystemsTouchRateHourLM*hSystemsLeaseHostLaborHrsLM*hSystemsLessorVisitForecast)*(1+Inflation)^5</f>
        <v>0</v>
      </c>
      <c r="K243" s="555">
        <f>(hSystemsTouchRateHourLM*hSystemsLeaseHostLaborHrsLM*hSystemsLessorVisitForecast)*(1+Inflation)^6</f>
        <v>0</v>
      </c>
      <c r="L243" s="555">
        <f>(hSystemsTouchRateHourLM*hSystemsLeaseHostLaborHrsLM*hSystemsLessorVisitForecast)*(1+Inflation)^7</f>
        <v>0</v>
      </c>
      <c r="M243" s="555">
        <f>(hSystemsTouchRateHourLM*hSystemsLeaseHostLaborHrsLM*hSystemsLessorVisitForecast)*(1+Inflation)^8</f>
        <v>0</v>
      </c>
      <c r="N243" s="555">
        <f>(hSystemsTouchRateHourLM*hSystemsLeaseHostLaborHrsLM*hSystemsLessorVisitForecast)*(1+Inflation)^9</f>
        <v>0</v>
      </c>
      <c r="O243" s="535" t="s">
        <v>1981</v>
      </c>
      <c r="P243" s="17"/>
      <c r="Q243" s="17"/>
      <c r="R243" s="17"/>
      <c r="S243" s="17"/>
      <c r="T243" s="17"/>
      <c r="U243" s="17"/>
      <c r="V243" s="17"/>
      <c r="W243" s="17"/>
      <c r="X243" s="17"/>
      <c r="Y243" s="17"/>
      <c r="Z243" s="17"/>
      <c r="AA243" s="17"/>
      <c r="AB243" s="17"/>
      <c r="AC243" s="17"/>
      <c r="AD243" s="17"/>
      <c r="AE243" s="17"/>
      <c r="AF243" s="17"/>
      <c r="AG243" s="17"/>
    </row>
    <row r="244" spans="1:33" s="142" customFormat="1" ht="18" hidden="1" customHeight="1" outlineLevel="1" x14ac:dyDescent="0.2">
      <c r="A244" s="74"/>
      <c r="B244" s="138"/>
      <c r="C244" s="235"/>
      <c r="D244" s="727" t="s">
        <v>1882</v>
      </c>
      <c r="E244" s="555">
        <f>(hSystemsTouchRateHourENG*hSystemsLeaseHostLaborHrsENG*hSystemsLessorVisitForecast)</f>
        <v>37571.76137781846</v>
      </c>
      <c r="F244" s="555">
        <f>(hSystemsTouchRateHourENG*hSystemsLeaseHostLaborHrsENG*hSystemsLessorVisitForecast)*(1+Inflation)</f>
        <v>38323.196605374833</v>
      </c>
      <c r="G244" s="555">
        <f>(hSystemsTouchRateHourENG*hSystemsLeaseHostLaborHrsENG*hSystemsLessorVisitForecast)*(1+Inflation)^2</f>
        <v>39089.660537482327</v>
      </c>
      <c r="H244" s="555">
        <f>(hSystemsTouchRateHourENG*hSystemsLeaseHostLaborHrsENG*hSystemsLessorVisitForecast)*(1+Inflation)^3</f>
        <v>39871.453748231972</v>
      </c>
      <c r="I244" s="555">
        <f>(hSystemsTouchRateHourENG*hSystemsLeaseHostLaborHrsENG*hSystemsLessorVisitForecast)*(1+Inflation)^4</f>
        <v>40668.882823196611</v>
      </c>
      <c r="J244" s="555">
        <f>(hSystemsTouchRateHourENG*hSystemsLeaseHostLaborHrsENG*hSystemsLessorVisitForecast)*(1+Inflation)^5</f>
        <v>41482.260479660545</v>
      </c>
      <c r="K244" s="555">
        <f>(hSystemsTouchRateHourENG*hSystemsLeaseHostLaborHrsENG*hSystemsLessorVisitForecast)*(1+Inflation)^6</f>
        <v>42311.905689253756</v>
      </c>
      <c r="L244" s="555">
        <f>(hSystemsTouchRateHourENG*hSystemsLeaseHostLaborHrsENG*hSystemsLessorVisitForecast)*(1+Inflation)^7</f>
        <v>43158.143803038824</v>
      </c>
      <c r="M244" s="555">
        <f>(hSystemsTouchRateHourENG*hSystemsLeaseHostLaborHrsENG*hSystemsLessorVisitForecast)*(1+Inflation)^8</f>
        <v>44021.306679099602</v>
      </c>
      <c r="N244" s="555">
        <f>(hSystemsTouchRateHourENG*hSystemsLeaseHostLaborHrsENG*hSystemsLessorVisitForecast)*(1+Inflation)^9</f>
        <v>44901.732812681599</v>
      </c>
      <c r="O244" s="535" t="s">
        <v>1982</v>
      </c>
    </row>
    <row r="245" spans="1:33" s="142" customFormat="1" ht="18" hidden="1" customHeight="1" outlineLevel="1" x14ac:dyDescent="0.2">
      <c r="A245" s="74"/>
      <c r="B245" s="128"/>
      <c r="C245" s="235"/>
      <c r="D245" s="726" t="s">
        <v>1883</v>
      </c>
      <c r="E245" s="555">
        <f>(hSystemsTouchRateHourPLG*hSystemsLeaseHostLaborHrsPLG*hSystemsLessorVisitForecast)</f>
        <v>35484.441301272986</v>
      </c>
      <c r="F245" s="555">
        <f>(hSystemsTouchRateHourPLG*hSystemsLeaseHostLaborHrsPLG*hSystemsLessorVisitForecast)*(1+Inflation)</f>
        <v>36194.130127298449</v>
      </c>
      <c r="G245" s="555">
        <f>(hSystemsTouchRateHourPLG*hSystemsLeaseHostLaborHrsPLG*hSystemsLessorVisitForecast)*(1+Inflation)^2</f>
        <v>36918.012729844413</v>
      </c>
      <c r="H245" s="555">
        <f>(hSystemsTouchRateHourPLG*hSystemsLeaseHostLaborHrsPLG*hSystemsLessorVisitForecast)*(1+Inflation)^3</f>
        <v>37656.372984441303</v>
      </c>
      <c r="I245" s="555">
        <f>(hSystemsTouchRateHourPLG*hSystemsLeaseHostLaborHrsPLG*hSystemsLessorVisitForecast)*(1+Inflation)^4</f>
        <v>38409.500444130128</v>
      </c>
      <c r="J245" s="555">
        <f>(hSystemsTouchRateHourPLG*hSystemsLeaseHostLaborHrsPLG*hSystemsLessorVisitForecast)*(1+Inflation)^5</f>
        <v>39177.690453012729</v>
      </c>
      <c r="K245" s="555">
        <f>(hSystemsTouchRateHourPLG*hSystemsLeaseHostLaborHrsPLG*hSystemsLessorVisitForecast)*(1+Inflation)^6</f>
        <v>39961.244262072985</v>
      </c>
      <c r="L245" s="555">
        <f>(hSystemsTouchRateHourPLG*hSystemsLeaseHostLaborHrsPLG*hSystemsLessorVisitForecast)*(1+Inflation)^7</f>
        <v>40760.469147314441</v>
      </c>
      <c r="M245" s="555">
        <f>(hSystemsTouchRateHourPLG*hSystemsLeaseHostLaborHrsPLG*hSystemsLessorVisitForecast)*(1+Inflation)^8</f>
        <v>41575.678530260731</v>
      </c>
      <c r="N245" s="555">
        <f>(hSystemsTouchRateHourPLG*hSystemsLeaseHostLaborHrsPLG*hSystemsLessorVisitForecast)*(1+Inflation)^9</f>
        <v>42407.192100865948</v>
      </c>
      <c r="O245" s="535" t="s">
        <v>1983</v>
      </c>
    </row>
    <row r="246" spans="1:33" s="142" customFormat="1" ht="18" hidden="1" customHeight="1" outlineLevel="1" x14ac:dyDescent="0.2">
      <c r="A246" s="74"/>
      <c r="B246" s="128"/>
      <c r="C246" s="235"/>
      <c r="D246" s="726" t="s">
        <v>1884</v>
      </c>
      <c r="E246" s="555">
        <f>(hSystemsTouchRateHourCRT*hSystemsLeaseHostLaborHrsCRT*hSystemsLessorVisitForecast)</f>
        <v>20873.200765454698</v>
      </c>
      <c r="F246" s="555">
        <f>(hSystemsTouchRateHourCRT*hSystemsLeaseHostLaborHrsCRT*hSystemsLessorVisitForecast)*(1+Inflation)</f>
        <v>21290.664780763793</v>
      </c>
      <c r="G246" s="555">
        <f>(hSystemsTouchRateHourCRT*hSystemsLeaseHostLaborHrsCRT*hSystemsLessorVisitForecast)*(1+Inflation)^2</f>
        <v>21716.478076379066</v>
      </c>
      <c r="H246" s="555">
        <f>(hSystemsTouchRateHourCRT*hSystemsLeaseHostLaborHrsCRT*hSystemsLessorVisitForecast)*(1+Inflation)^3</f>
        <v>22150.807637906648</v>
      </c>
      <c r="I246" s="555">
        <f>(hSystemsTouchRateHourCRT*hSystemsLeaseHostLaborHrsCRT*hSystemsLessorVisitForecast)*(1+Inflation)^4</f>
        <v>22593.823790664781</v>
      </c>
      <c r="J246" s="555">
        <f>(hSystemsTouchRateHourCRT*hSystemsLeaseHostLaborHrsCRT*hSystemsLessorVisitForecast)*(1+Inflation)^5</f>
        <v>23045.700266478078</v>
      </c>
      <c r="K246" s="555">
        <f>(hSystemsTouchRateHourCRT*hSystemsLeaseHostLaborHrsCRT*hSystemsLessorVisitForecast)*(1+Inflation)^6</f>
        <v>23506.614271807641</v>
      </c>
      <c r="L246" s="555">
        <f>(hSystemsTouchRateHourCRT*hSystemsLeaseHostLaborHrsCRT*hSystemsLessorVisitForecast)*(1+Inflation)^7</f>
        <v>23976.746557243787</v>
      </c>
      <c r="M246" s="555">
        <f>(hSystemsTouchRateHourCRT*hSystemsLeaseHostLaborHrsCRT*hSystemsLessorVisitForecast)*(1+Inflation)^8</f>
        <v>24456.281488388668</v>
      </c>
      <c r="N246" s="555">
        <f>(hSystemsTouchRateHourCRT*hSystemsLeaseHostLaborHrsCRT*hSystemsLessorVisitForecast)*(1+Inflation)^9</f>
        <v>24945.40711815644</v>
      </c>
      <c r="O246" s="535" t="s">
        <v>1984</v>
      </c>
    </row>
    <row r="247" spans="1:33" s="142" customFormat="1" ht="18" hidden="1" customHeight="1" outlineLevel="1" x14ac:dyDescent="0.2">
      <c r="A247" s="74"/>
      <c r="B247" s="138"/>
      <c r="C247" s="235"/>
      <c r="D247" s="726" t="s">
        <v>1885</v>
      </c>
      <c r="E247" s="555">
        <f>(hSystemsTouchRateHourSCL*hSystemsLeaseHostLaborHrsSCL*hSystemsLessorVisitForecast)</f>
        <v>0</v>
      </c>
      <c r="F247" s="555">
        <f>(hSystemsTouchRateHourSCL*hSystemsLeaseHostLaborHrsSCL*hSystemsLessorVisitForecast)*(1+Inflation)</f>
        <v>0</v>
      </c>
      <c r="G247" s="555">
        <f>(hSystemsTouchRateHourSCL*hSystemsLeaseHostLaborHrsSCL*hSystemsLessorVisitForecast)*(1+Inflation)^2</f>
        <v>0</v>
      </c>
      <c r="H247" s="555">
        <f>(hSystemsTouchRateHourSCL*hSystemsLeaseHostLaborHrsSCL*hSystemsLessorVisitForecast)*(1+Inflation)^3</f>
        <v>0</v>
      </c>
      <c r="I247" s="555">
        <f>(hSystemsTouchRateHourSCL*hSystemsLeaseHostLaborHrsSCL*hSystemsLessorVisitForecast)*(1+Inflation)^4</f>
        <v>0</v>
      </c>
      <c r="J247" s="555">
        <f>(hSystemsTouchRateHourSCL*hSystemsLeaseHostLaborHrsSCL*hSystemsLessorVisitForecast)*(1+Inflation)^5</f>
        <v>0</v>
      </c>
      <c r="K247" s="555">
        <f>(hSystemsTouchRateHourSCL*hSystemsLeaseHostLaborHrsSCL*hSystemsLessorVisitForecast)*(1+Inflation)^6</f>
        <v>0</v>
      </c>
      <c r="L247" s="555">
        <f>(hSystemsTouchRateHourSCL*hSystemsLeaseHostLaborHrsSCL*hSystemsLessorVisitForecast)*(1+Inflation)^7</f>
        <v>0</v>
      </c>
      <c r="M247" s="555">
        <f>(hSystemsTouchRateHourSCL*hSystemsLeaseHostLaborHrsSCL*hSystemsLessorVisitForecast)*(1+Inflation)^8</f>
        <v>0</v>
      </c>
      <c r="N247" s="555">
        <f>(hSystemsTouchRateHourSCL*hSystemsLeaseHostLaborHrsSCL*hSystemsLessorVisitForecast)*(1+Inflation)^9</f>
        <v>0</v>
      </c>
      <c r="O247" s="535" t="s">
        <v>1985</v>
      </c>
    </row>
    <row r="248" spans="1:33" s="142" customFormat="1" ht="18" hidden="1" customHeight="1" outlineLevel="1" x14ac:dyDescent="0.2">
      <c r="A248" s="74"/>
      <c r="B248" s="138"/>
      <c r="C248" s="235"/>
      <c r="D248" s="726" t="s">
        <v>1886</v>
      </c>
      <c r="E248" s="555">
        <f>(hSystemsTouchRateHourQSC*hSystemsLeaseHostLaborHrsQSC*hSystemsLessorVisitForecast)</f>
        <v>31309.801148182047</v>
      </c>
      <c r="F248" s="555">
        <f>(hSystemsTouchRateHourQSC*hSystemsLeaseHostLaborHrsQSC*hSystemsLessorVisitForecast)*(1+Inflation)</f>
        <v>31935.997171145689</v>
      </c>
      <c r="G248" s="555">
        <f>(hSystemsTouchRateHourQSC*hSystemsLeaseHostLaborHrsQSC*hSystemsLessorVisitForecast)*(1+Inflation)^2</f>
        <v>32574.717114568601</v>
      </c>
      <c r="H248" s="555">
        <f>(hSystemsTouchRateHourQSC*hSystemsLeaseHostLaborHrsQSC*hSystemsLessorVisitForecast)*(1+Inflation)^3</f>
        <v>33226.211456859972</v>
      </c>
      <c r="I248" s="555">
        <f>(hSystemsTouchRateHourQSC*hSystemsLeaseHostLaborHrsQSC*hSystemsLessorVisitForecast)*(1+Inflation)^4</f>
        <v>33890.73568599717</v>
      </c>
      <c r="J248" s="555">
        <f>(hSystemsTouchRateHourQSC*hSystemsLeaseHostLaborHrsQSC*hSystemsLessorVisitForecast)*(1+Inflation)^5</f>
        <v>34568.550399717118</v>
      </c>
      <c r="K248" s="555">
        <f>(hSystemsTouchRateHourQSC*hSystemsLeaseHostLaborHrsQSC*hSystemsLessorVisitForecast)*(1+Inflation)^6</f>
        <v>35259.921407711459</v>
      </c>
      <c r="L248" s="555">
        <f>(hSystemsTouchRateHourQSC*hSystemsLeaseHostLaborHrsQSC*hSystemsLessorVisitForecast)*(1+Inflation)^7</f>
        <v>35965.119835865684</v>
      </c>
      <c r="M248" s="555">
        <f>(hSystemsTouchRateHourQSC*hSystemsLeaseHostLaborHrsQSC*hSystemsLessorVisitForecast)*(1+Inflation)^8</f>
        <v>36684.422232582998</v>
      </c>
      <c r="N248" s="555">
        <f>(hSystemsTouchRateHourQSC*hSystemsLeaseHostLaborHrsQSC*hSystemsLessorVisitForecast)*(1+Inflation)^9</f>
        <v>37418.110677234661</v>
      </c>
      <c r="O248" s="535" t="s">
        <v>1986</v>
      </c>
    </row>
    <row r="249" spans="1:33" s="142" customFormat="1" ht="18" hidden="1" customHeight="1" outlineLevel="1" x14ac:dyDescent="0.2">
      <c r="A249" s="74"/>
      <c r="B249" s="128"/>
      <c r="C249" s="235"/>
      <c r="D249" s="726" t="s">
        <v>1887</v>
      </c>
      <c r="E249" s="555">
        <f>(hSystemsTouchRateHourEM*hSystemsLeaseHostLaborHrsEM*hSystemsLessorVisitForecast)</f>
        <v>0</v>
      </c>
      <c r="F249" s="555">
        <f>(hSystemsTouchRateHourEM*hSystemsLeaseHostLaborHrsEM*hSystemsLessorVisitForecast)*(1+Inflation)</f>
        <v>0</v>
      </c>
      <c r="G249" s="555">
        <f>(hSystemsTouchRateHourEM*hSystemsLeaseHostLaborHrsEM*hSystemsLessorVisitForecast)*(1+Inflation)^2</f>
        <v>0</v>
      </c>
      <c r="H249" s="555">
        <f>(hSystemsTouchRateHourEM*hSystemsLeaseHostLaborHrsEM*hSystemsLessorVisitForecast)*(1+Inflation)^3</f>
        <v>0</v>
      </c>
      <c r="I249" s="555">
        <f>(hSystemsTouchRateHourEM*hSystemsLeaseHostLaborHrsEM*hSystemsLessorVisitForecast)*(1+Inflation)^4</f>
        <v>0</v>
      </c>
      <c r="J249" s="555">
        <f>(hSystemsTouchRateHourEM*hSystemsLeaseHostLaborHrsEM*hSystemsLessorVisitForecast)*(1+Inflation)^5</f>
        <v>0</v>
      </c>
      <c r="K249" s="555">
        <f>(hSystemsTouchRateHourEM*hSystemsLeaseHostLaborHrsEM*hSystemsLessorVisitForecast)*(1+Inflation)^6</f>
        <v>0</v>
      </c>
      <c r="L249" s="555">
        <f>(hSystemsTouchRateHourEM*hSystemsLeaseHostLaborHrsEM*hSystemsLessorVisitForecast)*(1+Inflation)^7</f>
        <v>0</v>
      </c>
      <c r="M249" s="555">
        <f>(hSystemsTouchRateHourEM*hSystemsLeaseHostLaborHrsEM*hSystemsLessorVisitForecast)*(1+Inflation)^8</f>
        <v>0</v>
      </c>
      <c r="N249" s="555">
        <f>(hSystemsTouchRateHourEM*hSystemsLeaseHostLaborHrsEM*hSystemsLessorVisitForecast)*(1+Inflation)^9</f>
        <v>0</v>
      </c>
      <c r="O249" s="535" t="s">
        <v>1987</v>
      </c>
    </row>
    <row r="250" spans="1:33" s="142" customFormat="1" ht="18" hidden="1" customHeight="1" outlineLevel="1" x14ac:dyDescent="0.2">
      <c r="A250" s="74"/>
      <c r="B250" s="138"/>
      <c r="C250" s="235"/>
      <c r="D250" s="726" t="s">
        <v>1888</v>
      </c>
      <c r="E250" s="555">
        <f>(hSystemsTouchRateHourCM*hSystemsLeaseHostLaborHrsCM*hSystemsLessorVisitForecast)</f>
        <v>0</v>
      </c>
      <c r="F250" s="555">
        <f>(hSystemsTouchRateHourCM*hSystemsLeaseHostLaborHrsCM*hSystemsLessorVisitForecast)*(1+Inflation)</f>
        <v>0</v>
      </c>
      <c r="G250" s="555">
        <f>(hSystemsTouchRateHourCM*hSystemsLeaseHostLaborHrsCM*hSystemsLessorVisitForecast)*(1+Inflation)^2</f>
        <v>0</v>
      </c>
      <c r="H250" s="555">
        <f>(hSystemsTouchRateHourCM*hSystemsLeaseHostLaborHrsCM*hSystemsLessorVisitForecast)*(1+Inflation)^3</f>
        <v>0</v>
      </c>
      <c r="I250" s="555">
        <f>(hSystemsTouchRateHourCM*hSystemsLeaseHostLaborHrsCM*hSystemsLessorVisitForecast)*(1+Inflation)^4</f>
        <v>0</v>
      </c>
      <c r="J250" s="555">
        <f>(hSystemsTouchRateHourCM*hSystemsLeaseHostLaborHrsCM*hSystemsLessorVisitForecast)*(1+Inflation)^5</f>
        <v>0</v>
      </c>
      <c r="K250" s="555">
        <f>(hSystemsTouchRateHourCM*hSystemsLeaseHostLaborHrsCM*hSystemsLessorVisitForecast)*(1+Inflation)^6</f>
        <v>0</v>
      </c>
      <c r="L250" s="555">
        <f>(hSystemsTouchRateHourCM*hSystemsLeaseHostLaborHrsCM*hSystemsLessorVisitForecast)*(1+Inflation)^7</f>
        <v>0</v>
      </c>
      <c r="M250" s="555">
        <f>(hSystemsTouchRateHourCM*hSystemsLeaseHostLaborHrsCM*hSystemsLessorVisitForecast)*(1+Inflation)^8</f>
        <v>0</v>
      </c>
      <c r="N250" s="555">
        <f>(hSystemsTouchRateHourCM*hSystemsLeaseHostLaborHrsCM*hSystemsLessorVisitForecast)*(1+Inflation)^9</f>
        <v>0</v>
      </c>
      <c r="O250" s="535" t="s">
        <v>1988</v>
      </c>
    </row>
    <row r="251" spans="1:33" s="142" customFormat="1" ht="18" hidden="1" customHeight="1" outlineLevel="1" x14ac:dyDescent="0.2">
      <c r="A251" s="74"/>
      <c r="B251" s="138"/>
      <c r="C251" s="235"/>
      <c r="D251" s="726" t="s">
        <v>1889</v>
      </c>
      <c r="E251" s="555">
        <f>(hSystemsTouchRateHourSMCS*hSystemsLeaseHostLaborHrsSMCS*hSystemsLessorVisitForecast)</f>
        <v>0</v>
      </c>
      <c r="F251" s="555">
        <f>(hSystemsTouchRateHourSMCS*hSystemsLeaseHostLaborHrsSMCS*hSystemsLessorVisitForecast)*(1+Inflation)</f>
        <v>0</v>
      </c>
      <c r="G251" s="555">
        <f>(hSystemsTouchRateHourSMCS*hSystemsLeaseHostLaborHrsSMCS*hSystemsLessorVisitForecast)*(1+Inflation)^2</f>
        <v>0</v>
      </c>
      <c r="H251" s="555">
        <f>(hSystemsTouchRateHourSMCS*hSystemsLeaseHostLaborHrsSMCS*hSystemsLessorVisitForecast)*(1+Inflation)^3</f>
        <v>0</v>
      </c>
      <c r="I251" s="555">
        <f>(hSystemsTouchRateHourSMCS*hSystemsLeaseHostLaborHrsSMCS*hSystemsLessorVisitForecast)*(1+Inflation)^4</f>
        <v>0</v>
      </c>
      <c r="J251" s="555">
        <f>(hSystemsTouchRateHourSMCS*hSystemsLeaseHostLaborHrsSMCS*hSystemsLessorVisitForecast)*(1+Inflation)^5</f>
        <v>0</v>
      </c>
      <c r="K251" s="555">
        <f>(hSystemsTouchRateHourSMCS*hSystemsLeaseHostLaborHrsSMCS*hSystemsLessorVisitForecast)*(1+Inflation)^6</f>
        <v>0</v>
      </c>
      <c r="L251" s="555">
        <f>(hSystemsTouchRateHourSMCS*hSystemsLeaseHostLaborHrsSMCS*hSystemsLessorVisitForecast)*(1+Inflation)^7</f>
        <v>0</v>
      </c>
      <c r="M251" s="555">
        <f>(hSystemsTouchRateHourSMCS*hSystemsLeaseHostLaborHrsSMCS*hSystemsLessorVisitForecast)*(1+Inflation)^8</f>
        <v>0</v>
      </c>
      <c r="N251" s="555">
        <f>(hSystemsTouchRateHourSMCS*hSystemsLeaseHostLaborHrsSMCS*hSystemsLessorVisitForecast)*(1+Inflation)^9</f>
        <v>0</v>
      </c>
      <c r="O251" s="535" t="s">
        <v>1989</v>
      </c>
    </row>
    <row r="252" spans="1:33" s="142" customFormat="1" ht="18" hidden="1" customHeight="1" outlineLevel="1" x14ac:dyDescent="0.2">
      <c r="A252" s="74"/>
      <c r="B252" s="138"/>
      <c r="C252" s="235"/>
      <c r="D252" s="726" t="s">
        <v>1890</v>
      </c>
      <c r="E252" s="555">
        <f>(hSystemsTouchRateHourO1*hSystemsLeaseHostLaborHrsO1*hSystemsLessorVisitForecast)</f>
        <v>0</v>
      </c>
      <c r="F252" s="555">
        <f>(hSystemsTouchRateHourO1*hSystemsLeaseHostLaborHrsO1*hSystemsLessorVisitForecast)*(1+Inflation)</f>
        <v>0</v>
      </c>
      <c r="G252" s="555">
        <f>(hSystemsTouchRateHourO1*hSystemsLeaseHostLaborHrsO1*hSystemsLessorVisitForecast)*(1+Inflation)^2</f>
        <v>0</v>
      </c>
      <c r="H252" s="555">
        <f>(hSystemsTouchRateHourO1*hSystemsLeaseHostLaborHrsO1*hSystemsLessorVisitForecast)*(1+Inflation)^3</f>
        <v>0</v>
      </c>
      <c r="I252" s="555">
        <f>(hSystemsTouchRateHourO1*hSystemsLeaseHostLaborHrsO1*hSystemsLessorVisitForecast)*(1+Inflation)^4</f>
        <v>0</v>
      </c>
      <c r="J252" s="555">
        <f>(hSystemsTouchRateHourO1*hSystemsLeaseHostLaborHrsO1*hSystemsLessorVisitForecast)*(1+Inflation)^5</f>
        <v>0</v>
      </c>
      <c r="K252" s="555">
        <f>(hSystemsTouchRateHourO1*hSystemsLeaseHostLaborHrsO1*hSystemsLessorVisitForecast)*(1+Inflation)^6</f>
        <v>0</v>
      </c>
      <c r="L252" s="555">
        <f>(hSystemsTouchRateHourO1*hSystemsLeaseHostLaborHrsO1*hSystemsLessorVisitForecast)*(1+Inflation)^7</f>
        <v>0</v>
      </c>
      <c r="M252" s="555">
        <f>(hSystemsTouchRateHourO1*hSystemsLeaseHostLaborHrsO1*hSystemsLessorVisitForecast)*(1+Inflation)^8</f>
        <v>0</v>
      </c>
      <c r="N252" s="555">
        <f>(hSystemsTouchRateHourO1*hSystemsLeaseHostLaborHrsO1*hSystemsLessorVisitForecast)*(1+Inflation)^9</f>
        <v>0</v>
      </c>
      <c r="O252" s="535" t="s">
        <v>1990</v>
      </c>
    </row>
    <row r="253" spans="1:33" s="142" customFormat="1" ht="18" hidden="1" customHeight="1" outlineLevel="1" x14ac:dyDescent="0.2">
      <c r="A253" s="74"/>
      <c r="B253" s="138"/>
      <c r="C253" s="235"/>
      <c r="D253" s="726" t="s">
        <v>1891</v>
      </c>
      <c r="E253" s="555">
        <f>(hSystemsTouchRateHourO2*hSystemsLeaseHostLaborHrsO2*hSystemsLessorVisitForecast)</f>
        <v>0</v>
      </c>
      <c r="F253" s="555">
        <f>(hSystemsTouchRateHourO2*hSystemsLeaseHostLaborHrsO2*hSystemsLessorVisitForecast)*(1+Inflation)</f>
        <v>0</v>
      </c>
      <c r="G253" s="555">
        <f>(hSystemsTouchRateHourO2*hSystemsLeaseHostLaborHrsO2*hSystemsLessorVisitForecast)*(1+Inflation)^2</f>
        <v>0</v>
      </c>
      <c r="H253" s="555">
        <f>(hSystemsTouchRateHourO2*hSystemsLeaseHostLaborHrsO2*hSystemsLessorVisitForecast)*(1+Inflation)^3</f>
        <v>0</v>
      </c>
      <c r="I253" s="555">
        <f>(hSystemsTouchRateHourO2*hSystemsLeaseHostLaborHrsO2*hSystemsLessorVisitForecast)*(1+Inflation)^4</f>
        <v>0</v>
      </c>
      <c r="J253" s="555">
        <f>(hSystemsTouchRateHourO2*hSystemsLeaseHostLaborHrsO2*hSystemsLessorVisitForecast)*(1+Inflation)^5</f>
        <v>0</v>
      </c>
      <c r="K253" s="555">
        <f>(hSystemsTouchRateHourO2*hSystemsLeaseHostLaborHrsO2*hSystemsLessorVisitForecast)*(1+Inflation)^6</f>
        <v>0</v>
      </c>
      <c r="L253" s="555">
        <f>(hSystemsTouchRateHourO2*hSystemsLeaseHostLaborHrsO2*hSystemsLessorVisitForecast)*(1+Inflation)^7</f>
        <v>0</v>
      </c>
      <c r="M253" s="555">
        <f>(hSystemsTouchRateHourO2*hSystemsLeaseHostLaborHrsO2*hSystemsLessorVisitForecast)*(1+Inflation)^8</f>
        <v>0</v>
      </c>
      <c r="N253" s="555">
        <f>(hSystemsTouchRateHourO2*hSystemsLeaseHostLaborHrsO2*hSystemsLessorVisitForecast)*(1+Inflation)^9</f>
        <v>0</v>
      </c>
      <c r="O253" s="535" t="s">
        <v>1991</v>
      </c>
    </row>
    <row r="254" spans="1:33" s="142" customFormat="1" ht="18" hidden="1" customHeight="1" outlineLevel="1" x14ac:dyDescent="0.25">
      <c r="A254" s="74"/>
      <c r="B254" s="138"/>
      <c r="C254" s="235"/>
      <c r="D254" s="728" t="s">
        <v>1892</v>
      </c>
      <c r="E254" s="556">
        <f>SUM(E242:E253)</f>
        <v>125239.2045927282</v>
      </c>
      <c r="F254" s="556">
        <f t="shared" ref="F254:N254" si="56">SUM(F242:F253)</f>
        <v>127743.98868458276</v>
      </c>
      <c r="G254" s="556">
        <f t="shared" si="56"/>
        <v>130298.8684582744</v>
      </c>
      <c r="H254" s="556">
        <f t="shared" si="56"/>
        <v>132904.84582743989</v>
      </c>
      <c r="I254" s="556">
        <f t="shared" si="56"/>
        <v>135562.94274398871</v>
      </c>
      <c r="J254" s="556">
        <f t="shared" si="56"/>
        <v>138274.20159886847</v>
      </c>
      <c r="K254" s="556">
        <f t="shared" si="56"/>
        <v>141039.68563084584</v>
      </c>
      <c r="L254" s="556">
        <f t="shared" si="56"/>
        <v>143860.47934346274</v>
      </c>
      <c r="M254" s="556">
        <f t="shared" si="56"/>
        <v>146737.68893033199</v>
      </c>
      <c r="N254" s="556">
        <f t="shared" si="56"/>
        <v>149672.44270893864</v>
      </c>
      <c r="O254" s="535" t="s">
        <v>1992</v>
      </c>
    </row>
    <row r="255" spans="1:33" s="142" customFormat="1" ht="18" hidden="1" customHeight="1" outlineLevel="1" thickBot="1" x14ac:dyDescent="0.25">
      <c r="A255" s="74"/>
      <c r="B255" s="138"/>
      <c r="C255" s="325"/>
      <c r="D255" s="725"/>
      <c r="E255" s="568"/>
      <c r="F255" s="568"/>
      <c r="G255" s="568"/>
      <c r="H255" s="568"/>
      <c r="I255" s="568"/>
      <c r="J255" s="568"/>
      <c r="K255" s="568"/>
      <c r="L255" s="568"/>
      <c r="M255" s="568"/>
      <c r="N255" s="568"/>
      <c r="O255" s="569"/>
    </row>
    <row r="256" spans="1:33" s="142" customFormat="1" ht="18" hidden="1" customHeight="1" outlineLevel="1" thickBot="1" x14ac:dyDescent="0.25">
      <c r="A256" s="74"/>
      <c r="B256" s="138"/>
      <c r="C256" s="211"/>
      <c r="D256" s="214"/>
      <c r="E256" s="210"/>
      <c r="F256" s="210"/>
      <c r="G256" s="210"/>
      <c r="H256" s="210"/>
      <c r="I256" s="210"/>
      <c r="J256" s="210"/>
      <c r="K256" s="210"/>
      <c r="L256" s="210"/>
      <c r="M256" s="210"/>
      <c r="N256" s="210"/>
      <c r="O256" s="204"/>
    </row>
    <row r="257" spans="1:33" s="203" customFormat="1" ht="20.25" hidden="1" outlineLevel="1" x14ac:dyDescent="0.2">
      <c r="A257" s="74"/>
      <c r="B257" s="74"/>
      <c r="C257" s="1010" t="str">
        <f>Scenario2&amp;"  Lease Lessor Visit FTEs"</f>
        <v>hSystems (Hybrid)  Lease Lessor Visit FTEs</v>
      </c>
      <c r="D257" s="310"/>
      <c r="E257" s="434"/>
      <c r="F257" s="434"/>
      <c r="G257" s="434"/>
      <c r="H257" s="434"/>
      <c r="I257" s="434"/>
      <c r="J257" s="434"/>
      <c r="K257" s="434"/>
      <c r="L257" s="434"/>
      <c r="M257" s="434"/>
      <c r="N257" s="434"/>
      <c r="O257" s="573"/>
      <c r="P257" s="204"/>
    </row>
    <row r="258" spans="1:33" s="203" customFormat="1" hidden="1" outlineLevel="1" x14ac:dyDescent="0.2">
      <c r="A258" s="74"/>
      <c r="B258" s="74"/>
      <c r="C258" s="235"/>
      <c r="D258" s="726" t="s">
        <v>1893</v>
      </c>
      <c r="E258" s="557">
        <f t="shared" ref="E258:N258" si="57">(hSystemsLeaseHostLaborHrsHM/hSystemsTouchHourspaHM)*hSystemsLessorVisitForecast</f>
        <v>0</v>
      </c>
      <c r="F258" s="557">
        <f t="shared" si="57"/>
        <v>0</v>
      </c>
      <c r="G258" s="557">
        <f t="shared" si="57"/>
        <v>0</v>
      </c>
      <c r="H258" s="557">
        <f t="shared" si="57"/>
        <v>0</v>
      </c>
      <c r="I258" s="557">
        <f t="shared" si="57"/>
        <v>0</v>
      </c>
      <c r="J258" s="557">
        <f t="shared" si="57"/>
        <v>0</v>
      </c>
      <c r="K258" s="557">
        <f t="shared" si="57"/>
        <v>0</v>
      </c>
      <c r="L258" s="557">
        <f t="shared" si="57"/>
        <v>0</v>
      </c>
      <c r="M258" s="557">
        <f t="shared" si="57"/>
        <v>0</v>
      </c>
      <c r="N258" s="557">
        <f t="shared" si="57"/>
        <v>0</v>
      </c>
      <c r="O258" s="535" t="s">
        <v>2969</v>
      </c>
      <c r="P258" s="204"/>
    </row>
    <row r="259" spans="1:33" customFormat="1" hidden="1" outlineLevel="1" x14ac:dyDescent="0.2">
      <c r="A259" s="74"/>
      <c r="B259" s="13"/>
      <c r="C259" s="235"/>
      <c r="D259" s="726" t="s">
        <v>1894</v>
      </c>
      <c r="E259" s="557">
        <f t="shared" ref="E259:N259" si="58">(hSystemsLeaseHostLaborHrsLM/hSystemsTouchHourspaLM)*hSystemsLessorVisitForecast</f>
        <v>0</v>
      </c>
      <c r="F259" s="557">
        <f t="shared" si="58"/>
        <v>0</v>
      </c>
      <c r="G259" s="557">
        <f t="shared" si="58"/>
        <v>0</v>
      </c>
      <c r="H259" s="557">
        <f t="shared" si="58"/>
        <v>0</v>
      </c>
      <c r="I259" s="557">
        <f t="shared" si="58"/>
        <v>0</v>
      </c>
      <c r="J259" s="557">
        <f t="shared" si="58"/>
        <v>0</v>
      </c>
      <c r="K259" s="557">
        <f t="shared" si="58"/>
        <v>0</v>
      </c>
      <c r="L259" s="557">
        <f t="shared" si="58"/>
        <v>0</v>
      </c>
      <c r="M259" s="557">
        <f t="shared" si="58"/>
        <v>0</v>
      </c>
      <c r="N259" s="557">
        <f t="shared" si="58"/>
        <v>0</v>
      </c>
      <c r="O259" s="535" t="s">
        <v>2970</v>
      </c>
      <c r="P259" s="18"/>
      <c r="Q259" s="18"/>
      <c r="R259" s="18"/>
      <c r="S259" s="18"/>
      <c r="T259" s="18"/>
      <c r="U259" s="18"/>
      <c r="V259" s="18"/>
      <c r="W259" s="18"/>
      <c r="X259" s="18"/>
      <c r="Y259" s="18"/>
      <c r="Z259" s="18"/>
      <c r="AA259" s="18"/>
      <c r="AB259" s="18"/>
      <c r="AC259" s="18"/>
      <c r="AD259" s="18"/>
      <c r="AE259" s="18"/>
      <c r="AF259" s="18"/>
      <c r="AG259" s="18"/>
    </row>
    <row r="260" spans="1:33" s="142" customFormat="1" ht="18" hidden="1" customHeight="1" outlineLevel="1" x14ac:dyDescent="0.2">
      <c r="A260" s="74"/>
      <c r="B260" s="138"/>
      <c r="C260" s="235"/>
      <c r="D260" s="727" t="s">
        <v>1895</v>
      </c>
      <c r="E260" s="557">
        <f t="shared" ref="E260:N260" si="59">(hSystemsLeaseHostLaborHrsENG/hSystemsTouchHourspaENG)*hSystemsLessorVisitForecast</f>
        <v>0.29952575089441724</v>
      </c>
      <c r="F260" s="557">
        <f t="shared" si="59"/>
        <v>0.29952575089441724</v>
      </c>
      <c r="G260" s="557">
        <f t="shared" si="59"/>
        <v>0.29952575089441724</v>
      </c>
      <c r="H260" s="557">
        <f t="shared" si="59"/>
        <v>0.29952575089441724</v>
      </c>
      <c r="I260" s="557">
        <f t="shared" si="59"/>
        <v>0.29952575089441724</v>
      </c>
      <c r="J260" s="557">
        <f t="shared" si="59"/>
        <v>0.29952575089441724</v>
      </c>
      <c r="K260" s="557">
        <f t="shared" si="59"/>
        <v>0.29952575089441724</v>
      </c>
      <c r="L260" s="557">
        <f t="shared" si="59"/>
        <v>0.29952575089441724</v>
      </c>
      <c r="M260" s="557">
        <f t="shared" si="59"/>
        <v>0.29952575089441724</v>
      </c>
      <c r="N260" s="557">
        <f t="shared" si="59"/>
        <v>0.29952575089441724</v>
      </c>
      <c r="O260" s="535" t="s">
        <v>2971</v>
      </c>
    </row>
    <row r="261" spans="1:33" s="142" customFormat="1" ht="18" hidden="1" customHeight="1" outlineLevel="1" x14ac:dyDescent="0.2">
      <c r="A261" s="74"/>
      <c r="B261" s="138"/>
      <c r="C261" s="235"/>
      <c r="D261" s="726" t="s">
        <v>1896</v>
      </c>
      <c r="E261" s="557">
        <f t="shared" ref="E261:N261" si="60">(hSystemsLeaseHostLaborHrsPLG/hSystemsTouchHourspaPLG)*hSystemsLessorVisitForecast</f>
        <v>0.29952575089441724</v>
      </c>
      <c r="F261" s="557">
        <f t="shared" si="60"/>
        <v>0.29952575089441724</v>
      </c>
      <c r="G261" s="557">
        <f t="shared" si="60"/>
        <v>0.29952575089441724</v>
      </c>
      <c r="H261" s="557">
        <f t="shared" si="60"/>
        <v>0.29952575089441724</v>
      </c>
      <c r="I261" s="557">
        <f t="shared" si="60"/>
        <v>0.29952575089441724</v>
      </c>
      <c r="J261" s="557">
        <f t="shared" si="60"/>
        <v>0.29952575089441724</v>
      </c>
      <c r="K261" s="557">
        <f t="shared" si="60"/>
        <v>0.29952575089441724</v>
      </c>
      <c r="L261" s="557">
        <f t="shared" si="60"/>
        <v>0.29952575089441724</v>
      </c>
      <c r="M261" s="557">
        <f t="shared" si="60"/>
        <v>0.29952575089441724</v>
      </c>
      <c r="N261" s="557">
        <f t="shared" si="60"/>
        <v>0.29952575089441724</v>
      </c>
      <c r="O261" s="535" t="s">
        <v>2972</v>
      </c>
    </row>
    <row r="262" spans="1:33" s="142" customFormat="1" ht="18" hidden="1" customHeight="1" outlineLevel="1" x14ac:dyDescent="0.2">
      <c r="A262" s="74"/>
      <c r="B262" s="138"/>
      <c r="C262" s="235"/>
      <c r="D262" s="726" t="s">
        <v>1897</v>
      </c>
      <c r="E262" s="557">
        <f t="shared" ref="E262:N262" si="61">(hSystemsLeaseHostLaborHrsCRT/hSystemsTouchHourspaCRT)*hSystemsLessorVisitForecast</f>
        <v>0.29952575089441724</v>
      </c>
      <c r="F262" s="557">
        <f t="shared" si="61"/>
        <v>0.29952575089441724</v>
      </c>
      <c r="G262" s="557">
        <f t="shared" si="61"/>
        <v>0.29952575089441724</v>
      </c>
      <c r="H262" s="557">
        <f t="shared" si="61"/>
        <v>0.29952575089441724</v>
      </c>
      <c r="I262" s="557">
        <f t="shared" si="61"/>
        <v>0.29952575089441724</v>
      </c>
      <c r="J262" s="557">
        <f t="shared" si="61"/>
        <v>0.29952575089441724</v>
      </c>
      <c r="K262" s="557">
        <f t="shared" si="61"/>
        <v>0.29952575089441724</v>
      </c>
      <c r="L262" s="557">
        <f t="shared" si="61"/>
        <v>0.29952575089441724</v>
      </c>
      <c r="M262" s="557">
        <f t="shared" si="61"/>
        <v>0.29952575089441724</v>
      </c>
      <c r="N262" s="557">
        <f t="shared" si="61"/>
        <v>0.29952575089441724</v>
      </c>
      <c r="O262" s="535" t="s">
        <v>2973</v>
      </c>
    </row>
    <row r="263" spans="1:33" s="142" customFormat="1" ht="18" hidden="1" customHeight="1" outlineLevel="1" x14ac:dyDescent="0.2">
      <c r="A263" s="74"/>
      <c r="B263" s="138"/>
      <c r="C263" s="235"/>
      <c r="D263" s="726" t="s">
        <v>1898</v>
      </c>
      <c r="E263" s="557">
        <f t="shared" ref="E263:N263" si="62">(hSystemsLeaseHostLaborHrsSCL/hSystemsTouchHourspaSCL)*hSystemsLessorVisitForecast</f>
        <v>0</v>
      </c>
      <c r="F263" s="557">
        <f t="shared" si="62"/>
        <v>0</v>
      </c>
      <c r="G263" s="557">
        <f t="shared" si="62"/>
        <v>0</v>
      </c>
      <c r="H263" s="557">
        <f t="shared" si="62"/>
        <v>0</v>
      </c>
      <c r="I263" s="557">
        <f t="shared" si="62"/>
        <v>0</v>
      </c>
      <c r="J263" s="557">
        <f t="shared" si="62"/>
        <v>0</v>
      </c>
      <c r="K263" s="557">
        <f t="shared" si="62"/>
        <v>0</v>
      </c>
      <c r="L263" s="557">
        <f t="shared" si="62"/>
        <v>0</v>
      </c>
      <c r="M263" s="557">
        <f t="shared" si="62"/>
        <v>0</v>
      </c>
      <c r="N263" s="557">
        <f t="shared" si="62"/>
        <v>0</v>
      </c>
      <c r="O263" s="535" t="s">
        <v>2974</v>
      </c>
    </row>
    <row r="264" spans="1:33" s="142" customFormat="1" ht="18" hidden="1" customHeight="1" outlineLevel="1" x14ac:dyDescent="0.2">
      <c r="A264" s="74"/>
      <c r="B264" s="138"/>
      <c r="C264" s="235"/>
      <c r="D264" s="726" t="s">
        <v>1899</v>
      </c>
      <c r="E264" s="557">
        <f t="shared" ref="E264:N264" si="63">(hSystemsLeaseHostLaborHrsQSC/hSystemsTouchHourspaQSC)*hSystemsLessorVisitForecast</f>
        <v>0.29952575089441724</v>
      </c>
      <c r="F264" s="557">
        <f t="shared" si="63"/>
        <v>0.29952575089441724</v>
      </c>
      <c r="G264" s="557">
        <f t="shared" si="63"/>
        <v>0.29952575089441724</v>
      </c>
      <c r="H264" s="557">
        <f t="shared" si="63"/>
        <v>0.29952575089441724</v>
      </c>
      <c r="I264" s="557">
        <f t="shared" si="63"/>
        <v>0.29952575089441724</v>
      </c>
      <c r="J264" s="557">
        <f t="shared" si="63"/>
        <v>0.29952575089441724</v>
      </c>
      <c r="K264" s="557">
        <f t="shared" si="63"/>
        <v>0.29952575089441724</v>
      </c>
      <c r="L264" s="557">
        <f t="shared" si="63"/>
        <v>0.29952575089441724</v>
      </c>
      <c r="M264" s="557">
        <f t="shared" si="63"/>
        <v>0.29952575089441724</v>
      </c>
      <c r="N264" s="557">
        <f t="shared" si="63"/>
        <v>0.29952575089441724</v>
      </c>
      <c r="O264" s="535" t="s">
        <v>2975</v>
      </c>
    </row>
    <row r="265" spans="1:33" s="142" customFormat="1" ht="18" hidden="1" customHeight="1" outlineLevel="1" x14ac:dyDescent="0.2">
      <c r="A265" s="74"/>
      <c r="B265" s="138"/>
      <c r="C265" s="235"/>
      <c r="D265" s="726" t="s">
        <v>1900</v>
      </c>
      <c r="E265" s="557">
        <f t="shared" ref="E265:N265" si="64">(hSystemsLeaseHostLaborHrsEM/hSystemsTouchHourspaEM)*hSystemsLessorVisitForecast</f>
        <v>0</v>
      </c>
      <c r="F265" s="557">
        <f t="shared" si="64"/>
        <v>0</v>
      </c>
      <c r="G265" s="557">
        <f t="shared" si="64"/>
        <v>0</v>
      </c>
      <c r="H265" s="557">
        <f t="shared" si="64"/>
        <v>0</v>
      </c>
      <c r="I265" s="557">
        <f t="shared" si="64"/>
        <v>0</v>
      </c>
      <c r="J265" s="557">
        <f t="shared" si="64"/>
        <v>0</v>
      </c>
      <c r="K265" s="557">
        <f t="shared" si="64"/>
        <v>0</v>
      </c>
      <c r="L265" s="557">
        <f t="shared" si="64"/>
        <v>0</v>
      </c>
      <c r="M265" s="557">
        <f t="shared" si="64"/>
        <v>0</v>
      </c>
      <c r="N265" s="557">
        <f t="shared" si="64"/>
        <v>0</v>
      </c>
      <c r="O265" s="535" t="s">
        <v>2976</v>
      </c>
    </row>
    <row r="266" spans="1:33" s="142" customFormat="1" ht="18" hidden="1" customHeight="1" outlineLevel="1" x14ac:dyDescent="0.2">
      <c r="A266" s="74"/>
      <c r="B266" s="138"/>
      <c r="C266" s="235"/>
      <c r="D266" s="726" t="s">
        <v>1901</v>
      </c>
      <c r="E266" s="557">
        <f t="shared" ref="E266:N266" si="65">(hSystemsLeaseHostLaborHrsCM/hSystemsTouchHourspaCM)*hSystemsLessorVisitForecast</f>
        <v>0</v>
      </c>
      <c r="F266" s="557">
        <f t="shared" si="65"/>
        <v>0</v>
      </c>
      <c r="G266" s="557">
        <f t="shared" si="65"/>
        <v>0</v>
      </c>
      <c r="H266" s="557">
        <f t="shared" si="65"/>
        <v>0</v>
      </c>
      <c r="I266" s="557">
        <f t="shared" si="65"/>
        <v>0</v>
      </c>
      <c r="J266" s="557">
        <f t="shared" si="65"/>
        <v>0</v>
      </c>
      <c r="K266" s="557">
        <f t="shared" si="65"/>
        <v>0</v>
      </c>
      <c r="L266" s="557">
        <f t="shared" si="65"/>
        <v>0</v>
      </c>
      <c r="M266" s="557">
        <f t="shared" si="65"/>
        <v>0</v>
      </c>
      <c r="N266" s="557">
        <f t="shared" si="65"/>
        <v>0</v>
      </c>
      <c r="O266" s="535" t="s">
        <v>2977</v>
      </c>
    </row>
    <row r="267" spans="1:33" s="142" customFormat="1" ht="18" hidden="1" customHeight="1" outlineLevel="1" x14ac:dyDescent="0.2">
      <c r="A267" s="74"/>
      <c r="B267" s="138"/>
      <c r="C267" s="235"/>
      <c r="D267" s="726" t="s">
        <v>1902</v>
      </c>
      <c r="E267" s="557">
        <f t="shared" ref="E267:N267" si="66">(hSystemsLeaseHostLaborHrsSMCS/hSystemsTouchHourspaSMCS)*hSystemsLessorVisitForecast</f>
        <v>0</v>
      </c>
      <c r="F267" s="557">
        <f t="shared" si="66"/>
        <v>0</v>
      </c>
      <c r="G267" s="557">
        <f t="shared" si="66"/>
        <v>0</v>
      </c>
      <c r="H267" s="557">
        <f t="shared" si="66"/>
        <v>0</v>
      </c>
      <c r="I267" s="557">
        <f t="shared" si="66"/>
        <v>0</v>
      </c>
      <c r="J267" s="557">
        <f t="shared" si="66"/>
        <v>0</v>
      </c>
      <c r="K267" s="557">
        <f t="shared" si="66"/>
        <v>0</v>
      </c>
      <c r="L267" s="557">
        <f t="shared" si="66"/>
        <v>0</v>
      </c>
      <c r="M267" s="557">
        <f t="shared" si="66"/>
        <v>0</v>
      </c>
      <c r="N267" s="557">
        <f t="shared" si="66"/>
        <v>0</v>
      </c>
      <c r="O267" s="535" t="s">
        <v>2978</v>
      </c>
    </row>
    <row r="268" spans="1:33" s="142" customFormat="1" ht="18" hidden="1" customHeight="1" outlineLevel="1" x14ac:dyDescent="0.2">
      <c r="A268" s="74"/>
      <c r="B268" s="138"/>
      <c r="C268" s="235"/>
      <c r="D268" s="726" t="s">
        <v>1903</v>
      </c>
      <c r="E268" s="557">
        <f t="shared" ref="E268:N268" si="67">(hSystemsLeaseHostLaborHrsO1/hSystemsTouchHourspaO1)*hSystemsLessorVisitForecast</f>
        <v>0</v>
      </c>
      <c r="F268" s="557">
        <f t="shared" si="67"/>
        <v>0</v>
      </c>
      <c r="G268" s="557">
        <f t="shared" si="67"/>
        <v>0</v>
      </c>
      <c r="H268" s="557">
        <f t="shared" si="67"/>
        <v>0</v>
      </c>
      <c r="I268" s="557">
        <f t="shared" si="67"/>
        <v>0</v>
      </c>
      <c r="J268" s="557">
        <f t="shared" si="67"/>
        <v>0</v>
      </c>
      <c r="K268" s="557">
        <f t="shared" si="67"/>
        <v>0</v>
      </c>
      <c r="L268" s="557">
        <f t="shared" si="67"/>
        <v>0</v>
      </c>
      <c r="M268" s="557">
        <f t="shared" si="67"/>
        <v>0</v>
      </c>
      <c r="N268" s="557">
        <f t="shared" si="67"/>
        <v>0</v>
      </c>
      <c r="O268" s="535" t="s">
        <v>2979</v>
      </c>
    </row>
    <row r="269" spans="1:33" s="142" customFormat="1" ht="18" hidden="1" customHeight="1" outlineLevel="1" x14ac:dyDescent="0.2">
      <c r="A269" s="74"/>
      <c r="B269" s="138"/>
      <c r="C269" s="235"/>
      <c r="D269" s="726" t="s">
        <v>1904</v>
      </c>
      <c r="E269" s="557">
        <f t="shared" ref="E269:N269" si="68">(hSystemsLeaseHostLaborHrsO2/hSystemsTouchHourspaO2)*hSystemsLessorVisitForecast</f>
        <v>0</v>
      </c>
      <c r="F269" s="557">
        <f t="shared" si="68"/>
        <v>0</v>
      </c>
      <c r="G269" s="557">
        <f t="shared" si="68"/>
        <v>0</v>
      </c>
      <c r="H269" s="557">
        <f t="shared" si="68"/>
        <v>0</v>
      </c>
      <c r="I269" s="557">
        <f t="shared" si="68"/>
        <v>0</v>
      </c>
      <c r="J269" s="557">
        <f t="shared" si="68"/>
        <v>0</v>
      </c>
      <c r="K269" s="557">
        <f t="shared" si="68"/>
        <v>0</v>
      </c>
      <c r="L269" s="557">
        <f t="shared" si="68"/>
        <v>0</v>
      </c>
      <c r="M269" s="557">
        <f t="shared" si="68"/>
        <v>0</v>
      </c>
      <c r="N269" s="557">
        <f t="shared" si="68"/>
        <v>0</v>
      </c>
      <c r="O269" s="535" t="s">
        <v>2980</v>
      </c>
    </row>
    <row r="270" spans="1:33" s="142" customFormat="1" ht="18" hidden="1" customHeight="1" outlineLevel="1" x14ac:dyDescent="0.25">
      <c r="A270" s="74"/>
      <c r="B270" s="138"/>
      <c r="C270" s="235"/>
      <c r="D270" s="728" t="s">
        <v>1905</v>
      </c>
      <c r="E270" s="562">
        <f>SUM(E258:E269)</f>
        <v>1.198103003577669</v>
      </c>
      <c r="F270" s="562">
        <f t="shared" ref="F270:N270" si="69">SUM(F258:F269)</f>
        <v>1.198103003577669</v>
      </c>
      <c r="G270" s="562">
        <f t="shared" si="69"/>
        <v>1.198103003577669</v>
      </c>
      <c r="H270" s="562">
        <f t="shared" si="69"/>
        <v>1.198103003577669</v>
      </c>
      <c r="I270" s="562">
        <f t="shared" si="69"/>
        <v>1.198103003577669</v>
      </c>
      <c r="J270" s="562">
        <f t="shared" si="69"/>
        <v>1.198103003577669</v>
      </c>
      <c r="K270" s="562">
        <f t="shared" si="69"/>
        <v>1.198103003577669</v>
      </c>
      <c r="L270" s="562">
        <f t="shared" si="69"/>
        <v>1.198103003577669</v>
      </c>
      <c r="M270" s="562">
        <f t="shared" si="69"/>
        <v>1.198103003577669</v>
      </c>
      <c r="N270" s="562">
        <f t="shared" si="69"/>
        <v>1.198103003577669</v>
      </c>
      <c r="O270" s="535" t="s">
        <v>2955</v>
      </c>
    </row>
    <row r="271" spans="1:33" s="142" customFormat="1" ht="18" hidden="1" customHeight="1" outlineLevel="1" thickBot="1" x14ac:dyDescent="0.25">
      <c r="A271" s="74"/>
      <c r="B271" s="138"/>
      <c r="C271" s="325"/>
      <c r="D271" s="725"/>
      <c r="E271" s="568"/>
      <c r="F271" s="568"/>
      <c r="G271" s="568"/>
      <c r="H271" s="568"/>
      <c r="I271" s="568"/>
      <c r="J271" s="568"/>
      <c r="K271" s="568"/>
      <c r="L271" s="568"/>
      <c r="M271" s="568"/>
      <c r="N271" s="568"/>
      <c r="O271" s="569"/>
    </row>
    <row r="272" spans="1:33" s="142" customFormat="1" ht="18" hidden="1" customHeight="1" outlineLevel="1" thickBot="1" x14ac:dyDescent="0.25">
      <c r="A272" s="74"/>
      <c r="B272" s="138"/>
      <c r="C272" s="211"/>
      <c r="D272" s="214"/>
      <c r="E272" s="210"/>
      <c r="F272" s="210"/>
      <c r="G272" s="210"/>
      <c r="H272" s="210"/>
      <c r="I272" s="210"/>
      <c r="J272" s="210"/>
      <c r="K272" s="210"/>
      <c r="L272" s="210"/>
      <c r="M272" s="210"/>
      <c r="N272" s="210"/>
      <c r="O272" s="204"/>
    </row>
    <row r="273" spans="1:33" s="206" customFormat="1" ht="20.100000000000001" hidden="1" customHeight="1" outlineLevel="1" x14ac:dyDescent="0.2">
      <c r="A273" s="74"/>
      <c r="B273" s="220"/>
      <c r="C273" s="1011" t="str">
        <f>Scenario3&amp;" Labor Cost per Lessor Visit"</f>
        <v>eSystems (Paperless) Labor Cost per Lessor Visit</v>
      </c>
      <c r="D273" s="729"/>
      <c r="E273" s="322"/>
      <c r="F273" s="322"/>
      <c r="G273" s="322"/>
      <c r="H273" s="322"/>
      <c r="I273" s="322"/>
      <c r="J273" s="322"/>
      <c r="K273" s="322"/>
      <c r="L273" s="322"/>
      <c r="M273" s="322"/>
      <c r="N273" s="322"/>
      <c r="O273" s="584"/>
      <c r="P273" s="210"/>
    </row>
    <row r="274" spans="1:33" s="206" customFormat="1" ht="12" hidden="1" customHeight="1" outlineLevel="1" x14ac:dyDescent="0.2">
      <c r="A274" s="74"/>
      <c r="B274" s="74"/>
      <c r="C274" s="339"/>
      <c r="D274" s="730" t="s">
        <v>211</v>
      </c>
      <c r="E274" s="570">
        <v>6</v>
      </c>
      <c r="F274" s="570">
        <v>6</v>
      </c>
      <c r="G274" s="570">
        <v>6</v>
      </c>
      <c r="H274" s="570">
        <v>6</v>
      </c>
      <c r="I274" s="570">
        <v>6</v>
      </c>
      <c r="J274" s="570">
        <v>6</v>
      </c>
      <c r="K274" s="570">
        <v>6</v>
      </c>
      <c r="L274" s="570">
        <v>6</v>
      </c>
      <c r="M274" s="570">
        <v>6</v>
      </c>
      <c r="N274" s="570">
        <v>6</v>
      </c>
      <c r="O274" s="324" t="s">
        <v>203</v>
      </c>
      <c r="P274" s="210"/>
    </row>
    <row r="275" spans="1:33" s="203" customFormat="1" hidden="1" outlineLevel="1" x14ac:dyDescent="0.2">
      <c r="A275" s="74"/>
      <c r="B275" s="74"/>
      <c r="C275" s="339"/>
      <c r="D275" s="214"/>
      <c r="E275" s="210"/>
      <c r="F275" s="210"/>
      <c r="G275" s="210"/>
      <c r="H275" s="210"/>
      <c r="I275" s="210"/>
      <c r="J275" s="210"/>
      <c r="K275" s="210"/>
      <c r="L275" s="210"/>
      <c r="M275" s="210"/>
      <c r="N275" s="210"/>
      <c r="O275" s="332"/>
      <c r="P275" s="204"/>
    </row>
    <row r="276" spans="1:33" s="203" customFormat="1" ht="13.5" hidden="1" outlineLevel="1" thickBot="1" x14ac:dyDescent="0.25">
      <c r="A276" s="74"/>
      <c r="B276" s="74"/>
      <c r="C276" s="325"/>
      <c r="D276" s="725"/>
      <c r="E276" s="568"/>
      <c r="F276" s="568"/>
      <c r="G276" s="568"/>
      <c r="H276" s="568"/>
      <c r="I276" s="568"/>
      <c r="J276" s="568"/>
      <c r="K276" s="568"/>
      <c r="L276" s="568"/>
      <c r="M276" s="568"/>
      <c r="N276" s="568"/>
      <c r="O276" s="569"/>
      <c r="P276" s="204"/>
    </row>
    <row r="277" spans="1:33" s="203" customFormat="1" ht="13.5" hidden="1" outlineLevel="1" thickBot="1" x14ac:dyDescent="0.25">
      <c r="A277" s="74"/>
      <c r="B277" s="74"/>
      <c r="C277" s="211"/>
      <c r="D277" s="214"/>
      <c r="E277" s="210"/>
      <c r="F277" s="210"/>
      <c r="G277" s="210"/>
      <c r="H277" s="210"/>
      <c r="I277" s="210"/>
      <c r="J277" s="210"/>
      <c r="K277" s="210"/>
      <c r="L277" s="210"/>
      <c r="M277" s="210"/>
      <c r="N277" s="210"/>
      <c r="O277" s="204"/>
      <c r="P277" s="204"/>
    </row>
    <row r="278" spans="1:33" s="8" customFormat="1" ht="20.25" hidden="1" outlineLevel="1" x14ac:dyDescent="0.25">
      <c r="A278" s="74"/>
      <c r="B278" s="194"/>
      <c r="C278" s="1011" t="str">
        <f>Scenario3&amp;" Lessee Labor Hours per Lessor Visit"</f>
        <v>eSystems (Paperless) Lessee Labor Hours per Lessor Visit</v>
      </c>
      <c r="D278" s="310"/>
      <c r="E278" s="240"/>
      <c r="F278" s="240"/>
      <c r="G278" s="240"/>
      <c r="H278" s="240"/>
      <c r="I278" s="240"/>
      <c r="J278" s="240"/>
      <c r="K278" s="240"/>
      <c r="L278" s="240"/>
      <c r="M278" s="240"/>
      <c r="N278" s="240"/>
      <c r="O278" s="435"/>
      <c r="P278" s="17"/>
      <c r="Q278" s="17"/>
      <c r="R278" s="17"/>
      <c r="S278" s="17"/>
      <c r="T278" s="17"/>
      <c r="U278" s="17"/>
      <c r="V278" s="17"/>
      <c r="W278" s="17"/>
      <c r="X278" s="17"/>
      <c r="Y278" s="17"/>
      <c r="Z278" s="17"/>
      <c r="AA278" s="17"/>
      <c r="AB278" s="17"/>
      <c r="AC278" s="17"/>
      <c r="AD278" s="17"/>
      <c r="AE278" s="17"/>
      <c r="AF278" s="17"/>
      <c r="AG278" s="17"/>
    </row>
    <row r="279" spans="1:33" s="142" customFormat="1" ht="18" hidden="1" customHeight="1" outlineLevel="1" x14ac:dyDescent="0.2">
      <c r="A279" s="74"/>
      <c r="B279" s="138"/>
      <c r="C279" s="235"/>
      <c r="D279" s="726" t="s">
        <v>1906</v>
      </c>
      <c r="E279" s="570">
        <v>0</v>
      </c>
      <c r="F279" s="570">
        <v>0</v>
      </c>
      <c r="G279" s="570">
        <v>0</v>
      </c>
      <c r="H279" s="570">
        <v>0</v>
      </c>
      <c r="I279" s="570">
        <v>0</v>
      </c>
      <c r="J279" s="570">
        <v>0</v>
      </c>
      <c r="K279" s="570">
        <v>0</v>
      </c>
      <c r="L279" s="570">
        <v>0</v>
      </c>
      <c r="M279" s="570">
        <v>0</v>
      </c>
      <c r="N279" s="570">
        <v>0</v>
      </c>
      <c r="O279" s="535" t="s">
        <v>1993</v>
      </c>
    </row>
    <row r="280" spans="1:33" s="142" customFormat="1" ht="18" hidden="1" customHeight="1" outlineLevel="1" x14ac:dyDescent="0.2">
      <c r="A280" s="74"/>
      <c r="B280" s="138"/>
      <c r="C280" s="235"/>
      <c r="D280" s="726" t="s">
        <v>1907</v>
      </c>
      <c r="E280" s="570">
        <v>0</v>
      </c>
      <c r="F280" s="570">
        <v>0</v>
      </c>
      <c r="G280" s="570">
        <v>0</v>
      </c>
      <c r="H280" s="570">
        <v>0</v>
      </c>
      <c r="I280" s="570">
        <v>0</v>
      </c>
      <c r="J280" s="570">
        <v>0</v>
      </c>
      <c r="K280" s="570">
        <v>0</v>
      </c>
      <c r="L280" s="570">
        <v>0</v>
      </c>
      <c r="M280" s="570">
        <v>0</v>
      </c>
      <c r="N280" s="570">
        <v>0</v>
      </c>
      <c r="O280" s="535" t="s">
        <v>1994</v>
      </c>
    </row>
    <row r="281" spans="1:33" s="142" customFormat="1" ht="18" hidden="1" customHeight="1" outlineLevel="1" x14ac:dyDescent="0.2">
      <c r="A281" s="74"/>
      <c r="B281" s="138"/>
      <c r="C281" s="235"/>
      <c r="D281" s="726" t="s">
        <v>1908</v>
      </c>
      <c r="E281" s="570">
        <v>40</v>
      </c>
      <c r="F281" s="570">
        <v>40</v>
      </c>
      <c r="G281" s="570">
        <v>40</v>
      </c>
      <c r="H281" s="570">
        <v>40</v>
      </c>
      <c r="I281" s="570">
        <v>40</v>
      </c>
      <c r="J281" s="570">
        <v>40</v>
      </c>
      <c r="K281" s="570">
        <v>40</v>
      </c>
      <c r="L281" s="570">
        <v>40</v>
      </c>
      <c r="M281" s="570">
        <v>40</v>
      </c>
      <c r="N281" s="570">
        <v>40</v>
      </c>
      <c r="O281" s="535" t="s">
        <v>1995</v>
      </c>
    </row>
    <row r="282" spans="1:33" s="142" customFormat="1" ht="18" hidden="1" customHeight="1" outlineLevel="1" x14ac:dyDescent="0.2">
      <c r="A282" s="74"/>
      <c r="B282" s="138"/>
      <c r="C282" s="235"/>
      <c r="D282" s="726" t="s">
        <v>1909</v>
      </c>
      <c r="E282" s="570">
        <v>40</v>
      </c>
      <c r="F282" s="570">
        <v>40</v>
      </c>
      <c r="G282" s="570">
        <v>40</v>
      </c>
      <c r="H282" s="570">
        <v>40</v>
      </c>
      <c r="I282" s="570">
        <v>40</v>
      </c>
      <c r="J282" s="570">
        <v>40</v>
      </c>
      <c r="K282" s="570">
        <v>40</v>
      </c>
      <c r="L282" s="570">
        <v>40</v>
      </c>
      <c r="M282" s="570">
        <v>40</v>
      </c>
      <c r="N282" s="570">
        <v>40</v>
      </c>
      <c r="O282" s="535" t="s">
        <v>1996</v>
      </c>
    </row>
    <row r="283" spans="1:33" s="142" customFormat="1" ht="18" hidden="1" customHeight="1" outlineLevel="1" x14ac:dyDescent="0.2">
      <c r="A283" s="74"/>
      <c r="B283" s="138"/>
      <c r="C283" s="235"/>
      <c r="D283" s="726" t="s">
        <v>1910</v>
      </c>
      <c r="E283" s="570">
        <v>40</v>
      </c>
      <c r="F283" s="570">
        <v>40</v>
      </c>
      <c r="G283" s="570">
        <v>40</v>
      </c>
      <c r="H283" s="570">
        <v>40</v>
      </c>
      <c r="I283" s="570">
        <v>40</v>
      </c>
      <c r="J283" s="570">
        <v>40</v>
      </c>
      <c r="K283" s="570">
        <v>40</v>
      </c>
      <c r="L283" s="570">
        <v>40</v>
      </c>
      <c r="M283" s="570">
        <v>40</v>
      </c>
      <c r="N283" s="570">
        <v>40</v>
      </c>
      <c r="O283" s="535" t="s">
        <v>1997</v>
      </c>
    </row>
    <row r="284" spans="1:33" s="142" customFormat="1" ht="18" hidden="1" customHeight="1" outlineLevel="1" x14ac:dyDescent="0.2">
      <c r="A284" s="74"/>
      <c r="B284" s="138"/>
      <c r="C284" s="235"/>
      <c r="D284" s="726" t="s">
        <v>1911</v>
      </c>
      <c r="E284" s="570">
        <v>0</v>
      </c>
      <c r="F284" s="570">
        <v>0</v>
      </c>
      <c r="G284" s="570">
        <v>0</v>
      </c>
      <c r="H284" s="570">
        <v>0</v>
      </c>
      <c r="I284" s="570">
        <v>0</v>
      </c>
      <c r="J284" s="570">
        <v>0</v>
      </c>
      <c r="K284" s="570">
        <v>0</v>
      </c>
      <c r="L284" s="570">
        <v>0</v>
      </c>
      <c r="M284" s="570">
        <v>0</v>
      </c>
      <c r="N284" s="570">
        <v>0</v>
      </c>
      <c r="O284" s="535" t="s">
        <v>1998</v>
      </c>
    </row>
    <row r="285" spans="1:33" s="142" customFormat="1" ht="18" hidden="1" customHeight="1" outlineLevel="1" x14ac:dyDescent="0.2">
      <c r="A285" s="74"/>
      <c r="B285" s="138"/>
      <c r="C285" s="235"/>
      <c r="D285" s="726" t="s">
        <v>1912</v>
      </c>
      <c r="E285" s="570">
        <v>40</v>
      </c>
      <c r="F285" s="570">
        <v>40</v>
      </c>
      <c r="G285" s="570">
        <v>40</v>
      </c>
      <c r="H285" s="570">
        <v>40</v>
      </c>
      <c r="I285" s="570">
        <v>40</v>
      </c>
      <c r="J285" s="570">
        <v>40</v>
      </c>
      <c r="K285" s="570">
        <v>40</v>
      </c>
      <c r="L285" s="570">
        <v>40</v>
      </c>
      <c r="M285" s="570">
        <v>40</v>
      </c>
      <c r="N285" s="570">
        <v>40</v>
      </c>
      <c r="O285" s="535" t="s">
        <v>1999</v>
      </c>
    </row>
    <row r="286" spans="1:33" s="142" customFormat="1" ht="18" hidden="1" customHeight="1" outlineLevel="1" x14ac:dyDescent="0.2">
      <c r="A286" s="74"/>
      <c r="B286" s="138"/>
      <c r="C286" s="235"/>
      <c r="D286" s="726" t="s">
        <v>1913</v>
      </c>
      <c r="E286" s="570">
        <v>0</v>
      </c>
      <c r="F286" s="570">
        <v>0</v>
      </c>
      <c r="G286" s="570">
        <v>0</v>
      </c>
      <c r="H286" s="570">
        <v>0</v>
      </c>
      <c r="I286" s="570">
        <v>0</v>
      </c>
      <c r="J286" s="570">
        <v>0</v>
      </c>
      <c r="K286" s="570">
        <v>0</v>
      </c>
      <c r="L286" s="570">
        <v>0</v>
      </c>
      <c r="M286" s="570">
        <v>0</v>
      </c>
      <c r="N286" s="570">
        <v>0</v>
      </c>
      <c r="O286" s="535" t="s">
        <v>2000</v>
      </c>
    </row>
    <row r="287" spans="1:33" s="142" customFormat="1" ht="18" hidden="1" customHeight="1" outlineLevel="1" x14ac:dyDescent="0.2">
      <c r="A287" s="74"/>
      <c r="B287" s="565"/>
      <c r="C287" s="235"/>
      <c r="D287" s="726" t="s">
        <v>1914</v>
      </c>
      <c r="E287" s="570">
        <v>0</v>
      </c>
      <c r="F287" s="570">
        <v>0</v>
      </c>
      <c r="G287" s="570">
        <v>0</v>
      </c>
      <c r="H287" s="570">
        <v>0</v>
      </c>
      <c r="I287" s="570">
        <v>0</v>
      </c>
      <c r="J287" s="570">
        <v>0</v>
      </c>
      <c r="K287" s="570">
        <v>0</v>
      </c>
      <c r="L287" s="570">
        <v>0</v>
      </c>
      <c r="M287" s="570">
        <v>0</v>
      </c>
      <c r="N287" s="570">
        <v>0</v>
      </c>
      <c r="O287" s="535" t="s">
        <v>2001</v>
      </c>
    </row>
    <row r="288" spans="1:33" s="142" customFormat="1" ht="18" hidden="1" customHeight="1" outlineLevel="1" x14ac:dyDescent="0.2">
      <c r="A288" s="74"/>
      <c r="B288" s="565"/>
      <c r="C288" s="235"/>
      <c r="D288" s="726" t="s">
        <v>1915</v>
      </c>
      <c r="E288" s="570">
        <v>0</v>
      </c>
      <c r="F288" s="570">
        <v>0</v>
      </c>
      <c r="G288" s="570">
        <v>0</v>
      </c>
      <c r="H288" s="570">
        <v>0</v>
      </c>
      <c r="I288" s="570">
        <v>0</v>
      </c>
      <c r="J288" s="570">
        <v>0</v>
      </c>
      <c r="K288" s="570">
        <v>0</v>
      </c>
      <c r="L288" s="570">
        <v>0</v>
      </c>
      <c r="M288" s="570">
        <v>0</v>
      </c>
      <c r="N288" s="570">
        <v>0</v>
      </c>
      <c r="O288" s="535" t="s">
        <v>2002</v>
      </c>
    </row>
    <row r="289" spans="1:33" s="142" customFormat="1" ht="18" hidden="1" customHeight="1" outlineLevel="1" x14ac:dyDescent="0.2">
      <c r="A289" s="74"/>
      <c r="B289" s="138"/>
      <c r="C289" s="235"/>
      <c r="D289" s="726" t="s">
        <v>1916</v>
      </c>
      <c r="E289" s="570">
        <v>0</v>
      </c>
      <c r="F289" s="570">
        <v>0</v>
      </c>
      <c r="G289" s="570">
        <v>0</v>
      </c>
      <c r="H289" s="570">
        <v>0</v>
      </c>
      <c r="I289" s="570">
        <v>0</v>
      </c>
      <c r="J289" s="570">
        <v>0</v>
      </c>
      <c r="K289" s="570">
        <v>0</v>
      </c>
      <c r="L289" s="570">
        <v>0</v>
      </c>
      <c r="M289" s="570">
        <v>0</v>
      </c>
      <c r="N289" s="570">
        <v>0</v>
      </c>
      <c r="O289" s="535" t="s">
        <v>2003</v>
      </c>
    </row>
    <row r="290" spans="1:33" s="142" customFormat="1" ht="18" hidden="1" customHeight="1" outlineLevel="1" x14ac:dyDescent="0.2">
      <c r="A290" s="74"/>
      <c r="B290" s="138"/>
      <c r="C290" s="235"/>
      <c r="D290" s="726" t="s">
        <v>1917</v>
      </c>
      <c r="E290" s="570">
        <v>0</v>
      </c>
      <c r="F290" s="570">
        <v>0</v>
      </c>
      <c r="G290" s="570">
        <v>0</v>
      </c>
      <c r="H290" s="570">
        <v>0</v>
      </c>
      <c r="I290" s="570">
        <v>0</v>
      </c>
      <c r="J290" s="570">
        <v>0</v>
      </c>
      <c r="K290" s="570">
        <v>0</v>
      </c>
      <c r="L290" s="570">
        <v>0</v>
      </c>
      <c r="M290" s="570">
        <v>0</v>
      </c>
      <c r="N290" s="570">
        <v>0</v>
      </c>
      <c r="O290" s="535" t="s">
        <v>2004</v>
      </c>
    </row>
    <row r="291" spans="1:33" s="203" customFormat="1" ht="13.5" hidden="1" outlineLevel="1" thickBot="1" x14ac:dyDescent="0.25">
      <c r="A291" s="74"/>
      <c r="B291" s="138"/>
      <c r="C291" s="564"/>
      <c r="D291" s="724"/>
      <c r="E291" s="571"/>
      <c r="F291" s="571"/>
      <c r="G291" s="571"/>
      <c r="H291" s="571"/>
      <c r="I291" s="571"/>
      <c r="J291" s="571"/>
      <c r="K291" s="571"/>
      <c r="L291" s="571"/>
      <c r="M291" s="571"/>
      <c r="N291" s="571"/>
      <c r="O291" s="572"/>
      <c r="P291" s="204"/>
    </row>
    <row r="292" spans="1:33" s="203" customFormat="1" ht="13.5" hidden="1" outlineLevel="1" thickBot="1" x14ac:dyDescent="0.25">
      <c r="A292" s="74"/>
      <c r="B292" s="138"/>
      <c r="C292" s="322"/>
      <c r="D292" s="732"/>
      <c r="E292" s="581"/>
      <c r="F292" s="581"/>
      <c r="G292" s="581"/>
      <c r="H292" s="581"/>
      <c r="I292" s="581"/>
      <c r="J292" s="581"/>
      <c r="K292" s="581"/>
      <c r="L292" s="581"/>
      <c r="M292" s="581"/>
      <c r="N292" s="581"/>
      <c r="O292" s="558"/>
      <c r="P292" s="204"/>
    </row>
    <row r="293" spans="1:33" s="206" customFormat="1" ht="20.25" hidden="1" outlineLevel="1" x14ac:dyDescent="0.25">
      <c r="A293" s="74"/>
      <c r="B293" s="563"/>
      <c r="C293" s="1012" t="str">
        <f>Scenario3&amp;"  Lease Lessor Visit Cost pa (based on Touch Hour Rate)"</f>
        <v>eSystems (Paperless)  Lease Lessor Visit Cost pa (based on Touch Hour Rate)</v>
      </c>
      <c r="D293" s="310"/>
      <c r="E293" s="316"/>
      <c r="F293" s="316"/>
      <c r="G293" s="316"/>
      <c r="H293" s="316"/>
      <c r="I293" s="316"/>
      <c r="J293" s="316"/>
      <c r="K293" s="316"/>
      <c r="L293" s="316"/>
      <c r="M293" s="316"/>
      <c r="N293" s="316"/>
      <c r="O293" s="583"/>
      <c r="P293" s="210"/>
    </row>
    <row r="294" spans="1:33" s="8" customFormat="1" hidden="1" outlineLevel="1" x14ac:dyDescent="0.2">
      <c r="A294" s="74"/>
      <c r="B294" s="102"/>
      <c r="C294" s="235"/>
      <c r="D294" s="726" t="s">
        <v>1918</v>
      </c>
      <c r="E294" s="555">
        <f>(eSystemsTouchRateHourHM*eSystemsLeaseHostLaborHrsHM*eSystemsLessorVisitForecast)</f>
        <v>0</v>
      </c>
      <c r="F294" s="555">
        <f>(eSystemsTouchRateHourHM*eSystemsLeaseHostLaborHrsHM*eSystemsLessorVisitForecast)*(1+Inflation)</f>
        <v>0</v>
      </c>
      <c r="G294" s="555">
        <f>(eSystemsTouchRateHourHM*eSystemsLeaseHostLaborHrsHM*eSystemsLessorVisitForecast)*(1+Inflation)^2</f>
        <v>0</v>
      </c>
      <c r="H294" s="555">
        <f>(eSystemsTouchRateHourHM*eSystemsLeaseHostLaborHrsHM*eSystemsLessorVisitForecast)*(1+Inflation)^3</f>
        <v>0</v>
      </c>
      <c r="I294" s="555">
        <f>(eSystemsTouchRateHourHM*eSystemsLeaseHostLaborHrsHM*eSystemsLessorVisitForecast)*(1+Inflation)^4</f>
        <v>0</v>
      </c>
      <c r="J294" s="555">
        <f>(eSystemsTouchRateHourHM*eSystemsLeaseHostLaborHrsHM*eSystemsLessorVisitForecast)*(1+Inflation)^5</f>
        <v>0</v>
      </c>
      <c r="K294" s="555">
        <f>(eSystemsTouchRateHourHM*eSystemsLeaseHostLaborHrsHM*eSystemsLessorVisitForecast)*(1+Inflation)^6</f>
        <v>0</v>
      </c>
      <c r="L294" s="555">
        <f>(eSystemsTouchRateHourHM*eSystemsLeaseHostLaborHrsHM*eSystemsLessorVisitForecast)*(1+Inflation)^7</f>
        <v>0</v>
      </c>
      <c r="M294" s="555">
        <f>(eSystemsTouchRateHourHM*eSystemsLeaseHostLaborHrsHM*eSystemsLessorVisitForecast)*(1+Inflation)^8</f>
        <v>0</v>
      </c>
      <c r="N294" s="555">
        <f>(eSystemsTouchRateHourHM*eSystemsLeaseHostLaborHrsHM*eSystemsLessorVisitForecast)*(1+Inflation)^9</f>
        <v>0</v>
      </c>
      <c r="O294" s="535" t="s">
        <v>2005</v>
      </c>
      <c r="P294" s="17"/>
      <c r="Q294" s="17"/>
      <c r="R294" s="17"/>
      <c r="S294" s="17"/>
      <c r="T294" s="17"/>
      <c r="U294" s="17"/>
      <c r="V294" s="17"/>
      <c r="W294" s="17"/>
      <c r="X294" s="17"/>
      <c r="Y294" s="17"/>
      <c r="Z294" s="17"/>
      <c r="AA294" s="17"/>
      <c r="AB294" s="17"/>
      <c r="AC294" s="17"/>
      <c r="AD294" s="17"/>
      <c r="AE294" s="17"/>
      <c r="AF294" s="17"/>
      <c r="AG294" s="17"/>
    </row>
    <row r="295" spans="1:33" s="8" customFormat="1" hidden="1" outlineLevel="1" x14ac:dyDescent="0.2">
      <c r="A295" s="74"/>
      <c r="B295" s="102"/>
      <c r="C295" s="235"/>
      <c r="D295" s="726" t="s">
        <v>1919</v>
      </c>
      <c r="E295" s="555">
        <f>(eSystemsTouchRateHourLM*eSystemsLeaseHostLaborHrsLM*eSystemsLessorVisitForecast)</f>
        <v>0</v>
      </c>
      <c r="F295" s="555">
        <f>(eSystemsTouchRateHourLM*eSystemsLeaseHostLaborHrsLM*eSystemsLessorVisitForecast)*(1+Inflation)</f>
        <v>0</v>
      </c>
      <c r="G295" s="555">
        <f>(eSystemsTouchRateHourLM*eSystemsLeaseHostLaborHrsLM*eSystemsLessorVisitForecast)*(1+Inflation)^2</f>
        <v>0</v>
      </c>
      <c r="H295" s="555">
        <f>(eSystemsTouchRateHourLM*eSystemsLeaseHostLaborHrsLM*eSystemsLessorVisitForecast)*(1+Inflation)^3</f>
        <v>0</v>
      </c>
      <c r="I295" s="555">
        <f>(eSystemsTouchRateHourLM*eSystemsLeaseHostLaborHrsLM*eSystemsLessorVisitForecast)*(1+Inflation)^4</f>
        <v>0</v>
      </c>
      <c r="J295" s="555">
        <f>(eSystemsTouchRateHourLM*eSystemsLeaseHostLaborHrsLM*eSystemsLessorVisitForecast)*(1+Inflation)^5</f>
        <v>0</v>
      </c>
      <c r="K295" s="555">
        <f>(eSystemsTouchRateHourLM*eSystemsLeaseHostLaborHrsLM*eSystemsLessorVisitForecast)*(1+Inflation)^6</f>
        <v>0</v>
      </c>
      <c r="L295" s="555">
        <f>(eSystemsTouchRateHourLM*eSystemsLeaseHostLaborHrsLM*eSystemsLessorVisitForecast)*(1+Inflation)^7</f>
        <v>0</v>
      </c>
      <c r="M295" s="555">
        <f>(eSystemsTouchRateHourLM*eSystemsLeaseHostLaborHrsLM*eSystemsLessorVisitForecast)*(1+Inflation)^8</f>
        <v>0</v>
      </c>
      <c r="N295" s="555">
        <f>(eSystemsTouchRateHourLM*eSystemsLeaseHostLaborHrsLM*eSystemsLessorVisitForecast)*(1+Inflation)^9</f>
        <v>0</v>
      </c>
      <c r="O295" s="535" t="s">
        <v>2006</v>
      </c>
      <c r="P295" s="17"/>
      <c r="Q295" s="17"/>
      <c r="R295" s="17"/>
      <c r="S295" s="17"/>
      <c r="T295" s="17"/>
      <c r="U295" s="17"/>
      <c r="V295" s="17"/>
      <c r="W295" s="17"/>
      <c r="X295" s="17"/>
      <c r="Y295" s="17"/>
      <c r="Z295" s="17"/>
      <c r="AA295" s="17"/>
      <c r="AB295" s="17"/>
      <c r="AC295" s="17"/>
      <c r="AD295" s="17"/>
      <c r="AE295" s="17"/>
      <c r="AF295" s="17"/>
      <c r="AG295" s="17"/>
    </row>
    <row r="296" spans="1:33" s="142" customFormat="1" ht="18" hidden="1" customHeight="1" outlineLevel="1" x14ac:dyDescent="0.2">
      <c r="A296" s="74"/>
      <c r="B296" s="138"/>
      <c r="C296" s="235"/>
      <c r="D296" s="727" t="s">
        <v>1920</v>
      </c>
      <c r="E296" s="555">
        <f>(eSystemsTouchRateHourENG*eSystemsLeaseHostLaborHrsENG*eSystemsLessorVisitForecast)</f>
        <v>21916.860803727428</v>
      </c>
      <c r="F296" s="555">
        <f>(eSystemsTouchRateHourENG*eSystemsLeaseHostLaborHrsENG*eSystemsLessorVisitForecast)*(1+Inflation)</f>
        <v>22355.198019801977</v>
      </c>
      <c r="G296" s="555">
        <f>(eSystemsTouchRateHourENG*eSystemsLeaseHostLaborHrsENG*eSystemsLessorVisitForecast)*(1+Inflation)^2</f>
        <v>22802.301980198015</v>
      </c>
      <c r="H296" s="555">
        <f>(eSystemsTouchRateHourENG*eSystemsLeaseHostLaborHrsENG*eSystemsLessorVisitForecast)*(1+Inflation)^3</f>
        <v>23258.348019801975</v>
      </c>
      <c r="I296" s="555">
        <f>(eSystemsTouchRateHourENG*eSystemsLeaseHostLaborHrsENG*eSystemsLessorVisitForecast)*(1+Inflation)^4</f>
        <v>23723.514980198015</v>
      </c>
      <c r="J296" s="555">
        <f>(eSystemsTouchRateHourENG*eSystemsLeaseHostLaborHrsENG*eSystemsLessorVisitForecast)*(1+Inflation)^5</f>
        <v>24197.985279801978</v>
      </c>
      <c r="K296" s="555">
        <f>(eSystemsTouchRateHourENG*eSystemsLeaseHostLaborHrsENG*eSystemsLessorVisitForecast)*(1+Inflation)^6</f>
        <v>24681.944985398019</v>
      </c>
      <c r="L296" s="555">
        <f>(eSystemsTouchRateHourENG*eSystemsLeaseHostLaborHrsENG*eSystemsLessorVisitForecast)*(1+Inflation)^7</f>
        <v>25175.583885105971</v>
      </c>
      <c r="M296" s="555">
        <f>(eSystemsTouchRateHourENG*eSystemsLeaseHostLaborHrsENG*eSystemsLessorVisitForecast)*(1+Inflation)^8</f>
        <v>25679.095562808096</v>
      </c>
      <c r="N296" s="555">
        <f>(eSystemsTouchRateHourENG*eSystemsLeaseHostLaborHrsENG*eSystemsLessorVisitForecast)*(1+Inflation)^9</f>
        <v>26192.677474064254</v>
      </c>
      <c r="O296" s="535" t="s">
        <v>2007</v>
      </c>
    </row>
    <row r="297" spans="1:33" s="142" customFormat="1" ht="18" hidden="1" customHeight="1" outlineLevel="1" x14ac:dyDescent="0.2">
      <c r="A297" s="74"/>
      <c r="B297" s="128"/>
      <c r="C297" s="235"/>
      <c r="D297" s="726" t="s">
        <v>1921</v>
      </c>
      <c r="E297" s="555">
        <f>(eSystemsTouchRateHourPLG*eSystemsLeaseHostLaborHrsPLG*eSystemsLessorVisitForecast)</f>
        <v>20699.257425742573</v>
      </c>
      <c r="F297" s="555">
        <f>(eSystemsTouchRateHourPLG*eSystemsLeaseHostLaborHrsPLG*eSystemsLessorVisitForecast)*(1+Inflation)</f>
        <v>21113.242574257423</v>
      </c>
      <c r="G297" s="555">
        <f>(eSystemsTouchRateHourPLG*eSystemsLeaseHostLaborHrsPLG*eSystemsLessorVisitForecast)*(1+Inflation)^2</f>
        <v>21535.507425742573</v>
      </c>
      <c r="H297" s="555">
        <f>(eSystemsTouchRateHourPLG*eSystemsLeaseHostLaborHrsPLG*eSystemsLessorVisitForecast)*(1+Inflation)^3</f>
        <v>21966.217574257422</v>
      </c>
      <c r="I297" s="555">
        <f>(eSystemsTouchRateHourPLG*eSystemsLeaseHostLaborHrsPLG*eSystemsLessorVisitForecast)*(1+Inflation)^4</f>
        <v>22405.541925742571</v>
      </c>
      <c r="J297" s="555">
        <f>(eSystemsTouchRateHourPLG*eSystemsLeaseHostLaborHrsPLG*eSystemsLessorVisitForecast)*(1+Inflation)^5</f>
        <v>22853.652764257426</v>
      </c>
      <c r="K297" s="555">
        <f>(eSystemsTouchRateHourPLG*eSystemsLeaseHostLaborHrsPLG*eSystemsLessorVisitForecast)*(1+Inflation)^6</f>
        <v>23310.725819542575</v>
      </c>
      <c r="L297" s="555">
        <f>(eSystemsTouchRateHourPLG*eSystemsLeaseHostLaborHrsPLG*eSystemsLessorVisitForecast)*(1+Inflation)^7</f>
        <v>23776.940335933421</v>
      </c>
      <c r="M297" s="555">
        <f>(eSystemsTouchRateHourPLG*eSystemsLeaseHostLaborHrsPLG*eSystemsLessorVisitForecast)*(1+Inflation)^8</f>
        <v>24252.47914265209</v>
      </c>
      <c r="N297" s="555">
        <f>(eSystemsTouchRateHourPLG*eSystemsLeaseHostLaborHrsPLG*eSystemsLessorVisitForecast)*(1+Inflation)^9</f>
        <v>24737.528725505133</v>
      </c>
      <c r="O297" s="535" t="s">
        <v>2008</v>
      </c>
    </row>
    <row r="298" spans="1:33" s="142" customFormat="1" ht="18" hidden="1" customHeight="1" outlineLevel="1" x14ac:dyDescent="0.2">
      <c r="A298" s="74"/>
      <c r="B298" s="128"/>
      <c r="C298" s="235"/>
      <c r="D298" s="726" t="s">
        <v>1922</v>
      </c>
      <c r="E298" s="555">
        <f>(eSystemsTouchRateHourCRT*eSystemsLeaseHostLaborHrsCRT*eSystemsLessorVisitForecast)</f>
        <v>12176.033779848571</v>
      </c>
      <c r="F298" s="555">
        <f>(eSystemsTouchRateHourCRT*eSystemsLeaseHostLaborHrsCRT*eSystemsLessorVisitForecast)*(1+Inflation)</f>
        <v>12419.554455445543</v>
      </c>
      <c r="G298" s="555">
        <f>(eSystemsTouchRateHourCRT*eSystemsLeaseHostLaborHrsCRT*eSystemsLessorVisitForecast)*(1+Inflation)^2</f>
        <v>12667.945544554454</v>
      </c>
      <c r="H298" s="555">
        <f>(eSystemsTouchRateHourCRT*eSystemsLeaseHostLaborHrsCRT*eSystemsLessorVisitForecast)*(1+Inflation)^3</f>
        <v>12921.304455445541</v>
      </c>
      <c r="I298" s="555">
        <f>(eSystemsTouchRateHourCRT*eSystemsLeaseHostLaborHrsCRT*eSystemsLessorVisitForecast)*(1+Inflation)^4</f>
        <v>13179.730544554453</v>
      </c>
      <c r="J298" s="555">
        <f>(eSystemsTouchRateHourCRT*eSystemsLeaseHostLaborHrsCRT*eSystemsLessorVisitForecast)*(1+Inflation)^5</f>
        <v>13443.325155445542</v>
      </c>
      <c r="K298" s="555">
        <f>(eSystemsTouchRateHourCRT*eSystemsLeaseHostLaborHrsCRT*eSystemsLessorVisitForecast)*(1+Inflation)^6</f>
        <v>13712.191658554453</v>
      </c>
      <c r="L298" s="555">
        <f>(eSystemsTouchRateHourCRT*eSystemsLeaseHostLaborHrsCRT*eSystemsLessorVisitForecast)*(1+Inflation)^7</f>
        <v>13986.43549172554</v>
      </c>
      <c r="M298" s="555">
        <f>(eSystemsTouchRateHourCRT*eSystemsLeaseHostLaborHrsCRT*eSystemsLessorVisitForecast)*(1+Inflation)^8</f>
        <v>14266.164201560052</v>
      </c>
      <c r="N298" s="555">
        <f>(eSystemsTouchRateHourCRT*eSystemsLeaseHostLaborHrsCRT*eSystemsLessorVisitForecast)*(1+Inflation)^9</f>
        <v>14551.487485591253</v>
      </c>
      <c r="O298" s="535" t="s">
        <v>2009</v>
      </c>
    </row>
    <row r="299" spans="1:33" s="142" customFormat="1" ht="18" hidden="1" customHeight="1" outlineLevel="1" x14ac:dyDescent="0.2">
      <c r="A299" s="74"/>
      <c r="B299" s="138"/>
      <c r="C299" s="235"/>
      <c r="D299" s="726" t="s">
        <v>1923</v>
      </c>
      <c r="E299" s="555">
        <f>(eSystemsTouchRateHourSCL*eSystemsLeaseHostLaborHrsSCL*eSystemsLessorVisitForecast)</f>
        <v>0</v>
      </c>
      <c r="F299" s="555">
        <f>(eSystemsTouchRateHourSCL*eSystemsLeaseHostLaborHrsSCL*eSystemsLessorVisitForecast)*(1+Inflation)</f>
        <v>0</v>
      </c>
      <c r="G299" s="555">
        <f>(eSystemsTouchRateHourSCL*eSystemsLeaseHostLaborHrsSCL*eSystemsLessorVisitForecast)*(1+Inflation)^2</f>
        <v>0</v>
      </c>
      <c r="H299" s="555">
        <f>(eSystemsTouchRateHourSCL*eSystemsLeaseHostLaborHrsSCL*eSystemsLessorVisitForecast)*(1+Inflation)^3</f>
        <v>0</v>
      </c>
      <c r="I299" s="555">
        <f>(eSystemsTouchRateHourSCL*eSystemsLeaseHostLaborHrsSCL*eSystemsLessorVisitForecast)*(1+Inflation)^4</f>
        <v>0</v>
      </c>
      <c r="J299" s="555">
        <f>(eSystemsTouchRateHourSCL*eSystemsLeaseHostLaborHrsSCL*eSystemsLessorVisitForecast)*(1+Inflation)^5</f>
        <v>0</v>
      </c>
      <c r="K299" s="555">
        <f>(eSystemsTouchRateHourSCL*eSystemsLeaseHostLaborHrsSCL*eSystemsLessorVisitForecast)*(1+Inflation)^6</f>
        <v>0</v>
      </c>
      <c r="L299" s="555">
        <f>(eSystemsTouchRateHourSCL*eSystemsLeaseHostLaborHrsSCL*eSystemsLessorVisitForecast)*(1+Inflation)^7</f>
        <v>0</v>
      </c>
      <c r="M299" s="555">
        <f>(eSystemsTouchRateHourSCL*eSystemsLeaseHostLaborHrsSCL*eSystemsLessorVisitForecast)*(1+Inflation)^8</f>
        <v>0</v>
      </c>
      <c r="N299" s="555">
        <f>(eSystemsTouchRateHourSCL*eSystemsLeaseHostLaborHrsSCL*eSystemsLessorVisitForecast)*(1+Inflation)^9</f>
        <v>0</v>
      </c>
      <c r="O299" s="535" t="s">
        <v>2010</v>
      </c>
    </row>
    <row r="300" spans="1:33" s="142" customFormat="1" ht="18" hidden="1" customHeight="1" outlineLevel="1" x14ac:dyDescent="0.2">
      <c r="A300" s="74"/>
      <c r="B300" s="138"/>
      <c r="C300" s="235"/>
      <c r="D300" s="726" t="s">
        <v>1924</v>
      </c>
      <c r="E300" s="555">
        <f>(eSystemsTouchRateHourQSC*eSystemsLeaseHostLaborHrsQSC*eSystemsLessorVisitForecast)</f>
        <v>18264.050669772856</v>
      </c>
      <c r="F300" s="555">
        <f>(eSystemsTouchRateHourQSC*eSystemsLeaseHostLaborHrsQSC*eSystemsLessorVisitForecast)*(1+Inflation)</f>
        <v>18629.331683168315</v>
      </c>
      <c r="G300" s="555">
        <f>(eSystemsTouchRateHourQSC*eSystemsLeaseHostLaborHrsQSC*eSystemsLessorVisitForecast)*(1+Inflation)^2</f>
        <v>19001.918316831678</v>
      </c>
      <c r="H300" s="555">
        <f>(eSystemsTouchRateHourQSC*eSystemsLeaseHostLaborHrsQSC*eSystemsLessorVisitForecast)*(1+Inflation)^3</f>
        <v>19381.956683168311</v>
      </c>
      <c r="I300" s="555">
        <f>(eSystemsTouchRateHourQSC*eSystemsLeaseHostLaborHrsQSC*eSystemsLessorVisitForecast)*(1+Inflation)^4</f>
        <v>19769.595816831679</v>
      </c>
      <c r="J300" s="555">
        <f>(eSystemsTouchRateHourQSC*eSystemsLeaseHostLaborHrsQSC*eSystemsLessorVisitForecast)*(1+Inflation)^5</f>
        <v>20164.987733168313</v>
      </c>
      <c r="K300" s="555">
        <f>(eSystemsTouchRateHourQSC*eSystemsLeaseHostLaborHrsQSC*eSystemsLessorVisitForecast)*(1+Inflation)^6</f>
        <v>20568.28748783168</v>
      </c>
      <c r="L300" s="555">
        <f>(eSystemsTouchRateHourQSC*eSystemsLeaseHostLaborHrsQSC*eSystemsLessorVisitForecast)*(1+Inflation)^7</f>
        <v>20979.653237588311</v>
      </c>
      <c r="M300" s="555">
        <f>(eSystemsTouchRateHourQSC*eSystemsLeaseHostLaborHrsQSC*eSystemsLessorVisitForecast)*(1+Inflation)^8</f>
        <v>21399.246302340078</v>
      </c>
      <c r="N300" s="555">
        <f>(eSystemsTouchRateHourQSC*eSystemsLeaseHostLaborHrsQSC*eSystemsLessorVisitForecast)*(1+Inflation)^9</f>
        <v>21827.231228386878</v>
      </c>
      <c r="O300" s="535" t="s">
        <v>2011</v>
      </c>
    </row>
    <row r="301" spans="1:33" s="142" customFormat="1" ht="18" hidden="1" customHeight="1" outlineLevel="1" x14ac:dyDescent="0.2">
      <c r="A301" s="74"/>
      <c r="B301" s="128"/>
      <c r="C301" s="235"/>
      <c r="D301" s="726" t="s">
        <v>1925</v>
      </c>
      <c r="E301" s="555">
        <f>(eSystemsTouchRateHourEM*eSystemsLeaseHostLaborHrsEM*eSystemsLessorVisitForecast)</f>
        <v>0</v>
      </c>
      <c r="F301" s="555">
        <f>(eSystemsTouchRateHourEM*eSystemsLeaseHostLaborHrsEM*eSystemsLessorVisitForecast)*(1+Inflation)</f>
        <v>0</v>
      </c>
      <c r="G301" s="555">
        <f>(eSystemsTouchRateHourEM*eSystemsLeaseHostLaborHrsEM*eSystemsLessorVisitForecast)*(1+Inflation)^2</f>
        <v>0</v>
      </c>
      <c r="H301" s="555">
        <f>(eSystemsTouchRateHourEM*eSystemsLeaseHostLaborHrsEM*eSystemsLessorVisitForecast)*(1+Inflation)^3</f>
        <v>0</v>
      </c>
      <c r="I301" s="555">
        <f>(eSystemsTouchRateHourEM*eSystemsLeaseHostLaborHrsEM*eSystemsLessorVisitForecast)*(1+Inflation)^4</f>
        <v>0</v>
      </c>
      <c r="J301" s="555">
        <f>(eSystemsTouchRateHourEM*eSystemsLeaseHostLaborHrsEM*eSystemsLessorVisitForecast)*(1+Inflation)^5</f>
        <v>0</v>
      </c>
      <c r="K301" s="555">
        <f>(eSystemsTouchRateHourEM*eSystemsLeaseHostLaborHrsEM*eSystemsLessorVisitForecast)*(1+Inflation)^6</f>
        <v>0</v>
      </c>
      <c r="L301" s="555">
        <f>(eSystemsTouchRateHourEM*eSystemsLeaseHostLaborHrsEM*eSystemsLessorVisitForecast)*(1+Inflation)^7</f>
        <v>0</v>
      </c>
      <c r="M301" s="555">
        <f>(eSystemsTouchRateHourEM*eSystemsLeaseHostLaborHrsEM*eSystemsLessorVisitForecast)*(1+Inflation)^8</f>
        <v>0</v>
      </c>
      <c r="N301" s="555">
        <f>(eSystemsTouchRateHourEM*eSystemsLeaseHostLaborHrsEM*eSystemsLessorVisitForecast)*(1+Inflation)^9</f>
        <v>0</v>
      </c>
      <c r="O301" s="535" t="s">
        <v>2012</v>
      </c>
    </row>
    <row r="302" spans="1:33" s="142" customFormat="1" ht="18" hidden="1" customHeight="1" outlineLevel="1" x14ac:dyDescent="0.2">
      <c r="A302" s="74"/>
      <c r="B302" s="138"/>
      <c r="C302" s="235"/>
      <c r="D302" s="726" t="s">
        <v>1926</v>
      </c>
      <c r="E302" s="555">
        <f>(eSystemsTouchRateHourCM*eSystemsLeaseHostLaborHrsCM*eSystemsLessorVisitForecast)</f>
        <v>0</v>
      </c>
      <c r="F302" s="555">
        <f>(eSystemsTouchRateHourCM*eSystemsLeaseHostLaborHrsCM*eSystemsLessorVisitForecast)*(1+Inflation)</f>
        <v>0</v>
      </c>
      <c r="G302" s="555">
        <f>(eSystemsTouchRateHourCM*eSystemsLeaseHostLaborHrsCM*eSystemsLessorVisitForecast)*(1+Inflation)^2</f>
        <v>0</v>
      </c>
      <c r="H302" s="555">
        <f>(eSystemsTouchRateHourCM*eSystemsLeaseHostLaborHrsCM*eSystemsLessorVisitForecast)*(1+Inflation)^3</f>
        <v>0</v>
      </c>
      <c r="I302" s="555">
        <f>(eSystemsTouchRateHourCM*eSystemsLeaseHostLaborHrsCM*eSystemsLessorVisitForecast)*(1+Inflation)^4</f>
        <v>0</v>
      </c>
      <c r="J302" s="555">
        <f>(eSystemsTouchRateHourCM*eSystemsLeaseHostLaborHrsCM*eSystemsLessorVisitForecast)*(1+Inflation)^5</f>
        <v>0</v>
      </c>
      <c r="K302" s="555">
        <f>(eSystemsTouchRateHourCM*eSystemsLeaseHostLaborHrsCM*eSystemsLessorVisitForecast)*(1+Inflation)^6</f>
        <v>0</v>
      </c>
      <c r="L302" s="555">
        <f>(eSystemsTouchRateHourCM*eSystemsLeaseHostLaborHrsCM*eSystemsLessorVisitForecast)*(1+Inflation)^7</f>
        <v>0</v>
      </c>
      <c r="M302" s="555">
        <f>(eSystemsTouchRateHourCM*eSystemsLeaseHostLaborHrsCM*eSystemsLessorVisitForecast)*(1+Inflation)^8</f>
        <v>0</v>
      </c>
      <c r="N302" s="555">
        <f>(eSystemsTouchRateHourCM*eSystemsLeaseHostLaborHrsCM*eSystemsLessorVisitForecast)*(1+Inflation)^9</f>
        <v>0</v>
      </c>
      <c r="O302" s="535" t="s">
        <v>2013</v>
      </c>
    </row>
    <row r="303" spans="1:33" s="142" customFormat="1" ht="18" hidden="1" customHeight="1" outlineLevel="1" x14ac:dyDescent="0.2">
      <c r="A303" s="74"/>
      <c r="B303" s="138"/>
      <c r="C303" s="235"/>
      <c r="D303" s="726" t="s">
        <v>1927</v>
      </c>
      <c r="E303" s="555">
        <f>(eSystemsTouchRateHourSMCS*eSystemsLeaseHostLaborHrsSMCS*eSystemsLessorVisitForecast)</f>
        <v>0</v>
      </c>
      <c r="F303" s="555">
        <f>(eSystemsTouchRateHourSMCS*eSystemsLeaseHostLaborHrsSMCS*eSystemsLessorVisitForecast)*(1+Inflation)</f>
        <v>0</v>
      </c>
      <c r="G303" s="555">
        <f>(eSystemsTouchRateHourSMCS*eSystemsLeaseHostLaborHrsSMCS*eSystemsLessorVisitForecast)*(1+Inflation)^2</f>
        <v>0</v>
      </c>
      <c r="H303" s="555">
        <f>(eSystemsTouchRateHourSMCS*eSystemsLeaseHostLaborHrsSMCS*eSystemsLessorVisitForecast)*(1+Inflation)^3</f>
        <v>0</v>
      </c>
      <c r="I303" s="555">
        <f>(eSystemsTouchRateHourSMCS*eSystemsLeaseHostLaborHrsSMCS*eSystemsLessorVisitForecast)*(1+Inflation)^4</f>
        <v>0</v>
      </c>
      <c r="J303" s="555">
        <f>(eSystemsTouchRateHourSMCS*eSystemsLeaseHostLaborHrsSMCS*eSystemsLessorVisitForecast)*(1+Inflation)^5</f>
        <v>0</v>
      </c>
      <c r="K303" s="555">
        <f>(eSystemsTouchRateHourSMCS*eSystemsLeaseHostLaborHrsSMCS*eSystemsLessorVisitForecast)*(1+Inflation)^6</f>
        <v>0</v>
      </c>
      <c r="L303" s="555">
        <f>(eSystemsTouchRateHourSMCS*eSystemsLeaseHostLaborHrsSMCS*eSystemsLessorVisitForecast)*(1+Inflation)^7</f>
        <v>0</v>
      </c>
      <c r="M303" s="555">
        <f>(eSystemsTouchRateHourSMCS*eSystemsLeaseHostLaborHrsSMCS*eSystemsLessorVisitForecast)*(1+Inflation)^8</f>
        <v>0</v>
      </c>
      <c r="N303" s="555">
        <f>(eSystemsTouchRateHourSMCS*eSystemsLeaseHostLaborHrsSMCS*eSystemsLessorVisitForecast)*(1+Inflation)^9</f>
        <v>0</v>
      </c>
      <c r="O303" s="535" t="s">
        <v>2014</v>
      </c>
    </row>
    <row r="304" spans="1:33" s="142" customFormat="1" ht="18" hidden="1" customHeight="1" outlineLevel="1" x14ac:dyDescent="0.2">
      <c r="A304" s="74"/>
      <c r="B304" s="138"/>
      <c r="C304" s="235"/>
      <c r="D304" s="726" t="s">
        <v>1928</v>
      </c>
      <c r="E304" s="555">
        <f>(eSystemsTouchRateHourO1*eSystemsLeaseHostLaborHrsO1*eSystemsLessorVisitForecast)</f>
        <v>0</v>
      </c>
      <c r="F304" s="555">
        <f>(eSystemsTouchRateHourO1*eSystemsLeaseHostLaborHrsO1*eSystemsLessorVisitForecast)*(1+Inflation)</f>
        <v>0</v>
      </c>
      <c r="G304" s="555">
        <f>(eSystemsTouchRateHourO1*eSystemsLeaseHostLaborHrsO1*eSystemsLessorVisitForecast)*(1+Inflation)^2</f>
        <v>0</v>
      </c>
      <c r="H304" s="555">
        <f>(eSystemsTouchRateHourO1*eSystemsLeaseHostLaborHrsO1*eSystemsLessorVisitForecast)*(1+Inflation)^3</f>
        <v>0</v>
      </c>
      <c r="I304" s="555">
        <f>(eSystemsTouchRateHourO1*eSystemsLeaseHostLaborHrsO1*eSystemsLessorVisitForecast)*(1+Inflation)^4</f>
        <v>0</v>
      </c>
      <c r="J304" s="555">
        <f>(eSystemsTouchRateHourO1*eSystemsLeaseHostLaborHrsO1*eSystemsLessorVisitForecast)*(1+Inflation)^5</f>
        <v>0</v>
      </c>
      <c r="K304" s="555">
        <f>(eSystemsTouchRateHourO1*eSystemsLeaseHostLaborHrsO1*eSystemsLessorVisitForecast)*(1+Inflation)^6</f>
        <v>0</v>
      </c>
      <c r="L304" s="555">
        <f>(eSystemsTouchRateHourO1*eSystemsLeaseHostLaborHrsO1*eSystemsLessorVisitForecast)*(1+Inflation)^7</f>
        <v>0</v>
      </c>
      <c r="M304" s="555">
        <f>(eSystemsTouchRateHourO1*eSystemsLeaseHostLaborHrsO1*eSystemsLessorVisitForecast)*(1+Inflation)^8</f>
        <v>0</v>
      </c>
      <c r="N304" s="555">
        <f>(eSystemsTouchRateHourO1*eSystemsLeaseHostLaborHrsO1*eSystemsLessorVisitForecast)*(1+Inflation)^9</f>
        <v>0</v>
      </c>
      <c r="O304" s="535" t="s">
        <v>2015</v>
      </c>
    </row>
    <row r="305" spans="1:33" s="142" customFormat="1" ht="18" hidden="1" customHeight="1" outlineLevel="1" x14ac:dyDescent="0.2">
      <c r="A305" s="74"/>
      <c r="B305" s="138"/>
      <c r="C305" s="235"/>
      <c r="D305" s="726" t="s">
        <v>1929</v>
      </c>
      <c r="E305" s="555">
        <f>(eSystemsTouchRateHourO2*eSystemsLeaseHostLaborHrsO2*eSystemsLessorVisitForecast)</f>
        <v>0</v>
      </c>
      <c r="F305" s="555">
        <f>(eSystemsTouchRateHourO2*eSystemsLeaseHostLaborHrsO2*eSystemsLessorVisitForecast)*(1+Inflation)</f>
        <v>0</v>
      </c>
      <c r="G305" s="555">
        <f>(eSystemsTouchRateHourO2*eSystemsLeaseHostLaborHrsO2*eSystemsLessorVisitForecast)*(1+Inflation)^2</f>
        <v>0</v>
      </c>
      <c r="H305" s="555">
        <f>(eSystemsTouchRateHourO2*eSystemsLeaseHostLaborHrsO2*eSystemsLessorVisitForecast)*(1+Inflation)^3</f>
        <v>0</v>
      </c>
      <c r="I305" s="555">
        <f>(eSystemsTouchRateHourO2*eSystemsLeaseHostLaborHrsO2*eSystemsLessorVisitForecast)*(1+Inflation)^4</f>
        <v>0</v>
      </c>
      <c r="J305" s="555">
        <f>(eSystemsTouchRateHourO2*eSystemsLeaseHostLaborHrsO2*eSystemsLessorVisitForecast)*(1+Inflation)^5</f>
        <v>0</v>
      </c>
      <c r="K305" s="555">
        <f>(eSystemsTouchRateHourO2*eSystemsLeaseHostLaborHrsO2*eSystemsLessorVisitForecast)*(1+Inflation)^6</f>
        <v>0</v>
      </c>
      <c r="L305" s="555">
        <f>(eSystemsTouchRateHourO2*eSystemsLeaseHostLaborHrsO2*eSystemsLessorVisitForecast)*(1+Inflation)^7</f>
        <v>0</v>
      </c>
      <c r="M305" s="555">
        <f>(eSystemsTouchRateHourO2*eSystemsLeaseHostLaborHrsO2*eSystemsLessorVisitForecast)*(1+Inflation)^8</f>
        <v>0</v>
      </c>
      <c r="N305" s="555">
        <f>(eSystemsTouchRateHourO2*eSystemsLeaseHostLaborHrsO2*eSystemsLessorVisitForecast)*(1+Inflation)^9</f>
        <v>0</v>
      </c>
      <c r="O305" s="535" t="s">
        <v>2016</v>
      </c>
    </row>
    <row r="306" spans="1:33" s="142" customFormat="1" ht="18" hidden="1" customHeight="1" outlineLevel="1" x14ac:dyDescent="0.25">
      <c r="A306" s="74"/>
      <c r="B306" s="138"/>
      <c r="C306" s="235"/>
      <c r="D306" s="728" t="s">
        <v>1930</v>
      </c>
      <c r="E306" s="556">
        <f>SUM(E294:E305)</f>
        <v>73056.202679091424</v>
      </c>
      <c r="F306" s="556">
        <f t="shared" ref="F306:N306" si="70">SUM(F294:F305)</f>
        <v>74517.32673267326</v>
      </c>
      <c r="G306" s="556">
        <f t="shared" si="70"/>
        <v>76007.673267326711</v>
      </c>
      <c r="H306" s="556">
        <f t="shared" si="70"/>
        <v>77527.826732673246</v>
      </c>
      <c r="I306" s="556">
        <f t="shared" si="70"/>
        <v>79078.383267326717</v>
      </c>
      <c r="J306" s="556">
        <f t="shared" si="70"/>
        <v>80659.950932673266</v>
      </c>
      <c r="K306" s="556">
        <f t="shared" si="70"/>
        <v>82273.149951326719</v>
      </c>
      <c r="L306" s="556">
        <f t="shared" si="70"/>
        <v>83918.612950353243</v>
      </c>
      <c r="M306" s="556">
        <f t="shared" si="70"/>
        <v>85596.985209360311</v>
      </c>
      <c r="N306" s="556">
        <f t="shared" si="70"/>
        <v>87308.924913547526</v>
      </c>
      <c r="O306" s="535" t="s">
        <v>2017</v>
      </c>
    </row>
    <row r="307" spans="1:33" s="142" customFormat="1" ht="18" hidden="1" customHeight="1" outlineLevel="1" thickBot="1" x14ac:dyDescent="0.25">
      <c r="A307" s="74"/>
      <c r="B307" s="138"/>
      <c r="C307" s="325"/>
      <c r="D307" s="725"/>
      <c r="E307" s="568"/>
      <c r="F307" s="568"/>
      <c r="G307" s="568"/>
      <c r="H307" s="568"/>
      <c r="I307" s="568"/>
      <c r="J307" s="568"/>
      <c r="K307" s="568"/>
      <c r="L307" s="568"/>
      <c r="M307" s="568"/>
      <c r="N307" s="568"/>
      <c r="O307" s="569"/>
    </row>
    <row r="308" spans="1:33" s="142" customFormat="1" ht="18" hidden="1" customHeight="1" outlineLevel="1" thickBot="1" x14ac:dyDescent="0.25">
      <c r="A308" s="74"/>
      <c r="B308" s="138"/>
      <c r="C308" s="211"/>
      <c r="D308" s="214"/>
      <c r="E308" s="210"/>
      <c r="F308" s="210"/>
      <c r="G308" s="210"/>
      <c r="H308" s="210"/>
      <c r="I308" s="210"/>
      <c r="J308" s="210"/>
      <c r="K308" s="210"/>
      <c r="L308" s="210"/>
      <c r="M308" s="210"/>
      <c r="N308" s="210"/>
      <c r="O308" s="204"/>
    </row>
    <row r="309" spans="1:33" s="203" customFormat="1" ht="20.25" hidden="1" outlineLevel="1" x14ac:dyDescent="0.2">
      <c r="A309" s="74"/>
      <c r="B309" s="74"/>
      <c r="C309" s="1012" t="str">
        <f>Scenario3&amp;"  Lease Lessor Visit FTEs"</f>
        <v>eSystems (Paperless)  Lease Lessor Visit FTEs</v>
      </c>
      <c r="D309" s="268"/>
      <c r="E309" s="434"/>
      <c r="F309" s="434"/>
      <c r="G309" s="434"/>
      <c r="H309" s="434"/>
      <c r="I309" s="434"/>
      <c r="J309" s="434"/>
      <c r="K309" s="434"/>
      <c r="L309" s="434"/>
      <c r="M309" s="434"/>
      <c r="N309" s="434"/>
      <c r="O309" s="573"/>
      <c r="P309" s="204"/>
    </row>
    <row r="310" spans="1:33" s="203" customFormat="1" hidden="1" outlineLevel="1" x14ac:dyDescent="0.2">
      <c r="A310" s="74"/>
      <c r="B310" s="74"/>
      <c r="C310" s="235"/>
      <c r="D310" s="726" t="s">
        <v>1931</v>
      </c>
      <c r="E310" s="557">
        <f t="shared" ref="E310:N310" si="71">(eSystemsLeaseHostLaborHrsHM/eSystemsTouchHourspaHM)*eSystemsLessorVisitForecast</f>
        <v>0</v>
      </c>
      <c r="F310" s="557">
        <f t="shared" si="71"/>
        <v>0</v>
      </c>
      <c r="G310" s="557">
        <f t="shared" si="71"/>
        <v>0</v>
      </c>
      <c r="H310" s="557">
        <f t="shared" si="71"/>
        <v>0</v>
      </c>
      <c r="I310" s="557">
        <f t="shared" si="71"/>
        <v>0</v>
      </c>
      <c r="J310" s="557">
        <f t="shared" si="71"/>
        <v>0</v>
      </c>
      <c r="K310" s="557">
        <f t="shared" si="71"/>
        <v>0</v>
      </c>
      <c r="L310" s="557">
        <f t="shared" si="71"/>
        <v>0</v>
      </c>
      <c r="M310" s="557">
        <f t="shared" si="71"/>
        <v>0</v>
      </c>
      <c r="N310" s="557">
        <f t="shared" si="71"/>
        <v>0</v>
      </c>
      <c r="O310" s="535" t="s">
        <v>2956</v>
      </c>
      <c r="P310" s="204"/>
    </row>
    <row r="311" spans="1:33" customFormat="1" hidden="1" outlineLevel="1" x14ac:dyDescent="0.2">
      <c r="A311" s="74"/>
      <c r="B311" s="13"/>
      <c r="C311" s="235"/>
      <c r="D311" s="726" t="s">
        <v>1932</v>
      </c>
      <c r="E311" s="557">
        <f t="shared" ref="E311:N311" si="72">(eSystemsLeaseHostLaborHrsLM/eSystemsTouchHourspaLM)*eSystemsLessorVisitForecast</f>
        <v>0</v>
      </c>
      <c r="F311" s="557">
        <f t="shared" si="72"/>
        <v>0</v>
      </c>
      <c r="G311" s="557">
        <f t="shared" si="72"/>
        <v>0</v>
      </c>
      <c r="H311" s="557">
        <f t="shared" si="72"/>
        <v>0</v>
      </c>
      <c r="I311" s="557">
        <f t="shared" si="72"/>
        <v>0</v>
      </c>
      <c r="J311" s="557">
        <f t="shared" si="72"/>
        <v>0</v>
      </c>
      <c r="K311" s="557">
        <f t="shared" si="72"/>
        <v>0</v>
      </c>
      <c r="L311" s="557">
        <f t="shared" si="72"/>
        <v>0</v>
      </c>
      <c r="M311" s="557">
        <f t="shared" si="72"/>
        <v>0</v>
      </c>
      <c r="N311" s="557">
        <f t="shared" si="72"/>
        <v>0</v>
      </c>
      <c r="O311" s="535" t="s">
        <v>2957</v>
      </c>
      <c r="P311" s="18"/>
      <c r="Q311" s="18"/>
      <c r="R311" s="18"/>
      <c r="S311" s="18"/>
      <c r="T311" s="18"/>
      <c r="U311" s="18"/>
      <c r="V311" s="18"/>
      <c r="W311" s="18"/>
      <c r="X311" s="18"/>
      <c r="Y311" s="18"/>
      <c r="Z311" s="18"/>
      <c r="AA311" s="18"/>
      <c r="AB311" s="18"/>
      <c r="AC311" s="18"/>
      <c r="AD311" s="18"/>
      <c r="AE311" s="18"/>
      <c r="AF311" s="18"/>
      <c r="AG311" s="18"/>
    </row>
    <row r="312" spans="1:33" s="142" customFormat="1" ht="18" hidden="1" customHeight="1" outlineLevel="1" x14ac:dyDescent="0.2">
      <c r="A312" s="74"/>
      <c r="B312" s="13"/>
      <c r="C312" s="235"/>
      <c r="D312" s="727" t="s">
        <v>1933</v>
      </c>
      <c r="E312" s="557">
        <f t="shared" ref="E312:N312" si="73">(eSystemsLeaseHostLaborHrsENG/eSystemsTouchHourspaENG)*eSystemsLessorVisitForecast</f>
        <v>0.17472335468840999</v>
      </c>
      <c r="F312" s="557">
        <f t="shared" si="73"/>
        <v>0.17472335468840999</v>
      </c>
      <c r="G312" s="557">
        <f t="shared" si="73"/>
        <v>0.17472335468840999</v>
      </c>
      <c r="H312" s="557">
        <f t="shared" si="73"/>
        <v>0.17472335468840999</v>
      </c>
      <c r="I312" s="557">
        <f t="shared" si="73"/>
        <v>0.17472335468840999</v>
      </c>
      <c r="J312" s="557">
        <f t="shared" si="73"/>
        <v>0.17472335468840999</v>
      </c>
      <c r="K312" s="557">
        <f t="shared" si="73"/>
        <v>0.17472335468840999</v>
      </c>
      <c r="L312" s="557">
        <f t="shared" si="73"/>
        <v>0.17472335468840999</v>
      </c>
      <c r="M312" s="557">
        <f t="shared" si="73"/>
        <v>0.17472335468840999</v>
      </c>
      <c r="N312" s="557">
        <f t="shared" si="73"/>
        <v>0.17472335468840999</v>
      </c>
      <c r="O312" s="535" t="s">
        <v>2958</v>
      </c>
    </row>
    <row r="313" spans="1:33" s="142" customFormat="1" ht="18" hidden="1" customHeight="1" outlineLevel="1" x14ac:dyDescent="0.2">
      <c r="A313" s="74"/>
      <c r="B313" s="13"/>
      <c r="C313" s="235"/>
      <c r="D313" s="726" t="s">
        <v>1934</v>
      </c>
      <c r="E313" s="557">
        <f t="shared" ref="E313:N313" si="74">(eSystemsLeaseHostLaborHrsPLG/eSystemsTouchHourspaPLG)*eSystemsLessorVisitForecast</f>
        <v>0.17472335468840999</v>
      </c>
      <c r="F313" s="557">
        <f t="shared" si="74"/>
        <v>0.17472335468840999</v>
      </c>
      <c r="G313" s="557">
        <f t="shared" si="74"/>
        <v>0.17472335468840999</v>
      </c>
      <c r="H313" s="557">
        <f t="shared" si="74"/>
        <v>0.17472335468840999</v>
      </c>
      <c r="I313" s="557">
        <f t="shared" si="74"/>
        <v>0.17472335468840999</v>
      </c>
      <c r="J313" s="557">
        <f t="shared" si="74"/>
        <v>0.17472335468840999</v>
      </c>
      <c r="K313" s="557">
        <f t="shared" si="74"/>
        <v>0.17472335468840999</v>
      </c>
      <c r="L313" s="557">
        <f t="shared" si="74"/>
        <v>0.17472335468840999</v>
      </c>
      <c r="M313" s="557">
        <f t="shared" si="74"/>
        <v>0.17472335468840999</v>
      </c>
      <c r="N313" s="557">
        <f t="shared" si="74"/>
        <v>0.17472335468840999</v>
      </c>
      <c r="O313" s="535" t="s">
        <v>2959</v>
      </c>
    </row>
    <row r="314" spans="1:33" s="142" customFormat="1" ht="18" hidden="1" customHeight="1" outlineLevel="1" x14ac:dyDescent="0.2">
      <c r="A314" s="74"/>
      <c r="B314" s="13"/>
      <c r="C314" s="235"/>
      <c r="D314" s="726" t="s">
        <v>1935</v>
      </c>
      <c r="E314" s="557">
        <f t="shared" ref="E314:N314" si="75">(eSystemsLeaseHostLaborHrsCRT/eSystemsTouchHourspaCRT)*eSystemsLessorVisitForecast</f>
        <v>0.17472335468840999</v>
      </c>
      <c r="F314" s="557">
        <f t="shared" si="75"/>
        <v>0.17472335468840999</v>
      </c>
      <c r="G314" s="557">
        <f t="shared" si="75"/>
        <v>0.17472335468840999</v>
      </c>
      <c r="H314" s="557">
        <f t="shared" si="75"/>
        <v>0.17472335468840999</v>
      </c>
      <c r="I314" s="557">
        <f t="shared" si="75"/>
        <v>0.17472335468840999</v>
      </c>
      <c r="J314" s="557">
        <f t="shared" si="75"/>
        <v>0.17472335468840999</v>
      </c>
      <c r="K314" s="557">
        <f t="shared" si="75"/>
        <v>0.17472335468840999</v>
      </c>
      <c r="L314" s="557">
        <f t="shared" si="75"/>
        <v>0.17472335468840999</v>
      </c>
      <c r="M314" s="557">
        <f t="shared" si="75"/>
        <v>0.17472335468840999</v>
      </c>
      <c r="N314" s="557">
        <f t="shared" si="75"/>
        <v>0.17472335468840999</v>
      </c>
      <c r="O314" s="535" t="s">
        <v>2960</v>
      </c>
    </row>
    <row r="315" spans="1:33" s="142" customFormat="1" ht="18" hidden="1" customHeight="1" outlineLevel="1" x14ac:dyDescent="0.2">
      <c r="A315" s="74"/>
      <c r="B315" s="13"/>
      <c r="C315" s="235"/>
      <c r="D315" s="726" t="s">
        <v>1936</v>
      </c>
      <c r="E315" s="557">
        <f t="shared" ref="E315:N315" si="76">(eSystemsLeaseHostLaborHrsSCL/eSystemsTouchHourspaSCL)*eSystemsLessorVisitForecast</f>
        <v>0</v>
      </c>
      <c r="F315" s="557">
        <f t="shared" si="76"/>
        <v>0</v>
      </c>
      <c r="G315" s="557">
        <f t="shared" si="76"/>
        <v>0</v>
      </c>
      <c r="H315" s="557">
        <f t="shared" si="76"/>
        <v>0</v>
      </c>
      <c r="I315" s="557">
        <f t="shared" si="76"/>
        <v>0</v>
      </c>
      <c r="J315" s="557">
        <f t="shared" si="76"/>
        <v>0</v>
      </c>
      <c r="K315" s="557">
        <f t="shared" si="76"/>
        <v>0</v>
      </c>
      <c r="L315" s="557">
        <f t="shared" si="76"/>
        <v>0</v>
      </c>
      <c r="M315" s="557">
        <f t="shared" si="76"/>
        <v>0</v>
      </c>
      <c r="N315" s="557">
        <f t="shared" si="76"/>
        <v>0</v>
      </c>
      <c r="O315" s="535" t="s">
        <v>2961</v>
      </c>
    </row>
    <row r="316" spans="1:33" s="142" customFormat="1" ht="18" hidden="1" customHeight="1" outlineLevel="1" x14ac:dyDescent="0.2">
      <c r="A316" s="74"/>
      <c r="B316" s="13"/>
      <c r="C316" s="235"/>
      <c r="D316" s="726" t="s">
        <v>1937</v>
      </c>
      <c r="E316" s="557">
        <f t="shared" ref="E316:N316" si="77">(eSystemsLeaseHostLaborHrsQSC/eSystemsTouchHourspaQSC)*eSystemsLessorVisitForecast</f>
        <v>0.17472335468840999</v>
      </c>
      <c r="F316" s="557">
        <f t="shared" si="77"/>
        <v>0.17472335468840999</v>
      </c>
      <c r="G316" s="557">
        <f t="shared" si="77"/>
        <v>0.17472335468840999</v>
      </c>
      <c r="H316" s="557">
        <f t="shared" si="77"/>
        <v>0.17472335468840999</v>
      </c>
      <c r="I316" s="557">
        <f t="shared" si="77"/>
        <v>0.17472335468840999</v>
      </c>
      <c r="J316" s="557">
        <f t="shared" si="77"/>
        <v>0.17472335468840999</v>
      </c>
      <c r="K316" s="557">
        <f t="shared" si="77"/>
        <v>0.17472335468840999</v>
      </c>
      <c r="L316" s="557">
        <f t="shared" si="77"/>
        <v>0.17472335468840999</v>
      </c>
      <c r="M316" s="557">
        <f t="shared" si="77"/>
        <v>0.17472335468840999</v>
      </c>
      <c r="N316" s="557">
        <f t="shared" si="77"/>
        <v>0.17472335468840999</v>
      </c>
      <c r="O316" s="535" t="s">
        <v>2962</v>
      </c>
    </row>
    <row r="317" spans="1:33" s="142" customFormat="1" ht="18" hidden="1" customHeight="1" outlineLevel="1" x14ac:dyDescent="0.2">
      <c r="A317" s="74"/>
      <c r="B317" s="13"/>
      <c r="C317" s="235"/>
      <c r="D317" s="726" t="s">
        <v>1938</v>
      </c>
      <c r="E317" s="557">
        <f t="shared" ref="E317:N317" si="78">(eSystemsLeaseHostLaborHrsEM/eSystemsTouchHourspaEM)*eSystemsLessorVisitForecast</f>
        <v>0</v>
      </c>
      <c r="F317" s="557">
        <f t="shared" si="78"/>
        <v>0</v>
      </c>
      <c r="G317" s="557">
        <f t="shared" si="78"/>
        <v>0</v>
      </c>
      <c r="H317" s="557">
        <f t="shared" si="78"/>
        <v>0</v>
      </c>
      <c r="I317" s="557">
        <f t="shared" si="78"/>
        <v>0</v>
      </c>
      <c r="J317" s="557">
        <f t="shared" si="78"/>
        <v>0</v>
      </c>
      <c r="K317" s="557">
        <f t="shared" si="78"/>
        <v>0</v>
      </c>
      <c r="L317" s="557">
        <f t="shared" si="78"/>
        <v>0</v>
      </c>
      <c r="M317" s="557">
        <f t="shared" si="78"/>
        <v>0</v>
      </c>
      <c r="N317" s="557">
        <f t="shared" si="78"/>
        <v>0</v>
      </c>
      <c r="O317" s="535" t="s">
        <v>2963</v>
      </c>
    </row>
    <row r="318" spans="1:33" s="142" customFormat="1" ht="18" hidden="1" customHeight="1" outlineLevel="1" x14ac:dyDescent="0.2">
      <c r="A318" s="74"/>
      <c r="B318" s="13"/>
      <c r="C318" s="235"/>
      <c r="D318" s="726" t="s">
        <v>1939</v>
      </c>
      <c r="E318" s="557">
        <f t="shared" ref="E318:N318" si="79">(eSystemsLeaseHostLaborHrsCM/eSystemsTouchHourspaCM)*eSystemsLessorVisitForecast</f>
        <v>0</v>
      </c>
      <c r="F318" s="557">
        <f t="shared" si="79"/>
        <v>0</v>
      </c>
      <c r="G318" s="557">
        <f t="shared" si="79"/>
        <v>0</v>
      </c>
      <c r="H318" s="557">
        <f t="shared" si="79"/>
        <v>0</v>
      </c>
      <c r="I318" s="557">
        <f t="shared" si="79"/>
        <v>0</v>
      </c>
      <c r="J318" s="557">
        <f t="shared" si="79"/>
        <v>0</v>
      </c>
      <c r="K318" s="557">
        <f t="shared" si="79"/>
        <v>0</v>
      </c>
      <c r="L318" s="557">
        <f t="shared" si="79"/>
        <v>0</v>
      </c>
      <c r="M318" s="557">
        <f t="shared" si="79"/>
        <v>0</v>
      </c>
      <c r="N318" s="557">
        <f t="shared" si="79"/>
        <v>0</v>
      </c>
      <c r="O318" s="535" t="s">
        <v>2964</v>
      </c>
    </row>
    <row r="319" spans="1:33" s="142" customFormat="1" ht="18" hidden="1" customHeight="1" outlineLevel="1" x14ac:dyDescent="0.2">
      <c r="A319" s="74"/>
      <c r="B319" s="138"/>
      <c r="C319" s="235"/>
      <c r="D319" s="726" t="s">
        <v>1940</v>
      </c>
      <c r="E319" s="557">
        <f t="shared" ref="E319:N319" si="80">(eSystemsLeaseHostLaborHrsSMCS/eSystemsTouchHourspaSMCS)*eSystemsLessorVisitForecast</f>
        <v>0</v>
      </c>
      <c r="F319" s="557">
        <f t="shared" si="80"/>
        <v>0</v>
      </c>
      <c r="G319" s="557">
        <f t="shared" si="80"/>
        <v>0</v>
      </c>
      <c r="H319" s="557">
        <f t="shared" si="80"/>
        <v>0</v>
      </c>
      <c r="I319" s="557">
        <f t="shared" si="80"/>
        <v>0</v>
      </c>
      <c r="J319" s="557">
        <f t="shared" si="80"/>
        <v>0</v>
      </c>
      <c r="K319" s="557">
        <f t="shared" si="80"/>
        <v>0</v>
      </c>
      <c r="L319" s="557">
        <f t="shared" si="80"/>
        <v>0</v>
      </c>
      <c r="M319" s="557">
        <f t="shared" si="80"/>
        <v>0</v>
      </c>
      <c r="N319" s="557">
        <f t="shared" si="80"/>
        <v>0</v>
      </c>
      <c r="O319" s="535" t="s">
        <v>2965</v>
      </c>
    </row>
    <row r="320" spans="1:33" s="142" customFormat="1" ht="18" hidden="1" customHeight="1" outlineLevel="1" x14ac:dyDescent="0.2">
      <c r="A320" s="74"/>
      <c r="B320" s="138"/>
      <c r="C320" s="235"/>
      <c r="D320" s="726" t="s">
        <v>1941</v>
      </c>
      <c r="E320" s="557">
        <f t="shared" ref="E320:N320" si="81">(eSystemsLeaseHostLaborHrsO1/eSystemsTouchHourspaO1)*eSystemsLessorVisitForecast</f>
        <v>0</v>
      </c>
      <c r="F320" s="557">
        <f t="shared" si="81"/>
        <v>0</v>
      </c>
      <c r="G320" s="557">
        <f t="shared" si="81"/>
        <v>0</v>
      </c>
      <c r="H320" s="557">
        <f t="shared" si="81"/>
        <v>0</v>
      </c>
      <c r="I320" s="557">
        <f t="shared" si="81"/>
        <v>0</v>
      </c>
      <c r="J320" s="557">
        <f t="shared" si="81"/>
        <v>0</v>
      </c>
      <c r="K320" s="557">
        <f t="shared" si="81"/>
        <v>0</v>
      </c>
      <c r="L320" s="557">
        <f t="shared" si="81"/>
        <v>0</v>
      </c>
      <c r="M320" s="557">
        <f t="shared" si="81"/>
        <v>0</v>
      </c>
      <c r="N320" s="557">
        <f t="shared" si="81"/>
        <v>0</v>
      </c>
      <c r="O320" s="535" t="s">
        <v>2966</v>
      </c>
    </row>
    <row r="321" spans="1:33" s="142" customFormat="1" ht="18" hidden="1" customHeight="1" outlineLevel="1" x14ac:dyDescent="0.2">
      <c r="A321" s="74"/>
      <c r="B321" s="138"/>
      <c r="C321" s="235"/>
      <c r="D321" s="726" t="s">
        <v>1942</v>
      </c>
      <c r="E321" s="557">
        <f t="shared" ref="E321:N321" si="82">(eSystemsLeaseHostLaborHrsO2/eSystemsTouchHourspaO2)*eSystemsLessorVisitForecast</f>
        <v>0</v>
      </c>
      <c r="F321" s="557">
        <f t="shared" si="82"/>
        <v>0</v>
      </c>
      <c r="G321" s="557">
        <f t="shared" si="82"/>
        <v>0</v>
      </c>
      <c r="H321" s="557">
        <f t="shared" si="82"/>
        <v>0</v>
      </c>
      <c r="I321" s="557">
        <f t="shared" si="82"/>
        <v>0</v>
      </c>
      <c r="J321" s="557">
        <f t="shared" si="82"/>
        <v>0</v>
      </c>
      <c r="K321" s="557">
        <f t="shared" si="82"/>
        <v>0</v>
      </c>
      <c r="L321" s="557">
        <f t="shared" si="82"/>
        <v>0</v>
      </c>
      <c r="M321" s="557">
        <f t="shared" si="82"/>
        <v>0</v>
      </c>
      <c r="N321" s="557">
        <f t="shared" si="82"/>
        <v>0</v>
      </c>
      <c r="O321" s="535" t="s">
        <v>2967</v>
      </c>
    </row>
    <row r="322" spans="1:33" s="142" customFormat="1" ht="18" hidden="1" customHeight="1" outlineLevel="1" x14ac:dyDescent="0.25">
      <c r="A322" s="74"/>
      <c r="B322" s="138"/>
      <c r="C322" s="235"/>
      <c r="D322" s="728" t="s">
        <v>1943</v>
      </c>
      <c r="E322" s="562">
        <f>SUM(E310:E321)</f>
        <v>0.69889341875363997</v>
      </c>
      <c r="F322" s="562">
        <f t="shared" ref="F322:N322" si="83">SUM(F310:F321)</f>
        <v>0.69889341875363997</v>
      </c>
      <c r="G322" s="562">
        <f t="shared" si="83"/>
        <v>0.69889341875363997</v>
      </c>
      <c r="H322" s="562">
        <f t="shared" si="83"/>
        <v>0.69889341875363997</v>
      </c>
      <c r="I322" s="562">
        <f t="shared" si="83"/>
        <v>0.69889341875363997</v>
      </c>
      <c r="J322" s="562">
        <f t="shared" si="83"/>
        <v>0.69889341875363997</v>
      </c>
      <c r="K322" s="562">
        <f t="shared" si="83"/>
        <v>0.69889341875363997</v>
      </c>
      <c r="L322" s="562">
        <f t="shared" si="83"/>
        <v>0.69889341875363997</v>
      </c>
      <c r="M322" s="562">
        <f t="shared" si="83"/>
        <v>0.69889341875363997</v>
      </c>
      <c r="N322" s="562">
        <f t="shared" si="83"/>
        <v>0.69889341875363997</v>
      </c>
      <c r="O322" s="535" t="s">
        <v>2968</v>
      </c>
    </row>
    <row r="323" spans="1:33" s="142" customFormat="1" ht="18" hidden="1" customHeight="1" outlineLevel="1" thickBot="1" x14ac:dyDescent="0.25">
      <c r="A323" s="74"/>
      <c r="B323" s="138"/>
      <c r="C323" s="325"/>
      <c r="D323" s="725"/>
      <c r="E323" s="568"/>
      <c r="F323" s="568"/>
      <c r="G323" s="568"/>
      <c r="H323" s="568"/>
      <c r="I323" s="568"/>
      <c r="J323" s="568"/>
      <c r="K323" s="568"/>
      <c r="L323" s="568"/>
      <c r="M323" s="568"/>
      <c r="N323" s="568"/>
      <c r="O323" s="569"/>
    </row>
    <row r="324" spans="1:33" s="142" customFormat="1" hidden="1" outlineLevel="1" x14ac:dyDescent="0.2">
      <c r="B324" s="138"/>
      <c r="C324" s="211"/>
      <c r="D324" s="214"/>
      <c r="E324" s="210"/>
      <c r="F324" s="210"/>
      <c r="G324" s="210"/>
      <c r="H324" s="210"/>
      <c r="I324" s="210"/>
      <c r="J324" s="210"/>
      <c r="K324" s="210"/>
      <c r="L324" s="210"/>
      <c r="M324" s="210"/>
      <c r="N324" s="210"/>
      <c r="O324" s="204"/>
    </row>
    <row r="325" spans="1:33" s="122" customFormat="1" ht="15.75" collapsed="1" x14ac:dyDescent="0.2">
      <c r="A325" s="1043">
        <v>3</v>
      </c>
      <c r="B325" s="1039"/>
      <c r="C325" s="1039"/>
      <c r="D325" s="1039"/>
      <c r="E325" s="1039"/>
      <c r="F325" s="1039"/>
      <c r="G325" s="1039"/>
      <c r="H325" s="1039"/>
      <c r="I325" s="1039"/>
      <c r="J325" s="1039"/>
      <c r="K325" s="1039"/>
      <c r="L325" s="1039"/>
      <c r="M325" s="1039"/>
      <c r="N325" s="1039"/>
      <c r="O325" s="1039"/>
      <c r="P325" s="206"/>
      <c r="Q325" s="206"/>
      <c r="R325" s="206"/>
      <c r="S325" s="206"/>
      <c r="T325" s="206"/>
      <c r="U325" s="206"/>
      <c r="V325" s="206"/>
      <c r="W325" s="206"/>
      <c r="X325" s="206"/>
      <c r="Y325" s="206"/>
      <c r="Z325" s="206"/>
      <c r="AA325" s="206"/>
      <c r="AB325" s="206"/>
      <c r="AC325" s="206"/>
      <c r="AD325" s="206"/>
      <c r="AE325" s="206"/>
      <c r="AF325" s="206"/>
    </row>
    <row r="326" spans="1:33" s="142" customFormat="1" ht="18" customHeight="1" thickBot="1" x14ac:dyDescent="0.25">
      <c r="B326" s="138"/>
      <c r="C326" s="211"/>
      <c r="D326" s="214"/>
      <c r="E326" s="210"/>
      <c r="F326" s="210"/>
      <c r="G326" s="210"/>
      <c r="H326" s="210"/>
      <c r="I326" s="210"/>
      <c r="J326" s="210"/>
      <c r="K326" s="210"/>
      <c r="L326" s="210"/>
      <c r="M326" s="210"/>
      <c r="N326" s="210"/>
      <c r="O326" s="204"/>
    </row>
    <row r="327" spans="1:33" s="203" customFormat="1" ht="20.100000000000001" customHeight="1" x14ac:dyDescent="0.2">
      <c r="A327" s="1397" t="s">
        <v>4184</v>
      </c>
      <c r="C327" s="1413" t="s">
        <v>4183</v>
      </c>
      <c r="D327" s="1414"/>
      <c r="E327" s="210"/>
      <c r="F327" s="210"/>
      <c r="G327" s="210"/>
      <c r="H327" s="210"/>
      <c r="I327" s="210"/>
      <c r="J327" s="210"/>
      <c r="K327" s="210"/>
      <c r="L327" s="210"/>
      <c r="M327" s="210"/>
      <c r="N327" s="210"/>
      <c r="O327" s="205"/>
      <c r="P327" s="204"/>
    </row>
    <row r="328" spans="1:33" s="203" customFormat="1" ht="18" x14ac:dyDescent="0.2">
      <c r="A328" s="1398"/>
      <c r="B328" s="211"/>
      <c r="C328" s="216"/>
      <c r="D328" s="214"/>
      <c r="E328" s="210"/>
      <c r="F328" s="210"/>
      <c r="G328" s="210"/>
      <c r="H328" s="210"/>
      <c r="I328" s="210"/>
      <c r="J328" s="210"/>
      <c r="K328" s="210"/>
      <c r="L328" s="210"/>
      <c r="M328" s="210"/>
      <c r="N328" s="210"/>
      <c r="O328" s="205"/>
      <c r="P328" s="204"/>
    </row>
    <row r="329" spans="1:33" s="203" customFormat="1" ht="18" x14ac:dyDescent="0.2">
      <c r="A329" s="1399"/>
      <c r="B329" s="211"/>
      <c r="C329" s="216"/>
      <c r="D329" s="214"/>
      <c r="E329" s="210"/>
      <c r="F329" s="210"/>
      <c r="G329" s="210"/>
      <c r="H329" s="210"/>
      <c r="I329" s="210"/>
      <c r="J329" s="210"/>
      <c r="K329" s="210"/>
      <c r="L329" s="210"/>
      <c r="M329" s="210"/>
      <c r="N329" s="210"/>
      <c r="O329" s="205"/>
      <c r="P329" s="204"/>
    </row>
    <row r="330" spans="1:33" s="203" customFormat="1" ht="15" customHeight="1" x14ac:dyDescent="0.2">
      <c r="A330" s="142"/>
      <c r="B330" s="211"/>
      <c r="C330" s="216"/>
      <c r="D330" s="214"/>
      <c r="E330" s="210"/>
      <c r="F330" s="210"/>
      <c r="G330" s="210"/>
      <c r="H330" s="210"/>
      <c r="I330" s="210"/>
      <c r="J330" s="210"/>
      <c r="K330" s="210"/>
      <c r="L330" s="210"/>
      <c r="M330" s="210"/>
      <c r="N330" s="210"/>
      <c r="O330" s="205"/>
      <c r="P330" s="204"/>
    </row>
    <row r="331" spans="1:33" s="203" customFormat="1" ht="13.5" hidden="1" customHeight="1" outlineLevel="1" thickBot="1" x14ac:dyDescent="0.25">
      <c r="A331" s="142"/>
      <c r="B331" s="211"/>
      <c r="C331" s="216"/>
      <c r="D331" s="214"/>
      <c r="E331" s="210"/>
      <c r="F331" s="210"/>
      <c r="G331" s="210"/>
      <c r="H331" s="210"/>
      <c r="I331" s="210"/>
      <c r="J331" s="210"/>
      <c r="K331" s="210"/>
      <c r="L331" s="210"/>
      <c r="M331" s="210"/>
      <c r="N331" s="210"/>
      <c r="O331" s="205"/>
      <c r="P331" s="204"/>
    </row>
    <row r="332" spans="1:33" s="203" customFormat="1" ht="20.100000000000001" hidden="1" customHeight="1" outlineLevel="1" x14ac:dyDescent="0.2">
      <c r="A332" s="1397" t="s">
        <v>4182</v>
      </c>
      <c r="B332" s="206"/>
      <c r="C332" s="1007" t="s">
        <v>462</v>
      </c>
      <c r="D332" s="729"/>
      <c r="E332" s="322"/>
      <c r="F332" s="322"/>
      <c r="G332" s="322"/>
      <c r="H332" s="322"/>
      <c r="I332" s="322"/>
      <c r="J332" s="322"/>
      <c r="K332" s="322"/>
      <c r="L332" s="322"/>
      <c r="M332" s="322"/>
      <c r="N332" s="322"/>
      <c r="O332" s="579"/>
      <c r="P332" s="204"/>
    </row>
    <row r="333" spans="1:33" s="203" customFormat="1" hidden="1" outlineLevel="1" x14ac:dyDescent="0.2">
      <c r="A333" s="1398"/>
      <c r="B333" s="206"/>
      <c r="C333" s="331"/>
      <c r="D333" s="730" t="s">
        <v>212</v>
      </c>
      <c r="E333" s="570">
        <v>500</v>
      </c>
      <c r="F333" s="570">
        <v>500</v>
      </c>
      <c r="G333" s="570">
        <v>500</v>
      </c>
      <c r="H333" s="570">
        <v>500</v>
      </c>
      <c r="I333" s="570">
        <v>500</v>
      </c>
      <c r="J333" s="570">
        <v>500</v>
      </c>
      <c r="K333" s="570">
        <v>500</v>
      </c>
      <c r="L333" s="570">
        <v>500</v>
      </c>
      <c r="M333" s="570">
        <v>500</v>
      </c>
      <c r="N333" s="570">
        <v>500</v>
      </c>
      <c r="O333" s="324" t="s">
        <v>213</v>
      </c>
      <c r="P333" s="204"/>
    </row>
    <row r="334" spans="1:33" s="206" customFormat="1" ht="13.5" hidden="1" outlineLevel="1" thickBot="1" x14ac:dyDescent="0.25">
      <c r="A334" s="1399"/>
      <c r="C334" s="564"/>
      <c r="D334" s="725"/>
      <c r="E334" s="568"/>
      <c r="F334" s="568"/>
      <c r="G334" s="568"/>
      <c r="H334" s="568"/>
      <c r="I334" s="568"/>
      <c r="J334" s="568"/>
      <c r="K334" s="568"/>
      <c r="L334" s="568"/>
      <c r="M334" s="568"/>
      <c r="N334" s="568"/>
      <c r="O334" s="580"/>
      <c r="P334" s="210"/>
    </row>
    <row r="335" spans="1:33" s="206" customFormat="1" ht="12" hidden="1" customHeight="1" outlineLevel="1" thickBot="1" x14ac:dyDescent="0.3">
      <c r="A335" s="142"/>
      <c r="B335" s="576"/>
      <c r="C335" s="567"/>
      <c r="D335" s="730"/>
      <c r="E335" s="136"/>
      <c r="F335" s="136"/>
      <c r="G335" s="136"/>
      <c r="H335" s="136"/>
      <c r="I335" s="136"/>
      <c r="J335" s="136"/>
      <c r="K335" s="136"/>
      <c r="L335" s="136"/>
      <c r="M335" s="136"/>
      <c r="N335" s="136"/>
      <c r="O335" s="578"/>
      <c r="P335" s="210"/>
    </row>
    <row r="336" spans="1:33" s="8" customFormat="1" ht="20.25" hidden="1" outlineLevel="1" x14ac:dyDescent="0.25">
      <c r="A336" s="1397" t="s">
        <v>4192</v>
      </c>
      <c r="B336" s="194"/>
      <c r="C336" s="1007" t="str">
        <f>Scenario1&amp;" Lessee Labor Hours per Disputed Record"</f>
        <v>pSystems (Paper) Lessee Labor Hours per Disputed Record</v>
      </c>
      <c r="D336" s="310"/>
      <c r="E336" s="240"/>
      <c r="F336" s="240"/>
      <c r="G336" s="240"/>
      <c r="H336" s="240"/>
      <c r="I336" s="240"/>
      <c r="J336" s="240"/>
      <c r="K336" s="240"/>
      <c r="L336" s="240"/>
      <c r="M336" s="240"/>
      <c r="N336" s="240"/>
      <c r="O336" s="435"/>
      <c r="P336" s="17"/>
      <c r="Q336" s="17"/>
      <c r="R336" s="17"/>
      <c r="S336" s="17"/>
      <c r="T336" s="17"/>
      <c r="U336" s="17"/>
      <c r="V336" s="17"/>
      <c r="W336" s="17"/>
      <c r="X336" s="17"/>
      <c r="Y336" s="17"/>
      <c r="Z336" s="17"/>
      <c r="AA336" s="17"/>
      <c r="AB336" s="17"/>
      <c r="AC336" s="17"/>
      <c r="AD336" s="17"/>
      <c r="AE336" s="17"/>
      <c r="AF336" s="17"/>
      <c r="AG336" s="17"/>
    </row>
    <row r="337" spans="1:33" s="142" customFormat="1" ht="18" hidden="1" customHeight="1" outlineLevel="1" x14ac:dyDescent="0.2">
      <c r="A337" s="1398"/>
      <c r="B337" s="138"/>
      <c r="C337" s="235"/>
      <c r="D337" s="726" t="s">
        <v>2018</v>
      </c>
      <c r="E337" s="577">
        <v>0</v>
      </c>
      <c r="F337" s="577">
        <v>0</v>
      </c>
      <c r="G337" s="577">
        <v>0</v>
      </c>
      <c r="H337" s="577">
        <v>0</v>
      </c>
      <c r="I337" s="577">
        <v>0</v>
      </c>
      <c r="J337" s="577">
        <v>0</v>
      </c>
      <c r="K337" s="577">
        <v>0</v>
      </c>
      <c r="L337" s="577">
        <v>0</v>
      </c>
      <c r="M337" s="577">
        <v>0</v>
      </c>
      <c r="N337" s="577">
        <v>0</v>
      </c>
      <c r="O337" s="535" t="s">
        <v>2030</v>
      </c>
    </row>
    <row r="338" spans="1:33" s="142" customFormat="1" ht="18" hidden="1" customHeight="1" outlineLevel="1" x14ac:dyDescent="0.2">
      <c r="A338" s="1398"/>
      <c r="B338" s="138"/>
      <c r="C338" s="235"/>
      <c r="D338" s="726" t="s">
        <v>2019</v>
      </c>
      <c r="E338" s="577">
        <v>0</v>
      </c>
      <c r="F338" s="577">
        <v>0</v>
      </c>
      <c r="G338" s="577">
        <v>0</v>
      </c>
      <c r="H338" s="577">
        <v>0</v>
      </c>
      <c r="I338" s="577">
        <v>0</v>
      </c>
      <c r="J338" s="577">
        <v>0</v>
      </c>
      <c r="K338" s="577">
        <v>0</v>
      </c>
      <c r="L338" s="577">
        <v>0</v>
      </c>
      <c r="M338" s="577">
        <v>0</v>
      </c>
      <c r="N338" s="577">
        <v>0</v>
      </c>
      <c r="O338" s="535" t="s">
        <v>2031</v>
      </c>
    </row>
    <row r="339" spans="1:33" s="142" customFormat="1" ht="18" hidden="1" customHeight="1" outlineLevel="1" x14ac:dyDescent="0.2">
      <c r="A339" s="1398"/>
      <c r="B339" s="138"/>
      <c r="C339" s="235"/>
      <c r="D339" s="726" t="s">
        <v>2020</v>
      </c>
      <c r="E339" s="577">
        <v>1</v>
      </c>
      <c r="F339" s="577">
        <v>1</v>
      </c>
      <c r="G339" s="577">
        <v>1</v>
      </c>
      <c r="H339" s="577">
        <v>1</v>
      </c>
      <c r="I339" s="577">
        <v>1</v>
      </c>
      <c r="J339" s="577">
        <v>1</v>
      </c>
      <c r="K339" s="577">
        <v>1</v>
      </c>
      <c r="L339" s="577">
        <v>1</v>
      </c>
      <c r="M339" s="577">
        <v>1</v>
      </c>
      <c r="N339" s="577">
        <v>1</v>
      </c>
      <c r="O339" s="535" t="s">
        <v>2032</v>
      </c>
    </row>
    <row r="340" spans="1:33" s="142" customFormat="1" ht="18" hidden="1" customHeight="1" outlineLevel="1" x14ac:dyDescent="0.2">
      <c r="A340" s="1398"/>
      <c r="B340" s="138"/>
      <c r="C340" s="235"/>
      <c r="D340" s="726" t="s">
        <v>2021</v>
      </c>
      <c r="E340" s="577">
        <v>1</v>
      </c>
      <c r="F340" s="577">
        <v>1</v>
      </c>
      <c r="G340" s="577">
        <v>1</v>
      </c>
      <c r="H340" s="577">
        <v>1</v>
      </c>
      <c r="I340" s="577">
        <v>1</v>
      </c>
      <c r="J340" s="577">
        <v>1</v>
      </c>
      <c r="K340" s="577">
        <v>1</v>
      </c>
      <c r="L340" s="577">
        <v>1</v>
      </c>
      <c r="M340" s="577">
        <v>1</v>
      </c>
      <c r="N340" s="577">
        <v>1</v>
      </c>
      <c r="O340" s="535" t="s">
        <v>2033</v>
      </c>
    </row>
    <row r="341" spans="1:33" s="142" customFormat="1" ht="18" hidden="1" customHeight="1" outlineLevel="1" x14ac:dyDescent="0.2">
      <c r="A341" s="1398"/>
      <c r="B341" s="138"/>
      <c r="C341" s="235"/>
      <c r="D341" s="726" t="s">
        <v>2022</v>
      </c>
      <c r="E341" s="577">
        <v>1</v>
      </c>
      <c r="F341" s="577">
        <v>1</v>
      </c>
      <c r="G341" s="577">
        <v>1</v>
      </c>
      <c r="H341" s="577">
        <v>1</v>
      </c>
      <c r="I341" s="577">
        <v>1</v>
      </c>
      <c r="J341" s="577">
        <v>1</v>
      </c>
      <c r="K341" s="577">
        <v>1</v>
      </c>
      <c r="L341" s="577">
        <v>1</v>
      </c>
      <c r="M341" s="577">
        <v>1</v>
      </c>
      <c r="N341" s="577">
        <v>1</v>
      </c>
      <c r="O341" s="535" t="s">
        <v>2034</v>
      </c>
    </row>
    <row r="342" spans="1:33" s="142" customFormat="1" ht="18" hidden="1" customHeight="1" outlineLevel="1" x14ac:dyDescent="0.2">
      <c r="A342" s="1398"/>
      <c r="B342" s="138"/>
      <c r="C342" s="235"/>
      <c r="D342" s="726" t="s">
        <v>2023</v>
      </c>
      <c r="E342" s="577">
        <v>0</v>
      </c>
      <c r="F342" s="577">
        <v>0</v>
      </c>
      <c r="G342" s="577">
        <v>0</v>
      </c>
      <c r="H342" s="577">
        <v>0</v>
      </c>
      <c r="I342" s="577">
        <v>0</v>
      </c>
      <c r="J342" s="577">
        <v>0</v>
      </c>
      <c r="K342" s="577">
        <v>0</v>
      </c>
      <c r="L342" s="577">
        <v>0</v>
      </c>
      <c r="M342" s="577">
        <v>0</v>
      </c>
      <c r="N342" s="577">
        <v>0</v>
      </c>
      <c r="O342" s="535" t="s">
        <v>2035</v>
      </c>
    </row>
    <row r="343" spans="1:33" s="142" customFormat="1" ht="18" hidden="1" customHeight="1" outlineLevel="1" x14ac:dyDescent="0.2">
      <c r="A343" s="1398"/>
      <c r="B343" s="138"/>
      <c r="C343" s="235"/>
      <c r="D343" s="726" t="s">
        <v>2024</v>
      </c>
      <c r="E343" s="577">
        <v>1</v>
      </c>
      <c r="F343" s="577">
        <v>1</v>
      </c>
      <c r="G343" s="577">
        <v>1</v>
      </c>
      <c r="H343" s="577">
        <v>1</v>
      </c>
      <c r="I343" s="577">
        <v>1</v>
      </c>
      <c r="J343" s="577">
        <v>1</v>
      </c>
      <c r="K343" s="577">
        <v>1</v>
      </c>
      <c r="L343" s="577">
        <v>1</v>
      </c>
      <c r="M343" s="577">
        <v>1</v>
      </c>
      <c r="N343" s="577">
        <v>1</v>
      </c>
      <c r="O343" s="535" t="s">
        <v>2036</v>
      </c>
    </row>
    <row r="344" spans="1:33" s="142" customFormat="1" ht="18" hidden="1" customHeight="1" outlineLevel="1" x14ac:dyDescent="0.2">
      <c r="A344" s="1398"/>
      <c r="B344" s="138"/>
      <c r="C344" s="235"/>
      <c r="D344" s="726" t="s">
        <v>2025</v>
      </c>
      <c r="E344" s="577">
        <v>0</v>
      </c>
      <c r="F344" s="577">
        <v>0</v>
      </c>
      <c r="G344" s="577">
        <v>0</v>
      </c>
      <c r="H344" s="577">
        <v>0</v>
      </c>
      <c r="I344" s="577">
        <v>0</v>
      </c>
      <c r="J344" s="577">
        <v>0</v>
      </c>
      <c r="K344" s="577">
        <v>0</v>
      </c>
      <c r="L344" s="577">
        <v>0</v>
      </c>
      <c r="M344" s="577">
        <v>0</v>
      </c>
      <c r="N344" s="577">
        <v>0</v>
      </c>
      <c r="O344" s="535" t="s">
        <v>2037</v>
      </c>
    </row>
    <row r="345" spans="1:33" s="142" customFormat="1" ht="18" hidden="1" customHeight="1" outlineLevel="1" x14ac:dyDescent="0.2">
      <c r="A345" s="1398"/>
      <c r="B345" s="565"/>
      <c r="C345" s="235"/>
      <c r="D345" s="726" t="s">
        <v>2026</v>
      </c>
      <c r="E345" s="577">
        <v>0</v>
      </c>
      <c r="F345" s="577">
        <v>0</v>
      </c>
      <c r="G345" s="577">
        <v>0</v>
      </c>
      <c r="H345" s="577">
        <v>0</v>
      </c>
      <c r="I345" s="577">
        <v>0</v>
      </c>
      <c r="J345" s="577">
        <v>0</v>
      </c>
      <c r="K345" s="577">
        <v>0</v>
      </c>
      <c r="L345" s="577">
        <v>0</v>
      </c>
      <c r="M345" s="577">
        <v>0</v>
      </c>
      <c r="N345" s="577">
        <v>0</v>
      </c>
      <c r="O345" s="535" t="s">
        <v>2038</v>
      </c>
    </row>
    <row r="346" spans="1:33" s="142" customFormat="1" ht="18" hidden="1" customHeight="1" outlineLevel="1" x14ac:dyDescent="0.2">
      <c r="A346" s="1398"/>
      <c r="B346" s="565"/>
      <c r="C346" s="235"/>
      <c r="D346" s="726" t="s">
        <v>2027</v>
      </c>
      <c r="E346" s="577">
        <v>0</v>
      </c>
      <c r="F346" s="577">
        <v>0</v>
      </c>
      <c r="G346" s="577">
        <v>0</v>
      </c>
      <c r="H346" s="577">
        <v>0</v>
      </c>
      <c r="I346" s="577">
        <v>0</v>
      </c>
      <c r="J346" s="577">
        <v>0</v>
      </c>
      <c r="K346" s="577">
        <v>0</v>
      </c>
      <c r="L346" s="577">
        <v>0</v>
      </c>
      <c r="M346" s="577">
        <v>0</v>
      </c>
      <c r="N346" s="577">
        <v>0</v>
      </c>
      <c r="O346" s="535" t="s">
        <v>2039</v>
      </c>
    </row>
    <row r="347" spans="1:33" s="142" customFormat="1" ht="18" hidden="1" customHeight="1" outlineLevel="1" x14ac:dyDescent="0.2">
      <c r="A347" s="1398"/>
      <c r="B347" s="138"/>
      <c r="C347" s="235"/>
      <c r="D347" s="726" t="s">
        <v>2028</v>
      </c>
      <c r="E347" s="577">
        <v>0</v>
      </c>
      <c r="F347" s="577">
        <v>0</v>
      </c>
      <c r="G347" s="577">
        <v>0</v>
      </c>
      <c r="H347" s="577">
        <v>0</v>
      </c>
      <c r="I347" s="577">
        <v>0</v>
      </c>
      <c r="J347" s="577">
        <v>0</v>
      </c>
      <c r="K347" s="577">
        <v>0</v>
      </c>
      <c r="L347" s="577">
        <v>0</v>
      </c>
      <c r="M347" s="577">
        <v>0</v>
      </c>
      <c r="N347" s="577">
        <v>0</v>
      </c>
      <c r="O347" s="535" t="s">
        <v>2040</v>
      </c>
    </row>
    <row r="348" spans="1:33" s="142" customFormat="1" ht="18" hidden="1" customHeight="1" outlineLevel="1" x14ac:dyDescent="0.2">
      <c r="A348" s="1398"/>
      <c r="B348" s="138"/>
      <c r="C348" s="235"/>
      <c r="D348" s="726" t="s">
        <v>2029</v>
      </c>
      <c r="E348" s="577">
        <v>0</v>
      </c>
      <c r="F348" s="577">
        <v>0</v>
      </c>
      <c r="G348" s="577">
        <v>0</v>
      </c>
      <c r="H348" s="577">
        <v>0</v>
      </c>
      <c r="I348" s="577">
        <v>0</v>
      </c>
      <c r="J348" s="577">
        <v>0</v>
      </c>
      <c r="K348" s="577">
        <v>0</v>
      </c>
      <c r="L348" s="577">
        <v>0</v>
      </c>
      <c r="M348" s="577">
        <v>0</v>
      </c>
      <c r="N348" s="577">
        <v>0</v>
      </c>
      <c r="O348" s="535" t="s">
        <v>2041</v>
      </c>
    </row>
    <row r="349" spans="1:33" s="206" customFormat="1" ht="15.75" hidden="1" outlineLevel="1" thickBot="1" x14ac:dyDescent="0.3">
      <c r="A349" s="1399"/>
      <c r="B349" s="563"/>
      <c r="C349" s="564"/>
      <c r="D349" s="724"/>
      <c r="E349" s="571"/>
      <c r="F349" s="571"/>
      <c r="G349" s="571"/>
      <c r="H349" s="571"/>
      <c r="I349" s="571"/>
      <c r="J349" s="571"/>
      <c r="K349" s="571"/>
      <c r="L349" s="571"/>
      <c r="M349" s="571"/>
      <c r="N349" s="571"/>
      <c r="O349" s="572"/>
      <c r="P349" s="210"/>
    </row>
    <row r="350" spans="1:33" s="206" customFormat="1" ht="15.75" hidden="1" outlineLevel="1" thickBot="1" x14ac:dyDescent="0.3">
      <c r="A350" s="142"/>
      <c r="B350" s="563"/>
      <c r="C350" s="322"/>
      <c r="D350" s="732"/>
      <c r="E350" s="581"/>
      <c r="F350" s="581"/>
      <c r="G350" s="581"/>
      <c r="H350" s="581"/>
      <c r="I350" s="581"/>
      <c r="J350" s="581"/>
      <c r="K350" s="581"/>
      <c r="L350" s="581"/>
      <c r="M350" s="581"/>
      <c r="N350" s="581"/>
      <c r="O350" s="558"/>
      <c r="P350" s="210"/>
    </row>
    <row r="351" spans="1:33" s="8" customFormat="1" ht="20.25" hidden="1" outlineLevel="1" x14ac:dyDescent="0.2">
      <c r="A351" s="1417" t="s">
        <v>4185</v>
      </c>
      <c r="B351" s="102"/>
      <c r="C351" s="1008" t="str">
        <f>Scenario1&amp;" Disputed Record Cost pa (based on Touch Hour Rate)"</f>
        <v>pSystems (Paper) Disputed Record Cost pa (based on Touch Hour Rate)</v>
      </c>
      <c r="D351" s="310"/>
      <c r="E351" s="316"/>
      <c r="F351" s="316"/>
      <c r="G351" s="316"/>
      <c r="H351" s="316"/>
      <c r="I351" s="316"/>
      <c r="J351" s="316"/>
      <c r="K351" s="316"/>
      <c r="L351" s="316"/>
      <c r="M351" s="316"/>
      <c r="N351" s="316"/>
      <c r="O351" s="583"/>
      <c r="P351" s="17"/>
      <c r="Q351" s="17"/>
      <c r="R351" s="17"/>
      <c r="S351" s="17"/>
      <c r="T351" s="17"/>
      <c r="U351" s="17"/>
      <c r="V351" s="17"/>
      <c r="W351" s="17"/>
      <c r="X351" s="17"/>
      <c r="Y351" s="17"/>
      <c r="Z351" s="17"/>
      <c r="AA351" s="17"/>
      <c r="AB351" s="17"/>
      <c r="AC351" s="17"/>
      <c r="AD351" s="17"/>
      <c r="AE351" s="17"/>
      <c r="AF351" s="17"/>
      <c r="AG351" s="17"/>
    </row>
    <row r="352" spans="1:33" s="142" customFormat="1" ht="18" hidden="1" customHeight="1" outlineLevel="1" x14ac:dyDescent="0.2">
      <c r="A352" s="1418"/>
      <c r="B352" s="138"/>
      <c r="C352" s="235"/>
      <c r="D352" s="726" t="s">
        <v>2055</v>
      </c>
      <c r="E352" s="555">
        <f>(pSystemsTouchRateHourHM*pSystemsLeaseDisputedRecordLaborHrsHM*pSystemsLeaseDisputeRecordsForecast)</f>
        <v>0</v>
      </c>
      <c r="F352" s="555">
        <f>(pSystemsTouchRateHourHM*pSystemsLeaseDisputedRecordLaborHrsHM*pSystemsLeaseDisputeRecordsForecast)*(1+Inflation)</f>
        <v>0</v>
      </c>
      <c r="G352" s="555">
        <f>(pSystemsTouchRateHourHM*pSystemsLeaseDisputedRecordLaborHrsHM*pSystemsLeaseDisputeRecordsForecast)*(1+Inflation)^2</f>
        <v>0</v>
      </c>
      <c r="H352" s="555">
        <f>(pSystemsTouchRateHourHM*pSystemsLeaseDisputedRecordLaborHrsHM*pSystemsLeaseDisputeRecordsForecast)*(1+Inflation)^3</f>
        <v>0</v>
      </c>
      <c r="I352" s="555">
        <f>(pSystemsTouchRateHourHM*pSystemsLeaseDisputedRecordLaborHrsHM*pSystemsLeaseDisputeRecordsForecast)*(1+Inflation)^4</f>
        <v>0</v>
      </c>
      <c r="J352" s="555">
        <f>(pSystemsTouchRateHourHM*pSystemsLeaseDisputedRecordLaborHrsHM*pSystemsLeaseDisputeRecordsForecast)*(1+Inflation)^5</f>
        <v>0</v>
      </c>
      <c r="K352" s="555">
        <f>(pSystemsTouchRateHourHM*pSystemsLeaseDisputedRecordLaborHrsHM*pSystemsLeaseDisputeRecordsForecast)*(1+Inflation)^6</f>
        <v>0</v>
      </c>
      <c r="L352" s="555">
        <f>(pSystemsTouchRateHourHM*pSystemsLeaseDisputedRecordLaborHrsHM*pSystemsLeaseDisputeRecordsForecast)*(1+Inflation)^7</f>
        <v>0</v>
      </c>
      <c r="M352" s="555">
        <f>(pSystemsTouchRateHourHM*pSystemsLeaseDisputedRecordLaborHrsHM*pSystemsLeaseDisputeRecordsForecast)*(1+Inflation)^8</f>
        <v>0</v>
      </c>
      <c r="N352" s="555">
        <f>(pSystemsTouchRateHourHM*pSystemsLeaseDisputedRecordLaborHrsHM*pSystemsLeaseDisputeRecordsForecast)*(1+Inflation)^9</f>
        <v>0</v>
      </c>
      <c r="O352" s="535" t="s">
        <v>2042</v>
      </c>
    </row>
    <row r="353" spans="1:33" s="142" customFormat="1" ht="18" hidden="1" customHeight="1" outlineLevel="1" x14ac:dyDescent="0.2">
      <c r="A353" s="1418"/>
      <c r="B353" s="128"/>
      <c r="C353" s="235"/>
      <c r="D353" s="726" t="s">
        <v>2056</v>
      </c>
      <c r="E353" s="555">
        <f>(pSystemsTouchRateHourLM*pSystemsLeaseDisputedRecordLaborHrsLM*pSystemsLeaseDisputeRecordsForecast)</f>
        <v>0</v>
      </c>
      <c r="F353" s="555">
        <f>(pSystemsTouchRateHourLM*pSystemsLeaseDisputedRecordLaborHrsLM*pSystemsLeaseDisputeRecordsForecast)*(1+Inflation)</f>
        <v>0</v>
      </c>
      <c r="G353" s="555">
        <f>(pSystemsTouchRateHourLM*pSystemsLeaseDisputedRecordLaborHrsLM*pSystemsLeaseDisputeRecordsForecast)*(1+Inflation)^2</f>
        <v>0</v>
      </c>
      <c r="H353" s="555">
        <f>(pSystemsTouchRateHourLM*pSystemsLeaseDisputedRecordLaborHrsLM*pSystemsLeaseDisputeRecordsForecast)*(1+Inflation)^3</f>
        <v>0</v>
      </c>
      <c r="I353" s="555">
        <f>(pSystemsTouchRateHourLM*pSystemsLeaseDisputedRecordLaborHrsLM*pSystemsLeaseDisputeRecordsForecast)*(1+Inflation)^4</f>
        <v>0</v>
      </c>
      <c r="J353" s="555">
        <f>(pSystemsTouchRateHourLM*pSystemsLeaseDisputedRecordLaborHrsLM*pSystemsLeaseDisputeRecordsForecast)*(1+Inflation)^5</f>
        <v>0</v>
      </c>
      <c r="K353" s="555">
        <f>(pSystemsTouchRateHourLM*pSystemsLeaseDisputedRecordLaborHrsLM*pSystemsLeaseDisputeRecordsForecast)*(1+Inflation)^6</f>
        <v>0</v>
      </c>
      <c r="L353" s="555">
        <f>(pSystemsTouchRateHourLM*pSystemsLeaseDisputedRecordLaborHrsLM*pSystemsLeaseDisputeRecordsForecast)*(1+Inflation)^7</f>
        <v>0</v>
      </c>
      <c r="M353" s="555">
        <f>(pSystemsTouchRateHourLM*pSystemsLeaseDisputedRecordLaborHrsLM*pSystemsLeaseDisputeRecordsForecast)*(1+Inflation)^8</f>
        <v>0</v>
      </c>
      <c r="N353" s="555">
        <f>(pSystemsTouchRateHourLM*pSystemsLeaseDisputedRecordLaborHrsLM*pSystemsLeaseDisputeRecordsForecast)*(1+Inflation)^9</f>
        <v>0</v>
      </c>
      <c r="O353" s="535" t="s">
        <v>2043</v>
      </c>
    </row>
    <row r="354" spans="1:33" s="142" customFormat="1" ht="18" hidden="1" customHeight="1" outlineLevel="1" x14ac:dyDescent="0.2">
      <c r="A354" s="1418"/>
      <c r="B354" s="128"/>
      <c r="C354" s="235"/>
      <c r="D354" s="727" t="s">
        <v>2057</v>
      </c>
      <c r="E354" s="555">
        <f>(pSystemsTouchRateHourENG*pSystemsLeaseDisputedRecordLaborHrsENG*pSystemsLeaseDisputeRecordsForecast)</f>
        <v>60880.168899242861</v>
      </c>
      <c r="F354" s="555">
        <f>(pSystemsTouchRateHourENG*pSystemsLeaseDisputedRecordLaborHrsENG*pSystemsLeaseDisputeRecordsForecast)*(1+Inflation)</f>
        <v>62097.772277227719</v>
      </c>
      <c r="G354" s="555">
        <f>(pSystemsTouchRateHourENG*pSystemsLeaseDisputedRecordLaborHrsENG*pSystemsLeaseDisputeRecordsForecast)*(1+Inflation)^2</f>
        <v>63339.727722772273</v>
      </c>
      <c r="H354" s="555">
        <f>(pSystemsTouchRateHourENG*pSystemsLeaseDisputedRecordLaborHrsENG*pSystemsLeaseDisputeRecordsForecast)*(1+Inflation)^3</f>
        <v>64606.522277227712</v>
      </c>
      <c r="I354" s="555">
        <f>(pSystemsTouchRateHourENG*pSystemsLeaseDisputedRecordLaborHrsENG*pSystemsLeaseDisputeRecordsForecast)*(1+Inflation)^4</f>
        <v>65898.652722772269</v>
      </c>
      <c r="J354" s="555">
        <f>(pSystemsTouchRateHourENG*pSystemsLeaseDisputedRecordLaborHrsENG*pSystemsLeaseDisputeRecordsForecast)*(1+Inflation)^5</f>
        <v>67216.625777227717</v>
      </c>
      <c r="K354" s="555">
        <f>(pSystemsTouchRateHourENG*pSystemsLeaseDisputedRecordLaborHrsENG*pSystemsLeaseDisputeRecordsForecast)*(1+Inflation)^6</f>
        <v>68560.95829277228</v>
      </c>
      <c r="L354" s="555">
        <f>(pSystemsTouchRateHourENG*pSystemsLeaseDisputedRecordLaborHrsENG*pSystemsLeaseDisputeRecordsForecast)*(1+Inflation)^7</f>
        <v>69932.177458627702</v>
      </c>
      <c r="M354" s="555">
        <f>(pSystemsTouchRateHourENG*pSystemsLeaseDisputedRecordLaborHrsENG*pSystemsLeaseDisputeRecordsForecast)*(1+Inflation)^8</f>
        <v>71330.821007800274</v>
      </c>
      <c r="N354" s="555">
        <f>(pSystemsTouchRateHourENG*pSystemsLeaseDisputedRecordLaborHrsENG*pSystemsLeaseDisputeRecordsForecast)*(1+Inflation)^9</f>
        <v>72757.437427956276</v>
      </c>
      <c r="O354" s="535" t="s">
        <v>2044</v>
      </c>
    </row>
    <row r="355" spans="1:33" s="142" customFormat="1" ht="18" hidden="1" customHeight="1" outlineLevel="1" x14ac:dyDescent="0.2">
      <c r="A355" s="1418"/>
      <c r="B355" s="138"/>
      <c r="C355" s="235"/>
      <c r="D355" s="726" t="s">
        <v>2058</v>
      </c>
      <c r="E355" s="555">
        <f>(pSystemsTouchRateHourPLG*pSystemsLeaseDisputedRecordLaborHrsPLG*pSystemsLeaseDisputeRecordsForecast)</f>
        <v>57497.937293729374</v>
      </c>
      <c r="F355" s="555">
        <f>(pSystemsTouchRateHourPLG*pSystemsLeaseDisputedRecordLaborHrsPLG*pSystemsLeaseDisputeRecordsForecast)*(1+Inflation)</f>
        <v>58647.896039603962</v>
      </c>
      <c r="G355" s="555">
        <f>(pSystemsTouchRateHourPLG*pSystemsLeaseDisputedRecordLaborHrsPLG*pSystemsLeaseDisputeRecordsForecast)*(1+Inflation)^2</f>
        <v>59820.853960396038</v>
      </c>
      <c r="H355" s="555">
        <f>(pSystemsTouchRateHourPLG*pSystemsLeaseDisputedRecordLaborHrsPLG*pSystemsLeaseDisputeRecordsForecast)*(1+Inflation)^3</f>
        <v>61017.271039603955</v>
      </c>
      <c r="I355" s="555">
        <f>(pSystemsTouchRateHourPLG*pSystemsLeaseDisputedRecordLaborHrsPLG*pSystemsLeaseDisputeRecordsForecast)*(1+Inflation)^4</f>
        <v>62237.616460396042</v>
      </c>
      <c r="J355" s="555">
        <f>(pSystemsTouchRateHourPLG*pSystemsLeaseDisputedRecordLaborHrsPLG*pSystemsLeaseDisputeRecordsForecast)*(1+Inflation)^5</f>
        <v>63482.368789603963</v>
      </c>
      <c r="K355" s="555">
        <f>(pSystemsTouchRateHourPLG*pSystemsLeaseDisputedRecordLaborHrsPLG*pSystemsLeaseDisputeRecordsForecast)*(1+Inflation)^6</f>
        <v>64752.016165396046</v>
      </c>
      <c r="L355" s="555">
        <f>(pSystemsTouchRateHourPLG*pSystemsLeaseDisputedRecordLaborHrsPLG*pSystemsLeaseDisputeRecordsForecast)*(1+Inflation)^7</f>
        <v>66047.056488703951</v>
      </c>
      <c r="M355" s="555">
        <f>(pSystemsTouchRateHourPLG*pSystemsLeaseDisputedRecordLaborHrsPLG*pSystemsLeaseDisputeRecordsForecast)*(1+Inflation)^8</f>
        <v>67367.997618478039</v>
      </c>
      <c r="N355" s="555">
        <f>(pSystemsTouchRateHourPLG*pSystemsLeaseDisputedRecordLaborHrsPLG*pSystemsLeaseDisputeRecordsForecast)*(1+Inflation)^9</f>
        <v>68715.357570847598</v>
      </c>
      <c r="O355" s="535" t="s">
        <v>2045</v>
      </c>
    </row>
    <row r="356" spans="1:33" s="142" customFormat="1" ht="18" hidden="1" customHeight="1" outlineLevel="1" x14ac:dyDescent="0.2">
      <c r="A356" s="1418"/>
      <c r="B356" s="138"/>
      <c r="C356" s="235"/>
      <c r="D356" s="726" t="s">
        <v>2059</v>
      </c>
      <c r="E356" s="555">
        <f>(pSystemsTouchRateHourCRT*pSystemsLeaseDisputedRecordLaborHrsCRT*pSystemsLeaseDisputeRecordsForecast)</f>
        <v>33822.316055134928</v>
      </c>
      <c r="F356" s="555">
        <f>(pSystemsTouchRateHourCRT*pSystemsLeaseDisputedRecordLaborHrsCRT*pSystemsLeaseDisputeRecordsForecast)*(1+Inflation)</f>
        <v>34498.762376237624</v>
      </c>
      <c r="G356" s="555">
        <f>(pSystemsTouchRateHourCRT*pSystemsLeaseDisputedRecordLaborHrsCRT*pSystemsLeaseDisputeRecordsForecast)*(1+Inflation)^2</f>
        <v>35188.737623762376</v>
      </c>
      <c r="H356" s="555">
        <f>(pSystemsTouchRateHourCRT*pSystemsLeaseDisputedRecordLaborHrsCRT*pSystemsLeaseDisputeRecordsForecast)*(1+Inflation)^3</f>
        <v>35892.512376237624</v>
      </c>
      <c r="I356" s="555">
        <f>(pSystemsTouchRateHourCRT*pSystemsLeaseDisputedRecordLaborHrsCRT*pSystemsLeaseDisputeRecordsForecast)*(1+Inflation)^4</f>
        <v>36610.362623762376</v>
      </c>
      <c r="J356" s="555">
        <f>(pSystemsTouchRateHourCRT*pSystemsLeaseDisputedRecordLaborHrsCRT*pSystemsLeaseDisputeRecordsForecast)*(1+Inflation)^5</f>
        <v>37342.569876237627</v>
      </c>
      <c r="K356" s="555">
        <f>(pSystemsTouchRateHourCRT*pSystemsLeaseDisputedRecordLaborHrsCRT*pSystemsLeaseDisputeRecordsForecast)*(1+Inflation)^6</f>
        <v>38089.421273762382</v>
      </c>
      <c r="L356" s="555">
        <f>(pSystemsTouchRateHourCRT*pSystemsLeaseDisputedRecordLaborHrsCRT*pSystemsLeaseDisputeRecordsForecast)*(1+Inflation)^7</f>
        <v>38851.209699237625</v>
      </c>
      <c r="M356" s="555">
        <f>(pSystemsTouchRateHourCRT*pSystemsLeaseDisputedRecordLaborHrsCRT*pSystemsLeaseDisputeRecordsForecast)*(1+Inflation)^8</f>
        <v>39628.233893222379</v>
      </c>
      <c r="N356" s="555">
        <f>(pSystemsTouchRateHourCRT*pSystemsLeaseDisputedRecordLaborHrsCRT*pSystemsLeaseDisputeRecordsForecast)*(1+Inflation)^9</f>
        <v>40420.798571086823</v>
      </c>
      <c r="O356" s="535" t="s">
        <v>2046</v>
      </c>
    </row>
    <row r="357" spans="1:33" s="142" customFormat="1" ht="18" hidden="1" customHeight="1" outlineLevel="1" x14ac:dyDescent="0.2">
      <c r="A357" s="1418"/>
      <c r="B357" s="128"/>
      <c r="C357" s="235"/>
      <c r="D357" s="726" t="s">
        <v>2060</v>
      </c>
      <c r="E357" s="555">
        <f>(pSystemsTouchRateHourSCL*pSystemsLeaseDisputedRecordLaborHrsSCL*pSystemsLeaseDisputeRecordsForecast)</f>
        <v>0</v>
      </c>
      <c r="F357" s="555">
        <f>(pSystemsTouchRateHourSCL*pSystemsLeaseDisputedRecordLaborHrsSCL*pSystemsLeaseDisputeRecordsForecast)*(1+Inflation)</f>
        <v>0</v>
      </c>
      <c r="G357" s="555">
        <f>(pSystemsTouchRateHourSCL*pSystemsLeaseDisputedRecordLaborHrsSCL*pSystemsLeaseDisputeRecordsForecast)*(1+Inflation)^2</f>
        <v>0</v>
      </c>
      <c r="H357" s="555">
        <f>(pSystemsTouchRateHourSCL*pSystemsLeaseDisputedRecordLaborHrsSCL*pSystemsLeaseDisputeRecordsForecast)*(1+Inflation)^3</f>
        <v>0</v>
      </c>
      <c r="I357" s="555">
        <f>(pSystemsTouchRateHourSCL*pSystemsLeaseDisputedRecordLaborHrsSCL*pSystemsLeaseDisputeRecordsForecast)*(1+Inflation)^4</f>
        <v>0</v>
      </c>
      <c r="J357" s="555">
        <f>(pSystemsTouchRateHourSCL*pSystemsLeaseDisputedRecordLaborHrsSCL*pSystemsLeaseDisputeRecordsForecast)*(1+Inflation)^5</f>
        <v>0</v>
      </c>
      <c r="K357" s="555">
        <f>(pSystemsTouchRateHourSCL*pSystemsLeaseDisputedRecordLaborHrsSCL*pSystemsLeaseDisputeRecordsForecast)*(1+Inflation)^6</f>
        <v>0</v>
      </c>
      <c r="L357" s="555">
        <f>(pSystemsTouchRateHourSCL*pSystemsLeaseDisputedRecordLaborHrsSCL*pSystemsLeaseDisputeRecordsForecast)*(1+Inflation)^7</f>
        <v>0</v>
      </c>
      <c r="M357" s="555">
        <f>(pSystemsTouchRateHourSCL*pSystemsLeaseDisputedRecordLaborHrsSCL*pSystemsLeaseDisputeRecordsForecast)*(1+Inflation)^8</f>
        <v>0</v>
      </c>
      <c r="N357" s="555">
        <f>(pSystemsTouchRateHourSCL*pSystemsLeaseDisputedRecordLaborHrsSCL*pSystemsLeaseDisputeRecordsForecast)*(1+Inflation)^9</f>
        <v>0</v>
      </c>
      <c r="O357" s="535" t="s">
        <v>2047</v>
      </c>
    </row>
    <row r="358" spans="1:33" s="142" customFormat="1" ht="18" hidden="1" customHeight="1" outlineLevel="1" x14ac:dyDescent="0.2">
      <c r="A358" s="1418"/>
      <c r="B358" s="138"/>
      <c r="C358" s="235"/>
      <c r="D358" s="726" t="s">
        <v>2061</v>
      </c>
      <c r="E358" s="555">
        <f>(pSystemsTouchRateHourQSC*pSystemsLeaseDisputedRecordLaborHrsQSC*pSystemsLeaseDisputeRecordsForecast)</f>
        <v>50733.474082702385</v>
      </c>
      <c r="F358" s="555">
        <f>(pSystemsTouchRateHourQSC*pSystemsLeaseDisputedRecordLaborHrsQSC*pSystemsLeaseDisputeRecordsForecast)*(1+Inflation)</f>
        <v>51748.143564356433</v>
      </c>
      <c r="G358" s="555">
        <f>(pSystemsTouchRateHourQSC*pSystemsLeaseDisputedRecordLaborHrsQSC*pSystemsLeaseDisputeRecordsForecast)*(1+Inflation)^2</f>
        <v>52783.10643564356</v>
      </c>
      <c r="H358" s="555">
        <f>(pSystemsTouchRateHourQSC*pSystemsLeaseDisputedRecordLaborHrsQSC*pSystemsLeaseDisputeRecordsForecast)*(1+Inflation)^3</f>
        <v>53838.768564356433</v>
      </c>
      <c r="I358" s="555">
        <f>(pSystemsTouchRateHourQSC*pSystemsLeaseDisputedRecordLaborHrsQSC*pSystemsLeaseDisputeRecordsForecast)*(1+Inflation)^4</f>
        <v>54915.54393564356</v>
      </c>
      <c r="J358" s="555">
        <f>(pSystemsTouchRateHourQSC*pSystemsLeaseDisputedRecordLaborHrsQSC*pSystemsLeaseDisputeRecordsForecast)*(1+Inflation)^5</f>
        <v>56013.854814356433</v>
      </c>
      <c r="K358" s="555">
        <f>(pSystemsTouchRateHourQSC*pSystemsLeaseDisputedRecordLaborHrsQSC*pSystemsLeaseDisputeRecordsForecast)*(1+Inflation)^6</f>
        <v>57134.131910643562</v>
      </c>
      <c r="L358" s="555">
        <f>(pSystemsTouchRateHourQSC*pSystemsLeaseDisputedRecordLaborHrsQSC*pSystemsLeaseDisputeRecordsForecast)*(1+Inflation)^7</f>
        <v>58276.814548856426</v>
      </c>
      <c r="M358" s="555">
        <f>(pSystemsTouchRateHourQSC*pSystemsLeaseDisputedRecordLaborHrsQSC*pSystemsLeaseDisputeRecordsForecast)*(1+Inflation)^8</f>
        <v>59442.350839833554</v>
      </c>
      <c r="N358" s="555">
        <f>(pSystemsTouchRateHourQSC*pSystemsLeaseDisputedRecordLaborHrsQSC*pSystemsLeaseDisputeRecordsForecast)*(1+Inflation)^9</f>
        <v>60631.197856630228</v>
      </c>
      <c r="O358" s="535" t="s">
        <v>2048</v>
      </c>
    </row>
    <row r="359" spans="1:33" s="142" customFormat="1" ht="18" hidden="1" customHeight="1" outlineLevel="1" x14ac:dyDescent="0.2">
      <c r="A359" s="1418"/>
      <c r="B359" s="138"/>
      <c r="C359" s="235"/>
      <c r="D359" s="726" t="s">
        <v>2062</v>
      </c>
      <c r="E359" s="555">
        <f>(pSystemsTouchRateHourEM*pSystemsLeaseDisputedRecordLaborHrsEM*pSystemsLeaseDisputeRecordsForecast)</f>
        <v>0</v>
      </c>
      <c r="F359" s="555">
        <f>(pSystemsTouchRateHourEM*pSystemsLeaseDisputedRecordLaborHrsEM*pSystemsLeaseDisputeRecordsForecast)*(1+Inflation)</f>
        <v>0</v>
      </c>
      <c r="G359" s="555">
        <f>(pSystemsTouchRateHourEM*pSystemsLeaseDisputedRecordLaborHrsEM*pSystemsLeaseDisputeRecordsForecast)*(1+Inflation)^2</f>
        <v>0</v>
      </c>
      <c r="H359" s="555">
        <f>(pSystemsTouchRateHourEM*pSystemsLeaseDisputedRecordLaborHrsEM*pSystemsLeaseDisputeRecordsForecast)*(1+Inflation)^3</f>
        <v>0</v>
      </c>
      <c r="I359" s="555">
        <f>(pSystemsTouchRateHourEM*pSystemsLeaseDisputedRecordLaborHrsEM*pSystemsLeaseDisputeRecordsForecast)*(1+Inflation)^4</f>
        <v>0</v>
      </c>
      <c r="J359" s="555">
        <f>(pSystemsTouchRateHourEM*pSystemsLeaseDisputedRecordLaborHrsEM*pSystemsLeaseDisputeRecordsForecast)*(1+Inflation)^5</f>
        <v>0</v>
      </c>
      <c r="K359" s="555">
        <f>(pSystemsTouchRateHourEM*pSystemsLeaseDisputedRecordLaborHrsEM*pSystemsLeaseDisputeRecordsForecast)*(1+Inflation)^6</f>
        <v>0</v>
      </c>
      <c r="L359" s="555">
        <f>(pSystemsTouchRateHourEM*pSystemsLeaseDisputedRecordLaborHrsEM*pSystemsLeaseDisputeRecordsForecast)*(1+Inflation)^7</f>
        <v>0</v>
      </c>
      <c r="M359" s="555">
        <f>(pSystemsTouchRateHourEM*pSystemsLeaseDisputedRecordLaborHrsEM*pSystemsLeaseDisputeRecordsForecast)*(1+Inflation)^8</f>
        <v>0</v>
      </c>
      <c r="N359" s="555">
        <f>(pSystemsTouchRateHourEM*pSystemsLeaseDisputedRecordLaborHrsEM*pSystemsLeaseDisputeRecordsForecast)*(1+Inflation)^9</f>
        <v>0</v>
      </c>
      <c r="O359" s="535" t="s">
        <v>2049</v>
      </c>
    </row>
    <row r="360" spans="1:33" s="142" customFormat="1" ht="18" hidden="1" customHeight="1" outlineLevel="1" x14ac:dyDescent="0.2">
      <c r="A360" s="1418"/>
      <c r="B360" s="138"/>
      <c r="C360" s="235"/>
      <c r="D360" s="726" t="s">
        <v>2063</v>
      </c>
      <c r="E360" s="555">
        <f>(pSystemsTouchRateHourCM*pSystemsLeaseDisputedRecordLaborHrsCM*pSystemsLeaseDisputeRecordsForecast)</f>
        <v>0</v>
      </c>
      <c r="F360" s="555">
        <f>(pSystemsTouchRateHourCM*pSystemsLeaseDisputedRecordLaborHrsCM*pSystemsLeaseDisputeRecordsForecast)*(1+Inflation)</f>
        <v>0</v>
      </c>
      <c r="G360" s="555">
        <f>(pSystemsTouchRateHourCM*pSystemsLeaseDisputedRecordLaborHrsCM*pSystemsLeaseDisputeRecordsForecast)*(1+Inflation)^2</f>
        <v>0</v>
      </c>
      <c r="H360" s="555">
        <f>(pSystemsTouchRateHourCM*pSystemsLeaseDisputedRecordLaborHrsCM*pSystemsLeaseDisputeRecordsForecast)*(1+Inflation)^3</f>
        <v>0</v>
      </c>
      <c r="I360" s="555">
        <f>(pSystemsTouchRateHourCM*pSystemsLeaseDisputedRecordLaborHrsCM*pSystemsLeaseDisputeRecordsForecast)*(1+Inflation)^4</f>
        <v>0</v>
      </c>
      <c r="J360" s="555">
        <f>(pSystemsTouchRateHourCM*pSystemsLeaseDisputedRecordLaborHrsCM*pSystemsLeaseDisputeRecordsForecast)*(1+Inflation)^5</f>
        <v>0</v>
      </c>
      <c r="K360" s="555">
        <f>(pSystemsTouchRateHourCM*pSystemsLeaseDisputedRecordLaborHrsCM*pSystemsLeaseDisputeRecordsForecast)*(1+Inflation)^6</f>
        <v>0</v>
      </c>
      <c r="L360" s="555">
        <f>(pSystemsTouchRateHourCM*pSystemsLeaseDisputedRecordLaborHrsCM*pSystemsLeaseDisputeRecordsForecast)*(1+Inflation)^7</f>
        <v>0</v>
      </c>
      <c r="M360" s="555">
        <f>(pSystemsTouchRateHourCM*pSystemsLeaseDisputedRecordLaborHrsCM*pSystemsLeaseDisputeRecordsForecast)*(1+Inflation)^8</f>
        <v>0</v>
      </c>
      <c r="N360" s="555">
        <f>(pSystemsTouchRateHourCM*pSystemsLeaseDisputedRecordLaborHrsCM*pSystemsLeaseDisputeRecordsForecast)*(1+Inflation)^9</f>
        <v>0</v>
      </c>
      <c r="O360" s="535" t="s">
        <v>2050</v>
      </c>
    </row>
    <row r="361" spans="1:33" s="142" customFormat="1" ht="18" hidden="1" customHeight="1" outlineLevel="1" x14ac:dyDescent="0.2">
      <c r="A361" s="1418"/>
      <c r="B361" s="138"/>
      <c r="C361" s="235"/>
      <c r="D361" s="726" t="s">
        <v>2064</v>
      </c>
      <c r="E361" s="555">
        <f>(pSystemsTouchRateHourSMCS*pSystemsLeaseDisputedRecordLaborHrsSMCS*pSystemsLeaseDisputeRecordsForecast)</f>
        <v>0</v>
      </c>
      <c r="F361" s="555">
        <f>(pSystemsTouchRateHourSMCS*pSystemsLeaseDisputedRecordLaborHrsSMCS*pSystemsLeaseDisputeRecordsForecast)*(1+Inflation)</f>
        <v>0</v>
      </c>
      <c r="G361" s="555">
        <f>(pSystemsTouchRateHourSMCS*pSystemsLeaseDisputedRecordLaborHrsSMCS*pSystemsLeaseDisputeRecordsForecast)*(1+Inflation)^2</f>
        <v>0</v>
      </c>
      <c r="H361" s="555">
        <f>(pSystemsTouchRateHourSMCS*pSystemsLeaseDisputedRecordLaborHrsSMCS*pSystemsLeaseDisputeRecordsForecast)*(1+Inflation)^3</f>
        <v>0</v>
      </c>
      <c r="I361" s="555">
        <f>(pSystemsTouchRateHourSMCS*pSystemsLeaseDisputedRecordLaborHrsSMCS*pSystemsLeaseDisputeRecordsForecast)*(1+Inflation)^4</f>
        <v>0</v>
      </c>
      <c r="J361" s="555">
        <f>(pSystemsTouchRateHourSMCS*pSystemsLeaseDisputedRecordLaborHrsSMCS*pSystemsLeaseDisputeRecordsForecast)*(1+Inflation)^5</f>
        <v>0</v>
      </c>
      <c r="K361" s="555">
        <f>(pSystemsTouchRateHourSMCS*pSystemsLeaseDisputedRecordLaborHrsSMCS*pSystemsLeaseDisputeRecordsForecast)*(1+Inflation)^6</f>
        <v>0</v>
      </c>
      <c r="L361" s="555">
        <f>(pSystemsTouchRateHourSMCS*pSystemsLeaseDisputedRecordLaborHrsSMCS*pSystemsLeaseDisputeRecordsForecast)*(1+Inflation)^7</f>
        <v>0</v>
      </c>
      <c r="M361" s="555">
        <f>(pSystemsTouchRateHourSMCS*pSystemsLeaseDisputedRecordLaborHrsSMCS*pSystemsLeaseDisputeRecordsForecast)*(1+Inflation)^8</f>
        <v>0</v>
      </c>
      <c r="N361" s="555">
        <f>(pSystemsTouchRateHourSMCS*pSystemsLeaseDisputedRecordLaborHrsSMCS*pSystemsLeaseDisputeRecordsForecast)*(1+Inflation)^9</f>
        <v>0</v>
      </c>
      <c r="O361" s="535" t="s">
        <v>2051</v>
      </c>
    </row>
    <row r="362" spans="1:33" s="142" customFormat="1" ht="18" hidden="1" customHeight="1" outlineLevel="1" x14ac:dyDescent="0.2">
      <c r="A362" s="1418"/>
      <c r="B362" s="138"/>
      <c r="C362" s="235"/>
      <c r="D362" s="726" t="s">
        <v>2065</v>
      </c>
      <c r="E362" s="555">
        <f>(pSystemsTouchRateHourO1*pSystemsLeaseDisputedRecordLaborHrsO1*pSystemsLeaseDisputeRecordsForecast)</f>
        <v>0</v>
      </c>
      <c r="F362" s="555">
        <f>(pSystemsTouchRateHourO1*pSystemsLeaseDisputedRecordLaborHrsO1*pSystemsLeaseDisputeRecordsForecast)*(1+Inflation)</f>
        <v>0</v>
      </c>
      <c r="G362" s="555">
        <f>(pSystemsTouchRateHourO1*pSystemsLeaseDisputedRecordLaborHrsO1*pSystemsLeaseDisputeRecordsForecast)*(1+Inflation)^2</f>
        <v>0</v>
      </c>
      <c r="H362" s="555">
        <f>(pSystemsTouchRateHourO1*pSystemsLeaseDisputedRecordLaborHrsO1*pSystemsLeaseDisputeRecordsForecast)*(1+Inflation)^3</f>
        <v>0</v>
      </c>
      <c r="I362" s="555">
        <f>(pSystemsTouchRateHourO1*pSystemsLeaseDisputedRecordLaborHrsO1*pSystemsLeaseDisputeRecordsForecast)*(1+Inflation)^4</f>
        <v>0</v>
      </c>
      <c r="J362" s="555">
        <f>(pSystemsTouchRateHourO1*pSystemsLeaseDisputedRecordLaborHrsO1*pSystemsLeaseDisputeRecordsForecast)*(1+Inflation)^5</f>
        <v>0</v>
      </c>
      <c r="K362" s="555">
        <f>(pSystemsTouchRateHourO1*pSystemsLeaseDisputedRecordLaborHrsO1*pSystemsLeaseDisputeRecordsForecast)*(1+Inflation)^6</f>
        <v>0</v>
      </c>
      <c r="L362" s="555">
        <f>(pSystemsTouchRateHourO1*pSystemsLeaseDisputedRecordLaborHrsO1*pSystemsLeaseDisputeRecordsForecast)*(1+Inflation)^7</f>
        <v>0</v>
      </c>
      <c r="M362" s="555">
        <f>(pSystemsTouchRateHourO1*pSystemsLeaseDisputedRecordLaborHrsO1*pSystemsLeaseDisputeRecordsForecast)*(1+Inflation)^8</f>
        <v>0</v>
      </c>
      <c r="N362" s="555">
        <f>(pSystemsTouchRateHourO1*pSystemsLeaseDisputedRecordLaborHrsO1*pSystemsLeaseDisputeRecordsForecast)*(1+Inflation)^9</f>
        <v>0</v>
      </c>
      <c r="O362" s="535" t="s">
        <v>2052</v>
      </c>
    </row>
    <row r="363" spans="1:33" s="142" customFormat="1" ht="18" hidden="1" customHeight="1" outlineLevel="1" x14ac:dyDescent="0.2">
      <c r="A363" s="1418"/>
      <c r="B363" s="138"/>
      <c r="C363" s="235"/>
      <c r="D363" s="726" t="s">
        <v>2066</v>
      </c>
      <c r="E363" s="555">
        <f>(pSystemsTouchRateHourO2*pSystemsLeaseDisputedRecordLaborHrsO2*pSystemsLeaseDisputeRecordsForecast)</f>
        <v>0</v>
      </c>
      <c r="F363" s="555">
        <f>(pSystemsTouchRateHourO2*pSystemsLeaseDisputedRecordLaborHrsO2*pSystemsLeaseDisputeRecordsForecast)*(1+Inflation)</f>
        <v>0</v>
      </c>
      <c r="G363" s="555">
        <f>(pSystemsTouchRateHourO2*pSystemsLeaseDisputedRecordLaborHrsO2*pSystemsLeaseDisputeRecordsForecast)*(1+Inflation)^2</f>
        <v>0</v>
      </c>
      <c r="H363" s="555">
        <f>(pSystemsTouchRateHourO2*pSystemsLeaseDisputedRecordLaborHrsO2*pSystemsLeaseDisputeRecordsForecast)*(1+Inflation)^3</f>
        <v>0</v>
      </c>
      <c r="I363" s="555">
        <f>(pSystemsTouchRateHourO2*pSystemsLeaseDisputedRecordLaborHrsO2*pSystemsLeaseDisputeRecordsForecast)*(1+Inflation)^4</f>
        <v>0</v>
      </c>
      <c r="J363" s="555">
        <f>(pSystemsTouchRateHourO2*pSystemsLeaseDisputedRecordLaborHrsO2*pSystemsLeaseDisputeRecordsForecast)*(1+Inflation)^5</f>
        <v>0</v>
      </c>
      <c r="K363" s="555">
        <f>(pSystemsTouchRateHourO2*pSystemsLeaseDisputedRecordLaborHrsO2*pSystemsLeaseDisputeRecordsForecast)*(1+Inflation)^6</f>
        <v>0</v>
      </c>
      <c r="L363" s="555">
        <f>(pSystemsTouchRateHourO2*pSystemsLeaseDisputedRecordLaborHrsO2*pSystemsLeaseDisputeRecordsForecast)*(1+Inflation)^7</f>
        <v>0</v>
      </c>
      <c r="M363" s="555">
        <f>(pSystemsTouchRateHourO2*pSystemsLeaseDisputedRecordLaborHrsO2*pSystemsLeaseDisputeRecordsForecast)*(1+Inflation)^8</f>
        <v>0</v>
      </c>
      <c r="N363" s="555">
        <f>(pSystemsTouchRateHourO2*pSystemsLeaseDisputedRecordLaborHrsO2*pSystemsLeaseDisputeRecordsForecast)*(1+Inflation)^9</f>
        <v>0</v>
      </c>
      <c r="O363" s="535" t="s">
        <v>2053</v>
      </c>
    </row>
    <row r="364" spans="1:33" s="142" customFormat="1" ht="18" hidden="1" customHeight="1" outlineLevel="1" x14ac:dyDescent="0.25">
      <c r="A364" s="1418"/>
      <c r="B364" s="138"/>
      <c r="C364" s="235"/>
      <c r="D364" s="728" t="s">
        <v>2067</v>
      </c>
      <c r="E364" s="556">
        <f>SUM(E352:E363)</f>
        <v>202933.89633080954</v>
      </c>
      <c r="F364" s="556">
        <f t="shared" ref="F364:N364" si="84">SUM(F352:F363)</f>
        <v>206992.57425742573</v>
      </c>
      <c r="G364" s="556">
        <f t="shared" si="84"/>
        <v>211132.42574257424</v>
      </c>
      <c r="H364" s="556">
        <f t="shared" si="84"/>
        <v>215355.07425742573</v>
      </c>
      <c r="I364" s="556">
        <f t="shared" si="84"/>
        <v>219662.17574257424</v>
      </c>
      <c r="J364" s="556">
        <f t="shared" si="84"/>
        <v>224055.41925742573</v>
      </c>
      <c r="K364" s="556">
        <f t="shared" si="84"/>
        <v>228536.52764257428</v>
      </c>
      <c r="L364" s="556">
        <f t="shared" si="84"/>
        <v>233107.25819542573</v>
      </c>
      <c r="M364" s="556">
        <f t="shared" si="84"/>
        <v>237769.40335933425</v>
      </c>
      <c r="N364" s="556">
        <f t="shared" si="84"/>
        <v>242524.79142652094</v>
      </c>
      <c r="O364" s="535" t="s">
        <v>2054</v>
      </c>
    </row>
    <row r="365" spans="1:33" s="203" customFormat="1" ht="13.5" hidden="1" outlineLevel="1" thickBot="1" x14ac:dyDescent="0.25">
      <c r="A365" s="1419"/>
      <c r="B365" s="74"/>
      <c r="C365" s="325"/>
      <c r="D365" s="725"/>
      <c r="E365" s="568"/>
      <c r="F365" s="568"/>
      <c r="G365" s="568"/>
      <c r="H365" s="568"/>
      <c r="I365" s="568"/>
      <c r="J365" s="568"/>
      <c r="K365" s="568"/>
      <c r="L365" s="568"/>
      <c r="M365" s="568"/>
      <c r="N365" s="568"/>
      <c r="O365" s="569"/>
      <c r="P365" s="204"/>
    </row>
    <row r="366" spans="1:33" s="203" customFormat="1" ht="13.5" hidden="1" outlineLevel="1" thickBot="1" x14ac:dyDescent="0.25">
      <c r="A366" s="142"/>
      <c r="B366" s="74"/>
      <c r="C366" s="211"/>
      <c r="D366" s="214"/>
      <c r="E366" s="210"/>
      <c r="F366" s="210"/>
      <c r="G366" s="210"/>
      <c r="H366" s="210"/>
      <c r="I366" s="210"/>
      <c r="J366" s="210"/>
      <c r="K366" s="210"/>
      <c r="L366" s="210"/>
      <c r="M366" s="210"/>
      <c r="N366" s="210"/>
      <c r="O366" s="204"/>
      <c r="P366" s="204"/>
    </row>
    <row r="367" spans="1:33" customFormat="1" ht="20.25" hidden="1" outlineLevel="1" x14ac:dyDescent="0.2">
      <c r="A367" s="1417" t="s">
        <v>4186</v>
      </c>
      <c r="B367" s="13"/>
      <c r="C367" s="1008" t="str">
        <f>Scenario1&amp;"  Disputed Record FTEs"</f>
        <v>pSystems (Paper)  Disputed Record FTEs</v>
      </c>
      <c r="D367" s="310"/>
      <c r="E367" s="434"/>
      <c r="F367" s="434"/>
      <c r="G367" s="434"/>
      <c r="H367" s="434"/>
      <c r="I367" s="434"/>
      <c r="J367" s="434"/>
      <c r="K367" s="434"/>
      <c r="L367" s="434"/>
      <c r="M367" s="434"/>
      <c r="N367" s="434"/>
      <c r="O367" s="573"/>
      <c r="P367" s="18"/>
      <c r="Q367" s="18"/>
      <c r="R367" s="18"/>
      <c r="S367" s="18"/>
      <c r="T367" s="18"/>
      <c r="U367" s="18"/>
      <c r="V367" s="18"/>
      <c r="W367" s="18"/>
      <c r="X367" s="18"/>
      <c r="Y367" s="18"/>
      <c r="Z367" s="18"/>
      <c r="AA367" s="18"/>
      <c r="AB367" s="18"/>
      <c r="AC367" s="18"/>
      <c r="AD367" s="18"/>
      <c r="AE367" s="18"/>
      <c r="AF367" s="18"/>
      <c r="AG367" s="18"/>
    </row>
    <row r="368" spans="1:33" s="142" customFormat="1" ht="18" hidden="1" customHeight="1" outlineLevel="1" x14ac:dyDescent="0.2">
      <c r="A368" s="1418"/>
      <c r="B368" s="13"/>
      <c r="C368" s="235"/>
      <c r="D368" s="726" t="s">
        <v>2068</v>
      </c>
      <c r="E368" s="557">
        <f t="shared" ref="E368:N368" si="85">(pSystemsLeaseDisputedRecordLaborHrsHM/pSystemsTouchHourspaHM)*pSystemsLeaseDisputeRecordsForecast</f>
        <v>0</v>
      </c>
      <c r="F368" s="557">
        <f t="shared" si="85"/>
        <v>0</v>
      </c>
      <c r="G368" s="557">
        <f t="shared" si="85"/>
        <v>0</v>
      </c>
      <c r="H368" s="557">
        <f t="shared" si="85"/>
        <v>0</v>
      </c>
      <c r="I368" s="557">
        <f t="shared" si="85"/>
        <v>0</v>
      </c>
      <c r="J368" s="557">
        <f t="shared" si="85"/>
        <v>0</v>
      </c>
      <c r="K368" s="557">
        <f t="shared" si="85"/>
        <v>0</v>
      </c>
      <c r="L368" s="557">
        <f t="shared" si="85"/>
        <v>0</v>
      </c>
      <c r="M368" s="557">
        <f t="shared" si="85"/>
        <v>0</v>
      </c>
      <c r="N368" s="557">
        <f t="shared" si="85"/>
        <v>0</v>
      </c>
      <c r="O368" s="535" t="s">
        <v>2081</v>
      </c>
    </row>
    <row r="369" spans="1:16" s="142" customFormat="1" ht="18" hidden="1" customHeight="1" outlineLevel="1" x14ac:dyDescent="0.2">
      <c r="A369" s="1418"/>
      <c r="B369" s="13"/>
      <c r="C369" s="235"/>
      <c r="D369" s="726" t="s">
        <v>2069</v>
      </c>
      <c r="E369" s="557">
        <f t="shared" ref="E369:N369" si="86">(pSystemsLeaseDisputedRecordLaborHrsLM/pSystemsTouchHourspaLM)*pSystemsLeaseDisputeRecordsForecast</f>
        <v>0</v>
      </c>
      <c r="F369" s="557">
        <f t="shared" si="86"/>
        <v>0</v>
      </c>
      <c r="G369" s="557">
        <f t="shared" si="86"/>
        <v>0</v>
      </c>
      <c r="H369" s="557">
        <f t="shared" si="86"/>
        <v>0</v>
      </c>
      <c r="I369" s="557">
        <f t="shared" si="86"/>
        <v>0</v>
      </c>
      <c r="J369" s="557">
        <f t="shared" si="86"/>
        <v>0</v>
      </c>
      <c r="K369" s="557">
        <f t="shared" si="86"/>
        <v>0</v>
      </c>
      <c r="L369" s="557">
        <f t="shared" si="86"/>
        <v>0</v>
      </c>
      <c r="M369" s="557">
        <f t="shared" si="86"/>
        <v>0</v>
      </c>
      <c r="N369" s="557">
        <f t="shared" si="86"/>
        <v>0</v>
      </c>
      <c r="O369" s="535" t="s">
        <v>2082</v>
      </c>
    </row>
    <row r="370" spans="1:16" s="142" customFormat="1" ht="18" hidden="1" customHeight="1" outlineLevel="1" x14ac:dyDescent="0.2">
      <c r="A370" s="1418"/>
      <c r="B370" s="13"/>
      <c r="C370" s="235"/>
      <c r="D370" s="727" t="s">
        <v>2070</v>
      </c>
      <c r="E370" s="557">
        <f t="shared" ref="E370:N370" si="87">(pSystemsLeaseDisputedRecordLaborHrsENG/pSystemsTouchHourspaENG)*pSystemsLeaseDisputeRecordsForecast</f>
        <v>0.48534265191225001</v>
      </c>
      <c r="F370" s="557">
        <f t="shared" si="87"/>
        <v>0.48534265191225001</v>
      </c>
      <c r="G370" s="557">
        <f t="shared" si="87"/>
        <v>0.48534265191225001</v>
      </c>
      <c r="H370" s="557">
        <f t="shared" si="87"/>
        <v>0.48534265191225001</v>
      </c>
      <c r="I370" s="557">
        <f t="shared" si="87"/>
        <v>0.48534265191225001</v>
      </c>
      <c r="J370" s="557">
        <f t="shared" si="87"/>
        <v>0.48534265191225001</v>
      </c>
      <c r="K370" s="557">
        <f t="shared" si="87"/>
        <v>0.48534265191225001</v>
      </c>
      <c r="L370" s="557">
        <f t="shared" si="87"/>
        <v>0.48534265191225001</v>
      </c>
      <c r="M370" s="557">
        <f t="shared" si="87"/>
        <v>0.48534265191225001</v>
      </c>
      <c r="N370" s="557">
        <f t="shared" si="87"/>
        <v>0.48534265191225001</v>
      </c>
      <c r="O370" s="535" t="s">
        <v>2083</v>
      </c>
    </row>
    <row r="371" spans="1:16" s="142" customFormat="1" ht="18" hidden="1" customHeight="1" outlineLevel="1" x14ac:dyDescent="0.2">
      <c r="A371" s="1418"/>
      <c r="B371" s="13"/>
      <c r="C371" s="1026"/>
      <c r="D371" s="726" t="s">
        <v>2071</v>
      </c>
      <c r="E371" s="557">
        <f t="shared" ref="E371:N371" si="88">(pSystemsLeaseDisputedRecordLaborHrsPLG/pSystemsTouchHourspaPLG)*pSystemsLeaseDisputeRecordsForecast</f>
        <v>0.48534265191225001</v>
      </c>
      <c r="F371" s="557">
        <f t="shared" si="88"/>
        <v>0.48534265191225001</v>
      </c>
      <c r="G371" s="557">
        <f t="shared" si="88"/>
        <v>0.48534265191225001</v>
      </c>
      <c r="H371" s="557">
        <f t="shared" si="88"/>
        <v>0.48534265191225001</v>
      </c>
      <c r="I371" s="557">
        <f t="shared" si="88"/>
        <v>0.48534265191225001</v>
      </c>
      <c r="J371" s="557">
        <f t="shared" si="88"/>
        <v>0.48534265191225001</v>
      </c>
      <c r="K371" s="557">
        <f t="shared" si="88"/>
        <v>0.48534265191225001</v>
      </c>
      <c r="L371" s="557">
        <f t="shared" si="88"/>
        <v>0.48534265191225001</v>
      </c>
      <c r="M371" s="557">
        <f t="shared" si="88"/>
        <v>0.48534265191225001</v>
      </c>
      <c r="N371" s="557">
        <f t="shared" si="88"/>
        <v>0.48534265191225001</v>
      </c>
      <c r="O371" s="535" t="s">
        <v>2084</v>
      </c>
    </row>
    <row r="372" spans="1:16" s="142" customFormat="1" ht="18" hidden="1" customHeight="1" outlineLevel="1" x14ac:dyDescent="0.2">
      <c r="A372" s="1418"/>
      <c r="B372" s="13"/>
      <c r="C372" s="235"/>
      <c r="D372" s="726" t="s">
        <v>2072</v>
      </c>
      <c r="E372" s="557">
        <f t="shared" ref="E372:N372" si="89">(pSystemsLeaseDisputedRecordLaborHrsCRT/pSystemsTouchHourspaCRT)*pSystemsLeaseDisputeRecordsForecast</f>
        <v>0.48534265191225001</v>
      </c>
      <c r="F372" s="557">
        <f t="shared" si="89"/>
        <v>0.48534265191225001</v>
      </c>
      <c r="G372" s="557">
        <f t="shared" si="89"/>
        <v>0.48534265191225001</v>
      </c>
      <c r="H372" s="557">
        <f t="shared" si="89"/>
        <v>0.48534265191225001</v>
      </c>
      <c r="I372" s="557">
        <f t="shared" si="89"/>
        <v>0.48534265191225001</v>
      </c>
      <c r="J372" s="557">
        <f t="shared" si="89"/>
        <v>0.48534265191225001</v>
      </c>
      <c r="K372" s="557">
        <f t="shared" si="89"/>
        <v>0.48534265191225001</v>
      </c>
      <c r="L372" s="557">
        <f t="shared" si="89"/>
        <v>0.48534265191225001</v>
      </c>
      <c r="M372" s="557">
        <f t="shared" si="89"/>
        <v>0.48534265191225001</v>
      </c>
      <c r="N372" s="557">
        <f t="shared" si="89"/>
        <v>0.48534265191225001</v>
      </c>
      <c r="O372" s="535" t="s">
        <v>2085</v>
      </c>
    </row>
    <row r="373" spans="1:16" s="142" customFormat="1" ht="18" hidden="1" customHeight="1" outlineLevel="1" x14ac:dyDescent="0.2">
      <c r="A373" s="1418"/>
      <c r="B373" s="138"/>
      <c r="C373" s="235"/>
      <c r="D373" s="726" t="s">
        <v>2073</v>
      </c>
      <c r="E373" s="557">
        <f t="shared" ref="E373:N373" si="90">(pSystemsLeaseDisputedRecordLaborHrsSCL/pSystemsTouchHourspaSCL)*pSystemsLeaseDisputeRecordsForecast</f>
        <v>0</v>
      </c>
      <c r="F373" s="557">
        <f t="shared" si="90"/>
        <v>0</v>
      </c>
      <c r="G373" s="557">
        <f t="shared" si="90"/>
        <v>0</v>
      </c>
      <c r="H373" s="557">
        <f t="shared" si="90"/>
        <v>0</v>
      </c>
      <c r="I373" s="557">
        <f t="shared" si="90"/>
        <v>0</v>
      </c>
      <c r="J373" s="557">
        <f t="shared" si="90"/>
        <v>0</v>
      </c>
      <c r="K373" s="557">
        <f t="shared" si="90"/>
        <v>0</v>
      </c>
      <c r="L373" s="557">
        <f t="shared" si="90"/>
        <v>0</v>
      </c>
      <c r="M373" s="557">
        <f t="shared" si="90"/>
        <v>0</v>
      </c>
      <c r="N373" s="557">
        <f t="shared" si="90"/>
        <v>0</v>
      </c>
      <c r="O373" s="535" t="s">
        <v>2086</v>
      </c>
    </row>
    <row r="374" spans="1:16" s="142" customFormat="1" ht="18" hidden="1" customHeight="1" outlineLevel="1" x14ac:dyDescent="0.2">
      <c r="A374" s="1418"/>
      <c r="B374" s="138"/>
      <c r="C374" s="235"/>
      <c r="D374" s="726" t="s">
        <v>2074</v>
      </c>
      <c r="E374" s="557">
        <f t="shared" ref="E374:N374" si="91">(pSystemsLeaseDisputedRecordLaborHrsQSC/pSystemsTouchHourspaQSC)*pSystemsLeaseDisputeRecordsForecast</f>
        <v>0.48534265191225001</v>
      </c>
      <c r="F374" s="557">
        <f t="shared" si="91"/>
        <v>0.48534265191225001</v>
      </c>
      <c r="G374" s="557">
        <f t="shared" si="91"/>
        <v>0.48534265191225001</v>
      </c>
      <c r="H374" s="557">
        <f t="shared" si="91"/>
        <v>0.48534265191225001</v>
      </c>
      <c r="I374" s="557">
        <f t="shared" si="91"/>
        <v>0.48534265191225001</v>
      </c>
      <c r="J374" s="557">
        <f t="shared" si="91"/>
        <v>0.48534265191225001</v>
      </c>
      <c r="K374" s="557">
        <f t="shared" si="91"/>
        <v>0.48534265191225001</v>
      </c>
      <c r="L374" s="557">
        <f t="shared" si="91"/>
        <v>0.48534265191225001</v>
      </c>
      <c r="M374" s="557">
        <f t="shared" si="91"/>
        <v>0.48534265191225001</v>
      </c>
      <c r="N374" s="557">
        <f t="shared" si="91"/>
        <v>0.48534265191225001</v>
      </c>
      <c r="O374" s="535" t="s">
        <v>2087</v>
      </c>
    </row>
    <row r="375" spans="1:16" s="142" customFormat="1" ht="18" hidden="1" customHeight="1" outlineLevel="1" x14ac:dyDescent="0.2">
      <c r="A375" s="1418"/>
      <c r="B375" s="138"/>
      <c r="C375" s="235"/>
      <c r="D375" s="726" t="s">
        <v>2075</v>
      </c>
      <c r="E375" s="557">
        <f t="shared" ref="E375:N375" si="92">(pSystemsLeaseDisputedRecordLaborHrsEM/pSystemsTouchHourspaEM)*pSystemsLeaseDisputeRecordsForecast</f>
        <v>0</v>
      </c>
      <c r="F375" s="557">
        <f t="shared" si="92"/>
        <v>0</v>
      </c>
      <c r="G375" s="557">
        <f t="shared" si="92"/>
        <v>0</v>
      </c>
      <c r="H375" s="557">
        <f t="shared" si="92"/>
        <v>0</v>
      </c>
      <c r="I375" s="557">
        <f t="shared" si="92"/>
        <v>0</v>
      </c>
      <c r="J375" s="557">
        <f t="shared" si="92"/>
        <v>0</v>
      </c>
      <c r="K375" s="557">
        <f t="shared" si="92"/>
        <v>0</v>
      </c>
      <c r="L375" s="557">
        <f t="shared" si="92"/>
        <v>0</v>
      </c>
      <c r="M375" s="557">
        <f t="shared" si="92"/>
        <v>0</v>
      </c>
      <c r="N375" s="557">
        <f t="shared" si="92"/>
        <v>0</v>
      </c>
      <c r="O375" s="535" t="s">
        <v>2088</v>
      </c>
    </row>
    <row r="376" spans="1:16" s="142" customFormat="1" ht="18" hidden="1" customHeight="1" outlineLevel="1" x14ac:dyDescent="0.2">
      <c r="A376" s="1418"/>
      <c r="B376" s="138"/>
      <c r="C376" s="235"/>
      <c r="D376" s="726" t="s">
        <v>2076</v>
      </c>
      <c r="E376" s="557">
        <f t="shared" ref="E376:N376" si="93">(pSystemsLeaseDisputedRecordLaborHrsCM/pSystemsTouchHourspaCM)*pSystemsLeaseDisputeRecordsForecast</f>
        <v>0</v>
      </c>
      <c r="F376" s="557">
        <f t="shared" si="93"/>
        <v>0</v>
      </c>
      <c r="G376" s="557">
        <f t="shared" si="93"/>
        <v>0</v>
      </c>
      <c r="H376" s="557">
        <f t="shared" si="93"/>
        <v>0</v>
      </c>
      <c r="I376" s="557">
        <f t="shared" si="93"/>
        <v>0</v>
      </c>
      <c r="J376" s="557">
        <f t="shared" si="93"/>
        <v>0</v>
      </c>
      <c r="K376" s="557">
        <f t="shared" si="93"/>
        <v>0</v>
      </c>
      <c r="L376" s="557">
        <f t="shared" si="93"/>
        <v>0</v>
      </c>
      <c r="M376" s="557">
        <f t="shared" si="93"/>
        <v>0</v>
      </c>
      <c r="N376" s="557">
        <f t="shared" si="93"/>
        <v>0</v>
      </c>
      <c r="O376" s="535" t="s">
        <v>2089</v>
      </c>
    </row>
    <row r="377" spans="1:16" s="142" customFormat="1" ht="18" hidden="1" customHeight="1" outlineLevel="1" x14ac:dyDescent="0.2">
      <c r="A377" s="1418"/>
      <c r="B377" s="138"/>
      <c r="C377" s="235"/>
      <c r="D377" s="726" t="s">
        <v>2077</v>
      </c>
      <c r="E377" s="557">
        <f t="shared" ref="E377:N377" si="94">(pSystemsLeaseDisputedRecordLaborHrsSMCS/pSystemsTouchHourspaSMCS)*pSystemsLeaseDisputeRecordsForecast</f>
        <v>0</v>
      </c>
      <c r="F377" s="557">
        <f t="shared" si="94"/>
        <v>0</v>
      </c>
      <c r="G377" s="557">
        <f t="shared" si="94"/>
        <v>0</v>
      </c>
      <c r="H377" s="557">
        <f t="shared" si="94"/>
        <v>0</v>
      </c>
      <c r="I377" s="557">
        <f t="shared" si="94"/>
        <v>0</v>
      </c>
      <c r="J377" s="557">
        <f t="shared" si="94"/>
        <v>0</v>
      </c>
      <c r="K377" s="557">
        <f t="shared" si="94"/>
        <v>0</v>
      </c>
      <c r="L377" s="557">
        <f t="shared" si="94"/>
        <v>0</v>
      </c>
      <c r="M377" s="557">
        <f t="shared" si="94"/>
        <v>0</v>
      </c>
      <c r="N377" s="557">
        <f t="shared" si="94"/>
        <v>0</v>
      </c>
      <c r="O377" s="535" t="s">
        <v>2090</v>
      </c>
    </row>
    <row r="378" spans="1:16" s="142" customFormat="1" ht="18" hidden="1" customHeight="1" outlineLevel="1" x14ac:dyDescent="0.2">
      <c r="A378" s="1418"/>
      <c r="B378" s="138"/>
      <c r="C378" s="235"/>
      <c r="D378" s="726" t="s">
        <v>2078</v>
      </c>
      <c r="E378" s="557">
        <f t="shared" ref="E378:N378" si="95">(pSystemsLeaseDisputedRecordLaborHrsO1/pSystemsTouchHourspaO1)*pSystemsLeaseDisputeRecordsForecast</f>
        <v>0</v>
      </c>
      <c r="F378" s="557">
        <f t="shared" si="95"/>
        <v>0</v>
      </c>
      <c r="G378" s="557">
        <f t="shared" si="95"/>
        <v>0</v>
      </c>
      <c r="H378" s="557">
        <f t="shared" si="95"/>
        <v>0</v>
      </c>
      <c r="I378" s="557">
        <f t="shared" si="95"/>
        <v>0</v>
      </c>
      <c r="J378" s="557">
        <f t="shared" si="95"/>
        <v>0</v>
      </c>
      <c r="K378" s="557">
        <f t="shared" si="95"/>
        <v>0</v>
      </c>
      <c r="L378" s="557">
        <f t="shared" si="95"/>
        <v>0</v>
      </c>
      <c r="M378" s="557">
        <f t="shared" si="95"/>
        <v>0</v>
      </c>
      <c r="N378" s="557">
        <f t="shared" si="95"/>
        <v>0</v>
      </c>
      <c r="O378" s="535" t="s">
        <v>2091</v>
      </c>
    </row>
    <row r="379" spans="1:16" s="142" customFormat="1" ht="18" hidden="1" customHeight="1" outlineLevel="1" x14ac:dyDescent="0.2">
      <c r="A379" s="1418"/>
      <c r="B379" s="138"/>
      <c r="C379" s="235"/>
      <c r="D379" s="726" t="s">
        <v>2079</v>
      </c>
      <c r="E379" s="557">
        <f t="shared" ref="E379:N379" si="96">(pSystemsLeaseDisputedRecordLaborHrsO2/pSystemsTouchHourspaO2)*pSystemsLeaseDisputeRecordsForecast</f>
        <v>0</v>
      </c>
      <c r="F379" s="557">
        <f t="shared" si="96"/>
        <v>0</v>
      </c>
      <c r="G379" s="557">
        <f t="shared" si="96"/>
        <v>0</v>
      </c>
      <c r="H379" s="557">
        <f t="shared" si="96"/>
        <v>0</v>
      </c>
      <c r="I379" s="557">
        <f t="shared" si="96"/>
        <v>0</v>
      </c>
      <c r="J379" s="557">
        <f t="shared" si="96"/>
        <v>0</v>
      </c>
      <c r="K379" s="557">
        <f t="shared" si="96"/>
        <v>0</v>
      </c>
      <c r="L379" s="557">
        <f t="shared" si="96"/>
        <v>0</v>
      </c>
      <c r="M379" s="557">
        <f t="shared" si="96"/>
        <v>0</v>
      </c>
      <c r="N379" s="557">
        <f t="shared" si="96"/>
        <v>0</v>
      </c>
      <c r="O379" s="535" t="s">
        <v>2092</v>
      </c>
    </row>
    <row r="380" spans="1:16" s="142" customFormat="1" ht="18" hidden="1" customHeight="1" outlineLevel="1" x14ac:dyDescent="0.25">
      <c r="A380" s="1418"/>
      <c r="B380" s="138"/>
      <c r="C380" s="235"/>
      <c r="D380" s="728" t="s">
        <v>2080</v>
      </c>
      <c r="E380" s="562">
        <f>SUM(E368:E379)</f>
        <v>1.941370607649</v>
      </c>
      <c r="F380" s="562">
        <f t="shared" ref="F380:N380" si="97">SUM(F368:F379)</f>
        <v>1.941370607649</v>
      </c>
      <c r="G380" s="562">
        <f t="shared" si="97"/>
        <v>1.941370607649</v>
      </c>
      <c r="H380" s="562">
        <f t="shared" si="97"/>
        <v>1.941370607649</v>
      </c>
      <c r="I380" s="562">
        <f t="shared" si="97"/>
        <v>1.941370607649</v>
      </c>
      <c r="J380" s="562">
        <f t="shared" si="97"/>
        <v>1.941370607649</v>
      </c>
      <c r="K380" s="562">
        <f t="shared" si="97"/>
        <v>1.941370607649</v>
      </c>
      <c r="L380" s="562">
        <f t="shared" si="97"/>
        <v>1.941370607649</v>
      </c>
      <c r="M380" s="562">
        <f t="shared" si="97"/>
        <v>1.941370607649</v>
      </c>
      <c r="N380" s="562">
        <f t="shared" si="97"/>
        <v>1.941370607649</v>
      </c>
      <c r="O380" s="535" t="s">
        <v>2093</v>
      </c>
    </row>
    <row r="381" spans="1:16" s="203" customFormat="1" ht="13.5" hidden="1" outlineLevel="1" thickBot="1" x14ac:dyDescent="0.25">
      <c r="A381" s="1419"/>
      <c r="B381" s="74"/>
      <c r="C381" s="325"/>
      <c r="D381" s="725"/>
      <c r="E381" s="568"/>
      <c r="F381" s="568"/>
      <c r="G381" s="568"/>
      <c r="H381" s="568"/>
      <c r="I381" s="568"/>
      <c r="J381" s="568"/>
      <c r="K381" s="568"/>
      <c r="L381" s="568"/>
      <c r="M381" s="568"/>
      <c r="N381" s="568"/>
      <c r="O381" s="569"/>
      <c r="P381" s="204"/>
    </row>
    <row r="382" spans="1:16" s="203" customFormat="1" hidden="1" outlineLevel="1" x14ac:dyDescent="0.2">
      <c r="A382" s="142"/>
      <c r="B382" s="74"/>
      <c r="C382" s="211"/>
      <c r="D382" s="214"/>
      <c r="E382" s="210"/>
      <c r="F382" s="210"/>
      <c r="G382" s="210"/>
      <c r="H382" s="210"/>
      <c r="I382" s="210"/>
      <c r="J382" s="210"/>
      <c r="K382" s="210"/>
      <c r="L382" s="210"/>
      <c r="M382" s="210"/>
      <c r="N382" s="210"/>
      <c r="O382" s="204"/>
      <c r="P382" s="204"/>
    </row>
    <row r="383" spans="1:16" s="203" customFormat="1" ht="13.5" hidden="1" outlineLevel="1" thickBot="1" x14ac:dyDescent="0.25">
      <c r="A383" s="142"/>
      <c r="B383" s="74"/>
      <c r="C383" s="211"/>
      <c r="D383" s="214"/>
      <c r="E383" s="210"/>
      <c r="F383" s="210"/>
      <c r="G383" s="210"/>
      <c r="H383" s="210"/>
      <c r="I383" s="210"/>
      <c r="J383" s="210"/>
      <c r="K383" s="210"/>
      <c r="L383" s="210"/>
      <c r="M383" s="210"/>
      <c r="N383" s="210"/>
      <c r="O383" s="204"/>
      <c r="P383" s="204"/>
    </row>
    <row r="384" spans="1:16" s="203" customFormat="1" ht="20.100000000000001" hidden="1" customHeight="1" outlineLevel="1" x14ac:dyDescent="0.2">
      <c r="A384" s="142"/>
      <c r="B384" s="206"/>
      <c r="C384" s="1009" t="str">
        <f>Scenario2&amp;" Disputed Record - Lessee Labor Cost"</f>
        <v>hSystems (Hybrid) Disputed Record - Lessee Labor Cost</v>
      </c>
      <c r="D384" s="729"/>
      <c r="E384" s="322"/>
      <c r="F384" s="322"/>
      <c r="G384" s="322"/>
      <c r="H384" s="322"/>
      <c r="I384" s="322"/>
      <c r="J384" s="322"/>
      <c r="K384" s="322"/>
      <c r="L384" s="322"/>
      <c r="M384" s="322"/>
      <c r="N384" s="322"/>
      <c r="O384" s="579"/>
      <c r="P384" s="204"/>
    </row>
    <row r="385" spans="1:33" s="203" customFormat="1" hidden="1" outlineLevel="1" x14ac:dyDescent="0.2">
      <c r="A385" s="142"/>
      <c r="B385" s="206"/>
      <c r="C385" s="331"/>
      <c r="D385" s="730" t="s">
        <v>214</v>
      </c>
      <c r="E385" s="570">
        <v>500</v>
      </c>
      <c r="F385" s="570">
        <v>400</v>
      </c>
      <c r="G385" s="570">
        <v>400</v>
      </c>
      <c r="H385" s="570">
        <v>400</v>
      </c>
      <c r="I385" s="570">
        <v>400</v>
      </c>
      <c r="J385" s="570">
        <v>400</v>
      </c>
      <c r="K385" s="570">
        <v>400</v>
      </c>
      <c r="L385" s="570">
        <v>400</v>
      </c>
      <c r="M385" s="570">
        <v>400</v>
      </c>
      <c r="N385" s="570">
        <v>400</v>
      </c>
      <c r="O385" s="324" t="s">
        <v>216</v>
      </c>
      <c r="P385" s="204"/>
    </row>
    <row r="386" spans="1:33" s="206" customFormat="1" ht="13.5" hidden="1" outlineLevel="1" thickBot="1" x14ac:dyDescent="0.25">
      <c r="A386" s="142"/>
      <c r="C386" s="564"/>
      <c r="D386" s="725"/>
      <c r="E386" s="568"/>
      <c r="F386" s="568"/>
      <c r="G386" s="568"/>
      <c r="H386" s="568"/>
      <c r="I386" s="568"/>
      <c r="J386" s="568"/>
      <c r="K386" s="568"/>
      <c r="L386" s="568"/>
      <c r="M386" s="568"/>
      <c r="N386" s="568"/>
      <c r="O386" s="580"/>
      <c r="P386" s="210"/>
    </row>
    <row r="387" spans="1:33" s="206" customFormat="1" ht="12" hidden="1" customHeight="1" outlineLevel="1" thickBot="1" x14ac:dyDescent="0.3">
      <c r="A387" s="142"/>
      <c r="B387" s="576"/>
      <c r="C387" s="567"/>
      <c r="D387" s="730"/>
      <c r="E387" s="136"/>
      <c r="F387" s="136"/>
      <c r="G387" s="136"/>
      <c r="H387" s="136"/>
      <c r="I387" s="136"/>
      <c r="J387" s="136"/>
      <c r="K387" s="136"/>
      <c r="L387" s="136"/>
      <c r="M387" s="136"/>
      <c r="N387" s="136"/>
      <c r="O387" s="578"/>
      <c r="P387" s="210"/>
    </row>
    <row r="388" spans="1:33" s="8" customFormat="1" ht="20.25" hidden="1" outlineLevel="1" x14ac:dyDescent="0.25">
      <c r="A388" s="142"/>
      <c r="B388" s="194"/>
      <c r="C388" s="1009" t="str">
        <f>Scenario2&amp;" Lessee Labor Hours per Disputed Record"</f>
        <v>hSystems (Hybrid) Lessee Labor Hours per Disputed Record</v>
      </c>
      <c r="D388" s="310"/>
      <c r="E388" s="240"/>
      <c r="F388" s="240"/>
      <c r="G388" s="240"/>
      <c r="H388" s="240"/>
      <c r="I388" s="240"/>
      <c r="J388" s="240"/>
      <c r="K388" s="240"/>
      <c r="L388" s="240"/>
      <c r="M388" s="240"/>
      <c r="N388" s="240"/>
      <c r="O388" s="435"/>
      <c r="P388" s="17"/>
      <c r="Q388" s="17"/>
      <c r="R388" s="17"/>
      <c r="S388" s="17"/>
      <c r="T388" s="17"/>
      <c r="U388" s="17"/>
      <c r="V388" s="17"/>
      <c r="W388" s="17"/>
      <c r="X388" s="17"/>
      <c r="Y388" s="17"/>
      <c r="Z388" s="17"/>
      <c r="AA388" s="17"/>
      <c r="AB388" s="17"/>
      <c r="AC388" s="17"/>
      <c r="AD388" s="17"/>
      <c r="AE388" s="17"/>
      <c r="AF388" s="17"/>
      <c r="AG388" s="17"/>
    </row>
    <row r="389" spans="1:33" s="142" customFormat="1" ht="18" hidden="1" customHeight="1" outlineLevel="1" x14ac:dyDescent="0.2">
      <c r="B389" s="138"/>
      <c r="C389" s="235"/>
      <c r="D389" s="726" t="s">
        <v>2094</v>
      </c>
      <c r="E389" s="577">
        <v>0</v>
      </c>
      <c r="F389" s="577">
        <v>0</v>
      </c>
      <c r="G389" s="577">
        <v>0</v>
      </c>
      <c r="H389" s="577">
        <v>0</v>
      </c>
      <c r="I389" s="577">
        <v>0</v>
      </c>
      <c r="J389" s="577">
        <v>0</v>
      </c>
      <c r="K389" s="577">
        <v>0</v>
      </c>
      <c r="L389" s="577">
        <v>0</v>
      </c>
      <c r="M389" s="577">
        <v>0</v>
      </c>
      <c r="N389" s="577">
        <v>0</v>
      </c>
      <c r="O389" s="535" t="s">
        <v>2095</v>
      </c>
    </row>
    <row r="390" spans="1:33" s="142" customFormat="1" ht="18" hidden="1" customHeight="1" outlineLevel="1" x14ac:dyDescent="0.2">
      <c r="B390" s="138"/>
      <c r="C390" s="235"/>
      <c r="D390" s="726" t="s">
        <v>2096</v>
      </c>
      <c r="E390" s="577">
        <v>0</v>
      </c>
      <c r="F390" s="577">
        <v>0</v>
      </c>
      <c r="G390" s="577">
        <v>0</v>
      </c>
      <c r="H390" s="577">
        <v>0</v>
      </c>
      <c r="I390" s="577">
        <v>0</v>
      </c>
      <c r="J390" s="577">
        <v>0</v>
      </c>
      <c r="K390" s="577">
        <v>0</v>
      </c>
      <c r="L390" s="577">
        <v>0</v>
      </c>
      <c r="M390" s="577">
        <v>0</v>
      </c>
      <c r="N390" s="577">
        <v>0</v>
      </c>
      <c r="O390" s="535" t="s">
        <v>2097</v>
      </c>
    </row>
    <row r="391" spans="1:33" s="142" customFormat="1" ht="18" hidden="1" customHeight="1" outlineLevel="1" x14ac:dyDescent="0.2">
      <c r="B391" s="138"/>
      <c r="C391" s="235"/>
      <c r="D391" s="726" t="s">
        <v>2098</v>
      </c>
      <c r="E391" s="577">
        <v>0.75</v>
      </c>
      <c r="F391" s="577">
        <v>0.75</v>
      </c>
      <c r="G391" s="577">
        <v>0.75</v>
      </c>
      <c r="H391" s="577">
        <v>0.75</v>
      </c>
      <c r="I391" s="577">
        <v>0.75</v>
      </c>
      <c r="J391" s="577">
        <v>0.75</v>
      </c>
      <c r="K391" s="577">
        <v>0.75</v>
      </c>
      <c r="L391" s="577">
        <v>0.75</v>
      </c>
      <c r="M391" s="577">
        <v>0.75</v>
      </c>
      <c r="N391" s="577">
        <v>0.75</v>
      </c>
      <c r="O391" s="535" t="s">
        <v>2099</v>
      </c>
    </row>
    <row r="392" spans="1:33" s="142" customFormat="1" ht="18" hidden="1" customHeight="1" outlineLevel="1" x14ac:dyDescent="0.2">
      <c r="B392" s="138"/>
      <c r="C392" s="235"/>
      <c r="D392" s="726" t="s">
        <v>2100</v>
      </c>
      <c r="E392" s="577">
        <v>0.75</v>
      </c>
      <c r="F392" s="577">
        <v>0.75</v>
      </c>
      <c r="G392" s="577">
        <v>0.75</v>
      </c>
      <c r="H392" s="577">
        <v>0.75</v>
      </c>
      <c r="I392" s="577">
        <v>0.75</v>
      </c>
      <c r="J392" s="577">
        <v>0.75</v>
      </c>
      <c r="K392" s="577">
        <v>0.75</v>
      </c>
      <c r="L392" s="577">
        <v>0.75</v>
      </c>
      <c r="M392" s="577">
        <v>0.75</v>
      </c>
      <c r="N392" s="577">
        <v>0.75</v>
      </c>
      <c r="O392" s="535" t="s">
        <v>2101</v>
      </c>
    </row>
    <row r="393" spans="1:33" s="142" customFormat="1" ht="18" hidden="1" customHeight="1" outlineLevel="1" x14ac:dyDescent="0.2">
      <c r="B393" s="138"/>
      <c r="C393" s="235"/>
      <c r="D393" s="726" t="s">
        <v>2102</v>
      </c>
      <c r="E393" s="577">
        <v>0.75</v>
      </c>
      <c r="F393" s="577">
        <v>0.75</v>
      </c>
      <c r="G393" s="577">
        <v>0.75</v>
      </c>
      <c r="H393" s="577">
        <v>0.75</v>
      </c>
      <c r="I393" s="577">
        <v>0.75</v>
      </c>
      <c r="J393" s="577">
        <v>0.75</v>
      </c>
      <c r="K393" s="577">
        <v>0.75</v>
      </c>
      <c r="L393" s="577">
        <v>0.75</v>
      </c>
      <c r="M393" s="577">
        <v>0.75</v>
      </c>
      <c r="N393" s="577">
        <v>0.75</v>
      </c>
      <c r="O393" s="535" t="s">
        <v>2103</v>
      </c>
    </row>
    <row r="394" spans="1:33" s="142" customFormat="1" ht="18" hidden="1" customHeight="1" outlineLevel="1" x14ac:dyDescent="0.2">
      <c r="B394" s="138"/>
      <c r="C394" s="235"/>
      <c r="D394" s="726" t="s">
        <v>2104</v>
      </c>
      <c r="E394" s="577">
        <v>0</v>
      </c>
      <c r="F394" s="577">
        <v>0</v>
      </c>
      <c r="G394" s="577">
        <v>0</v>
      </c>
      <c r="H394" s="577">
        <v>0</v>
      </c>
      <c r="I394" s="577">
        <v>0</v>
      </c>
      <c r="J394" s="577">
        <v>0</v>
      </c>
      <c r="K394" s="577">
        <v>0</v>
      </c>
      <c r="L394" s="577">
        <v>0</v>
      </c>
      <c r="M394" s="577">
        <v>0</v>
      </c>
      <c r="N394" s="577">
        <v>0</v>
      </c>
      <c r="O394" s="535" t="s">
        <v>2105</v>
      </c>
    </row>
    <row r="395" spans="1:33" s="142" customFormat="1" ht="18" hidden="1" customHeight="1" outlineLevel="1" x14ac:dyDescent="0.2">
      <c r="B395" s="138"/>
      <c r="C395" s="235"/>
      <c r="D395" s="726" t="s">
        <v>2106</v>
      </c>
      <c r="E395" s="577">
        <v>0.75</v>
      </c>
      <c r="F395" s="577">
        <v>0.75</v>
      </c>
      <c r="G395" s="577">
        <v>0.75</v>
      </c>
      <c r="H395" s="577">
        <v>0.75</v>
      </c>
      <c r="I395" s="577">
        <v>0.75</v>
      </c>
      <c r="J395" s="577">
        <v>0.75</v>
      </c>
      <c r="K395" s="577">
        <v>0.75</v>
      </c>
      <c r="L395" s="577">
        <v>0.75</v>
      </c>
      <c r="M395" s="577">
        <v>0.75</v>
      </c>
      <c r="N395" s="577">
        <v>0.75</v>
      </c>
      <c r="O395" s="535" t="s">
        <v>2107</v>
      </c>
    </row>
    <row r="396" spans="1:33" s="142" customFormat="1" ht="18" hidden="1" customHeight="1" outlineLevel="1" x14ac:dyDescent="0.2">
      <c r="B396" s="138"/>
      <c r="C396" s="235"/>
      <c r="D396" s="726" t="s">
        <v>2108</v>
      </c>
      <c r="E396" s="577">
        <v>0</v>
      </c>
      <c r="F396" s="577">
        <v>0</v>
      </c>
      <c r="G396" s="577">
        <v>0</v>
      </c>
      <c r="H396" s="577">
        <v>0</v>
      </c>
      <c r="I396" s="577">
        <v>0</v>
      </c>
      <c r="J396" s="577">
        <v>0</v>
      </c>
      <c r="K396" s="577">
        <v>0</v>
      </c>
      <c r="L396" s="577">
        <v>0</v>
      </c>
      <c r="M396" s="577">
        <v>0</v>
      </c>
      <c r="N396" s="577">
        <v>0</v>
      </c>
      <c r="O396" s="535" t="s">
        <v>2109</v>
      </c>
    </row>
    <row r="397" spans="1:33" s="142" customFormat="1" ht="18" hidden="1" customHeight="1" outlineLevel="1" x14ac:dyDescent="0.2">
      <c r="B397" s="565"/>
      <c r="C397" s="235"/>
      <c r="D397" s="726" t="s">
        <v>2110</v>
      </c>
      <c r="E397" s="577">
        <v>0</v>
      </c>
      <c r="F397" s="577">
        <v>0</v>
      </c>
      <c r="G397" s="577">
        <v>0</v>
      </c>
      <c r="H397" s="577">
        <v>0</v>
      </c>
      <c r="I397" s="577">
        <v>0</v>
      </c>
      <c r="J397" s="577">
        <v>0</v>
      </c>
      <c r="K397" s="577">
        <v>0</v>
      </c>
      <c r="L397" s="577">
        <v>0</v>
      </c>
      <c r="M397" s="577">
        <v>0</v>
      </c>
      <c r="N397" s="577">
        <v>0</v>
      </c>
      <c r="O397" s="535" t="s">
        <v>2111</v>
      </c>
    </row>
    <row r="398" spans="1:33" s="142" customFormat="1" ht="18" hidden="1" customHeight="1" outlineLevel="1" x14ac:dyDescent="0.2">
      <c r="B398" s="565"/>
      <c r="C398" s="235"/>
      <c r="D398" s="726" t="s">
        <v>2112</v>
      </c>
      <c r="E398" s="577">
        <v>0</v>
      </c>
      <c r="F398" s="577">
        <v>0</v>
      </c>
      <c r="G398" s="577">
        <v>0</v>
      </c>
      <c r="H398" s="577">
        <v>0</v>
      </c>
      <c r="I398" s="577">
        <v>0</v>
      </c>
      <c r="J398" s="577">
        <v>0</v>
      </c>
      <c r="K398" s="577">
        <v>0</v>
      </c>
      <c r="L398" s="577">
        <v>0</v>
      </c>
      <c r="M398" s="577">
        <v>0</v>
      </c>
      <c r="N398" s="577">
        <v>0</v>
      </c>
      <c r="O398" s="535" t="s">
        <v>2113</v>
      </c>
    </row>
    <row r="399" spans="1:33" s="142" customFormat="1" ht="18" hidden="1" customHeight="1" outlineLevel="1" x14ac:dyDescent="0.2">
      <c r="B399" s="138"/>
      <c r="C399" s="235"/>
      <c r="D399" s="726" t="s">
        <v>2114</v>
      </c>
      <c r="E399" s="577">
        <v>0</v>
      </c>
      <c r="F399" s="577">
        <v>0</v>
      </c>
      <c r="G399" s="577">
        <v>0</v>
      </c>
      <c r="H399" s="577">
        <v>0</v>
      </c>
      <c r="I399" s="577">
        <v>0</v>
      </c>
      <c r="J399" s="577">
        <v>0</v>
      </c>
      <c r="K399" s="577">
        <v>0</v>
      </c>
      <c r="L399" s="577">
        <v>0</v>
      </c>
      <c r="M399" s="577">
        <v>0</v>
      </c>
      <c r="N399" s="577">
        <v>0</v>
      </c>
      <c r="O399" s="535" t="s">
        <v>2115</v>
      </c>
    </row>
    <row r="400" spans="1:33" s="142" customFormat="1" ht="18" hidden="1" customHeight="1" outlineLevel="1" x14ac:dyDescent="0.2">
      <c r="B400" s="138"/>
      <c r="C400" s="235"/>
      <c r="D400" s="726" t="s">
        <v>2116</v>
      </c>
      <c r="E400" s="577">
        <v>0</v>
      </c>
      <c r="F400" s="577">
        <v>0</v>
      </c>
      <c r="G400" s="577">
        <v>0</v>
      </c>
      <c r="H400" s="577">
        <v>0</v>
      </c>
      <c r="I400" s="577">
        <v>0</v>
      </c>
      <c r="J400" s="577">
        <v>0</v>
      </c>
      <c r="K400" s="577">
        <v>0</v>
      </c>
      <c r="L400" s="577">
        <v>0</v>
      </c>
      <c r="M400" s="577">
        <v>0</v>
      </c>
      <c r="N400" s="577">
        <v>0</v>
      </c>
      <c r="O400" s="535" t="s">
        <v>2117</v>
      </c>
    </row>
    <row r="401" spans="1:33" s="206" customFormat="1" ht="15.75" hidden="1" outlineLevel="1" thickBot="1" x14ac:dyDescent="0.3">
      <c r="A401" s="142"/>
      <c r="B401" s="563"/>
      <c r="C401" s="564"/>
      <c r="D401" s="724"/>
      <c r="E401" s="571"/>
      <c r="F401" s="571"/>
      <c r="G401" s="571"/>
      <c r="H401" s="571"/>
      <c r="I401" s="571"/>
      <c r="J401" s="571"/>
      <c r="K401" s="571"/>
      <c r="L401" s="571"/>
      <c r="M401" s="571"/>
      <c r="N401" s="571"/>
      <c r="O401" s="572"/>
      <c r="P401" s="210"/>
    </row>
    <row r="402" spans="1:33" s="206" customFormat="1" ht="15.75" hidden="1" outlineLevel="1" thickBot="1" x14ac:dyDescent="0.3">
      <c r="A402" s="142"/>
      <c r="B402" s="563"/>
      <c r="C402" s="322"/>
      <c r="D402" s="732"/>
      <c r="E402" s="581"/>
      <c r="F402" s="581"/>
      <c r="G402" s="581"/>
      <c r="H402" s="581"/>
      <c r="I402" s="581"/>
      <c r="J402" s="581"/>
      <c r="K402" s="581"/>
      <c r="L402" s="581"/>
      <c r="M402" s="581"/>
      <c r="N402" s="581"/>
      <c r="O402" s="558"/>
      <c r="P402" s="210"/>
    </row>
    <row r="403" spans="1:33" s="8" customFormat="1" ht="20.25" hidden="1" outlineLevel="1" x14ac:dyDescent="0.2">
      <c r="A403" s="142"/>
      <c r="B403" s="102"/>
      <c r="C403" s="1010" t="str">
        <f>Scenario2&amp;" Disputed Record Cost pa (based on Touch Hour Rate)"</f>
        <v>hSystems (Hybrid) Disputed Record Cost pa (based on Touch Hour Rate)</v>
      </c>
      <c r="D403" s="310"/>
      <c r="E403" s="316"/>
      <c r="F403" s="316"/>
      <c r="G403" s="316"/>
      <c r="H403" s="316"/>
      <c r="I403" s="316"/>
      <c r="J403" s="316"/>
      <c r="K403" s="316"/>
      <c r="L403" s="316"/>
      <c r="M403" s="316"/>
      <c r="N403" s="316"/>
      <c r="O403" s="583"/>
      <c r="P403" s="17"/>
      <c r="Q403" s="17"/>
      <c r="R403" s="17"/>
      <c r="S403" s="17"/>
      <c r="T403" s="17"/>
      <c r="U403" s="17"/>
      <c r="V403" s="17"/>
      <c r="W403" s="17"/>
      <c r="X403" s="17"/>
      <c r="Y403" s="17"/>
      <c r="Z403" s="17"/>
      <c r="AA403" s="17"/>
      <c r="AB403" s="17"/>
      <c r="AC403" s="17"/>
      <c r="AD403" s="17"/>
      <c r="AE403" s="17"/>
      <c r="AF403" s="17"/>
      <c r="AG403" s="17"/>
    </row>
    <row r="404" spans="1:33" s="142" customFormat="1" ht="18" hidden="1" customHeight="1" outlineLevel="1" x14ac:dyDescent="0.2">
      <c r="B404" s="138"/>
      <c r="C404" s="235"/>
      <c r="D404" s="726" t="s">
        <v>2118</v>
      </c>
      <c r="E404" s="555">
        <f>(hSystemsTouchRateHourHM*hSystemsLeaseDisputedRecordLaborHrsHM*hSystemsLeaseDisputeRecordsForecast)</f>
        <v>0</v>
      </c>
      <c r="F404" s="555">
        <f>(hSystemsTouchRateHourHM*hSystemsLeaseDisputedRecordLaborHrsHM*hSystemsLeaseDisputeRecordsForecast)*(1+Inflation)</f>
        <v>0</v>
      </c>
      <c r="G404" s="555">
        <f>(hSystemsTouchRateHourHM*hSystemsLeaseDisputedRecordLaborHrsHM*hSystemsLeaseDisputeRecordsForecast)*(1+Inflation)^2</f>
        <v>0</v>
      </c>
      <c r="H404" s="555">
        <f>(hSystemsTouchRateHourHM*hSystemsLeaseDisputedRecordLaborHrsHM*hSystemsLeaseDisputeRecordsForecast)*(1+Inflation)^3</f>
        <v>0</v>
      </c>
      <c r="I404" s="555">
        <f>(hSystemsTouchRateHourHM*hSystemsLeaseDisputedRecordLaborHrsHM*hSystemsLeaseDisputeRecordsForecast)*(1+Inflation)^4</f>
        <v>0</v>
      </c>
      <c r="J404" s="555">
        <f>(hSystemsTouchRateHourHM*hSystemsLeaseDisputedRecordLaborHrsHM*hSystemsLeaseDisputeRecordsForecast)*(1+Inflation)^5</f>
        <v>0</v>
      </c>
      <c r="K404" s="555">
        <f>(hSystemsTouchRateHourHM*hSystemsLeaseDisputedRecordLaborHrsHM*hSystemsLeaseDisputeRecordsForecast)*(1+Inflation)^6</f>
        <v>0</v>
      </c>
      <c r="L404" s="555">
        <f>(hSystemsTouchRateHourHM*hSystemsLeaseDisputedRecordLaborHrsHM*hSystemsLeaseDisputeRecordsForecast)*(1+Inflation)^7</f>
        <v>0</v>
      </c>
      <c r="M404" s="555">
        <f>(hSystemsTouchRateHourHM*hSystemsLeaseDisputedRecordLaborHrsHM*hSystemsLeaseDisputeRecordsForecast)*(1+Inflation)^8</f>
        <v>0</v>
      </c>
      <c r="N404" s="555">
        <f>(hSystemsTouchRateHourHM*hSystemsLeaseDisputedRecordLaborHrsHM*hSystemsLeaseDisputeRecordsForecast)*(1+Inflation)^9</f>
        <v>0</v>
      </c>
      <c r="O404" s="535" t="s">
        <v>2119</v>
      </c>
    </row>
    <row r="405" spans="1:33" s="142" customFormat="1" ht="18" hidden="1" customHeight="1" outlineLevel="1" x14ac:dyDescent="0.2">
      <c r="B405" s="128"/>
      <c r="C405" s="235"/>
      <c r="D405" s="726" t="s">
        <v>2120</v>
      </c>
      <c r="E405" s="555">
        <f>(hSystemsTouchRateHourLM*hSystemsLeaseDisputedRecordLaborHrsLM*hSystemsLeaseDisputeRecordsForecast)</f>
        <v>0</v>
      </c>
      <c r="F405" s="555">
        <f>(hSystemsTouchRateHourLM*hSystemsLeaseDisputedRecordLaborHrsLM*hSystemsLeaseDisputeRecordsForecast)*(1+Inflation)</f>
        <v>0</v>
      </c>
      <c r="G405" s="555">
        <f>(hSystemsTouchRateHourLM*hSystemsLeaseDisputedRecordLaborHrsLM*hSystemsLeaseDisputeRecordsForecast)*(1+Inflation)^2</f>
        <v>0</v>
      </c>
      <c r="H405" s="555">
        <f>(hSystemsTouchRateHourLM*hSystemsLeaseDisputedRecordLaborHrsLM*hSystemsLeaseDisputeRecordsForecast)*(1+Inflation)^3</f>
        <v>0</v>
      </c>
      <c r="I405" s="555">
        <f>(hSystemsTouchRateHourLM*hSystemsLeaseDisputedRecordLaborHrsLM*hSystemsLeaseDisputeRecordsForecast)*(1+Inflation)^4</f>
        <v>0</v>
      </c>
      <c r="J405" s="555">
        <f>(hSystemsTouchRateHourLM*hSystemsLeaseDisputedRecordLaborHrsLM*hSystemsLeaseDisputeRecordsForecast)*(1+Inflation)^5</f>
        <v>0</v>
      </c>
      <c r="K405" s="555">
        <f>(hSystemsTouchRateHourLM*hSystemsLeaseDisputedRecordLaborHrsLM*hSystemsLeaseDisputeRecordsForecast)*(1+Inflation)^6</f>
        <v>0</v>
      </c>
      <c r="L405" s="555">
        <f>(hSystemsTouchRateHourLM*hSystemsLeaseDisputedRecordLaborHrsLM*hSystemsLeaseDisputeRecordsForecast)*(1+Inflation)^7</f>
        <v>0</v>
      </c>
      <c r="M405" s="555">
        <f>(hSystemsTouchRateHourLM*hSystemsLeaseDisputedRecordLaborHrsLM*hSystemsLeaseDisputeRecordsForecast)*(1+Inflation)^8</f>
        <v>0</v>
      </c>
      <c r="N405" s="555">
        <f>(hSystemsTouchRateHourLM*hSystemsLeaseDisputedRecordLaborHrsLM*hSystemsLeaseDisputeRecordsForecast)*(1+Inflation)^9</f>
        <v>0</v>
      </c>
      <c r="O405" s="535" t="s">
        <v>2121</v>
      </c>
    </row>
    <row r="406" spans="1:33" s="142" customFormat="1" ht="18" hidden="1" customHeight="1" outlineLevel="1" x14ac:dyDescent="0.2">
      <c r="B406" s="128"/>
      <c r="C406" s="235"/>
      <c r="D406" s="727" t="s">
        <v>2122</v>
      </c>
      <c r="E406" s="555">
        <f>(hSystemsTouchRateHourENG*hSystemsLeaseDisputedRecordLaborHrsENG*hSystemsLeaseDisputeRecordsForecast)</f>
        <v>39137.251435227561</v>
      </c>
      <c r="F406" s="555">
        <f>(hSystemsTouchRateHourENG*hSystemsLeaseDisputedRecordLaborHrsENG*hSystemsLeaseDisputeRecordsForecast)*(1+Inflation)</f>
        <v>31935.997171145693</v>
      </c>
      <c r="G406" s="555">
        <f>(hSystemsTouchRateHourENG*hSystemsLeaseDisputedRecordLaborHrsENG*hSystemsLeaseDisputeRecordsForecast)*(1+Inflation)^2</f>
        <v>32574.717114568604</v>
      </c>
      <c r="H406" s="555">
        <f>(hSystemsTouchRateHourENG*hSystemsLeaseDisputedRecordLaborHrsENG*hSystemsLeaseDisputeRecordsForecast)*(1+Inflation)^3</f>
        <v>33226.211456859972</v>
      </c>
      <c r="I406" s="555">
        <f>(hSystemsTouchRateHourENG*hSystemsLeaseDisputedRecordLaborHrsENG*hSystemsLeaseDisputeRecordsForecast)*(1+Inflation)^4</f>
        <v>33890.735685997177</v>
      </c>
      <c r="J406" s="555">
        <f>(hSystemsTouchRateHourENG*hSystemsLeaseDisputedRecordLaborHrsENG*hSystemsLeaseDisputeRecordsForecast)*(1+Inflation)^5</f>
        <v>34568.550399717118</v>
      </c>
      <c r="K406" s="555">
        <f>(hSystemsTouchRateHourENG*hSystemsLeaseDisputedRecordLaborHrsENG*hSystemsLeaseDisputeRecordsForecast)*(1+Inflation)^6</f>
        <v>35259.921407711467</v>
      </c>
      <c r="L406" s="555">
        <f>(hSystemsTouchRateHourENG*hSystemsLeaseDisputedRecordLaborHrsENG*hSystemsLeaseDisputeRecordsForecast)*(1+Inflation)^7</f>
        <v>35965.119835865684</v>
      </c>
      <c r="M406" s="555">
        <f>(hSystemsTouchRateHourENG*hSystemsLeaseDisputedRecordLaborHrsENG*hSystemsLeaseDisputeRecordsForecast)*(1+Inflation)^8</f>
        <v>36684.422232583005</v>
      </c>
      <c r="N406" s="555">
        <f>(hSystemsTouchRateHourENG*hSystemsLeaseDisputedRecordLaborHrsENG*hSystemsLeaseDisputeRecordsForecast)*(1+Inflation)^9</f>
        <v>37418.110677234661</v>
      </c>
      <c r="O406" s="535" t="s">
        <v>2123</v>
      </c>
    </row>
    <row r="407" spans="1:33" s="142" customFormat="1" ht="18" hidden="1" customHeight="1" outlineLevel="1" x14ac:dyDescent="0.2">
      <c r="B407" s="138"/>
      <c r="C407" s="235"/>
      <c r="D407" s="726" t="s">
        <v>2124</v>
      </c>
      <c r="E407" s="555">
        <f>(hSystemsTouchRateHourPLG*hSystemsLeaseDisputedRecordLaborHrsPLG*hSystemsLeaseDisputeRecordsForecast)</f>
        <v>36962.959688826028</v>
      </c>
      <c r="F407" s="555">
        <f>(hSystemsTouchRateHourPLG*hSystemsLeaseDisputedRecordLaborHrsPLG*hSystemsLeaseDisputeRecordsForecast)*(1+Inflation)</f>
        <v>30161.775106082037</v>
      </c>
      <c r="G407" s="555">
        <f>(hSystemsTouchRateHourPLG*hSystemsLeaseDisputedRecordLaborHrsPLG*hSystemsLeaseDisputeRecordsForecast)*(1+Inflation)^2</f>
        <v>30765.01060820368</v>
      </c>
      <c r="H407" s="555">
        <f>(hSystemsTouchRateHourPLG*hSystemsLeaseDisputedRecordLaborHrsPLG*hSystemsLeaseDisputeRecordsForecast)*(1+Inflation)^3</f>
        <v>31380.310820367751</v>
      </c>
      <c r="I407" s="555">
        <f>(hSystemsTouchRateHourPLG*hSystemsLeaseDisputedRecordLaborHrsPLG*hSystemsLeaseDisputeRecordsForecast)*(1+Inflation)^4</f>
        <v>32007.917036775107</v>
      </c>
      <c r="J407" s="555">
        <f>(hSystemsTouchRateHourPLG*hSystemsLeaseDisputedRecordLaborHrsPLG*hSystemsLeaseDisputeRecordsForecast)*(1+Inflation)^5</f>
        <v>32648.07537751061</v>
      </c>
      <c r="K407" s="555">
        <f>(hSystemsTouchRateHourPLG*hSystemsLeaseDisputedRecordLaborHrsPLG*hSystemsLeaseDisputeRecordsForecast)*(1+Inflation)^6</f>
        <v>33301.036885060821</v>
      </c>
      <c r="L407" s="555">
        <f>(hSystemsTouchRateHourPLG*hSystemsLeaseDisputedRecordLaborHrsPLG*hSystemsLeaseDisputeRecordsForecast)*(1+Inflation)^7</f>
        <v>33967.057622762033</v>
      </c>
      <c r="M407" s="555">
        <f>(hSystemsTouchRateHourPLG*hSystemsLeaseDisputedRecordLaborHrsPLG*hSystemsLeaseDisputeRecordsForecast)*(1+Inflation)^8</f>
        <v>34646.398775217276</v>
      </c>
      <c r="N407" s="555">
        <f>(hSystemsTouchRateHourPLG*hSystemsLeaseDisputedRecordLaborHrsPLG*hSystemsLeaseDisputeRecordsForecast)*(1+Inflation)^9</f>
        <v>35339.326750721622</v>
      </c>
      <c r="O407" s="535" t="s">
        <v>2125</v>
      </c>
    </row>
    <row r="408" spans="1:33" s="142" customFormat="1" ht="18" hidden="1" customHeight="1" outlineLevel="1" x14ac:dyDescent="0.2">
      <c r="B408" s="138"/>
      <c r="C408" s="235"/>
      <c r="D408" s="726" t="s">
        <v>2126</v>
      </c>
      <c r="E408" s="555">
        <f>(hSystemsTouchRateHourCRT*hSystemsLeaseDisputedRecordLaborHrsCRT*hSystemsLeaseDisputeRecordsForecast)</f>
        <v>21742.917464015314</v>
      </c>
      <c r="F408" s="555">
        <f>(hSystemsTouchRateHourCRT*hSystemsLeaseDisputedRecordLaborHrsCRT*hSystemsLeaseDisputeRecordsForecast)*(1+Inflation)</f>
        <v>17742.220650636496</v>
      </c>
      <c r="G408" s="555">
        <f>(hSystemsTouchRateHourCRT*hSystemsLeaseDisputedRecordLaborHrsCRT*hSystemsLeaseDisputeRecordsForecast)*(1+Inflation)^2</f>
        <v>18097.065063649225</v>
      </c>
      <c r="H408" s="555">
        <f>(hSystemsTouchRateHourCRT*hSystemsLeaseDisputedRecordLaborHrsCRT*hSystemsLeaseDisputeRecordsForecast)*(1+Inflation)^3</f>
        <v>18459.00636492221</v>
      </c>
      <c r="I408" s="555">
        <f>(hSystemsTouchRateHourCRT*hSystemsLeaseDisputedRecordLaborHrsCRT*hSystemsLeaseDisputeRecordsForecast)*(1+Inflation)^4</f>
        <v>18828.186492220655</v>
      </c>
      <c r="J408" s="555">
        <f>(hSystemsTouchRateHourCRT*hSystemsLeaseDisputedRecordLaborHrsCRT*hSystemsLeaseDisputeRecordsForecast)*(1+Inflation)^5</f>
        <v>19204.750222065068</v>
      </c>
      <c r="K408" s="555">
        <f>(hSystemsTouchRateHourCRT*hSystemsLeaseDisputedRecordLaborHrsCRT*hSystemsLeaseDisputeRecordsForecast)*(1+Inflation)^6</f>
        <v>19588.845226506372</v>
      </c>
      <c r="L408" s="555">
        <f>(hSystemsTouchRateHourCRT*hSystemsLeaseDisputedRecordLaborHrsCRT*hSystemsLeaseDisputeRecordsForecast)*(1+Inflation)^7</f>
        <v>19980.622131036493</v>
      </c>
      <c r="M408" s="555">
        <f>(hSystemsTouchRateHourCRT*hSystemsLeaseDisputedRecordLaborHrsCRT*hSystemsLeaseDisputeRecordsForecast)*(1+Inflation)^8</f>
        <v>20380.234573657224</v>
      </c>
      <c r="N408" s="555">
        <f>(hSystemsTouchRateHourCRT*hSystemsLeaseDisputedRecordLaborHrsCRT*hSystemsLeaseDisputeRecordsForecast)*(1+Inflation)^9</f>
        <v>20787.839265130369</v>
      </c>
      <c r="O408" s="535" t="s">
        <v>2127</v>
      </c>
    </row>
    <row r="409" spans="1:33" s="142" customFormat="1" ht="18" hidden="1" customHeight="1" outlineLevel="1" x14ac:dyDescent="0.2">
      <c r="B409" s="128"/>
      <c r="C409" s="235"/>
      <c r="D409" s="726" t="s">
        <v>2128</v>
      </c>
      <c r="E409" s="555">
        <f>(hSystemsTouchRateHourSCL*hSystemsLeaseDisputedRecordLaborHrsSCL*hSystemsLeaseDisputeRecordsForecast)</f>
        <v>0</v>
      </c>
      <c r="F409" s="555">
        <f>(hSystemsTouchRateHourSCL*hSystemsLeaseDisputedRecordLaborHrsSCL*hSystemsLeaseDisputeRecordsForecast)*(1+Inflation)</f>
        <v>0</v>
      </c>
      <c r="G409" s="555">
        <f>(hSystemsTouchRateHourSCL*hSystemsLeaseDisputedRecordLaborHrsSCL*hSystemsLeaseDisputeRecordsForecast)*(1+Inflation)^2</f>
        <v>0</v>
      </c>
      <c r="H409" s="555">
        <f>(hSystemsTouchRateHourSCL*hSystemsLeaseDisputedRecordLaborHrsSCL*hSystemsLeaseDisputeRecordsForecast)*(1+Inflation)^3</f>
        <v>0</v>
      </c>
      <c r="I409" s="555">
        <f>(hSystemsTouchRateHourSCL*hSystemsLeaseDisputedRecordLaborHrsSCL*hSystemsLeaseDisputeRecordsForecast)*(1+Inflation)^4</f>
        <v>0</v>
      </c>
      <c r="J409" s="555">
        <f>(hSystemsTouchRateHourSCL*hSystemsLeaseDisputedRecordLaborHrsSCL*hSystemsLeaseDisputeRecordsForecast)*(1+Inflation)^5</f>
        <v>0</v>
      </c>
      <c r="K409" s="555">
        <f>(hSystemsTouchRateHourSCL*hSystemsLeaseDisputedRecordLaborHrsSCL*hSystemsLeaseDisputeRecordsForecast)*(1+Inflation)^6</f>
        <v>0</v>
      </c>
      <c r="L409" s="555">
        <f>(hSystemsTouchRateHourSCL*hSystemsLeaseDisputedRecordLaborHrsSCL*hSystemsLeaseDisputeRecordsForecast)*(1+Inflation)^7</f>
        <v>0</v>
      </c>
      <c r="M409" s="555">
        <f>(hSystemsTouchRateHourSCL*hSystemsLeaseDisputedRecordLaborHrsSCL*hSystemsLeaseDisputeRecordsForecast)*(1+Inflation)^8</f>
        <v>0</v>
      </c>
      <c r="N409" s="555">
        <f>(hSystemsTouchRateHourSCL*hSystemsLeaseDisputedRecordLaborHrsSCL*hSystemsLeaseDisputeRecordsForecast)*(1+Inflation)^9</f>
        <v>0</v>
      </c>
      <c r="O409" s="535" t="s">
        <v>2129</v>
      </c>
    </row>
    <row r="410" spans="1:33" s="142" customFormat="1" ht="18" hidden="1" customHeight="1" outlineLevel="1" x14ac:dyDescent="0.2">
      <c r="B410" s="138"/>
      <c r="C410" s="235"/>
      <c r="D410" s="726" t="s">
        <v>2130</v>
      </c>
      <c r="E410" s="555">
        <f>(hSystemsTouchRateHourQSC*hSystemsLeaseDisputedRecordLaborHrsQSC*hSystemsLeaseDisputeRecordsForecast)</f>
        <v>32614.376196022968</v>
      </c>
      <c r="F410" s="555">
        <f>(hSystemsTouchRateHourQSC*hSystemsLeaseDisputedRecordLaborHrsQSC*hSystemsLeaseDisputeRecordsForecast)*(1+Inflation)</f>
        <v>26613.330975954741</v>
      </c>
      <c r="G410" s="555">
        <f>(hSystemsTouchRateHourQSC*hSystemsLeaseDisputedRecordLaborHrsQSC*hSystemsLeaseDisputeRecordsForecast)*(1+Inflation)^2</f>
        <v>27145.597595473835</v>
      </c>
      <c r="H410" s="555">
        <f>(hSystemsTouchRateHourQSC*hSystemsLeaseDisputedRecordLaborHrsQSC*hSystemsLeaseDisputeRecordsForecast)*(1+Inflation)^3</f>
        <v>27688.50954738331</v>
      </c>
      <c r="I410" s="555">
        <f>(hSystemsTouchRateHourQSC*hSystemsLeaseDisputedRecordLaborHrsQSC*hSystemsLeaseDisputeRecordsForecast)*(1+Inflation)^4</f>
        <v>28242.279738330977</v>
      </c>
      <c r="J410" s="555">
        <f>(hSystemsTouchRateHourQSC*hSystemsLeaseDisputedRecordLaborHrsQSC*hSystemsLeaseDisputeRecordsForecast)*(1+Inflation)^5</f>
        <v>28807.1253330976</v>
      </c>
      <c r="K410" s="555">
        <f>(hSystemsTouchRateHourQSC*hSystemsLeaseDisputedRecordLaborHrsQSC*hSystemsLeaseDisputeRecordsForecast)*(1+Inflation)^6</f>
        <v>29383.267839759552</v>
      </c>
      <c r="L410" s="555">
        <f>(hSystemsTouchRateHourQSC*hSystemsLeaseDisputedRecordLaborHrsQSC*hSystemsLeaseDisputeRecordsForecast)*(1+Inflation)^7</f>
        <v>29970.933196554739</v>
      </c>
      <c r="M410" s="555">
        <f>(hSystemsTouchRateHourQSC*hSystemsLeaseDisputedRecordLaborHrsQSC*hSystemsLeaseDisputeRecordsForecast)*(1+Inflation)^8</f>
        <v>30570.351860485836</v>
      </c>
      <c r="N410" s="555">
        <f>(hSystemsTouchRateHourQSC*hSystemsLeaseDisputedRecordLaborHrsQSC*hSystemsLeaseDisputeRecordsForecast)*(1+Inflation)^9</f>
        <v>31181.758897695552</v>
      </c>
      <c r="O410" s="535" t="s">
        <v>2131</v>
      </c>
    </row>
    <row r="411" spans="1:33" s="142" customFormat="1" ht="18" hidden="1" customHeight="1" outlineLevel="1" x14ac:dyDescent="0.2">
      <c r="B411" s="138"/>
      <c r="C411" s="235"/>
      <c r="D411" s="726" t="s">
        <v>2132</v>
      </c>
      <c r="E411" s="555">
        <f>(hSystemsTouchRateHourEM*hSystemsLeaseDisputedRecordLaborHrsEM*hSystemsLeaseDisputeRecordsForecast)</f>
        <v>0</v>
      </c>
      <c r="F411" s="555">
        <f>(hSystemsTouchRateHourEM*hSystemsLeaseDisputedRecordLaborHrsEM*hSystemsLeaseDisputeRecordsForecast)*(1+Inflation)</f>
        <v>0</v>
      </c>
      <c r="G411" s="555">
        <f>(hSystemsTouchRateHourEM*hSystemsLeaseDisputedRecordLaborHrsEM*hSystemsLeaseDisputeRecordsForecast)*(1+Inflation)^2</f>
        <v>0</v>
      </c>
      <c r="H411" s="555">
        <f>(hSystemsTouchRateHourEM*hSystemsLeaseDisputedRecordLaborHrsEM*hSystemsLeaseDisputeRecordsForecast)*(1+Inflation)^3</f>
        <v>0</v>
      </c>
      <c r="I411" s="555">
        <f>(hSystemsTouchRateHourEM*hSystemsLeaseDisputedRecordLaborHrsEM*hSystemsLeaseDisputeRecordsForecast)*(1+Inflation)^4</f>
        <v>0</v>
      </c>
      <c r="J411" s="555">
        <f>(hSystemsTouchRateHourEM*hSystemsLeaseDisputedRecordLaborHrsEM*hSystemsLeaseDisputeRecordsForecast)*(1+Inflation)^5</f>
        <v>0</v>
      </c>
      <c r="K411" s="555">
        <f>(hSystemsTouchRateHourEM*hSystemsLeaseDisputedRecordLaborHrsEM*hSystemsLeaseDisputeRecordsForecast)*(1+Inflation)^6</f>
        <v>0</v>
      </c>
      <c r="L411" s="555">
        <f>(hSystemsTouchRateHourEM*hSystemsLeaseDisputedRecordLaborHrsEM*hSystemsLeaseDisputeRecordsForecast)*(1+Inflation)^7</f>
        <v>0</v>
      </c>
      <c r="M411" s="555">
        <f>(hSystemsTouchRateHourEM*hSystemsLeaseDisputedRecordLaborHrsEM*hSystemsLeaseDisputeRecordsForecast)*(1+Inflation)^8</f>
        <v>0</v>
      </c>
      <c r="N411" s="555">
        <f>(hSystemsTouchRateHourEM*hSystemsLeaseDisputedRecordLaborHrsEM*hSystemsLeaseDisputeRecordsForecast)*(1+Inflation)^9</f>
        <v>0</v>
      </c>
      <c r="O411" s="535" t="s">
        <v>2133</v>
      </c>
    </row>
    <row r="412" spans="1:33" s="142" customFormat="1" ht="18" hidden="1" customHeight="1" outlineLevel="1" x14ac:dyDescent="0.2">
      <c r="B412" s="138"/>
      <c r="C412" s="235"/>
      <c r="D412" s="726" t="s">
        <v>2134</v>
      </c>
      <c r="E412" s="555">
        <f>(hSystemsTouchRateHourCM*hSystemsLeaseDisputedRecordLaborHrsCM*hSystemsLeaseDisputeRecordsForecast)</f>
        <v>0</v>
      </c>
      <c r="F412" s="555">
        <f>(hSystemsTouchRateHourCM*hSystemsLeaseDisputedRecordLaborHrsCM*hSystemsLeaseDisputeRecordsForecast)*(1+Inflation)</f>
        <v>0</v>
      </c>
      <c r="G412" s="555">
        <f>(hSystemsTouchRateHourCM*hSystemsLeaseDisputedRecordLaborHrsCM*hSystemsLeaseDisputeRecordsForecast)*(1+Inflation)^2</f>
        <v>0</v>
      </c>
      <c r="H412" s="555">
        <f>(hSystemsTouchRateHourCM*hSystemsLeaseDisputedRecordLaborHrsCM*hSystemsLeaseDisputeRecordsForecast)*(1+Inflation)^3</f>
        <v>0</v>
      </c>
      <c r="I412" s="555">
        <f>(hSystemsTouchRateHourCM*hSystemsLeaseDisputedRecordLaborHrsCM*hSystemsLeaseDisputeRecordsForecast)*(1+Inflation)^4</f>
        <v>0</v>
      </c>
      <c r="J412" s="555">
        <f>(hSystemsTouchRateHourCM*hSystemsLeaseDisputedRecordLaborHrsCM*hSystemsLeaseDisputeRecordsForecast)*(1+Inflation)^5</f>
        <v>0</v>
      </c>
      <c r="K412" s="555">
        <f>(hSystemsTouchRateHourCM*hSystemsLeaseDisputedRecordLaborHrsCM*hSystemsLeaseDisputeRecordsForecast)*(1+Inflation)^6</f>
        <v>0</v>
      </c>
      <c r="L412" s="555">
        <f>(hSystemsTouchRateHourCM*hSystemsLeaseDisputedRecordLaborHrsCM*hSystemsLeaseDisputeRecordsForecast)*(1+Inflation)^7</f>
        <v>0</v>
      </c>
      <c r="M412" s="555">
        <f>(hSystemsTouchRateHourCM*hSystemsLeaseDisputedRecordLaborHrsCM*hSystemsLeaseDisputeRecordsForecast)*(1+Inflation)^8</f>
        <v>0</v>
      </c>
      <c r="N412" s="555">
        <f>(hSystemsTouchRateHourCM*hSystemsLeaseDisputedRecordLaborHrsCM*hSystemsLeaseDisputeRecordsForecast)*(1+Inflation)^9</f>
        <v>0</v>
      </c>
      <c r="O412" s="535" t="s">
        <v>2135</v>
      </c>
    </row>
    <row r="413" spans="1:33" s="142" customFormat="1" ht="18" hidden="1" customHeight="1" outlineLevel="1" x14ac:dyDescent="0.2">
      <c r="B413" s="138"/>
      <c r="C413" s="235"/>
      <c r="D413" s="726" t="s">
        <v>2136</v>
      </c>
      <c r="E413" s="555">
        <f>(hSystemsTouchRateHourSMCS*hSystemsLeaseDisputedRecordLaborHrsSMCS*hSystemsLeaseDisputeRecordsForecast)</f>
        <v>0</v>
      </c>
      <c r="F413" s="555">
        <f>(hSystemsTouchRateHourSMCS*hSystemsLeaseDisputedRecordLaborHrsSMCS*hSystemsLeaseDisputeRecordsForecast)*(1+Inflation)</f>
        <v>0</v>
      </c>
      <c r="G413" s="555">
        <f>(hSystemsTouchRateHourSMCS*hSystemsLeaseDisputedRecordLaborHrsSMCS*hSystemsLeaseDisputeRecordsForecast)*(1+Inflation)^2</f>
        <v>0</v>
      </c>
      <c r="H413" s="555">
        <f>(hSystemsTouchRateHourSMCS*hSystemsLeaseDisputedRecordLaborHrsSMCS*hSystemsLeaseDisputeRecordsForecast)*(1+Inflation)^3</f>
        <v>0</v>
      </c>
      <c r="I413" s="555">
        <f>(hSystemsTouchRateHourSMCS*hSystemsLeaseDisputedRecordLaborHrsSMCS*hSystemsLeaseDisputeRecordsForecast)*(1+Inflation)^4</f>
        <v>0</v>
      </c>
      <c r="J413" s="555">
        <f>(hSystemsTouchRateHourSMCS*hSystemsLeaseDisputedRecordLaborHrsSMCS*hSystemsLeaseDisputeRecordsForecast)*(1+Inflation)^5</f>
        <v>0</v>
      </c>
      <c r="K413" s="555">
        <f>(hSystemsTouchRateHourSMCS*hSystemsLeaseDisputedRecordLaborHrsSMCS*hSystemsLeaseDisputeRecordsForecast)*(1+Inflation)^6</f>
        <v>0</v>
      </c>
      <c r="L413" s="555">
        <f>(hSystemsTouchRateHourSMCS*hSystemsLeaseDisputedRecordLaborHrsSMCS*hSystemsLeaseDisputeRecordsForecast)*(1+Inflation)^7</f>
        <v>0</v>
      </c>
      <c r="M413" s="555">
        <f>(hSystemsTouchRateHourSMCS*hSystemsLeaseDisputedRecordLaborHrsSMCS*hSystemsLeaseDisputeRecordsForecast)*(1+Inflation)^8</f>
        <v>0</v>
      </c>
      <c r="N413" s="555">
        <f>(hSystemsTouchRateHourSMCS*hSystemsLeaseDisputedRecordLaborHrsSMCS*hSystemsLeaseDisputeRecordsForecast)*(1+Inflation)^9</f>
        <v>0</v>
      </c>
      <c r="O413" s="535" t="s">
        <v>2137</v>
      </c>
    </row>
    <row r="414" spans="1:33" s="142" customFormat="1" ht="18" hidden="1" customHeight="1" outlineLevel="1" x14ac:dyDescent="0.2">
      <c r="B414" s="138"/>
      <c r="C414" s="235"/>
      <c r="D414" s="726" t="s">
        <v>2138</v>
      </c>
      <c r="E414" s="555">
        <f>(hSystemsTouchRateHourO1*hSystemsLeaseDisputedRecordLaborHrsO1*hSystemsLeaseDisputeRecordsForecast)</f>
        <v>0</v>
      </c>
      <c r="F414" s="555">
        <f>(hSystemsTouchRateHourO1*hSystemsLeaseDisputedRecordLaborHrsO1*hSystemsLeaseDisputeRecordsForecast)*(1+Inflation)</f>
        <v>0</v>
      </c>
      <c r="G414" s="555">
        <f>(hSystemsTouchRateHourO1*hSystemsLeaseDisputedRecordLaborHrsO1*hSystemsLeaseDisputeRecordsForecast)*(1+Inflation)^2</f>
        <v>0</v>
      </c>
      <c r="H414" s="555">
        <f>(hSystemsTouchRateHourO1*hSystemsLeaseDisputedRecordLaborHrsO1*hSystemsLeaseDisputeRecordsForecast)*(1+Inflation)^3</f>
        <v>0</v>
      </c>
      <c r="I414" s="555">
        <f>(hSystemsTouchRateHourO1*hSystemsLeaseDisputedRecordLaborHrsO1*hSystemsLeaseDisputeRecordsForecast)*(1+Inflation)^4</f>
        <v>0</v>
      </c>
      <c r="J414" s="555">
        <f>(hSystemsTouchRateHourO1*hSystemsLeaseDisputedRecordLaborHrsO1*hSystemsLeaseDisputeRecordsForecast)*(1+Inflation)^5</f>
        <v>0</v>
      </c>
      <c r="K414" s="555">
        <f>(hSystemsTouchRateHourO1*hSystemsLeaseDisputedRecordLaborHrsO1*hSystemsLeaseDisputeRecordsForecast)*(1+Inflation)^6</f>
        <v>0</v>
      </c>
      <c r="L414" s="555">
        <f>(hSystemsTouchRateHourO1*hSystemsLeaseDisputedRecordLaborHrsO1*hSystemsLeaseDisputeRecordsForecast)*(1+Inflation)^7</f>
        <v>0</v>
      </c>
      <c r="M414" s="555">
        <f>(hSystemsTouchRateHourO1*hSystemsLeaseDisputedRecordLaborHrsO1*hSystemsLeaseDisputeRecordsForecast)*(1+Inflation)^8</f>
        <v>0</v>
      </c>
      <c r="N414" s="555">
        <f>(hSystemsTouchRateHourO1*hSystemsLeaseDisputedRecordLaborHrsO1*hSystemsLeaseDisputeRecordsForecast)*(1+Inflation)^9</f>
        <v>0</v>
      </c>
      <c r="O414" s="535" t="s">
        <v>2139</v>
      </c>
    </row>
    <row r="415" spans="1:33" s="142" customFormat="1" ht="18" hidden="1" customHeight="1" outlineLevel="1" x14ac:dyDescent="0.2">
      <c r="B415" s="138"/>
      <c r="C415" s="235"/>
      <c r="D415" s="726" t="s">
        <v>2140</v>
      </c>
      <c r="E415" s="555">
        <f>(hSystemsTouchRateHourO2*hSystemsLeaseDisputedRecordLaborHrsO2*hSystemsLeaseDisputeRecordsForecast)</f>
        <v>0</v>
      </c>
      <c r="F415" s="555">
        <f>(hSystemsTouchRateHourO2*hSystemsLeaseDisputedRecordLaborHrsO2*hSystemsLeaseDisputeRecordsForecast)*(1+Inflation)</f>
        <v>0</v>
      </c>
      <c r="G415" s="555">
        <f>(hSystemsTouchRateHourO2*hSystemsLeaseDisputedRecordLaborHrsO2*hSystemsLeaseDisputeRecordsForecast)*(1+Inflation)^2</f>
        <v>0</v>
      </c>
      <c r="H415" s="555">
        <f>(hSystemsTouchRateHourO2*hSystemsLeaseDisputedRecordLaborHrsO2*hSystemsLeaseDisputeRecordsForecast)*(1+Inflation)^3</f>
        <v>0</v>
      </c>
      <c r="I415" s="555">
        <f>(hSystemsTouchRateHourO2*hSystemsLeaseDisputedRecordLaborHrsO2*hSystemsLeaseDisputeRecordsForecast)*(1+Inflation)^4</f>
        <v>0</v>
      </c>
      <c r="J415" s="555">
        <f>(hSystemsTouchRateHourO2*hSystemsLeaseDisputedRecordLaborHrsO2*hSystemsLeaseDisputeRecordsForecast)*(1+Inflation)^5</f>
        <v>0</v>
      </c>
      <c r="K415" s="555">
        <f>(hSystemsTouchRateHourO2*hSystemsLeaseDisputedRecordLaborHrsO2*hSystemsLeaseDisputeRecordsForecast)*(1+Inflation)^6</f>
        <v>0</v>
      </c>
      <c r="L415" s="555">
        <f>(hSystemsTouchRateHourO2*hSystemsLeaseDisputedRecordLaborHrsO2*hSystemsLeaseDisputeRecordsForecast)*(1+Inflation)^7</f>
        <v>0</v>
      </c>
      <c r="M415" s="555">
        <f>(hSystemsTouchRateHourO2*hSystemsLeaseDisputedRecordLaborHrsO2*hSystemsLeaseDisputeRecordsForecast)*(1+Inflation)^8</f>
        <v>0</v>
      </c>
      <c r="N415" s="555">
        <f>(hSystemsTouchRateHourO2*hSystemsLeaseDisputedRecordLaborHrsO2*hSystemsLeaseDisputeRecordsForecast)*(1+Inflation)^9</f>
        <v>0</v>
      </c>
      <c r="O415" s="535" t="s">
        <v>2141</v>
      </c>
    </row>
    <row r="416" spans="1:33" s="142" customFormat="1" ht="18" hidden="1" customHeight="1" outlineLevel="1" x14ac:dyDescent="0.25">
      <c r="B416" s="138"/>
      <c r="C416" s="235"/>
      <c r="D416" s="728" t="s">
        <v>2142</v>
      </c>
      <c r="E416" s="556">
        <f>SUM(E404:E415)</f>
        <v>130457.50478409187</v>
      </c>
      <c r="F416" s="556">
        <f t="shared" ref="F416:N416" si="98">SUM(F404:F415)</f>
        <v>106453.32390381896</v>
      </c>
      <c r="G416" s="556">
        <f t="shared" si="98"/>
        <v>108582.39038189534</v>
      </c>
      <c r="H416" s="556">
        <f t="shared" si="98"/>
        <v>110754.03818953324</v>
      </c>
      <c r="I416" s="556">
        <f t="shared" si="98"/>
        <v>112969.11895332392</v>
      </c>
      <c r="J416" s="556">
        <f t="shared" si="98"/>
        <v>115228.5013323904</v>
      </c>
      <c r="K416" s="556">
        <f t="shared" si="98"/>
        <v>117533.07135903821</v>
      </c>
      <c r="L416" s="556">
        <f t="shared" si="98"/>
        <v>119883.73278621896</v>
      </c>
      <c r="M416" s="556">
        <f t="shared" si="98"/>
        <v>122281.40744194335</v>
      </c>
      <c r="N416" s="556">
        <f t="shared" si="98"/>
        <v>124727.03559078221</v>
      </c>
      <c r="O416" s="535" t="s">
        <v>2143</v>
      </c>
    </row>
    <row r="417" spans="1:33" s="203" customFormat="1" ht="13.5" hidden="1" outlineLevel="1" thickBot="1" x14ac:dyDescent="0.25">
      <c r="A417" s="142"/>
      <c r="B417" s="74"/>
      <c r="C417" s="325"/>
      <c r="D417" s="725"/>
      <c r="E417" s="568"/>
      <c r="F417" s="568"/>
      <c r="G417" s="568"/>
      <c r="H417" s="568"/>
      <c r="I417" s="568"/>
      <c r="J417" s="568"/>
      <c r="K417" s="568"/>
      <c r="L417" s="568"/>
      <c r="M417" s="568"/>
      <c r="N417" s="568"/>
      <c r="O417" s="569"/>
      <c r="P417" s="204"/>
    </row>
    <row r="418" spans="1:33" s="203" customFormat="1" ht="13.5" hidden="1" outlineLevel="1" thickBot="1" x14ac:dyDescent="0.25">
      <c r="A418" s="142"/>
      <c r="B418" s="74"/>
      <c r="C418" s="211"/>
      <c r="D418" s="214"/>
      <c r="E418" s="210"/>
      <c r="F418" s="210"/>
      <c r="G418" s="210"/>
      <c r="H418" s="210"/>
      <c r="I418" s="210"/>
      <c r="J418" s="210"/>
      <c r="K418" s="210"/>
      <c r="L418" s="210"/>
      <c r="M418" s="210"/>
      <c r="N418" s="210"/>
      <c r="O418" s="204"/>
      <c r="P418" s="204"/>
    </row>
    <row r="419" spans="1:33" customFormat="1" ht="20.25" hidden="1" outlineLevel="1" x14ac:dyDescent="0.2">
      <c r="A419" s="142"/>
      <c r="B419" s="13"/>
      <c r="C419" s="1010" t="str">
        <f>Scenario2&amp;"  Disputed Record FTEs"</f>
        <v>hSystems (Hybrid)  Disputed Record FTEs</v>
      </c>
      <c r="D419" s="310"/>
      <c r="E419" s="434"/>
      <c r="F419" s="434"/>
      <c r="G419" s="434"/>
      <c r="H419" s="434"/>
      <c r="I419" s="434"/>
      <c r="J419" s="434"/>
      <c r="K419" s="434"/>
      <c r="L419" s="434"/>
      <c r="M419" s="434"/>
      <c r="N419" s="434"/>
      <c r="O419" s="573"/>
      <c r="P419" s="18"/>
      <c r="Q419" s="18"/>
      <c r="R419" s="18"/>
      <c r="S419" s="18"/>
      <c r="T419" s="18"/>
      <c r="U419" s="18"/>
      <c r="V419" s="18"/>
      <c r="W419" s="18"/>
      <c r="X419" s="18"/>
      <c r="Y419" s="18"/>
      <c r="Z419" s="18"/>
      <c r="AA419" s="18"/>
      <c r="AB419" s="18"/>
      <c r="AC419" s="18"/>
      <c r="AD419" s="18"/>
      <c r="AE419" s="18"/>
      <c r="AF419" s="18"/>
      <c r="AG419" s="18"/>
    </row>
    <row r="420" spans="1:33" s="142" customFormat="1" ht="18" hidden="1" customHeight="1" outlineLevel="1" x14ac:dyDescent="0.2">
      <c r="B420" s="138"/>
      <c r="C420" s="235"/>
      <c r="D420" s="726" t="s">
        <v>2144</v>
      </c>
      <c r="E420" s="557">
        <f t="shared" ref="E420:N420" si="99">(hSystemsLeaseDisputedRecordLaborHrsHM/hSystemsTouchHourspaHM)*hSystemsLeaseDisputeRecordsForecast</f>
        <v>0</v>
      </c>
      <c r="F420" s="557">
        <f t="shared" si="99"/>
        <v>0</v>
      </c>
      <c r="G420" s="557">
        <f t="shared" si="99"/>
        <v>0</v>
      </c>
      <c r="H420" s="557">
        <f t="shared" si="99"/>
        <v>0</v>
      </c>
      <c r="I420" s="557">
        <f t="shared" si="99"/>
        <v>0</v>
      </c>
      <c r="J420" s="557">
        <f t="shared" si="99"/>
        <v>0</v>
      </c>
      <c r="K420" s="557">
        <f t="shared" si="99"/>
        <v>0</v>
      </c>
      <c r="L420" s="557">
        <f t="shared" si="99"/>
        <v>0</v>
      </c>
      <c r="M420" s="557">
        <f t="shared" si="99"/>
        <v>0</v>
      </c>
      <c r="N420" s="557">
        <f t="shared" si="99"/>
        <v>0</v>
      </c>
      <c r="O420" s="535" t="s">
        <v>2145</v>
      </c>
    </row>
    <row r="421" spans="1:33" s="142" customFormat="1" ht="18" hidden="1" customHeight="1" outlineLevel="1" x14ac:dyDescent="0.2">
      <c r="B421" s="138"/>
      <c r="C421" s="235"/>
      <c r="D421" s="726" t="s">
        <v>2146</v>
      </c>
      <c r="E421" s="557">
        <f t="shared" ref="E421:N421" si="100">(hSystemsLeaseDisputedRecordLaborHrsLM/hSystemsTouchHourspaLM)*hSystemsLeaseDisputeRecordsForecast</f>
        <v>0</v>
      </c>
      <c r="F421" s="557">
        <f t="shared" si="100"/>
        <v>0</v>
      </c>
      <c r="G421" s="557">
        <f t="shared" si="100"/>
        <v>0</v>
      </c>
      <c r="H421" s="557">
        <f t="shared" si="100"/>
        <v>0</v>
      </c>
      <c r="I421" s="557">
        <f t="shared" si="100"/>
        <v>0</v>
      </c>
      <c r="J421" s="557">
        <f t="shared" si="100"/>
        <v>0</v>
      </c>
      <c r="K421" s="557">
        <f t="shared" si="100"/>
        <v>0</v>
      </c>
      <c r="L421" s="557">
        <f t="shared" si="100"/>
        <v>0</v>
      </c>
      <c r="M421" s="557">
        <f t="shared" si="100"/>
        <v>0</v>
      </c>
      <c r="N421" s="557">
        <f t="shared" si="100"/>
        <v>0</v>
      </c>
      <c r="O421" s="535" t="s">
        <v>2147</v>
      </c>
    </row>
    <row r="422" spans="1:33" s="142" customFormat="1" ht="18" hidden="1" customHeight="1" outlineLevel="1" x14ac:dyDescent="0.2">
      <c r="B422" s="138"/>
      <c r="C422" s="235"/>
      <c r="D422" s="727" t="s">
        <v>2148</v>
      </c>
      <c r="E422" s="557">
        <f t="shared" ref="E422:N422" si="101">(hSystemsLeaseDisputedRecordLaborHrsENG/hSystemsTouchHourspaENG)*hSystemsLeaseDisputeRecordsForecast</f>
        <v>0.31200599051501787</v>
      </c>
      <c r="F422" s="557">
        <f t="shared" si="101"/>
        <v>0.24960479241201433</v>
      </c>
      <c r="G422" s="557">
        <f t="shared" si="101"/>
        <v>0.24960479241201433</v>
      </c>
      <c r="H422" s="557">
        <f t="shared" si="101"/>
        <v>0.24960479241201433</v>
      </c>
      <c r="I422" s="557">
        <f t="shared" si="101"/>
        <v>0.24960479241201433</v>
      </c>
      <c r="J422" s="557">
        <f t="shared" si="101"/>
        <v>0.24960479241201433</v>
      </c>
      <c r="K422" s="557">
        <f t="shared" si="101"/>
        <v>0.24960479241201433</v>
      </c>
      <c r="L422" s="557">
        <f t="shared" si="101"/>
        <v>0.24960479241201433</v>
      </c>
      <c r="M422" s="557">
        <f t="shared" si="101"/>
        <v>0.24960479241201433</v>
      </c>
      <c r="N422" s="557">
        <f t="shared" si="101"/>
        <v>0.24960479241201433</v>
      </c>
      <c r="O422" s="535" t="s">
        <v>2149</v>
      </c>
    </row>
    <row r="423" spans="1:33" s="142" customFormat="1" ht="18" hidden="1" customHeight="1" outlineLevel="1" x14ac:dyDescent="0.2">
      <c r="B423" s="138"/>
      <c r="C423" s="235"/>
      <c r="D423" s="726" t="s">
        <v>2150</v>
      </c>
      <c r="E423" s="557">
        <f t="shared" ref="E423:N423" si="102">(hSystemsLeaseDisputedRecordLaborHrsPLG/hSystemsTouchHourspaPLG)*hSystemsLeaseDisputeRecordsForecast</f>
        <v>0.31200599051501787</v>
      </c>
      <c r="F423" s="557">
        <f t="shared" si="102"/>
        <v>0.24960479241201433</v>
      </c>
      <c r="G423" s="557">
        <f t="shared" si="102"/>
        <v>0.24960479241201433</v>
      </c>
      <c r="H423" s="557">
        <f t="shared" si="102"/>
        <v>0.24960479241201433</v>
      </c>
      <c r="I423" s="557">
        <f t="shared" si="102"/>
        <v>0.24960479241201433</v>
      </c>
      <c r="J423" s="557">
        <f t="shared" si="102"/>
        <v>0.24960479241201433</v>
      </c>
      <c r="K423" s="557">
        <f t="shared" si="102"/>
        <v>0.24960479241201433</v>
      </c>
      <c r="L423" s="557">
        <f t="shared" si="102"/>
        <v>0.24960479241201433</v>
      </c>
      <c r="M423" s="557">
        <f t="shared" si="102"/>
        <v>0.24960479241201433</v>
      </c>
      <c r="N423" s="557">
        <f t="shared" si="102"/>
        <v>0.24960479241201433</v>
      </c>
      <c r="O423" s="535" t="s">
        <v>2151</v>
      </c>
    </row>
    <row r="424" spans="1:33" s="142" customFormat="1" ht="18" hidden="1" customHeight="1" outlineLevel="1" x14ac:dyDescent="0.2">
      <c r="B424" s="138"/>
      <c r="C424" s="235"/>
      <c r="D424" s="726" t="s">
        <v>2152</v>
      </c>
      <c r="E424" s="557">
        <f t="shared" ref="E424:N424" si="103">(hSystemsLeaseDisputedRecordLaborHrsCRT/hSystemsTouchHourspaCRT)*hSystemsLeaseDisputeRecordsForecast</f>
        <v>0.31200599051501787</v>
      </c>
      <c r="F424" s="557">
        <f t="shared" si="103"/>
        <v>0.24960479241201433</v>
      </c>
      <c r="G424" s="557">
        <f t="shared" si="103"/>
        <v>0.24960479241201433</v>
      </c>
      <c r="H424" s="557">
        <f t="shared" si="103"/>
        <v>0.24960479241201433</v>
      </c>
      <c r="I424" s="557">
        <f t="shared" si="103"/>
        <v>0.24960479241201433</v>
      </c>
      <c r="J424" s="557">
        <f t="shared" si="103"/>
        <v>0.24960479241201433</v>
      </c>
      <c r="K424" s="557">
        <f t="shared" si="103"/>
        <v>0.24960479241201433</v>
      </c>
      <c r="L424" s="557">
        <f t="shared" si="103"/>
        <v>0.24960479241201433</v>
      </c>
      <c r="M424" s="557">
        <f t="shared" si="103"/>
        <v>0.24960479241201433</v>
      </c>
      <c r="N424" s="557">
        <f t="shared" si="103"/>
        <v>0.24960479241201433</v>
      </c>
      <c r="O424" s="535" t="s">
        <v>2153</v>
      </c>
    </row>
    <row r="425" spans="1:33" s="142" customFormat="1" ht="18" hidden="1" customHeight="1" outlineLevel="1" x14ac:dyDescent="0.2">
      <c r="B425" s="138"/>
      <c r="C425" s="235"/>
      <c r="D425" s="726" t="s">
        <v>2154</v>
      </c>
      <c r="E425" s="557">
        <f t="shared" ref="E425:N425" si="104">(hSystemsLeaseDisputedRecordLaborHrsSCL/hSystemsTouchHourspaSCL)*hSystemsLeaseDisputeRecordsForecast</f>
        <v>0</v>
      </c>
      <c r="F425" s="557">
        <f t="shared" si="104"/>
        <v>0</v>
      </c>
      <c r="G425" s="557">
        <f t="shared" si="104"/>
        <v>0</v>
      </c>
      <c r="H425" s="557">
        <f t="shared" si="104"/>
        <v>0</v>
      </c>
      <c r="I425" s="557">
        <f t="shared" si="104"/>
        <v>0</v>
      </c>
      <c r="J425" s="557">
        <f t="shared" si="104"/>
        <v>0</v>
      </c>
      <c r="K425" s="557">
        <f t="shared" si="104"/>
        <v>0</v>
      </c>
      <c r="L425" s="557">
        <f t="shared" si="104"/>
        <v>0</v>
      </c>
      <c r="M425" s="557">
        <f t="shared" si="104"/>
        <v>0</v>
      </c>
      <c r="N425" s="557">
        <f t="shared" si="104"/>
        <v>0</v>
      </c>
      <c r="O425" s="535" t="s">
        <v>2155</v>
      </c>
    </row>
    <row r="426" spans="1:33" s="142" customFormat="1" ht="18" hidden="1" customHeight="1" outlineLevel="1" x14ac:dyDescent="0.2">
      <c r="B426" s="138"/>
      <c r="C426" s="235"/>
      <c r="D426" s="726" t="s">
        <v>2156</v>
      </c>
      <c r="E426" s="557">
        <f t="shared" ref="E426:N426" si="105">(hSystemsLeaseDisputedRecordLaborHrsQSC/hSystemsTouchHourspaQSC)*hSystemsLeaseDisputeRecordsForecast</f>
        <v>0.31200599051501787</v>
      </c>
      <c r="F426" s="557">
        <f t="shared" si="105"/>
        <v>0.24960479241201433</v>
      </c>
      <c r="G426" s="557">
        <f t="shared" si="105"/>
        <v>0.24960479241201433</v>
      </c>
      <c r="H426" s="557">
        <f t="shared" si="105"/>
        <v>0.24960479241201433</v>
      </c>
      <c r="I426" s="557">
        <f t="shared" si="105"/>
        <v>0.24960479241201433</v>
      </c>
      <c r="J426" s="557">
        <f t="shared" si="105"/>
        <v>0.24960479241201433</v>
      </c>
      <c r="K426" s="557">
        <f t="shared" si="105"/>
        <v>0.24960479241201433</v>
      </c>
      <c r="L426" s="557">
        <f t="shared" si="105"/>
        <v>0.24960479241201433</v>
      </c>
      <c r="M426" s="557">
        <f t="shared" si="105"/>
        <v>0.24960479241201433</v>
      </c>
      <c r="N426" s="557">
        <f t="shared" si="105"/>
        <v>0.24960479241201433</v>
      </c>
      <c r="O426" s="535" t="s">
        <v>2157</v>
      </c>
    </row>
    <row r="427" spans="1:33" s="142" customFormat="1" ht="18" hidden="1" customHeight="1" outlineLevel="1" x14ac:dyDescent="0.2">
      <c r="B427" s="138"/>
      <c r="C427" s="235"/>
      <c r="D427" s="726" t="s">
        <v>2158</v>
      </c>
      <c r="E427" s="557">
        <f t="shared" ref="E427:N427" si="106">(hSystemsLeaseDisputedRecordLaborHrsEM/hSystemsTouchHourspaEM)*hSystemsLeaseDisputeRecordsForecast</f>
        <v>0</v>
      </c>
      <c r="F427" s="557">
        <f t="shared" si="106"/>
        <v>0</v>
      </c>
      <c r="G427" s="557">
        <f t="shared" si="106"/>
        <v>0</v>
      </c>
      <c r="H427" s="557">
        <f t="shared" si="106"/>
        <v>0</v>
      </c>
      <c r="I427" s="557">
        <f t="shared" si="106"/>
        <v>0</v>
      </c>
      <c r="J427" s="557">
        <f t="shared" si="106"/>
        <v>0</v>
      </c>
      <c r="K427" s="557">
        <f t="shared" si="106"/>
        <v>0</v>
      </c>
      <c r="L427" s="557">
        <f t="shared" si="106"/>
        <v>0</v>
      </c>
      <c r="M427" s="557">
        <f t="shared" si="106"/>
        <v>0</v>
      </c>
      <c r="N427" s="557">
        <f t="shared" si="106"/>
        <v>0</v>
      </c>
      <c r="O427" s="535" t="s">
        <v>2159</v>
      </c>
    </row>
    <row r="428" spans="1:33" s="142" customFormat="1" ht="18" hidden="1" customHeight="1" outlineLevel="1" x14ac:dyDescent="0.2">
      <c r="B428" s="138"/>
      <c r="C428" s="235"/>
      <c r="D428" s="726" t="s">
        <v>2160</v>
      </c>
      <c r="E428" s="557">
        <f t="shared" ref="E428:N428" si="107">(hSystemsLeaseDisputedRecordLaborHrsCM/hSystemsTouchHourspaCM)*hSystemsLeaseDisputeRecordsForecast</f>
        <v>0</v>
      </c>
      <c r="F428" s="557">
        <f t="shared" si="107"/>
        <v>0</v>
      </c>
      <c r="G428" s="557">
        <f t="shared" si="107"/>
        <v>0</v>
      </c>
      <c r="H428" s="557">
        <f t="shared" si="107"/>
        <v>0</v>
      </c>
      <c r="I428" s="557">
        <f t="shared" si="107"/>
        <v>0</v>
      </c>
      <c r="J428" s="557">
        <f t="shared" si="107"/>
        <v>0</v>
      </c>
      <c r="K428" s="557">
        <f t="shared" si="107"/>
        <v>0</v>
      </c>
      <c r="L428" s="557">
        <f t="shared" si="107"/>
        <v>0</v>
      </c>
      <c r="M428" s="557">
        <f t="shared" si="107"/>
        <v>0</v>
      </c>
      <c r="N428" s="557">
        <f t="shared" si="107"/>
        <v>0</v>
      </c>
      <c r="O428" s="535" t="s">
        <v>2161</v>
      </c>
    </row>
    <row r="429" spans="1:33" s="142" customFormat="1" ht="18" hidden="1" customHeight="1" outlineLevel="1" x14ac:dyDescent="0.2">
      <c r="B429" s="138"/>
      <c r="C429" s="235"/>
      <c r="D429" s="726" t="s">
        <v>2162</v>
      </c>
      <c r="E429" s="557">
        <f t="shared" ref="E429:N429" si="108">(hSystemsLeaseDisputedRecordLaborHrsSMCS/hSystemsTouchHourspaSMCS)*hSystemsLeaseDisputeRecordsForecast</f>
        <v>0</v>
      </c>
      <c r="F429" s="557">
        <f t="shared" si="108"/>
        <v>0</v>
      </c>
      <c r="G429" s="557">
        <f t="shared" si="108"/>
        <v>0</v>
      </c>
      <c r="H429" s="557">
        <f t="shared" si="108"/>
        <v>0</v>
      </c>
      <c r="I429" s="557">
        <f t="shared" si="108"/>
        <v>0</v>
      </c>
      <c r="J429" s="557">
        <f t="shared" si="108"/>
        <v>0</v>
      </c>
      <c r="K429" s="557">
        <f t="shared" si="108"/>
        <v>0</v>
      </c>
      <c r="L429" s="557">
        <f t="shared" si="108"/>
        <v>0</v>
      </c>
      <c r="M429" s="557">
        <f t="shared" si="108"/>
        <v>0</v>
      </c>
      <c r="N429" s="557">
        <f t="shared" si="108"/>
        <v>0</v>
      </c>
      <c r="O429" s="535" t="s">
        <v>2163</v>
      </c>
    </row>
    <row r="430" spans="1:33" s="142" customFormat="1" ht="18" hidden="1" customHeight="1" outlineLevel="1" x14ac:dyDescent="0.2">
      <c r="B430" s="138"/>
      <c r="C430" s="235"/>
      <c r="D430" s="726" t="s">
        <v>2164</v>
      </c>
      <c r="E430" s="557">
        <f t="shared" ref="E430:N430" si="109">(hSystemsLeaseDisputedRecordLaborHrsO1/hSystemsTouchHourspaO1)*hSystemsLeaseDisputeRecordsForecast</f>
        <v>0</v>
      </c>
      <c r="F430" s="557">
        <f t="shared" si="109"/>
        <v>0</v>
      </c>
      <c r="G430" s="557">
        <f t="shared" si="109"/>
        <v>0</v>
      </c>
      <c r="H430" s="557">
        <f t="shared" si="109"/>
        <v>0</v>
      </c>
      <c r="I430" s="557">
        <f t="shared" si="109"/>
        <v>0</v>
      </c>
      <c r="J430" s="557">
        <f t="shared" si="109"/>
        <v>0</v>
      </c>
      <c r="K430" s="557">
        <f t="shared" si="109"/>
        <v>0</v>
      </c>
      <c r="L430" s="557">
        <f t="shared" si="109"/>
        <v>0</v>
      </c>
      <c r="M430" s="557">
        <f t="shared" si="109"/>
        <v>0</v>
      </c>
      <c r="N430" s="557">
        <f t="shared" si="109"/>
        <v>0</v>
      </c>
      <c r="O430" s="535" t="s">
        <v>2165</v>
      </c>
    </row>
    <row r="431" spans="1:33" s="142" customFormat="1" ht="18" hidden="1" customHeight="1" outlineLevel="1" x14ac:dyDescent="0.2">
      <c r="B431" s="138"/>
      <c r="C431" s="235"/>
      <c r="D431" s="726" t="s">
        <v>2166</v>
      </c>
      <c r="E431" s="557">
        <f t="shared" ref="E431:N431" si="110">(hSystemsLeaseDisputedRecordLaborHrsO2/hSystemsTouchHourspaO2)*hSystemsLeaseDisputeRecordsForecast</f>
        <v>0</v>
      </c>
      <c r="F431" s="557">
        <f t="shared" si="110"/>
        <v>0</v>
      </c>
      <c r="G431" s="557">
        <f t="shared" si="110"/>
        <v>0</v>
      </c>
      <c r="H431" s="557">
        <f t="shared" si="110"/>
        <v>0</v>
      </c>
      <c r="I431" s="557">
        <f t="shared" si="110"/>
        <v>0</v>
      </c>
      <c r="J431" s="557">
        <f t="shared" si="110"/>
        <v>0</v>
      </c>
      <c r="K431" s="557">
        <f t="shared" si="110"/>
        <v>0</v>
      </c>
      <c r="L431" s="557">
        <f t="shared" si="110"/>
        <v>0</v>
      </c>
      <c r="M431" s="557">
        <f t="shared" si="110"/>
        <v>0</v>
      </c>
      <c r="N431" s="557">
        <f t="shared" si="110"/>
        <v>0</v>
      </c>
      <c r="O431" s="535" t="s">
        <v>2167</v>
      </c>
    </row>
    <row r="432" spans="1:33" s="142" customFormat="1" ht="18" hidden="1" customHeight="1" outlineLevel="1" x14ac:dyDescent="0.25">
      <c r="B432" s="138"/>
      <c r="C432" s="235"/>
      <c r="D432" s="728" t="s">
        <v>2168</v>
      </c>
      <c r="E432" s="562">
        <f>SUM(E420:E431)</f>
        <v>1.2480239620600715</v>
      </c>
      <c r="F432" s="562">
        <f t="shared" ref="F432:N432" si="111">SUM(F420:F431)</f>
        <v>0.99841916964805733</v>
      </c>
      <c r="G432" s="562">
        <f t="shared" si="111"/>
        <v>0.99841916964805733</v>
      </c>
      <c r="H432" s="562">
        <f t="shared" si="111"/>
        <v>0.99841916964805733</v>
      </c>
      <c r="I432" s="562">
        <f t="shared" si="111"/>
        <v>0.99841916964805733</v>
      </c>
      <c r="J432" s="562">
        <f t="shared" si="111"/>
        <v>0.99841916964805733</v>
      </c>
      <c r="K432" s="562">
        <f t="shared" si="111"/>
        <v>0.99841916964805733</v>
      </c>
      <c r="L432" s="562">
        <f t="shared" si="111"/>
        <v>0.99841916964805733</v>
      </c>
      <c r="M432" s="562">
        <f t="shared" si="111"/>
        <v>0.99841916964805733</v>
      </c>
      <c r="N432" s="562">
        <f t="shared" si="111"/>
        <v>0.99841916964805733</v>
      </c>
      <c r="O432" s="535" t="s">
        <v>2169</v>
      </c>
    </row>
    <row r="433" spans="1:33" s="203" customFormat="1" ht="13.5" hidden="1" outlineLevel="1" thickBot="1" x14ac:dyDescent="0.25">
      <c r="A433" s="142"/>
      <c r="B433" s="74"/>
      <c r="C433" s="325"/>
      <c r="D433" s="725"/>
      <c r="E433" s="568"/>
      <c r="F433" s="568"/>
      <c r="G433" s="568"/>
      <c r="H433" s="568"/>
      <c r="I433" s="568"/>
      <c r="J433" s="568"/>
      <c r="K433" s="568"/>
      <c r="L433" s="568"/>
      <c r="M433" s="568"/>
      <c r="N433" s="568"/>
      <c r="O433" s="569"/>
      <c r="P433" s="204"/>
    </row>
    <row r="434" spans="1:33" s="203" customFormat="1" ht="13.5" hidden="1" outlineLevel="1" thickBot="1" x14ac:dyDescent="0.25">
      <c r="A434" s="142"/>
      <c r="B434" s="74"/>
      <c r="C434" s="211"/>
      <c r="D434" s="214"/>
      <c r="E434" s="210"/>
      <c r="F434" s="210"/>
      <c r="G434" s="210"/>
      <c r="H434" s="210"/>
      <c r="I434" s="210"/>
      <c r="J434" s="210"/>
      <c r="K434" s="210"/>
      <c r="L434" s="210"/>
      <c r="M434" s="210"/>
      <c r="N434" s="210"/>
      <c r="O434" s="204"/>
      <c r="P434" s="204"/>
    </row>
    <row r="435" spans="1:33" s="203" customFormat="1" ht="20.100000000000001" hidden="1" customHeight="1" outlineLevel="1" x14ac:dyDescent="0.2">
      <c r="A435" s="142"/>
      <c r="B435" s="206"/>
      <c r="C435" s="1011" t="str">
        <f>Scenario3&amp;" Disputed Record - Lessee Labor Cost"</f>
        <v>eSystems (Paperless) Disputed Record - Lessee Labor Cost</v>
      </c>
      <c r="D435" s="729"/>
      <c r="E435" s="322"/>
      <c r="F435" s="322"/>
      <c r="G435" s="322"/>
      <c r="H435" s="322"/>
      <c r="I435" s="322"/>
      <c r="J435" s="322"/>
      <c r="K435" s="322"/>
      <c r="L435" s="322"/>
      <c r="M435" s="322"/>
      <c r="N435" s="322"/>
      <c r="O435" s="579"/>
      <c r="P435" s="204"/>
    </row>
    <row r="436" spans="1:33" s="203" customFormat="1" hidden="1" outlineLevel="1" x14ac:dyDescent="0.2">
      <c r="A436" s="142"/>
      <c r="B436" s="206"/>
      <c r="C436" s="331"/>
      <c r="D436" s="730" t="s">
        <v>215</v>
      </c>
      <c r="E436" s="570">
        <v>100</v>
      </c>
      <c r="F436" s="570">
        <v>100</v>
      </c>
      <c r="G436" s="570">
        <v>100</v>
      </c>
      <c r="H436" s="570">
        <v>100</v>
      </c>
      <c r="I436" s="570">
        <v>100</v>
      </c>
      <c r="J436" s="570">
        <v>100</v>
      </c>
      <c r="K436" s="570">
        <v>100</v>
      </c>
      <c r="L436" s="570">
        <v>100</v>
      </c>
      <c r="M436" s="570">
        <v>100</v>
      </c>
      <c r="N436" s="570">
        <v>100</v>
      </c>
      <c r="O436" s="324" t="s">
        <v>217</v>
      </c>
      <c r="P436" s="204"/>
    </row>
    <row r="437" spans="1:33" s="206" customFormat="1" ht="13.5" hidden="1" outlineLevel="1" thickBot="1" x14ac:dyDescent="0.25">
      <c r="A437" s="142"/>
      <c r="C437" s="564"/>
      <c r="D437" s="725"/>
      <c r="E437" s="568"/>
      <c r="F437" s="568"/>
      <c r="G437" s="568"/>
      <c r="H437" s="568"/>
      <c r="I437" s="568"/>
      <c r="J437" s="568"/>
      <c r="K437" s="568"/>
      <c r="L437" s="568"/>
      <c r="M437" s="568"/>
      <c r="N437" s="568"/>
      <c r="O437" s="580"/>
      <c r="P437" s="210"/>
    </row>
    <row r="438" spans="1:33" s="206" customFormat="1" ht="12" hidden="1" customHeight="1" outlineLevel="1" thickBot="1" x14ac:dyDescent="0.3">
      <c r="A438" s="142"/>
      <c r="B438" s="576"/>
      <c r="C438" s="567"/>
      <c r="D438" s="730"/>
      <c r="E438" s="136"/>
      <c r="F438" s="136"/>
      <c r="G438" s="136"/>
      <c r="H438" s="136"/>
      <c r="I438" s="136"/>
      <c r="J438" s="136"/>
      <c r="K438" s="136"/>
      <c r="L438" s="136"/>
      <c r="M438" s="136"/>
      <c r="N438" s="136"/>
      <c r="O438" s="578"/>
      <c r="P438" s="210"/>
    </row>
    <row r="439" spans="1:33" s="8" customFormat="1" ht="20.25" hidden="1" outlineLevel="1" x14ac:dyDescent="0.25">
      <c r="A439" s="142"/>
      <c r="B439" s="194"/>
      <c r="C439" s="1011" t="str">
        <f>Scenario3&amp;" Lessee Labor Hours per Disputed Record"</f>
        <v>eSystems (Paperless) Lessee Labor Hours per Disputed Record</v>
      </c>
      <c r="D439" s="310"/>
      <c r="E439" s="240"/>
      <c r="F439" s="240"/>
      <c r="G439" s="240"/>
      <c r="H439" s="240"/>
      <c r="I439" s="240"/>
      <c r="J439" s="240"/>
      <c r="K439" s="240"/>
      <c r="L439" s="240"/>
      <c r="M439" s="240"/>
      <c r="N439" s="240"/>
      <c r="O439" s="435"/>
      <c r="P439" s="17"/>
      <c r="Q439" s="17"/>
      <c r="R439" s="17"/>
      <c r="S439" s="17"/>
      <c r="T439" s="17"/>
      <c r="U439" s="17"/>
      <c r="V439" s="17"/>
      <c r="W439" s="17"/>
      <c r="X439" s="17"/>
      <c r="Y439" s="17"/>
      <c r="Z439" s="17"/>
      <c r="AA439" s="17"/>
      <c r="AB439" s="17"/>
      <c r="AC439" s="17"/>
      <c r="AD439" s="17"/>
      <c r="AE439" s="17"/>
      <c r="AF439" s="17"/>
      <c r="AG439" s="17"/>
    </row>
    <row r="440" spans="1:33" s="142" customFormat="1" ht="18" hidden="1" customHeight="1" outlineLevel="1" x14ac:dyDescent="0.2">
      <c r="B440" s="138"/>
      <c r="C440" s="235"/>
      <c r="D440" s="726" t="s">
        <v>2170</v>
      </c>
      <c r="E440" s="577">
        <v>0</v>
      </c>
      <c r="F440" s="577">
        <v>0</v>
      </c>
      <c r="G440" s="577">
        <v>0</v>
      </c>
      <c r="H440" s="577">
        <v>0</v>
      </c>
      <c r="I440" s="577">
        <v>0</v>
      </c>
      <c r="J440" s="577">
        <v>0</v>
      </c>
      <c r="K440" s="577">
        <v>0</v>
      </c>
      <c r="L440" s="577">
        <v>0</v>
      </c>
      <c r="M440" s="577">
        <v>0</v>
      </c>
      <c r="N440" s="577">
        <v>0</v>
      </c>
      <c r="O440" s="535" t="s">
        <v>2171</v>
      </c>
    </row>
    <row r="441" spans="1:33" s="142" customFormat="1" ht="18" hidden="1" customHeight="1" outlineLevel="1" x14ac:dyDescent="0.2">
      <c r="B441" s="138"/>
      <c r="C441" s="235"/>
      <c r="D441" s="726" t="s">
        <v>2172</v>
      </c>
      <c r="E441" s="577">
        <v>0</v>
      </c>
      <c r="F441" s="577">
        <v>0</v>
      </c>
      <c r="G441" s="577">
        <v>0</v>
      </c>
      <c r="H441" s="577">
        <v>0</v>
      </c>
      <c r="I441" s="577">
        <v>0</v>
      </c>
      <c r="J441" s="577">
        <v>0</v>
      </c>
      <c r="K441" s="577">
        <v>0</v>
      </c>
      <c r="L441" s="577">
        <v>0</v>
      </c>
      <c r="M441" s="577">
        <v>0</v>
      </c>
      <c r="N441" s="577">
        <v>0</v>
      </c>
      <c r="O441" s="535" t="s">
        <v>2173</v>
      </c>
    </row>
    <row r="442" spans="1:33" s="142" customFormat="1" ht="18" hidden="1" customHeight="1" outlineLevel="1" x14ac:dyDescent="0.2">
      <c r="B442" s="138"/>
      <c r="C442" s="235"/>
      <c r="D442" s="726" t="s">
        <v>2174</v>
      </c>
      <c r="E442" s="577">
        <v>0.5</v>
      </c>
      <c r="F442" s="577">
        <v>0.5</v>
      </c>
      <c r="G442" s="577">
        <v>0.5</v>
      </c>
      <c r="H442" s="577">
        <v>0.5</v>
      </c>
      <c r="I442" s="577">
        <v>0.5</v>
      </c>
      <c r="J442" s="577">
        <v>0.5</v>
      </c>
      <c r="K442" s="577">
        <v>0.5</v>
      </c>
      <c r="L442" s="577">
        <v>0.5</v>
      </c>
      <c r="M442" s="577">
        <v>0.5</v>
      </c>
      <c r="N442" s="577">
        <v>0.5</v>
      </c>
      <c r="O442" s="535" t="s">
        <v>2175</v>
      </c>
    </row>
    <row r="443" spans="1:33" s="142" customFormat="1" ht="18" hidden="1" customHeight="1" outlineLevel="1" x14ac:dyDescent="0.2">
      <c r="B443" s="138"/>
      <c r="C443" s="235"/>
      <c r="D443" s="726" t="s">
        <v>2176</v>
      </c>
      <c r="E443" s="577">
        <v>0.5</v>
      </c>
      <c r="F443" s="577">
        <v>0.5</v>
      </c>
      <c r="G443" s="577">
        <v>0.5</v>
      </c>
      <c r="H443" s="577">
        <v>0.5</v>
      </c>
      <c r="I443" s="577">
        <v>0.5</v>
      </c>
      <c r="J443" s="577">
        <v>0.5</v>
      </c>
      <c r="K443" s="577">
        <v>0.5</v>
      </c>
      <c r="L443" s="577">
        <v>0.5</v>
      </c>
      <c r="M443" s="577">
        <v>0.5</v>
      </c>
      <c r="N443" s="577">
        <v>0.5</v>
      </c>
      <c r="O443" s="535" t="s">
        <v>2177</v>
      </c>
    </row>
    <row r="444" spans="1:33" s="142" customFormat="1" ht="18" hidden="1" customHeight="1" outlineLevel="1" x14ac:dyDescent="0.2">
      <c r="B444" s="138"/>
      <c r="C444" s="235"/>
      <c r="D444" s="726" t="s">
        <v>2178</v>
      </c>
      <c r="E444" s="577">
        <v>0.5</v>
      </c>
      <c r="F444" s="577">
        <v>0.5</v>
      </c>
      <c r="G444" s="577">
        <v>0.5</v>
      </c>
      <c r="H444" s="577">
        <v>0.5</v>
      </c>
      <c r="I444" s="577">
        <v>0.5</v>
      </c>
      <c r="J444" s="577">
        <v>0.5</v>
      </c>
      <c r="K444" s="577">
        <v>0.5</v>
      </c>
      <c r="L444" s="577">
        <v>0.5</v>
      </c>
      <c r="M444" s="577">
        <v>0.5</v>
      </c>
      <c r="N444" s="577">
        <v>0.5</v>
      </c>
      <c r="O444" s="535" t="s">
        <v>2179</v>
      </c>
    </row>
    <row r="445" spans="1:33" s="142" customFormat="1" ht="18" hidden="1" customHeight="1" outlineLevel="1" x14ac:dyDescent="0.2">
      <c r="B445" s="138"/>
      <c r="C445" s="235"/>
      <c r="D445" s="726" t="s">
        <v>2180</v>
      </c>
      <c r="E445" s="577">
        <v>0</v>
      </c>
      <c r="F445" s="577">
        <v>0</v>
      </c>
      <c r="G445" s="577">
        <v>0</v>
      </c>
      <c r="H445" s="577">
        <v>0</v>
      </c>
      <c r="I445" s="577">
        <v>0</v>
      </c>
      <c r="J445" s="577">
        <v>0</v>
      </c>
      <c r="K445" s="577">
        <v>0</v>
      </c>
      <c r="L445" s="577">
        <v>0</v>
      </c>
      <c r="M445" s="577">
        <v>0</v>
      </c>
      <c r="N445" s="577">
        <v>0</v>
      </c>
      <c r="O445" s="535" t="s">
        <v>2181</v>
      </c>
    </row>
    <row r="446" spans="1:33" s="142" customFormat="1" ht="18" hidden="1" customHeight="1" outlineLevel="1" x14ac:dyDescent="0.2">
      <c r="B446" s="138"/>
      <c r="C446" s="235"/>
      <c r="D446" s="726" t="s">
        <v>2182</v>
      </c>
      <c r="E446" s="577">
        <v>0.5</v>
      </c>
      <c r="F446" s="577">
        <v>0.5</v>
      </c>
      <c r="G446" s="577">
        <v>0.5</v>
      </c>
      <c r="H446" s="577">
        <v>0.5</v>
      </c>
      <c r="I446" s="577">
        <v>0.5</v>
      </c>
      <c r="J446" s="577">
        <v>0.5</v>
      </c>
      <c r="K446" s="577">
        <v>0.5</v>
      </c>
      <c r="L446" s="577">
        <v>0.5</v>
      </c>
      <c r="M446" s="577">
        <v>0.5</v>
      </c>
      <c r="N446" s="577">
        <v>0.5</v>
      </c>
      <c r="O446" s="535" t="s">
        <v>2183</v>
      </c>
    </row>
    <row r="447" spans="1:33" s="142" customFormat="1" ht="18" hidden="1" customHeight="1" outlineLevel="1" x14ac:dyDescent="0.2">
      <c r="B447" s="138"/>
      <c r="C447" s="235"/>
      <c r="D447" s="726" t="s">
        <v>2184</v>
      </c>
      <c r="E447" s="577">
        <v>0</v>
      </c>
      <c r="F447" s="577">
        <v>0</v>
      </c>
      <c r="G447" s="577">
        <v>0</v>
      </c>
      <c r="H447" s="577">
        <v>0</v>
      </c>
      <c r="I447" s="577">
        <v>0</v>
      </c>
      <c r="J447" s="577">
        <v>0</v>
      </c>
      <c r="K447" s="577">
        <v>0</v>
      </c>
      <c r="L447" s="577">
        <v>0</v>
      </c>
      <c r="M447" s="577">
        <v>0</v>
      </c>
      <c r="N447" s="577">
        <v>0</v>
      </c>
      <c r="O447" s="535" t="s">
        <v>2185</v>
      </c>
    </row>
    <row r="448" spans="1:33" s="142" customFormat="1" ht="18" hidden="1" customHeight="1" outlineLevel="1" x14ac:dyDescent="0.2">
      <c r="B448" s="565"/>
      <c r="C448" s="235"/>
      <c r="D448" s="726" t="s">
        <v>2186</v>
      </c>
      <c r="E448" s="577">
        <v>0</v>
      </c>
      <c r="F448" s="577">
        <v>0</v>
      </c>
      <c r="G448" s="577">
        <v>0</v>
      </c>
      <c r="H448" s="577">
        <v>0</v>
      </c>
      <c r="I448" s="577">
        <v>0</v>
      </c>
      <c r="J448" s="577">
        <v>0</v>
      </c>
      <c r="K448" s="577">
        <v>0</v>
      </c>
      <c r="L448" s="577">
        <v>0</v>
      </c>
      <c r="M448" s="577">
        <v>0</v>
      </c>
      <c r="N448" s="577">
        <v>0</v>
      </c>
      <c r="O448" s="535" t="s">
        <v>2187</v>
      </c>
    </row>
    <row r="449" spans="1:33" s="142" customFormat="1" ht="18" hidden="1" customHeight="1" outlineLevel="1" x14ac:dyDescent="0.2">
      <c r="B449" s="565"/>
      <c r="C449" s="235"/>
      <c r="D449" s="726" t="s">
        <v>2188</v>
      </c>
      <c r="E449" s="577">
        <v>0</v>
      </c>
      <c r="F449" s="577">
        <v>0</v>
      </c>
      <c r="G449" s="577">
        <v>0</v>
      </c>
      <c r="H449" s="577">
        <v>0</v>
      </c>
      <c r="I449" s="577">
        <v>0</v>
      </c>
      <c r="J449" s="577">
        <v>0</v>
      </c>
      <c r="K449" s="577">
        <v>0</v>
      </c>
      <c r="L449" s="577">
        <v>0</v>
      </c>
      <c r="M449" s="577">
        <v>0</v>
      </c>
      <c r="N449" s="577">
        <v>0</v>
      </c>
      <c r="O449" s="535" t="s">
        <v>2189</v>
      </c>
    </row>
    <row r="450" spans="1:33" s="142" customFormat="1" ht="18" hidden="1" customHeight="1" outlineLevel="1" x14ac:dyDescent="0.2">
      <c r="B450" s="138"/>
      <c r="C450" s="235"/>
      <c r="D450" s="726" t="s">
        <v>2190</v>
      </c>
      <c r="E450" s="577">
        <v>0</v>
      </c>
      <c r="F450" s="577">
        <v>0</v>
      </c>
      <c r="G450" s="577">
        <v>0</v>
      </c>
      <c r="H450" s="577">
        <v>0</v>
      </c>
      <c r="I450" s="577">
        <v>0</v>
      </c>
      <c r="J450" s="577">
        <v>0</v>
      </c>
      <c r="K450" s="577">
        <v>0</v>
      </c>
      <c r="L450" s="577">
        <v>0</v>
      </c>
      <c r="M450" s="577">
        <v>0</v>
      </c>
      <c r="N450" s="577">
        <v>0</v>
      </c>
      <c r="O450" s="535" t="s">
        <v>2191</v>
      </c>
    </row>
    <row r="451" spans="1:33" s="142" customFormat="1" ht="18" hidden="1" customHeight="1" outlineLevel="1" x14ac:dyDescent="0.2">
      <c r="B451" s="138"/>
      <c r="C451" s="235"/>
      <c r="D451" s="726" t="s">
        <v>2192</v>
      </c>
      <c r="E451" s="577">
        <v>0</v>
      </c>
      <c r="F451" s="577">
        <v>0</v>
      </c>
      <c r="G451" s="577">
        <v>0</v>
      </c>
      <c r="H451" s="577">
        <v>0</v>
      </c>
      <c r="I451" s="577">
        <v>0</v>
      </c>
      <c r="J451" s="577">
        <v>0</v>
      </c>
      <c r="K451" s="577">
        <v>0</v>
      </c>
      <c r="L451" s="577">
        <v>0</v>
      </c>
      <c r="M451" s="577">
        <v>0</v>
      </c>
      <c r="N451" s="577">
        <v>0</v>
      </c>
      <c r="O451" s="535" t="s">
        <v>2193</v>
      </c>
    </row>
    <row r="452" spans="1:33" s="206" customFormat="1" ht="15.75" hidden="1" outlineLevel="1" thickBot="1" x14ac:dyDescent="0.3">
      <c r="A452" s="142"/>
      <c r="B452" s="563"/>
      <c r="C452" s="564"/>
      <c r="D452" s="724"/>
      <c r="E452" s="571"/>
      <c r="F452" s="571"/>
      <c r="G452" s="571"/>
      <c r="H452" s="571"/>
      <c r="I452" s="571"/>
      <c r="J452" s="571"/>
      <c r="K452" s="571"/>
      <c r="L452" s="571"/>
      <c r="M452" s="571"/>
      <c r="N452" s="571"/>
      <c r="O452" s="572"/>
      <c r="P452" s="210"/>
    </row>
    <row r="453" spans="1:33" s="206" customFormat="1" ht="15.75" hidden="1" outlineLevel="1" thickBot="1" x14ac:dyDescent="0.3">
      <c r="A453" s="142"/>
      <c r="B453" s="563"/>
      <c r="C453" s="322"/>
      <c r="D453" s="732"/>
      <c r="E453" s="581"/>
      <c r="F453" s="581"/>
      <c r="G453" s="581"/>
      <c r="H453" s="581"/>
      <c r="I453" s="581"/>
      <c r="J453" s="581"/>
      <c r="K453" s="581"/>
      <c r="L453" s="581"/>
      <c r="M453" s="581"/>
      <c r="N453" s="581"/>
      <c r="O453" s="558"/>
      <c r="P453" s="210"/>
    </row>
    <row r="454" spans="1:33" s="8" customFormat="1" ht="20.25" hidden="1" outlineLevel="1" x14ac:dyDescent="0.2">
      <c r="A454" s="142"/>
      <c r="B454" s="102"/>
      <c r="C454" s="1012" t="str">
        <f>Scenario3&amp;" Disputed Record Cost pa (based on Touch Hour Rate)"</f>
        <v>eSystems (Paperless) Disputed Record Cost pa (based on Touch Hour Rate)</v>
      </c>
      <c r="D454" s="310"/>
      <c r="E454" s="316"/>
      <c r="F454" s="316"/>
      <c r="G454" s="316"/>
      <c r="H454" s="316"/>
      <c r="I454" s="316"/>
      <c r="J454" s="316"/>
      <c r="K454" s="316"/>
      <c r="L454" s="316"/>
      <c r="M454" s="316"/>
      <c r="N454" s="316"/>
      <c r="O454" s="583"/>
      <c r="P454" s="17"/>
      <c r="Q454" s="17"/>
      <c r="R454" s="17"/>
      <c r="S454" s="17"/>
      <c r="T454" s="17"/>
      <c r="U454" s="17"/>
      <c r="V454" s="17"/>
      <c r="W454" s="17"/>
      <c r="X454" s="17"/>
      <c r="Y454" s="17"/>
      <c r="Z454" s="17"/>
      <c r="AA454" s="17"/>
      <c r="AB454" s="17"/>
      <c r="AC454" s="17"/>
      <c r="AD454" s="17"/>
      <c r="AE454" s="17"/>
      <c r="AF454" s="17"/>
      <c r="AG454" s="17"/>
    </row>
    <row r="455" spans="1:33" s="142" customFormat="1" ht="18" hidden="1" customHeight="1" outlineLevel="1" x14ac:dyDescent="0.2">
      <c r="B455" s="138"/>
      <c r="C455" s="235"/>
      <c r="D455" s="726" t="s">
        <v>2194</v>
      </c>
      <c r="E455" s="555">
        <f>(eSystemsTouchRateHourHM*eSystemsLeaseDisputedRecordLaborHrsHM*eSystemsLeaseDisputeRecordsForecast)</f>
        <v>0</v>
      </c>
      <c r="F455" s="555">
        <f>(eSystemsTouchRateHourHM*eSystemsLeaseDisputedRecordLaborHrsHM*eSystemsLeaseDisputeRecordsForecast)*(1+Inflation)</f>
        <v>0</v>
      </c>
      <c r="G455" s="555">
        <f>(eSystemsTouchRateHourHM*eSystemsLeaseDisputedRecordLaborHrsHM*eSystemsLeaseDisputeRecordsForecast)*(1+Inflation)^2</f>
        <v>0</v>
      </c>
      <c r="H455" s="555">
        <f>(eSystemsTouchRateHourHM*eSystemsLeaseDisputedRecordLaborHrsHM*eSystemsLeaseDisputeRecordsForecast)*(1+Inflation)^3</f>
        <v>0</v>
      </c>
      <c r="I455" s="555">
        <f>(eSystemsTouchRateHourHM*eSystemsLeaseDisputedRecordLaborHrsHM*eSystemsLeaseDisputeRecordsForecast)*(1+Inflation)^4</f>
        <v>0</v>
      </c>
      <c r="J455" s="555">
        <f>(eSystemsTouchRateHourHM*eSystemsLeaseDisputedRecordLaborHrsHM*eSystemsLeaseDisputeRecordsForecast)*(1+Inflation)^5</f>
        <v>0</v>
      </c>
      <c r="K455" s="555">
        <f>(eSystemsTouchRateHourHM*eSystemsLeaseDisputedRecordLaborHrsHM*eSystemsLeaseDisputeRecordsForecast)*(1+Inflation)^6</f>
        <v>0</v>
      </c>
      <c r="L455" s="555">
        <f>(eSystemsTouchRateHourHM*eSystemsLeaseDisputedRecordLaborHrsHM*eSystemsLeaseDisputeRecordsForecast)*(1+Inflation)^7</f>
        <v>0</v>
      </c>
      <c r="M455" s="555">
        <f>(eSystemsTouchRateHourHM*eSystemsLeaseDisputedRecordLaborHrsHM*eSystemsLeaseDisputeRecordsForecast)*(1+Inflation)^8</f>
        <v>0</v>
      </c>
      <c r="N455" s="555">
        <f>(eSystemsTouchRateHourHM*eSystemsLeaseDisputedRecordLaborHrsHM*eSystemsLeaseDisputeRecordsForecast)*(1+Inflation)^9</f>
        <v>0</v>
      </c>
      <c r="O455" s="535" t="s">
        <v>2195</v>
      </c>
    </row>
    <row r="456" spans="1:33" s="142" customFormat="1" ht="18" hidden="1" customHeight="1" outlineLevel="1" x14ac:dyDescent="0.2">
      <c r="B456" s="128"/>
      <c r="C456" s="235"/>
      <c r="D456" s="726" t="s">
        <v>2196</v>
      </c>
      <c r="E456" s="555">
        <f>(eSystemsTouchRateHourLM*eSystemsLeaseDisputedRecordLaborHrsLM*eSystemsLeaseDisputeRecordsForecast)</f>
        <v>0</v>
      </c>
      <c r="F456" s="555">
        <f>(eSystemsTouchRateHourLM*eSystemsLeaseDisputedRecordLaborHrsLM*eSystemsLeaseDisputeRecordsForecast)*(1+Inflation)</f>
        <v>0</v>
      </c>
      <c r="G456" s="555">
        <f>(eSystemsTouchRateHourLM*eSystemsLeaseDisputedRecordLaborHrsLM*eSystemsLeaseDisputeRecordsForecast)*(1+Inflation)^2</f>
        <v>0</v>
      </c>
      <c r="H456" s="555">
        <f>(eSystemsTouchRateHourLM*eSystemsLeaseDisputedRecordLaborHrsLM*eSystemsLeaseDisputeRecordsForecast)*(1+Inflation)^3</f>
        <v>0</v>
      </c>
      <c r="I456" s="555">
        <f>(eSystemsTouchRateHourLM*eSystemsLeaseDisputedRecordLaborHrsLM*eSystemsLeaseDisputeRecordsForecast)*(1+Inflation)^4</f>
        <v>0</v>
      </c>
      <c r="J456" s="555">
        <f>(eSystemsTouchRateHourLM*eSystemsLeaseDisputedRecordLaborHrsLM*eSystemsLeaseDisputeRecordsForecast)*(1+Inflation)^5</f>
        <v>0</v>
      </c>
      <c r="K456" s="555">
        <f>(eSystemsTouchRateHourLM*eSystemsLeaseDisputedRecordLaborHrsLM*eSystemsLeaseDisputeRecordsForecast)*(1+Inflation)^6</f>
        <v>0</v>
      </c>
      <c r="L456" s="555">
        <f>(eSystemsTouchRateHourLM*eSystemsLeaseDisputedRecordLaborHrsLM*eSystemsLeaseDisputeRecordsForecast)*(1+Inflation)^7</f>
        <v>0</v>
      </c>
      <c r="M456" s="555">
        <f>(eSystemsTouchRateHourLM*eSystemsLeaseDisputedRecordLaborHrsLM*eSystemsLeaseDisputeRecordsForecast)*(1+Inflation)^8</f>
        <v>0</v>
      </c>
      <c r="N456" s="555">
        <f>(eSystemsTouchRateHourLM*eSystemsLeaseDisputedRecordLaborHrsLM*eSystemsLeaseDisputeRecordsForecast)*(1+Inflation)^9</f>
        <v>0</v>
      </c>
      <c r="O456" s="535" t="s">
        <v>2197</v>
      </c>
    </row>
    <row r="457" spans="1:33" s="142" customFormat="1" ht="18" hidden="1" customHeight="1" outlineLevel="1" x14ac:dyDescent="0.2">
      <c r="B457" s="128"/>
      <c r="C457" s="235"/>
      <c r="D457" s="727" t="s">
        <v>2198</v>
      </c>
      <c r="E457" s="555">
        <f>(eSystemsTouchRateHourENG*eSystemsLeaseDisputedRecordLaborHrsENG*eSystemsLeaseDisputeRecordsForecast)</f>
        <v>4566.012667443214</v>
      </c>
      <c r="F457" s="555">
        <f>(eSystemsTouchRateHourENG*eSystemsLeaseDisputedRecordLaborHrsENG*eSystemsLeaseDisputeRecordsForecast)*(1+Inflation)</f>
        <v>4657.3329207920788</v>
      </c>
      <c r="G457" s="555">
        <f>(eSystemsTouchRateHourENG*eSystemsLeaseDisputedRecordLaborHrsENG*eSystemsLeaseDisputeRecordsForecast)*(1+Inflation)^2</f>
        <v>4750.4795792079194</v>
      </c>
      <c r="H457" s="555">
        <f>(eSystemsTouchRateHourENG*eSystemsLeaseDisputedRecordLaborHrsENG*eSystemsLeaseDisputeRecordsForecast)*(1+Inflation)^3</f>
        <v>4845.4891707920779</v>
      </c>
      <c r="I457" s="555">
        <f>(eSystemsTouchRateHourENG*eSystemsLeaseDisputedRecordLaborHrsENG*eSystemsLeaseDisputeRecordsForecast)*(1+Inflation)^4</f>
        <v>4942.3989542079198</v>
      </c>
      <c r="J457" s="555">
        <f>(eSystemsTouchRateHourENG*eSystemsLeaseDisputedRecordLaborHrsENG*eSystemsLeaseDisputeRecordsForecast)*(1+Inflation)^5</f>
        <v>5041.2469332920782</v>
      </c>
      <c r="K457" s="555">
        <f>(eSystemsTouchRateHourENG*eSystemsLeaseDisputedRecordLaborHrsENG*eSystemsLeaseDisputeRecordsForecast)*(1+Inflation)^6</f>
        <v>5142.0718719579199</v>
      </c>
      <c r="L457" s="555">
        <f>(eSystemsTouchRateHourENG*eSystemsLeaseDisputedRecordLaborHrsENG*eSystemsLeaseDisputeRecordsForecast)*(1+Inflation)^7</f>
        <v>5244.9133093970777</v>
      </c>
      <c r="M457" s="555">
        <f>(eSystemsTouchRateHourENG*eSystemsLeaseDisputedRecordLaborHrsENG*eSystemsLeaseDisputeRecordsForecast)*(1+Inflation)^8</f>
        <v>5349.8115755850195</v>
      </c>
      <c r="N457" s="555">
        <f>(eSystemsTouchRateHourENG*eSystemsLeaseDisputedRecordLaborHrsENG*eSystemsLeaseDisputeRecordsForecast)*(1+Inflation)^9</f>
        <v>5456.8078070967194</v>
      </c>
      <c r="O457" s="535" t="s">
        <v>2199</v>
      </c>
    </row>
    <row r="458" spans="1:33" s="142" customFormat="1" ht="18" hidden="1" customHeight="1" outlineLevel="1" x14ac:dyDescent="0.2">
      <c r="B458" s="138"/>
      <c r="C458" s="235"/>
      <c r="D458" s="726" t="s">
        <v>2200</v>
      </c>
      <c r="E458" s="555">
        <f>(eSystemsTouchRateHourPLG*eSystemsLeaseDisputedRecordLaborHrsPLG*eSystemsLeaseDisputeRecordsForecast)</f>
        <v>4312.3452970297021</v>
      </c>
      <c r="F458" s="555">
        <f>(eSystemsTouchRateHourPLG*eSystemsLeaseDisputedRecordLaborHrsPLG*eSystemsLeaseDisputeRecordsForecast)*(1+Inflation)</f>
        <v>4398.5922029702961</v>
      </c>
      <c r="G458" s="555">
        <f>(eSystemsTouchRateHourPLG*eSystemsLeaseDisputedRecordLaborHrsPLG*eSystemsLeaseDisputeRecordsForecast)*(1+Inflation)^2</f>
        <v>4486.5640470297021</v>
      </c>
      <c r="H458" s="555">
        <f>(eSystemsTouchRateHourPLG*eSystemsLeaseDisputedRecordLaborHrsPLG*eSystemsLeaseDisputeRecordsForecast)*(1+Inflation)^3</f>
        <v>4576.2953279702961</v>
      </c>
      <c r="I458" s="555">
        <f>(eSystemsTouchRateHourPLG*eSystemsLeaseDisputedRecordLaborHrsPLG*eSystemsLeaseDisputeRecordsForecast)*(1+Inflation)^4</f>
        <v>4667.8212345297015</v>
      </c>
      <c r="J458" s="555">
        <f>(eSystemsTouchRateHourPLG*eSystemsLeaseDisputedRecordLaborHrsPLG*eSystemsLeaseDisputeRecordsForecast)*(1+Inflation)^5</f>
        <v>4761.1776592202959</v>
      </c>
      <c r="K458" s="555">
        <f>(eSystemsTouchRateHourPLG*eSystemsLeaseDisputedRecordLaborHrsPLG*eSystemsLeaseDisputeRecordsForecast)*(1+Inflation)^6</f>
        <v>4856.4012124047022</v>
      </c>
      <c r="L458" s="555">
        <f>(eSystemsTouchRateHourPLG*eSystemsLeaseDisputedRecordLaborHrsPLG*eSystemsLeaseDisputeRecordsForecast)*(1+Inflation)^7</f>
        <v>4953.5292366527956</v>
      </c>
      <c r="M458" s="555">
        <f>(eSystemsTouchRateHourPLG*eSystemsLeaseDisputedRecordLaborHrsPLG*eSystemsLeaseDisputeRecordsForecast)*(1+Inflation)^8</f>
        <v>5052.599821385852</v>
      </c>
      <c r="N458" s="555">
        <f>(eSystemsTouchRateHourPLG*eSystemsLeaseDisputedRecordLaborHrsPLG*eSystemsLeaseDisputeRecordsForecast)*(1+Inflation)^9</f>
        <v>5153.6518178135684</v>
      </c>
      <c r="O458" s="535" t="s">
        <v>2201</v>
      </c>
    </row>
    <row r="459" spans="1:33" s="142" customFormat="1" ht="18" hidden="1" customHeight="1" outlineLevel="1" x14ac:dyDescent="0.2">
      <c r="B459" s="138"/>
      <c r="C459" s="235"/>
      <c r="D459" s="726" t="s">
        <v>2202</v>
      </c>
      <c r="E459" s="555">
        <f>(eSystemsTouchRateHourCRT*eSystemsLeaseDisputedRecordLaborHrsCRT*eSystemsLeaseDisputeRecordsForecast)</f>
        <v>2536.6737041351189</v>
      </c>
      <c r="F459" s="555">
        <f>(eSystemsTouchRateHourCRT*eSystemsLeaseDisputedRecordLaborHrsCRT*eSystemsLeaseDisputeRecordsForecast)*(1+Inflation)</f>
        <v>2587.4071782178212</v>
      </c>
      <c r="G459" s="555">
        <f>(eSystemsTouchRateHourCRT*eSystemsLeaseDisputedRecordLaborHrsCRT*eSystemsLeaseDisputeRecordsForecast)*(1+Inflation)^2</f>
        <v>2639.1553217821775</v>
      </c>
      <c r="H459" s="555">
        <f>(eSystemsTouchRateHourCRT*eSystemsLeaseDisputedRecordLaborHrsCRT*eSystemsLeaseDisputeRecordsForecast)*(1+Inflation)^3</f>
        <v>2691.9384282178212</v>
      </c>
      <c r="I459" s="555">
        <f>(eSystemsTouchRateHourCRT*eSystemsLeaseDisputedRecordLaborHrsCRT*eSystemsLeaseDisputeRecordsForecast)*(1+Inflation)^4</f>
        <v>2745.7771967821777</v>
      </c>
      <c r="J459" s="555">
        <f>(eSystemsTouchRateHourCRT*eSystemsLeaseDisputedRecordLaborHrsCRT*eSystemsLeaseDisputeRecordsForecast)*(1+Inflation)^5</f>
        <v>2800.6927407178214</v>
      </c>
      <c r="K459" s="555">
        <f>(eSystemsTouchRateHourCRT*eSystemsLeaseDisputedRecordLaborHrsCRT*eSystemsLeaseDisputeRecordsForecast)*(1+Inflation)^6</f>
        <v>2856.7065955321777</v>
      </c>
      <c r="L459" s="555">
        <f>(eSystemsTouchRateHourCRT*eSystemsLeaseDisputedRecordLaborHrsCRT*eSystemsLeaseDisputeRecordsForecast)*(1+Inflation)^7</f>
        <v>2913.8407274428209</v>
      </c>
      <c r="M459" s="555">
        <f>(eSystemsTouchRateHourCRT*eSystemsLeaseDisputedRecordLaborHrsCRT*eSystemsLeaseDisputeRecordsForecast)*(1+Inflation)^8</f>
        <v>2972.1175419916776</v>
      </c>
      <c r="N459" s="555">
        <f>(eSystemsTouchRateHourCRT*eSystemsLeaseDisputedRecordLaborHrsCRT*eSystemsLeaseDisputeRecordsForecast)*(1+Inflation)^9</f>
        <v>3031.5598928315112</v>
      </c>
      <c r="O459" s="535" t="s">
        <v>2203</v>
      </c>
    </row>
    <row r="460" spans="1:33" s="142" customFormat="1" ht="18" hidden="1" customHeight="1" outlineLevel="1" x14ac:dyDescent="0.2">
      <c r="B460" s="128"/>
      <c r="C460" s="235"/>
      <c r="D460" s="726" t="s">
        <v>2204</v>
      </c>
      <c r="E460" s="555">
        <f>(eSystemsTouchRateHourSCL*eSystemsLeaseDisputedRecordLaborHrsSCL*eSystemsLeaseDisputeRecordsForecast)</f>
        <v>0</v>
      </c>
      <c r="F460" s="555">
        <f>(eSystemsTouchRateHourSCL*eSystemsLeaseDisputedRecordLaborHrsSCL*eSystemsLeaseDisputeRecordsForecast)*(1+Inflation)</f>
        <v>0</v>
      </c>
      <c r="G460" s="555">
        <f>(eSystemsTouchRateHourSCL*eSystemsLeaseDisputedRecordLaborHrsSCL*eSystemsLeaseDisputeRecordsForecast)*(1+Inflation)^2</f>
        <v>0</v>
      </c>
      <c r="H460" s="555">
        <f>(eSystemsTouchRateHourSCL*eSystemsLeaseDisputedRecordLaborHrsSCL*eSystemsLeaseDisputeRecordsForecast)*(1+Inflation)^3</f>
        <v>0</v>
      </c>
      <c r="I460" s="555">
        <f>(eSystemsTouchRateHourSCL*eSystemsLeaseDisputedRecordLaborHrsSCL*eSystemsLeaseDisputeRecordsForecast)*(1+Inflation)^4</f>
        <v>0</v>
      </c>
      <c r="J460" s="555">
        <f>(eSystemsTouchRateHourSCL*eSystemsLeaseDisputedRecordLaborHrsSCL*eSystemsLeaseDisputeRecordsForecast)*(1+Inflation)^5</f>
        <v>0</v>
      </c>
      <c r="K460" s="555">
        <f>(eSystemsTouchRateHourSCL*eSystemsLeaseDisputedRecordLaborHrsSCL*eSystemsLeaseDisputeRecordsForecast)*(1+Inflation)^6</f>
        <v>0</v>
      </c>
      <c r="L460" s="555">
        <f>(eSystemsTouchRateHourSCL*eSystemsLeaseDisputedRecordLaborHrsSCL*eSystemsLeaseDisputeRecordsForecast)*(1+Inflation)^7</f>
        <v>0</v>
      </c>
      <c r="M460" s="555">
        <f>(eSystemsTouchRateHourSCL*eSystemsLeaseDisputedRecordLaborHrsSCL*eSystemsLeaseDisputeRecordsForecast)*(1+Inflation)^8</f>
        <v>0</v>
      </c>
      <c r="N460" s="555">
        <f>(eSystemsTouchRateHourSCL*eSystemsLeaseDisputedRecordLaborHrsSCL*eSystemsLeaseDisputeRecordsForecast)*(1+Inflation)^9</f>
        <v>0</v>
      </c>
      <c r="O460" s="535" t="s">
        <v>2205</v>
      </c>
    </row>
    <row r="461" spans="1:33" s="142" customFormat="1" ht="18" hidden="1" customHeight="1" outlineLevel="1" x14ac:dyDescent="0.2">
      <c r="B461" s="138"/>
      <c r="C461" s="235"/>
      <c r="D461" s="726" t="s">
        <v>2206</v>
      </c>
      <c r="E461" s="555">
        <f>(eSystemsTouchRateHourQSC*eSystemsLeaseDisputedRecordLaborHrsQSC*eSystemsLeaseDisputeRecordsForecast)</f>
        <v>3805.0105562026788</v>
      </c>
      <c r="F461" s="555">
        <f>(eSystemsTouchRateHourQSC*eSystemsLeaseDisputedRecordLaborHrsQSC*eSystemsLeaseDisputeRecordsForecast)*(1+Inflation)</f>
        <v>3881.1107673267325</v>
      </c>
      <c r="G461" s="555">
        <f>(eSystemsTouchRateHourQSC*eSystemsLeaseDisputedRecordLaborHrsQSC*eSystemsLeaseDisputeRecordsForecast)*(1+Inflation)^2</f>
        <v>3958.7329826732671</v>
      </c>
      <c r="H461" s="555">
        <f>(eSystemsTouchRateHourQSC*eSystemsLeaseDisputedRecordLaborHrsQSC*eSystemsLeaseDisputeRecordsForecast)*(1+Inflation)^3</f>
        <v>4037.907642326732</v>
      </c>
      <c r="I461" s="555">
        <f>(eSystemsTouchRateHourQSC*eSystemsLeaseDisputedRecordLaborHrsQSC*eSystemsLeaseDisputeRecordsForecast)*(1+Inflation)^4</f>
        <v>4118.6657951732668</v>
      </c>
      <c r="J461" s="555">
        <f>(eSystemsTouchRateHourQSC*eSystemsLeaseDisputedRecordLaborHrsQSC*eSystemsLeaseDisputeRecordsForecast)*(1+Inflation)^5</f>
        <v>4201.0391110767323</v>
      </c>
      <c r="K461" s="555">
        <f>(eSystemsTouchRateHourQSC*eSystemsLeaseDisputedRecordLaborHrsQSC*eSystemsLeaseDisputeRecordsForecast)*(1+Inflation)^6</f>
        <v>4285.0598932982675</v>
      </c>
      <c r="L461" s="555">
        <f>(eSystemsTouchRateHourQSC*eSystemsLeaseDisputedRecordLaborHrsQSC*eSystemsLeaseDisputeRecordsForecast)*(1+Inflation)^7</f>
        <v>4370.7610911642314</v>
      </c>
      <c r="M461" s="555">
        <f>(eSystemsTouchRateHourQSC*eSystemsLeaseDisputedRecordLaborHrsQSC*eSystemsLeaseDisputeRecordsForecast)*(1+Inflation)^8</f>
        <v>4458.1763129875171</v>
      </c>
      <c r="N461" s="555">
        <f>(eSystemsTouchRateHourQSC*eSystemsLeaseDisputedRecordLaborHrsQSC*eSystemsLeaseDisputeRecordsForecast)*(1+Inflation)^9</f>
        <v>4547.3398392472673</v>
      </c>
      <c r="O461" s="535" t="s">
        <v>2207</v>
      </c>
    </row>
    <row r="462" spans="1:33" s="142" customFormat="1" ht="18" hidden="1" customHeight="1" outlineLevel="1" x14ac:dyDescent="0.2">
      <c r="B462" s="138"/>
      <c r="C462" s="235"/>
      <c r="D462" s="726" t="s">
        <v>2208</v>
      </c>
      <c r="E462" s="555">
        <f>(eSystemsTouchRateHourEM*eSystemsLeaseDisputedRecordLaborHrsEM*eSystemsLeaseDisputeRecordsForecast)</f>
        <v>0</v>
      </c>
      <c r="F462" s="555">
        <f>(eSystemsTouchRateHourEM*eSystemsLeaseDisputedRecordLaborHrsEM*eSystemsLeaseDisputeRecordsForecast)*(1+Inflation)</f>
        <v>0</v>
      </c>
      <c r="G462" s="555">
        <f>(eSystemsTouchRateHourEM*eSystemsLeaseDisputedRecordLaborHrsEM*eSystemsLeaseDisputeRecordsForecast)*(1+Inflation)^2</f>
        <v>0</v>
      </c>
      <c r="H462" s="555">
        <f>(eSystemsTouchRateHourEM*eSystemsLeaseDisputedRecordLaborHrsEM*eSystemsLeaseDisputeRecordsForecast)*(1+Inflation)^3</f>
        <v>0</v>
      </c>
      <c r="I462" s="555">
        <f>(eSystemsTouchRateHourEM*eSystemsLeaseDisputedRecordLaborHrsEM*eSystemsLeaseDisputeRecordsForecast)*(1+Inflation)^4</f>
        <v>0</v>
      </c>
      <c r="J462" s="555">
        <f>(eSystemsTouchRateHourEM*eSystemsLeaseDisputedRecordLaborHrsEM*eSystemsLeaseDisputeRecordsForecast)*(1+Inflation)^5</f>
        <v>0</v>
      </c>
      <c r="K462" s="555">
        <f>(eSystemsTouchRateHourEM*eSystemsLeaseDisputedRecordLaborHrsEM*eSystemsLeaseDisputeRecordsForecast)*(1+Inflation)^6</f>
        <v>0</v>
      </c>
      <c r="L462" s="555">
        <f>(eSystemsTouchRateHourEM*eSystemsLeaseDisputedRecordLaborHrsEM*eSystemsLeaseDisputeRecordsForecast)*(1+Inflation)^7</f>
        <v>0</v>
      </c>
      <c r="M462" s="555">
        <f>(eSystemsTouchRateHourEM*eSystemsLeaseDisputedRecordLaborHrsEM*eSystemsLeaseDisputeRecordsForecast)*(1+Inflation)^8</f>
        <v>0</v>
      </c>
      <c r="N462" s="555">
        <f>(eSystemsTouchRateHourEM*eSystemsLeaseDisputedRecordLaborHrsEM*eSystemsLeaseDisputeRecordsForecast)*(1+Inflation)^9</f>
        <v>0</v>
      </c>
      <c r="O462" s="535" t="s">
        <v>2209</v>
      </c>
    </row>
    <row r="463" spans="1:33" s="142" customFormat="1" ht="18" hidden="1" customHeight="1" outlineLevel="1" x14ac:dyDescent="0.2">
      <c r="B463" s="138"/>
      <c r="C463" s="235"/>
      <c r="D463" s="726" t="s">
        <v>2210</v>
      </c>
      <c r="E463" s="555">
        <f>(eSystemsTouchRateHourCM*eSystemsLeaseDisputedRecordLaborHrsCM*eSystemsLeaseDisputeRecordsForecast)</f>
        <v>0</v>
      </c>
      <c r="F463" s="555">
        <f>(eSystemsTouchRateHourCM*eSystemsLeaseDisputedRecordLaborHrsCM*eSystemsLeaseDisputeRecordsForecast)*(1+Inflation)</f>
        <v>0</v>
      </c>
      <c r="G463" s="555">
        <f>(eSystemsTouchRateHourCM*eSystemsLeaseDisputedRecordLaborHrsCM*eSystemsLeaseDisputeRecordsForecast)*(1+Inflation)^2</f>
        <v>0</v>
      </c>
      <c r="H463" s="555">
        <f>(eSystemsTouchRateHourCM*eSystemsLeaseDisputedRecordLaborHrsCM*eSystemsLeaseDisputeRecordsForecast)*(1+Inflation)^3</f>
        <v>0</v>
      </c>
      <c r="I463" s="555">
        <f>(eSystemsTouchRateHourCM*eSystemsLeaseDisputedRecordLaborHrsCM*eSystemsLeaseDisputeRecordsForecast)*(1+Inflation)^4</f>
        <v>0</v>
      </c>
      <c r="J463" s="555">
        <f>(eSystemsTouchRateHourCM*eSystemsLeaseDisputedRecordLaborHrsCM*eSystemsLeaseDisputeRecordsForecast)*(1+Inflation)^5</f>
        <v>0</v>
      </c>
      <c r="K463" s="555">
        <f>(eSystemsTouchRateHourCM*eSystemsLeaseDisputedRecordLaborHrsCM*eSystemsLeaseDisputeRecordsForecast)*(1+Inflation)^6</f>
        <v>0</v>
      </c>
      <c r="L463" s="555">
        <f>(eSystemsTouchRateHourCM*eSystemsLeaseDisputedRecordLaborHrsCM*eSystemsLeaseDisputeRecordsForecast)*(1+Inflation)^7</f>
        <v>0</v>
      </c>
      <c r="M463" s="555">
        <f>(eSystemsTouchRateHourCM*eSystemsLeaseDisputedRecordLaborHrsCM*eSystemsLeaseDisputeRecordsForecast)*(1+Inflation)^8</f>
        <v>0</v>
      </c>
      <c r="N463" s="555">
        <f>(eSystemsTouchRateHourCM*eSystemsLeaseDisputedRecordLaborHrsCM*eSystemsLeaseDisputeRecordsForecast)*(1+Inflation)^9</f>
        <v>0</v>
      </c>
      <c r="O463" s="535" t="s">
        <v>2211</v>
      </c>
    </row>
    <row r="464" spans="1:33" s="142" customFormat="1" ht="18" hidden="1" customHeight="1" outlineLevel="1" x14ac:dyDescent="0.2">
      <c r="B464" s="138"/>
      <c r="C464" s="235"/>
      <c r="D464" s="726" t="s">
        <v>2212</v>
      </c>
      <c r="E464" s="555">
        <f>(eSystemsTouchRateHourSMCS*eSystemsLeaseDisputedRecordLaborHrsSMCS*eSystemsLeaseDisputeRecordsForecast)</f>
        <v>0</v>
      </c>
      <c r="F464" s="555">
        <f>(eSystemsTouchRateHourSMCS*eSystemsLeaseDisputedRecordLaborHrsSMCS*eSystemsLeaseDisputeRecordsForecast)*(1+Inflation)</f>
        <v>0</v>
      </c>
      <c r="G464" s="555">
        <f>(eSystemsTouchRateHourSMCS*eSystemsLeaseDisputedRecordLaborHrsSMCS*eSystemsLeaseDisputeRecordsForecast)*(1+Inflation)^2</f>
        <v>0</v>
      </c>
      <c r="H464" s="555">
        <f>(eSystemsTouchRateHourSMCS*eSystemsLeaseDisputedRecordLaborHrsSMCS*eSystemsLeaseDisputeRecordsForecast)*(1+Inflation)^3</f>
        <v>0</v>
      </c>
      <c r="I464" s="555">
        <f>(eSystemsTouchRateHourSMCS*eSystemsLeaseDisputedRecordLaborHrsSMCS*eSystemsLeaseDisputeRecordsForecast)*(1+Inflation)^4</f>
        <v>0</v>
      </c>
      <c r="J464" s="555">
        <f>(eSystemsTouchRateHourSMCS*eSystemsLeaseDisputedRecordLaborHrsSMCS*eSystemsLeaseDisputeRecordsForecast)*(1+Inflation)^5</f>
        <v>0</v>
      </c>
      <c r="K464" s="555">
        <f>(eSystemsTouchRateHourSMCS*eSystemsLeaseDisputedRecordLaborHrsSMCS*eSystemsLeaseDisputeRecordsForecast)*(1+Inflation)^6</f>
        <v>0</v>
      </c>
      <c r="L464" s="555">
        <f>(eSystemsTouchRateHourSMCS*eSystemsLeaseDisputedRecordLaborHrsSMCS*eSystemsLeaseDisputeRecordsForecast)*(1+Inflation)^7</f>
        <v>0</v>
      </c>
      <c r="M464" s="555">
        <f>(eSystemsTouchRateHourSMCS*eSystemsLeaseDisputedRecordLaborHrsSMCS*eSystemsLeaseDisputeRecordsForecast)*(1+Inflation)^8</f>
        <v>0</v>
      </c>
      <c r="N464" s="555">
        <f>(eSystemsTouchRateHourSMCS*eSystemsLeaseDisputedRecordLaborHrsSMCS*eSystemsLeaseDisputeRecordsForecast)*(1+Inflation)^9</f>
        <v>0</v>
      </c>
      <c r="O464" s="535" t="s">
        <v>2213</v>
      </c>
    </row>
    <row r="465" spans="1:33" s="142" customFormat="1" ht="18" hidden="1" customHeight="1" outlineLevel="1" x14ac:dyDescent="0.2">
      <c r="B465" s="138"/>
      <c r="C465" s="235"/>
      <c r="D465" s="726" t="s">
        <v>2214</v>
      </c>
      <c r="E465" s="555">
        <f>(eSystemsTouchRateHourO1*eSystemsLeaseDisputedRecordLaborHrsO1*eSystemsLeaseDisputeRecordsForecast)</f>
        <v>0</v>
      </c>
      <c r="F465" s="555">
        <f>(eSystemsTouchRateHourO1*eSystemsLeaseDisputedRecordLaborHrsO1*eSystemsLeaseDisputeRecordsForecast)*(1+Inflation)</f>
        <v>0</v>
      </c>
      <c r="G465" s="555">
        <f>(eSystemsTouchRateHourO1*eSystemsLeaseDisputedRecordLaborHrsO1*eSystemsLeaseDisputeRecordsForecast)*(1+Inflation)^2</f>
        <v>0</v>
      </c>
      <c r="H465" s="555">
        <f>(eSystemsTouchRateHourO1*eSystemsLeaseDisputedRecordLaborHrsO1*eSystemsLeaseDisputeRecordsForecast)*(1+Inflation)^3</f>
        <v>0</v>
      </c>
      <c r="I465" s="555">
        <f>(eSystemsTouchRateHourO1*eSystemsLeaseDisputedRecordLaborHrsO1*eSystemsLeaseDisputeRecordsForecast)*(1+Inflation)^4</f>
        <v>0</v>
      </c>
      <c r="J465" s="555">
        <f>(eSystemsTouchRateHourO1*eSystemsLeaseDisputedRecordLaborHrsO1*eSystemsLeaseDisputeRecordsForecast)*(1+Inflation)^5</f>
        <v>0</v>
      </c>
      <c r="K465" s="555">
        <f>(eSystemsTouchRateHourO1*eSystemsLeaseDisputedRecordLaborHrsO1*eSystemsLeaseDisputeRecordsForecast)*(1+Inflation)^6</f>
        <v>0</v>
      </c>
      <c r="L465" s="555">
        <f>(eSystemsTouchRateHourO1*eSystemsLeaseDisputedRecordLaborHrsO1*eSystemsLeaseDisputeRecordsForecast)*(1+Inflation)^7</f>
        <v>0</v>
      </c>
      <c r="M465" s="555">
        <f>(eSystemsTouchRateHourO1*eSystemsLeaseDisputedRecordLaborHrsO1*eSystemsLeaseDisputeRecordsForecast)*(1+Inflation)^8</f>
        <v>0</v>
      </c>
      <c r="N465" s="555">
        <f>(eSystemsTouchRateHourO1*eSystemsLeaseDisputedRecordLaborHrsO1*eSystemsLeaseDisputeRecordsForecast)*(1+Inflation)^9</f>
        <v>0</v>
      </c>
      <c r="O465" s="535" t="s">
        <v>2215</v>
      </c>
    </row>
    <row r="466" spans="1:33" s="142" customFormat="1" ht="18" hidden="1" customHeight="1" outlineLevel="1" x14ac:dyDescent="0.2">
      <c r="B466" s="138"/>
      <c r="C466" s="235"/>
      <c r="D466" s="726" t="s">
        <v>2216</v>
      </c>
      <c r="E466" s="555">
        <f>(eSystemsTouchRateHourO2*eSystemsLeaseDisputedRecordLaborHrsO2*eSystemsLeaseDisputeRecordsForecast)</f>
        <v>0</v>
      </c>
      <c r="F466" s="555">
        <f>(eSystemsTouchRateHourO2*eSystemsLeaseDisputedRecordLaborHrsO2*eSystemsLeaseDisputeRecordsForecast)*(1+Inflation)</f>
        <v>0</v>
      </c>
      <c r="G466" s="555">
        <f>(eSystemsTouchRateHourO2*eSystemsLeaseDisputedRecordLaborHrsO2*eSystemsLeaseDisputeRecordsForecast)*(1+Inflation)^2</f>
        <v>0</v>
      </c>
      <c r="H466" s="555">
        <f>(eSystemsTouchRateHourO2*eSystemsLeaseDisputedRecordLaborHrsO2*eSystemsLeaseDisputeRecordsForecast)*(1+Inflation)^3</f>
        <v>0</v>
      </c>
      <c r="I466" s="555">
        <f>(eSystemsTouchRateHourO2*eSystemsLeaseDisputedRecordLaborHrsO2*eSystemsLeaseDisputeRecordsForecast)*(1+Inflation)^4</f>
        <v>0</v>
      </c>
      <c r="J466" s="555">
        <f>(eSystemsTouchRateHourO2*eSystemsLeaseDisputedRecordLaborHrsO2*eSystemsLeaseDisputeRecordsForecast)*(1+Inflation)^5</f>
        <v>0</v>
      </c>
      <c r="K466" s="555">
        <f>(eSystemsTouchRateHourO2*eSystemsLeaseDisputedRecordLaborHrsO2*eSystemsLeaseDisputeRecordsForecast)*(1+Inflation)^6</f>
        <v>0</v>
      </c>
      <c r="L466" s="555">
        <f>(eSystemsTouchRateHourO2*eSystemsLeaseDisputedRecordLaborHrsO2*eSystemsLeaseDisputeRecordsForecast)*(1+Inflation)^7</f>
        <v>0</v>
      </c>
      <c r="M466" s="555">
        <f>(eSystemsTouchRateHourO2*eSystemsLeaseDisputedRecordLaborHrsO2*eSystemsLeaseDisputeRecordsForecast)*(1+Inflation)^8</f>
        <v>0</v>
      </c>
      <c r="N466" s="555">
        <f>(eSystemsTouchRateHourO2*eSystemsLeaseDisputedRecordLaborHrsO2*eSystemsLeaseDisputeRecordsForecast)*(1+Inflation)^9</f>
        <v>0</v>
      </c>
      <c r="O466" s="535" t="s">
        <v>2217</v>
      </c>
    </row>
    <row r="467" spans="1:33" s="142" customFormat="1" ht="18" hidden="1" customHeight="1" outlineLevel="1" x14ac:dyDescent="0.25">
      <c r="B467" s="138"/>
      <c r="C467" s="235"/>
      <c r="D467" s="728" t="s">
        <v>2218</v>
      </c>
      <c r="E467" s="556">
        <f>SUM(E455:E466)</f>
        <v>15220.042224810713</v>
      </c>
      <c r="F467" s="556">
        <f t="shared" ref="F467:N467" si="112">SUM(F455:F466)</f>
        <v>15524.44306930693</v>
      </c>
      <c r="G467" s="556">
        <f t="shared" si="112"/>
        <v>15834.931930693067</v>
      </c>
      <c r="H467" s="556">
        <f t="shared" si="112"/>
        <v>16151.630569306928</v>
      </c>
      <c r="I467" s="556">
        <f t="shared" si="112"/>
        <v>16474.663180693067</v>
      </c>
      <c r="J467" s="556">
        <f t="shared" si="112"/>
        <v>16804.156444306929</v>
      </c>
      <c r="K467" s="556">
        <f t="shared" si="112"/>
        <v>17140.239573193066</v>
      </c>
      <c r="L467" s="556">
        <f t="shared" si="112"/>
        <v>17483.044364656926</v>
      </c>
      <c r="M467" s="556">
        <f t="shared" si="112"/>
        <v>17832.705251950065</v>
      </c>
      <c r="N467" s="556">
        <f t="shared" si="112"/>
        <v>18189.359356989065</v>
      </c>
      <c r="O467" s="535" t="s">
        <v>2219</v>
      </c>
    </row>
    <row r="468" spans="1:33" s="203" customFormat="1" ht="13.5" hidden="1" outlineLevel="1" thickBot="1" x14ac:dyDescent="0.25">
      <c r="A468" s="142"/>
      <c r="B468" s="74"/>
      <c r="C468" s="325"/>
      <c r="D468" s="725"/>
      <c r="E468" s="568"/>
      <c r="F468" s="568"/>
      <c r="G468" s="568"/>
      <c r="H468" s="568"/>
      <c r="I468" s="568"/>
      <c r="J468" s="568"/>
      <c r="K468" s="568"/>
      <c r="L468" s="568"/>
      <c r="M468" s="568"/>
      <c r="N468" s="568"/>
      <c r="O468" s="569"/>
      <c r="P468" s="204"/>
    </row>
    <row r="469" spans="1:33" s="203" customFormat="1" ht="13.5" hidden="1" outlineLevel="1" thickBot="1" x14ac:dyDescent="0.25">
      <c r="A469" s="142"/>
      <c r="B469" s="74"/>
      <c r="C469" s="211"/>
      <c r="D469" s="214"/>
      <c r="E469" s="210"/>
      <c r="F469" s="210"/>
      <c r="G469" s="210"/>
      <c r="H469" s="210"/>
      <c r="I469" s="210"/>
      <c r="J469" s="210"/>
      <c r="K469" s="210"/>
      <c r="L469" s="210"/>
      <c r="M469" s="210"/>
      <c r="N469" s="210"/>
      <c r="O469" s="204"/>
      <c r="P469" s="204"/>
    </row>
    <row r="470" spans="1:33" customFormat="1" ht="20.25" hidden="1" outlineLevel="1" x14ac:dyDescent="0.2">
      <c r="A470" s="142"/>
      <c r="B470" s="13"/>
      <c r="C470" s="1012" t="str">
        <f>Scenario3&amp;"  Disputed Record FTEs"</f>
        <v>eSystems (Paperless)  Disputed Record FTEs</v>
      </c>
      <c r="D470" s="310"/>
      <c r="E470" s="434"/>
      <c r="F470" s="434"/>
      <c r="G470" s="434"/>
      <c r="H470" s="434"/>
      <c r="I470" s="434"/>
      <c r="J470" s="434"/>
      <c r="K470" s="434"/>
      <c r="L470" s="434"/>
      <c r="M470" s="434"/>
      <c r="N470" s="434"/>
      <c r="O470" s="573"/>
      <c r="P470" s="18"/>
      <c r="Q470" s="18"/>
      <c r="R470" s="18"/>
      <c r="S470" s="18"/>
      <c r="T470" s="18"/>
      <c r="U470" s="18"/>
      <c r="V470" s="18"/>
      <c r="W470" s="18"/>
      <c r="X470" s="18"/>
      <c r="Y470" s="18"/>
      <c r="Z470" s="18"/>
      <c r="AA470" s="18"/>
      <c r="AB470" s="18"/>
      <c r="AC470" s="18"/>
      <c r="AD470" s="18"/>
      <c r="AE470" s="18"/>
      <c r="AF470" s="18"/>
      <c r="AG470" s="18"/>
    </row>
    <row r="471" spans="1:33" s="142" customFormat="1" ht="18" hidden="1" customHeight="1" outlineLevel="1" x14ac:dyDescent="0.2">
      <c r="B471" s="138"/>
      <c r="C471" s="235"/>
      <c r="D471" s="726" t="s">
        <v>2220</v>
      </c>
      <c r="E471" s="557">
        <f t="shared" ref="E471:N471" si="113">(eSystemsLeaseDisputedRecordLaborHrsHM/eSystemsTouchHourspaHM)*eSystemsLeaseDisputeRecordsForecast</f>
        <v>0</v>
      </c>
      <c r="F471" s="557">
        <f t="shared" si="113"/>
        <v>0</v>
      </c>
      <c r="G471" s="557">
        <f t="shared" si="113"/>
        <v>0</v>
      </c>
      <c r="H471" s="557">
        <f t="shared" si="113"/>
        <v>0</v>
      </c>
      <c r="I471" s="557">
        <f t="shared" si="113"/>
        <v>0</v>
      </c>
      <c r="J471" s="557">
        <f t="shared" si="113"/>
        <v>0</v>
      </c>
      <c r="K471" s="557">
        <f t="shared" si="113"/>
        <v>0</v>
      </c>
      <c r="L471" s="557">
        <f t="shared" si="113"/>
        <v>0</v>
      </c>
      <c r="M471" s="557">
        <f t="shared" si="113"/>
        <v>0</v>
      </c>
      <c r="N471" s="557">
        <f t="shared" si="113"/>
        <v>0</v>
      </c>
      <c r="O471" s="535" t="s">
        <v>2221</v>
      </c>
    </row>
    <row r="472" spans="1:33" s="142" customFormat="1" ht="18" hidden="1" customHeight="1" outlineLevel="1" x14ac:dyDescent="0.2">
      <c r="B472" s="138"/>
      <c r="C472" s="235"/>
      <c r="D472" s="726" t="s">
        <v>2222</v>
      </c>
      <c r="E472" s="557">
        <f t="shared" ref="E472:N472" si="114">(eSystemsLeaseDisputedRecordLaborHrsLM/eSystemsTouchHourspaLM)*eSystemsLeaseDisputeRecordsForecast</f>
        <v>0</v>
      </c>
      <c r="F472" s="557">
        <f t="shared" si="114"/>
        <v>0</v>
      </c>
      <c r="G472" s="557">
        <f t="shared" si="114"/>
        <v>0</v>
      </c>
      <c r="H472" s="557">
        <f t="shared" si="114"/>
        <v>0</v>
      </c>
      <c r="I472" s="557">
        <f t="shared" si="114"/>
        <v>0</v>
      </c>
      <c r="J472" s="557">
        <f t="shared" si="114"/>
        <v>0</v>
      </c>
      <c r="K472" s="557">
        <f t="shared" si="114"/>
        <v>0</v>
      </c>
      <c r="L472" s="557">
        <f t="shared" si="114"/>
        <v>0</v>
      </c>
      <c r="M472" s="557">
        <f t="shared" si="114"/>
        <v>0</v>
      </c>
      <c r="N472" s="557">
        <f t="shared" si="114"/>
        <v>0</v>
      </c>
      <c r="O472" s="535" t="s">
        <v>2223</v>
      </c>
    </row>
    <row r="473" spans="1:33" s="142" customFormat="1" ht="18" hidden="1" customHeight="1" outlineLevel="1" x14ac:dyDescent="0.2">
      <c r="B473" s="138"/>
      <c r="C473" s="235"/>
      <c r="D473" s="727" t="s">
        <v>2224</v>
      </c>
      <c r="E473" s="557">
        <f t="shared" ref="E473:N473" si="115">(eSystemsLeaseDisputedRecordLaborHrsENG/eSystemsTouchHourspaENG)*eSystemsLeaseDisputeRecordsForecast</f>
        <v>3.6400698893418751E-2</v>
      </c>
      <c r="F473" s="557">
        <f t="shared" si="115"/>
        <v>3.6400698893418751E-2</v>
      </c>
      <c r="G473" s="557">
        <f t="shared" si="115"/>
        <v>3.6400698893418751E-2</v>
      </c>
      <c r="H473" s="557">
        <f t="shared" si="115"/>
        <v>3.6400698893418751E-2</v>
      </c>
      <c r="I473" s="557">
        <f t="shared" si="115"/>
        <v>3.6400698893418751E-2</v>
      </c>
      <c r="J473" s="557">
        <f t="shared" si="115"/>
        <v>3.6400698893418751E-2</v>
      </c>
      <c r="K473" s="557">
        <f t="shared" si="115"/>
        <v>3.6400698893418751E-2</v>
      </c>
      <c r="L473" s="557">
        <f t="shared" si="115"/>
        <v>3.6400698893418751E-2</v>
      </c>
      <c r="M473" s="557">
        <f t="shared" si="115"/>
        <v>3.6400698893418751E-2</v>
      </c>
      <c r="N473" s="557">
        <f t="shared" si="115"/>
        <v>3.6400698893418751E-2</v>
      </c>
      <c r="O473" s="535" t="s">
        <v>2225</v>
      </c>
    </row>
    <row r="474" spans="1:33" s="142" customFormat="1" ht="18" hidden="1" customHeight="1" outlineLevel="1" x14ac:dyDescent="0.2">
      <c r="B474" s="138"/>
      <c r="C474" s="235"/>
      <c r="D474" s="726" t="s">
        <v>2226</v>
      </c>
      <c r="E474" s="557">
        <f t="shared" ref="E474:N474" si="116">(eSystemsLeaseDisputedRecordLaborHrsPLG/eSystemsTouchHourspaPLG)*eSystemsLeaseDisputeRecordsForecast</f>
        <v>3.6400698893418751E-2</v>
      </c>
      <c r="F474" s="557">
        <f t="shared" si="116"/>
        <v>3.6400698893418751E-2</v>
      </c>
      <c r="G474" s="557">
        <f t="shared" si="116"/>
        <v>3.6400698893418751E-2</v>
      </c>
      <c r="H474" s="557">
        <f t="shared" si="116"/>
        <v>3.6400698893418751E-2</v>
      </c>
      <c r="I474" s="557">
        <f t="shared" si="116"/>
        <v>3.6400698893418751E-2</v>
      </c>
      <c r="J474" s="557">
        <f t="shared" si="116"/>
        <v>3.6400698893418751E-2</v>
      </c>
      <c r="K474" s="557">
        <f t="shared" si="116"/>
        <v>3.6400698893418751E-2</v>
      </c>
      <c r="L474" s="557">
        <f t="shared" si="116"/>
        <v>3.6400698893418751E-2</v>
      </c>
      <c r="M474" s="557">
        <f t="shared" si="116"/>
        <v>3.6400698893418751E-2</v>
      </c>
      <c r="N474" s="557">
        <f t="shared" si="116"/>
        <v>3.6400698893418751E-2</v>
      </c>
      <c r="O474" s="535" t="s">
        <v>2227</v>
      </c>
    </row>
    <row r="475" spans="1:33" s="142" customFormat="1" ht="18" hidden="1" customHeight="1" outlineLevel="1" x14ac:dyDescent="0.2">
      <c r="B475" s="138"/>
      <c r="C475" s="235"/>
      <c r="D475" s="726" t="s">
        <v>2228</v>
      </c>
      <c r="E475" s="557">
        <f t="shared" ref="E475:N475" si="117">(eSystemsLeaseDisputedRecordLaborHrsCRT/eSystemsTouchHourspaCRT)*eSystemsLeaseDisputeRecordsForecast</f>
        <v>3.6400698893418751E-2</v>
      </c>
      <c r="F475" s="557">
        <f t="shared" si="117"/>
        <v>3.6400698893418751E-2</v>
      </c>
      <c r="G475" s="557">
        <f t="shared" si="117"/>
        <v>3.6400698893418751E-2</v>
      </c>
      <c r="H475" s="557">
        <f t="shared" si="117"/>
        <v>3.6400698893418751E-2</v>
      </c>
      <c r="I475" s="557">
        <f t="shared" si="117"/>
        <v>3.6400698893418751E-2</v>
      </c>
      <c r="J475" s="557">
        <f t="shared" si="117"/>
        <v>3.6400698893418751E-2</v>
      </c>
      <c r="K475" s="557">
        <f t="shared" si="117"/>
        <v>3.6400698893418751E-2</v>
      </c>
      <c r="L475" s="557">
        <f t="shared" si="117"/>
        <v>3.6400698893418751E-2</v>
      </c>
      <c r="M475" s="557">
        <f t="shared" si="117"/>
        <v>3.6400698893418751E-2</v>
      </c>
      <c r="N475" s="557">
        <f t="shared" si="117"/>
        <v>3.6400698893418751E-2</v>
      </c>
      <c r="O475" s="535" t="s">
        <v>2229</v>
      </c>
    </row>
    <row r="476" spans="1:33" s="142" customFormat="1" ht="18" hidden="1" customHeight="1" outlineLevel="1" x14ac:dyDescent="0.2">
      <c r="B476" s="138"/>
      <c r="C476" s="235"/>
      <c r="D476" s="726" t="s">
        <v>2230</v>
      </c>
      <c r="E476" s="557">
        <f t="shared" ref="E476:N476" si="118">(eSystemsLeaseDisputedRecordLaborHrsSCL/eSystemsTouchHourspaSCL)*eSystemsLeaseDisputeRecordsForecast</f>
        <v>0</v>
      </c>
      <c r="F476" s="557">
        <f t="shared" si="118"/>
        <v>0</v>
      </c>
      <c r="G476" s="557">
        <f t="shared" si="118"/>
        <v>0</v>
      </c>
      <c r="H476" s="557">
        <f t="shared" si="118"/>
        <v>0</v>
      </c>
      <c r="I476" s="557">
        <f t="shared" si="118"/>
        <v>0</v>
      </c>
      <c r="J476" s="557">
        <f t="shared" si="118"/>
        <v>0</v>
      </c>
      <c r="K476" s="557">
        <f t="shared" si="118"/>
        <v>0</v>
      </c>
      <c r="L476" s="557">
        <f t="shared" si="118"/>
        <v>0</v>
      </c>
      <c r="M476" s="557">
        <f t="shared" si="118"/>
        <v>0</v>
      </c>
      <c r="N476" s="557">
        <f t="shared" si="118"/>
        <v>0</v>
      </c>
      <c r="O476" s="535" t="s">
        <v>2231</v>
      </c>
    </row>
    <row r="477" spans="1:33" s="142" customFormat="1" ht="18" hidden="1" customHeight="1" outlineLevel="1" x14ac:dyDescent="0.2">
      <c r="B477" s="138"/>
      <c r="C477" s="235"/>
      <c r="D477" s="726" t="s">
        <v>2232</v>
      </c>
      <c r="E477" s="557">
        <f t="shared" ref="E477:N477" si="119">(eSystemsLeaseDisputedRecordLaborHrsQSC/eSystemsTouchHourspaQSC)*eSystemsLeaseDisputeRecordsForecast</f>
        <v>3.6400698893418751E-2</v>
      </c>
      <c r="F477" s="557">
        <f t="shared" si="119"/>
        <v>3.6400698893418751E-2</v>
      </c>
      <c r="G477" s="557">
        <f t="shared" si="119"/>
        <v>3.6400698893418751E-2</v>
      </c>
      <c r="H477" s="557">
        <f t="shared" si="119"/>
        <v>3.6400698893418751E-2</v>
      </c>
      <c r="I477" s="557">
        <f t="shared" si="119"/>
        <v>3.6400698893418751E-2</v>
      </c>
      <c r="J477" s="557">
        <f t="shared" si="119"/>
        <v>3.6400698893418751E-2</v>
      </c>
      <c r="K477" s="557">
        <f t="shared" si="119"/>
        <v>3.6400698893418751E-2</v>
      </c>
      <c r="L477" s="557">
        <f t="shared" si="119"/>
        <v>3.6400698893418751E-2</v>
      </c>
      <c r="M477" s="557">
        <f t="shared" si="119"/>
        <v>3.6400698893418751E-2</v>
      </c>
      <c r="N477" s="557">
        <f t="shared" si="119"/>
        <v>3.6400698893418751E-2</v>
      </c>
      <c r="O477" s="535" t="s">
        <v>2233</v>
      </c>
    </row>
    <row r="478" spans="1:33" s="142" customFormat="1" ht="18" hidden="1" customHeight="1" outlineLevel="1" x14ac:dyDescent="0.2">
      <c r="B478" s="138"/>
      <c r="C478" s="235"/>
      <c r="D478" s="726" t="s">
        <v>2234</v>
      </c>
      <c r="E478" s="557">
        <f t="shared" ref="E478:N478" si="120">(eSystemsLeaseDisputedRecordLaborHrsEM/eSystemsTouchHourspaEM)*eSystemsLeaseDisputeRecordsForecast</f>
        <v>0</v>
      </c>
      <c r="F478" s="557">
        <f t="shared" si="120"/>
        <v>0</v>
      </c>
      <c r="G478" s="557">
        <f t="shared" si="120"/>
        <v>0</v>
      </c>
      <c r="H478" s="557">
        <f t="shared" si="120"/>
        <v>0</v>
      </c>
      <c r="I478" s="557">
        <f t="shared" si="120"/>
        <v>0</v>
      </c>
      <c r="J478" s="557">
        <f t="shared" si="120"/>
        <v>0</v>
      </c>
      <c r="K478" s="557">
        <f t="shared" si="120"/>
        <v>0</v>
      </c>
      <c r="L478" s="557">
        <f t="shared" si="120"/>
        <v>0</v>
      </c>
      <c r="M478" s="557">
        <f t="shared" si="120"/>
        <v>0</v>
      </c>
      <c r="N478" s="557">
        <f t="shared" si="120"/>
        <v>0</v>
      </c>
      <c r="O478" s="535" t="s">
        <v>2235</v>
      </c>
    </row>
    <row r="479" spans="1:33" s="142" customFormat="1" ht="18" hidden="1" customHeight="1" outlineLevel="1" x14ac:dyDescent="0.2">
      <c r="B479" s="138"/>
      <c r="C479" s="235"/>
      <c r="D479" s="726" t="s">
        <v>2236</v>
      </c>
      <c r="E479" s="557">
        <f t="shared" ref="E479:N479" si="121">(eSystemsLeaseDisputedRecordLaborHrsCM/eSystemsTouchHourspaCM)*eSystemsLeaseDisputeRecordsForecast</f>
        <v>0</v>
      </c>
      <c r="F479" s="557">
        <f t="shared" si="121"/>
        <v>0</v>
      </c>
      <c r="G479" s="557">
        <f t="shared" si="121"/>
        <v>0</v>
      </c>
      <c r="H479" s="557">
        <f t="shared" si="121"/>
        <v>0</v>
      </c>
      <c r="I479" s="557">
        <f t="shared" si="121"/>
        <v>0</v>
      </c>
      <c r="J479" s="557">
        <f t="shared" si="121"/>
        <v>0</v>
      </c>
      <c r="K479" s="557">
        <f t="shared" si="121"/>
        <v>0</v>
      </c>
      <c r="L479" s="557">
        <f t="shared" si="121"/>
        <v>0</v>
      </c>
      <c r="M479" s="557">
        <f t="shared" si="121"/>
        <v>0</v>
      </c>
      <c r="N479" s="557">
        <f t="shared" si="121"/>
        <v>0</v>
      </c>
      <c r="O479" s="535" t="s">
        <v>2237</v>
      </c>
    </row>
    <row r="480" spans="1:33" s="142" customFormat="1" ht="18" hidden="1" customHeight="1" outlineLevel="1" x14ac:dyDescent="0.2">
      <c r="B480" s="138"/>
      <c r="C480" s="235"/>
      <c r="D480" s="726" t="s">
        <v>2238</v>
      </c>
      <c r="E480" s="557">
        <f t="shared" ref="E480:N480" si="122">(eSystemsLeaseDisputedRecordLaborHrsSMCS/eSystemsTouchHourspaSMCS)*eSystemsLeaseDisputeRecordsForecast</f>
        <v>0</v>
      </c>
      <c r="F480" s="557">
        <f t="shared" si="122"/>
        <v>0</v>
      </c>
      <c r="G480" s="557">
        <f t="shared" si="122"/>
        <v>0</v>
      </c>
      <c r="H480" s="557">
        <f t="shared" si="122"/>
        <v>0</v>
      </c>
      <c r="I480" s="557">
        <f t="shared" si="122"/>
        <v>0</v>
      </c>
      <c r="J480" s="557">
        <f t="shared" si="122"/>
        <v>0</v>
      </c>
      <c r="K480" s="557">
        <f t="shared" si="122"/>
        <v>0</v>
      </c>
      <c r="L480" s="557">
        <f t="shared" si="122"/>
        <v>0</v>
      </c>
      <c r="M480" s="557">
        <f t="shared" si="122"/>
        <v>0</v>
      </c>
      <c r="N480" s="557">
        <f t="shared" si="122"/>
        <v>0</v>
      </c>
      <c r="O480" s="535" t="s">
        <v>2239</v>
      </c>
    </row>
    <row r="481" spans="1:32" s="142" customFormat="1" ht="18" hidden="1" customHeight="1" outlineLevel="1" x14ac:dyDescent="0.2">
      <c r="B481" s="138"/>
      <c r="C481" s="235"/>
      <c r="D481" s="726" t="s">
        <v>2240</v>
      </c>
      <c r="E481" s="557">
        <f t="shared" ref="E481:N481" si="123">(eSystemsLeaseDisputedRecordLaborHrsO1/eSystemsTouchHourspaO1)*eSystemsLeaseDisputeRecordsForecast</f>
        <v>0</v>
      </c>
      <c r="F481" s="557">
        <f t="shared" si="123"/>
        <v>0</v>
      </c>
      <c r="G481" s="557">
        <f t="shared" si="123"/>
        <v>0</v>
      </c>
      <c r="H481" s="557">
        <f t="shared" si="123"/>
        <v>0</v>
      </c>
      <c r="I481" s="557">
        <f t="shared" si="123"/>
        <v>0</v>
      </c>
      <c r="J481" s="557">
        <f t="shared" si="123"/>
        <v>0</v>
      </c>
      <c r="K481" s="557">
        <f t="shared" si="123"/>
        <v>0</v>
      </c>
      <c r="L481" s="557">
        <f t="shared" si="123"/>
        <v>0</v>
      </c>
      <c r="M481" s="557">
        <f t="shared" si="123"/>
        <v>0</v>
      </c>
      <c r="N481" s="557">
        <f t="shared" si="123"/>
        <v>0</v>
      </c>
      <c r="O481" s="535" t="s">
        <v>2241</v>
      </c>
    </row>
    <row r="482" spans="1:32" s="142" customFormat="1" ht="18" hidden="1" customHeight="1" outlineLevel="1" x14ac:dyDescent="0.2">
      <c r="B482" s="138"/>
      <c r="C482" s="235"/>
      <c r="D482" s="726" t="s">
        <v>2242</v>
      </c>
      <c r="E482" s="557">
        <f t="shared" ref="E482:N482" si="124">(eSystemsLeaseDisputedRecordLaborHrsO2/eSystemsTouchHourspaO2)*eSystemsLeaseDisputeRecordsForecast</f>
        <v>0</v>
      </c>
      <c r="F482" s="557">
        <f t="shared" si="124"/>
        <v>0</v>
      </c>
      <c r="G482" s="557">
        <f t="shared" si="124"/>
        <v>0</v>
      </c>
      <c r="H482" s="557">
        <f t="shared" si="124"/>
        <v>0</v>
      </c>
      <c r="I482" s="557">
        <f t="shared" si="124"/>
        <v>0</v>
      </c>
      <c r="J482" s="557">
        <f t="shared" si="124"/>
        <v>0</v>
      </c>
      <c r="K482" s="557">
        <f t="shared" si="124"/>
        <v>0</v>
      </c>
      <c r="L482" s="557">
        <f t="shared" si="124"/>
        <v>0</v>
      </c>
      <c r="M482" s="557">
        <f t="shared" si="124"/>
        <v>0</v>
      </c>
      <c r="N482" s="557">
        <f t="shared" si="124"/>
        <v>0</v>
      </c>
      <c r="O482" s="535" t="s">
        <v>2243</v>
      </c>
    </row>
    <row r="483" spans="1:32" s="142" customFormat="1" ht="18" hidden="1" customHeight="1" outlineLevel="1" x14ac:dyDescent="0.25">
      <c r="B483" s="138"/>
      <c r="C483" s="235"/>
      <c r="D483" s="728" t="s">
        <v>2244</v>
      </c>
      <c r="E483" s="562">
        <f>SUM(E471:E482)</f>
        <v>0.145602795573675</v>
      </c>
      <c r="F483" s="562">
        <f t="shared" ref="F483:N483" si="125">SUM(F471:F482)</f>
        <v>0.145602795573675</v>
      </c>
      <c r="G483" s="562">
        <f t="shared" si="125"/>
        <v>0.145602795573675</v>
      </c>
      <c r="H483" s="562">
        <f t="shared" si="125"/>
        <v>0.145602795573675</v>
      </c>
      <c r="I483" s="562">
        <f t="shared" si="125"/>
        <v>0.145602795573675</v>
      </c>
      <c r="J483" s="562">
        <f t="shared" si="125"/>
        <v>0.145602795573675</v>
      </c>
      <c r="K483" s="562">
        <f t="shared" si="125"/>
        <v>0.145602795573675</v>
      </c>
      <c r="L483" s="562">
        <f t="shared" si="125"/>
        <v>0.145602795573675</v>
      </c>
      <c r="M483" s="562">
        <f t="shared" si="125"/>
        <v>0.145602795573675</v>
      </c>
      <c r="N483" s="562">
        <f t="shared" si="125"/>
        <v>0.145602795573675</v>
      </c>
      <c r="O483" s="535" t="s">
        <v>2245</v>
      </c>
    </row>
    <row r="484" spans="1:32" s="203" customFormat="1" ht="13.5" hidden="1" outlineLevel="1" thickBot="1" x14ac:dyDescent="0.25">
      <c r="A484" s="142"/>
      <c r="B484" s="74"/>
      <c r="C484" s="325"/>
      <c r="D484" s="725"/>
      <c r="E484" s="568"/>
      <c r="F484" s="568"/>
      <c r="G484" s="568"/>
      <c r="H484" s="568"/>
      <c r="I484" s="568"/>
      <c r="J484" s="568"/>
      <c r="K484" s="568"/>
      <c r="L484" s="568"/>
      <c r="M484" s="568"/>
      <c r="N484" s="568"/>
      <c r="O484" s="569"/>
      <c r="P484" s="204"/>
    </row>
    <row r="485" spans="1:32" s="203" customFormat="1" hidden="1" outlineLevel="1" x14ac:dyDescent="0.2">
      <c r="B485" s="74"/>
      <c r="C485" s="211"/>
      <c r="D485" s="214"/>
      <c r="E485" s="210"/>
      <c r="F485" s="210"/>
      <c r="G485" s="210"/>
      <c r="H485" s="210"/>
      <c r="I485" s="210"/>
      <c r="J485" s="210"/>
      <c r="K485" s="210"/>
      <c r="L485" s="210"/>
      <c r="M485" s="210"/>
      <c r="N485" s="210"/>
      <c r="O485" s="204"/>
      <c r="P485" s="204"/>
    </row>
    <row r="486" spans="1:32" s="122" customFormat="1" ht="15.75" collapsed="1" x14ac:dyDescent="0.2">
      <c r="A486" s="1043">
        <v>4</v>
      </c>
      <c r="B486" s="1039"/>
      <c r="C486" s="1039"/>
      <c r="D486" s="1039"/>
      <c r="E486" s="1039"/>
      <c r="F486" s="1039"/>
      <c r="G486" s="1039"/>
      <c r="H486" s="1039"/>
      <c r="I486" s="1039"/>
      <c r="J486" s="1039"/>
      <c r="K486" s="1039"/>
      <c r="L486" s="1039"/>
      <c r="M486" s="1039"/>
      <c r="N486" s="1039"/>
      <c r="O486" s="1039"/>
      <c r="P486" s="206"/>
      <c r="Q486" s="206"/>
      <c r="R486" s="206"/>
      <c r="S486" s="206"/>
      <c r="T486" s="206"/>
      <c r="U486" s="206"/>
      <c r="V486" s="206"/>
      <c r="W486" s="206"/>
      <c r="X486" s="206"/>
      <c r="Y486" s="206"/>
      <c r="Z486" s="206"/>
      <c r="AA486" s="206"/>
      <c r="AB486" s="206"/>
      <c r="AC486" s="206"/>
      <c r="AD486" s="206"/>
      <c r="AE486" s="206"/>
      <c r="AF486" s="206"/>
    </row>
    <row r="487" spans="1:32" s="206" customFormat="1" ht="16.5" thickBot="1" x14ac:dyDescent="0.25">
      <c r="A487" s="1040"/>
      <c r="C487" s="1041"/>
      <c r="D487" s="1041"/>
      <c r="E487" s="210"/>
      <c r="F487" s="210"/>
      <c r="G487" s="210"/>
      <c r="H487" s="210"/>
      <c r="I487" s="210"/>
      <c r="J487" s="210"/>
      <c r="K487" s="210"/>
      <c r="L487" s="210"/>
      <c r="M487" s="210"/>
      <c r="N487" s="210"/>
      <c r="O487" s="205"/>
      <c r="P487" s="210"/>
    </row>
    <row r="488" spans="1:32" s="203" customFormat="1" ht="20.100000000000001" customHeight="1" x14ac:dyDescent="0.2">
      <c r="A488" s="1397" t="s">
        <v>4188</v>
      </c>
      <c r="C488" s="1413" t="s">
        <v>4187</v>
      </c>
      <c r="D488" s="1414"/>
      <c r="E488" s="210"/>
      <c r="F488" s="210"/>
      <c r="G488" s="210"/>
      <c r="H488" s="210"/>
      <c r="I488" s="210"/>
      <c r="J488" s="210"/>
      <c r="K488" s="210"/>
      <c r="L488" s="210"/>
      <c r="M488" s="210"/>
      <c r="N488" s="210"/>
      <c r="O488" s="205"/>
      <c r="P488" s="204"/>
    </row>
    <row r="489" spans="1:32" s="203" customFormat="1" ht="26.25" x14ac:dyDescent="0.2">
      <c r="A489" s="1398"/>
      <c r="B489" s="267"/>
      <c r="C489" s="267"/>
      <c r="D489" s="214"/>
      <c r="E489" s="210"/>
      <c r="F489" s="210"/>
      <c r="G489" s="210"/>
      <c r="H489" s="210"/>
      <c r="I489" s="210"/>
      <c r="J489" s="210"/>
      <c r="K489" s="210"/>
      <c r="L489" s="210"/>
      <c r="M489" s="210"/>
      <c r="N489" s="210"/>
      <c r="O489" s="205"/>
      <c r="P489" s="204"/>
    </row>
    <row r="490" spans="1:32" s="203" customFormat="1" ht="10.5" customHeight="1" x14ac:dyDescent="0.2">
      <c r="A490" s="1399"/>
      <c r="B490" s="267"/>
      <c r="C490" s="267"/>
      <c r="D490" s="214"/>
      <c r="E490" s="210"/>
      <c r="F490" s="210"/>
      <c r="G490" s="210"/>
      <c r="H490" s="210"/>
      <c r="I490" s="210"/>
      <c r="J490" s="210"/>
      <c r="K490" s="210"/>
      <c r="L490" s="210"/>
      <c r="M490" s="210"/>
      <c r="N490" s="210"/>
      <c r="O490" s="205"/>
      <c r="P490" s="204"/>
    </row>
    <row r="491" spans="1:32" s="203" customFormat="1" ht="15.75" customHeight="1" x14ac:dyDescent="0.2">
      <c r="A491" s="267"/>
      <c r="B491" s="267"/>
      <c r="C491" s="267"/>
      <c r="D491" s="214"/>
      <c r="E491" s="210"/>
      <c r="F491" s="210"/>
      <c r="G491" s="210"/>
      <c r="H491" s="210"/>
      <c r="I491" s="210"/>
      <c r="J491" s="210"/>
      <c r="K491" s="210"/>
      <c r="L491" s="210"/>
      <c r="M491" s="210"/>
      <c r="N491" s="210"/>
      <c r="O491" s="205"/>
      <c r="P491" s="204"/>
    </row>
    <row r="492" spans="1:32" s="203" customFormat="1" ht="15.75" hidden="1" customHeight="1" outlineLevel="1" thickBot="1" x14ac:dyDescent="0.25">
      <c r="A492" s="267"/>
      <c r="B492" s="267"/>
      <c r="C492" s="267"/>
      <c r="D492" s="214"/>
      <c r="E492" s="210"/>
      <c r="F492" s="210"/>
      <c r="G492" s="210"/>
      <c r="H492" s="210"/>
      <c r="I492" s="210"/>
      <c r="J492" s="210"/>
      <c r="K492" s="210"/>
      <c r="L492" s="210"/>
      <c r="M492" s="210"/>
      <c r="N492" s="210"/>
      <c r="O492" s="205"/>
      <c r="P492" s="204"/>
    </row>
    <row r="493" spans="1:32" s="203" customFormat="1" ht="20.25" hidden="1" customHeight="1" outlineLevel="1" x14ac:dyDescent="0.2">
      <c r="A493" s="1397" t="s">
        <v>4189</v>
      </c>
      <c r="B493" s="211"/>
      <c r="C493" s="1007" t="str">
        <f>Scenario1&amp;" Record Search - Lessee Labor Cost"</f>
        <v>pSystems (Paper) Record Search - Lessee Labor Cost</v>
      </c>
      <c r="D493" s="729"/>
      <c r="E493" s="322"/>
      <c r="F493" s="322"/>
      <c r="G493" s="322"/>
      <c r="H493" s="322"/>
      <c r="I493" s="322"/>
      <c r="J493" s="322"/>
      <c r="K493" s="322"/>
      <c r="L493" s="322"/>
      <c r="M493" s="322"/>
      <c r="N493" s="322"/>
      <c r="O493" s="579"/>
      <c r="P493" s="204"/>
    </row>
    <row r="494" spans="1:32" s="203" customFormat="1" hidden="1" outlineLevel="1" x14ac:dyDescent="0.2">
      <c r="A494" s="1398"/>
      <c r="B494" s="211"/>
      <c r="C494" s="331"/>
      <c r="D494" s="730" t="s">
        <v>219</v>
      </c>
      <c r="E494" s="570">
        <v>1000</v>
      </c>
      <c r="F494" s="570">
        <v>1000</v>
      </c>
      <c r="G494" s="570">
        <v>1000</v>
      </c>
      <c r="H494" s="570">
        <v>1000</v>
      </c>
      <c r="I494" s="570">
        <v>1000</v>
      </c>
      <c r="J494" s="570">
        <v>1000</v>
      </c>
      <c r="K494" s="570">
        <v>1000</v>
      </c>
      <c r="L494" s="570">
        <v>1000</v>
      </c>
      <c r="M494" s="570">
        <v>1000</v>
      </c>
      <c r="N494" s="570">
        <v>1000</v>
      </c>
      <c r="O494" s="324" t="s">
        <v>220</v>
      </c>
      <c r="P494" s="204"/>
    </row>
    <row r="495" spans="1:32" s="206" customFormat="1" ht="13.5" hidden="1" outlineLevel="1" thickBot="1" x14ac:dyDescent="0.25">
      <c r="A495" s="1399"/>
      <c r="B495" s="211"/>
      <c r="C495" s="564"/>
      <c r="D495" s="725"/>
      <c r="E495" s="568"/>
      <c r="F495" s="568"/>
      <c r="G495" s="568"/>
      <c r="H495" s="568"/>
      <c r="I495" s="568"/>
      <c r="J495" s="568"/>
      <c r="K495" s="568"/>
      <c r="L495" s="568"/>
      <c r="M495" s="568"/>
      <c r="N495" s="568"/>
      <c r="O495" s="580"/>
      <c r="P495" s="210"/>
    </row>
    <row r="496" spans="1:32" s="206" customFormat="1" ht="13.5" hidden="1" outlineLevel="1" thickBot="1" x14ac:dyDescent="0.25">
      <c r="A496" s="211"/>
      <c r="B496" s="211"/>
      <c r="C496" s="582"/>
      <c r="D496" s="214"/>
      <c r="E496" s="210"/>
      <c r="F496" s="210"/>
      <c r="G496" s="210"/>
      <c r="H496" s="210"/>
      <c r="I496" s="210"/>
      <c r="J496" s="210"/>
      <c r="K496" s="210"/>
      <c r="L496" s="210"/>
      <c r="M496" s="210"/>
      <c r="N496" s="210"/>
      <c r="O496" s="210"/>
      <c r="P496" s="210"/>
    </row>
    <row r="497" spans="1:33" s="8" customFormat="1" ht="20.25" hidden="1" outlineLevel="1" x14ac:dyDescent="0.25">
      <c r="A497" s="1397" t="s">
        <v>4193</v>
      </c>
      <c r="B497" s="194"/>
      <c r="C497" s="1007" t="str">
        <f>Scenario1&amp;" Lessee Labor Hours per Record Search"</f>
        <v>pSystems (Paper) Lessee Labor Hours per Record Search</v>
      </c>
      <c r="D497" s="310"/>
      <c r="E497" s="240"/>
      <c r="F497" s="240"/>
      <c r="G497" s="240"/>
      <c r="H497" s="240"/>
      <c r="I497" s="240"/>
      <c r="J497" s="240"/>
      <c r="K497" s="240"/>
      <c r="L497" s="240"/>
      <c r="M497" s="240"/>
      <c r="N497" s="240"/>
      <c r="O497" s="435"/>
      <c r="P497" s="17"/>
      <c r="Q497" s="17"/>
      <c r="R497" s="17"/>
      <c r="S497" s="17"/>
      <c r="T497" s="17"/>
      <c r="U497" s="17"/>
      <c r="V497" s="17"/>
      <c r="W497" s="17"/>
      <c r="X497" s="17"/>
      <c r="Y497" s="17"/>
      <c r="Z497" s="17"/>
      <c r="AA497" s="17"/>
      <c r="AB497" s="17"/>
      <c r="AC497" s="17"/>
      <c r="AD497" s="17"/>
      <c r="AE497" s="17"/>
      <c r="AF497" s="17"/>
      <c r="AG497" s="17"/>
    </row>
    <row r="498" spans="1:33" s="142" customFormat="1" ht="18" hidden="1" customHeight="1" outlineLevel="1" x14ac:dyDescent="0.2">
      <c r="A498" s="1398"/>
      <c r="B498" s="138"/>
      <c r="C498" s="235"/>
      <c r="D498" s="726" t="s">
        <v>2284</v>
      </c>
      <c r="E498" s="577">
        <v>0</v>
      </c>
      <c r="F498" s="577">
        <v>0</v>
      </c>
      <c r="G498" s="577">
        <v>0</v>
      </c>
      <c r="H498" s="577">
        <v>0</v>
      </c>
      <c r="I498" s="577">
        <v>0</v>
      </c>
      <c r="J498" s="577">
        <v>0</v>
      </c>
      <c r="K498" s="577">
        <v>0</v>
      </c>
      <c r="L498" s="577">
        <v>0</v>
      </c>
      <c r="M498" s="577">
        <v>0</v>
      </c>
      <c r="N498" s="577">
        <v>0</v>
      </c>
      <c r="O498" s="535" t="s">
        <v>2246</v>
      </c>
    </row>
    <row r="499" spans="1:33" s="142" customFormat="1" ht="18" hidden="1" customHeight="1" outlineLevel="1" x14ac:dyDescent="0.2">
      <c r="A499" s="1398"/>
      <c r="B499" s="138"/>
      <c r="C499" s="235"/>
      <c r="D499" s="726" t="s">
        <v>2285</v>
      </c>
      <c r="E499" s="577">
        <v>0</v>
      </c>
      <c r="F499" s="577">
        <v>0</v>
      </c>
      <c r="G499" s="577">
        <v>0</v>
      </c>
      <c r="H499" s="577">
        <v>0</v>
      </c>
      <c r="I499" s="577">
        <v>0</v>
      </c>
      <c r="J499" s="577">
        <v>0</v>
      </c>
      <c r="K499" s="577">
        <v>0</v>
      </c>
      <c r="L499" s="577">
        <v>0</v>
      </c>
      <c r="M499" s="577">
        <v>0</v>
      </c>
      <c r="N499" s="577">
        <v>0</v>
      </c>
      <c r="O499" s="535" t="s">
        <v>2247</v>
      </c>
    </row>
    <row r="500" spans="1:33" s="142" customFormat="1" ht="18" hidden="1" customHeight="1" outlineLevel="1" x14ac:dyDescent="0.2">
      <c r="A500" s="1398"/>
      <c r="B500" s="138"/>
      <c r="C500" s="235"/>
      <c r="D500" s="726" t="s">
        <v>2286</v>
      </c>
      <c r="E500" s="577">
        <v>0</v>
      </c>
      <c r="F500" s="577">
        <v>0</v>
      </c>
      <c r="G500" s="577">
        <v>0</v>
      </c>
      <c r="H500" s="577">
        <v>0</v>
      </c>
      <c r="I500" s="577">
        <v>0</v>
      </c>
      <c r="J500" s="577">
        <v>0</v>
      </c>
      <c r="K500" s="577">
        <v>0</v>
      </c>
      <c r="L500" s="577">
        <v>0</v>
      </c>
      <c r="M500" s="577">
        <v>0</v>
      </c>
      <c r="N500" s="577">
        <v>0</v>
      </c>
      <c r="O500" s="535" t="s">
        <v>2248</v>
      </c>
    </row>
    <row r="501" spans="1:33" s="142" customFormat="1" ht="18" hidden="1" customHeight="1" outlineLevel="1" x14ac:dyDescent="0.2">
      <c r="A501" s="1398"/>
      <c r="B501" s="138"/>
      <c r="C501" s="235"/>
      <c r="D501" s="726" t="s">
        <v>2287</v>
      </c>
      <c r="E501" s="577">
        <v>1</v>
      </c>
      <c r="F501" s="577">
        <v>1</v>
      </c>
      <c r="G501" s="577">
        <v>1</v>
      </c>
      <c r="H501" s="577">
        <v>1</v>
      </c>
      <c r="I501" s="577">
        <v>1</v>
      </c>
      <c r="J501" s="577">
        <v>1</v>
      </c>
      <c r="K501" s="577">
        <v>1</v>
      </c>
      <c r="L501" s="577">
        <v>1</v>
      </c>
      <c r="M501" s="577">
        <v>1</v>
      </c>
      <c r="N501" s="577">
        <v>1</v>
      </c>
      <c r="O501" s="535" t="s">
        <v>2249</v>
      </c>
    </row>
    <row r="502" spans="1:33" s="142" customFormat="1" ht="18" hidden="1" customHeight="1" outlineLevel="1" x14ac:dyDescent="0.2">
      <c r="A502" s="1398"/>
      <c r="B502" s="138"/>
      <c r="C502" s="235"/>
      <c r="D502" s="726" t="s">
        <v>2288</v>
      </c>
      <c r="E502" s="577">
        <v>1</v>
      </c>
      <c r="F502" s="577">
        <v>1</v>
      </c>
      <c r="G502" s="577">
        <v>1</v>
      </c>
      <c r="H502" s="577">
        <v>1</v>
      </c>
      <c r="I502" s="577">
        <v>1</v>
      </c>
      <c r="J502" s="577">
        <v>1</v>
      </c>
      <c r="K502" s="577">
        <v>1</v>
      </c>
      <c r="L502" s="577">
        <v>1</v>
      </c>
      <c r="M502" s="577">
        <v>1</v>
      </c>
      <c r="N502" s="577">
        <v>1</v>
      </c>
      <c r="O502" s="535" t="s">
        <v>2250</v>
      </c>
    </row>
    <row r="503" spans="1:33" s="142" customFormat="1" ht="18" hidden="1" customHeight="1" outlineLevel="1" x14ac:dyDescent="0.2">
      <c r="A503" s="1398"/>
      <c r="B503" s="138"/>
      <c r="C503" s="235"/>
      <c r="D503" s="726" t="s">
        <v>2289</v>
      </c>
      <c r="E503" s="577">
        <v>1</v>
      </c>
      <c r="F503" s="577">
        <v>1</v>
      </c>
      <c r="G503" s="577">
        <v>1</v>
      </c>
      <c r="H503" s="577">
        <v>1</v>
      </c>
      <c r="I503" s="577">
        <v>1</v>
      </c>
      <c r="J503" s="577">
        <v>1</v>
      </c>
      <c r="K503" s="577">
        <v>1</v>
      </c>
      <c r="L503" s="577">
        <v>1</v>
      </c>
      <c r="M503" s="577">
        <v>1</v>
      </c>
      <c r="N503" s="577">
        <v>1</v>
      </c>
      <c r="O503" s="535" t="s">
        <v>2251</v>
      </c>
    </row>
    <row r="504" spans="1:33" s="142" customFormat="1" ht="18" hidden="1" customHeight="1" outlineLevel="1" x14ac:dyDescent="0.2">
      <c r="A504" s="1398"/>
      <c r="B504" s="138"/>
      <c r="C504" s="235"/>
      <c r="D504" s="726" t="s">
        <v>2290</v>
      </c>
      <c r="E504" s="577">
        <v>1</v>
      </c>
      <c r="F504" s="577">
        <v>1</v>
      </c>
      <c r="G504" s="577">
        <v>1</v>
      </c>
      <c r="H504" s="577">
        <v>1</v>
      </c>
      <c r="I504" s="577">
        <v>1</v>
      </c>
      <c r="J504" s="577">
        <v>1</v>
      </c>
      <c r="K504" s="577">
        <v>1</v>
      </c>
      <c r="L504" s="577">
        <v>1</v>
      </c>
      <c r="M504" s="577">
        <v>1</v>
      </c>
      <c r="N504" s="577">
        <v>1</v>
      </c>
      <c r="O504" s="535" t="s">
        <v>2252</v>
      </c>
    </row>
    <row r="505" spans="1:33" s="142" customFormat="1" ht="18" hidden="1" customHeight="1" outlineLevel="1" x14ac:dyDescent="0.2">
      <c r="A505" s="1398"/>
      <c r="B505" s="138"/>
      <c r="C505" s="235"/>
      <c r="D505" s="726" t="s">
        <v>2291</v>
      </c>
      <c r="E505" s="577">
        <v>0</v>
      </c>
      <c r="F505" s="577">
        <v>0</v>
      </c>
      <c r="G505" s="577">
        <v>0</v>
      </c>
      <c r="H505" s="577">
        <v>0</v>
      </c>
      <c r="I505" s="577">
        <v>0</v>
      </c>
      <c r="J505" s="577">
        <v>0</v>
      </c>
      <c r="K505" s="577">
        <v>0</v>
      </c>
      <c r="L505" s="577">
        <v>0</v>
      </c>
      <c r="M505" s="577">
        <v>0</v>
      </c>
      <c r="N505" s="577">
        <v>0</v>
      </c>
      <c r="O505" s="535" t="s">
        <v>2253</v>
      </c>
    </row>
    <row r="506" spans="1:33" s="142" customFormat="1" ht="18" hidden="1" customHeight="1" outlineLevel="1" x14ac:dyDescent="0.2">
      <c r="A506" s="1398"/>
      <c r="B506" s="565"/>
      <c r="C506" s="235"/>
      <c r="D506" s="726" t="s">
        <v>2292</v>
      </c>
      <c r="E506" s="577">
        <v>0</v>
      </c>
      <c r="F506" s="577">
        <v>0</v>
      </c>
      <c r="G506" s="577">
        <v>0</v>
      </c>
      <c r="H506" s="577">
        <v>0</v>
      </c>
      <c r="I506" s="577">
        <v>0</v>
      </c>
      <c r="J506" s="577">
        <v>0</v>
      </c>
      <c r="K506" s="577">
        <v>0</v>
      </c>
      <c r="L506" s="577">
        <v>0</v>
      </c>
      <c r="M506" s="577">
        <v>0</v>
      </c>
      <c r="N506" s="577">
        <v>0</v>
      </c>
      <c r="O506" s="535" t="s">
        <v>2254</v>
      </c>
    </row>
    <row r="507" spans="1:33" s="142" customFormat="1" ht="18" hidden="1" customHeight="1" outlineLevel="1" x14ac:dyDescent="0.2">
      <c r="A507" s="1398"/>
      <c r="B507" s="565"/>
      <c r="C507" s="235"/>
      <c r="D507" s="726" t="s">
        <v>2293</v>
      </c>
      <c r="E507" s="577">
        <v>0</v>
      </c>
      <c r="F507" s="577">
        <v>0</v>
      </c>
      <c r="G507" s="577">
        <v>0</v>
      </c>
      <c r="H507" s="577">
        <v>0</v>
      </c>
      <c r="I507" s="577">
        <v>0</v>
      </c>
      <c r="J507" s="577">
        <v>0</v>
      </c>
      <c r="K507" s="577">
        <v>0</v>
      </c>
      <c r="L507" s="577">
        <v>0</v>
      </c>
      <c r="M507" s="577">
        <v>0</v>
      </c>
      <c r="N507" s="577">
        <v>0</v>
      </c>
      <c r="O507" s="535" t="s">
        <v>2255</v>
      </c>
    </row>
    <row r="508" spans="1:33" s="142" customFormat="1" ht="18" hidden="1" customHeight="1" outlineLevel="1" x14ac:dyDescent="0.2">
      <c r="A508" s="1398"/>
      <c r="B508" s="138"/>
      <c r="C508" s="235"/>
      <c r="D508" s="726" t="s">
        <v>2294</v>
      </c>
      <c r="E508" s="577">
        <v>0</v>
      </c>
      <c r="F508" s="577">
        <v>0</v>
      </c>
      <c r="G508" s="577">
        <v>0</v>
      </c>
      <c r="H508" s="577">
        <v>0</v>
      </c>
      <c r="I508" s="577">
        <v>0</v>
      </c>
      <c r="J508" s="577">
        <v>0</v>
      </c>
      <c r="K508" s="577">
        <v>0</v>
      </c>
      <c r="L508" s="577">
        <v>0</v>
      </c>
      <c r="M508" s="577">
        <v>0</v>
      </c>
      <c r="N508" s="577">
        <v>0</v>
      </c>
      <c r="O508" s="535" t="s">
        <v>2256</v>
      </c>
    </row>
    <row r="509" spans="1:33" s="142" customFormat="1" ht="18" hidden="1" customHeight="1" outlineLevel="1" x14ac:dyDescent="0.2">
      <c r="A509" s="1398"/>
      <c r="B509" s="138"/>
      <c r="C509" s="235"/>
      <c r="D509" s="726" t="s">
        <v>2295</v>
      </c>
      <c r="E509" s="577">
        <v>0</v>
      </c>
      <c r="F509" s="577">
        <v>0</v>
      </c>
      <c r="G509" s="577">
        <v>0</v>
      </c>
      <c r="H509" s="577">
        <v>0</v>
      </c>
      <c r="I509" s="577">
        <v>0</v>
      </c>
      <c r="J509" s="577">
        <v>0</v>
      </c>
      <c r="K509" s="577">
        <v>0</v>
      </c>
      <c r="L509" s="577">
        <v>0</v>
      </c>
      <c r="M509" s="577">
        <v>0</v>
      </c>
      <c r="N509" s="577">
        <v>0</v>
      </c>
      <c r="O509" s="535" t="s">
        <v>2257</v>
      </c>
    </row>
    <row r="510" spans="1:33" s="206" customFormat="1" ht="15.75" hidden="1" outlineLevel="1" thickBot="1" x14ac:dyDescent="0.3">
      <c r="A510" s="1399"/>
      <c r="B510" s="563"/>
      <c r="C510" s="564"/>
      <c r="D510" s="724"/>
      <c r="E510" s="571"/>
      <c r="F510" s="571"/>
      <c r="G510" s="571"/>
      <c r="H510" s="571"/>
      <c r="I510" s="571"/>
      <c r="J510" s="571"/>
      <c r="K510" s="571"/>
      <c r="L510" s="571"/>
      <c r="M510" s="571"/>
      <c r="N510" s="571"/>
      <c r="O510" s="572"/>
      <c r="P510" s="210"/>
    </row>
    <row r="511" spans="1:33" s="206" customFormat="1" ht="15.75" hidden="1" outlineLevel="1" thickBot="1" x14ac:dyDescent="0.3">
      <c r="A511" s="563"/>
      <c r="B511" s="563"/>
      <c r="C511" s="322"/>
      <c r="D511" s="732"/>
      <c r="E511" s="581"/>
      <c r="F511" s="581"/>
      <c r="G511" s="581"/>
      <c r="H511" s="581"/>
      <c r="I511" s="581"/>
      <c r="J511" s="581"/>
      <c r="K511" s="581"/>
      <c r="L511" s="581"/>
      <c r="M511" s="581"/>
      <c r="N511" s="581"/>
      <c r="O511" s="558"/>
      <c r="P511" s="210"/>
    </row>
    <row r="512" spans="1:33" s="8" customFormat="1" ht="20.25" hidden="1" outlineLevel="1" x14ac:dyDescent="0.2">
      <c r="A512" s="1397" t="s">
        <v>4191</v>
      </c>
      <c r="B512" s="102"/>
      <c r="C512" s="1008" t="str">
        <f>Scenario1&amp;" Record Search Cost pa (based on Touch Hour Rate)"</f>
        <v>pSystems (Paper) Record Search Cost pa (based on Touch Hour Rate)</v>
      </c>
      <c r="D512" s="310"/>
      <c r="E512" s="316"/>
      <c r="F512" s="316"/>
      <c r="G512" s="316"/>
      <c r="H512" s="316"/>
      <c r="I512" s="316"/>
      <c r="J512" s="316"/>
      <c r="K512" s="316"/>
      <c r="L512" s="316"/>
      <c r="M512" s="316"/>
      <c r="N512" s="316"/>
      <c r="O512" s="583"/>
      <c r="P512" s="17"/>
      <c r="Q512" s="17"/>
      <c r="R512" s="17"/>
      <c r="S512" s="17"/>
      <c r="T512" s="17"/>
      <c r="U512" s="17"/>
      <c r="V512" s="17"/>
      <c r="W512" s="17"/>
      <c r="X512" s="17"/>
      <c r="Y512" s="17"/>
      <c r="Z512" s="17"/>
      <c r="AA512" s="17"/>
      <c r="AB512" s="17"/>
      <c r="AC512" s="17"/>
      <c r="AD512" s="17"/>
      <c r="AE512" s="17"/>
      <c r="AF512" s="17"/>
      <c r="AG512" s="17"/>
    </row>
    <row r="513" spans="1:33" s="142" customFormat="1" ht="18" hidden="1" customHeight="1" outlineLevel="1" x14ac:dyDescent="0.2">
      <c r="A513" s="1398"/>
      <c r="B513" s="138"/>
      <c r="C513" s="235"/>
      <c r="D513" s="726" t="s">
        <v>2296</v>
      </c>
      <c r="E513" s="555">
        <f>(pSystemsTouchRateHourHM*pSystemsLeaseRecordSearchLaborHrsHM*pSystemsLeaseRecordsSearchForecast)</f>
        <v>0</v>
      </c>
      <c r="F513" s="555">
        <f>(pSystemsTouchRateHourHM*pSystemsLeaseRecordSearchLaborHrsHM*pSystemsLeaseRecordsSearchForecast)*(1+Inflation)</f>
        <v>0</v>
      </c>
      <c r="G513" s="555">
        <f>(pSystemsTouchRateHourHM*pSystemsLeaseRecordSearchLaborHrsHM*pSystemsLeaseRecordsSearchForecast)*(1+Inflation)^2</f>
        <v>0</v>
      </c>
      <c r="H513" s="555">
        <f>(pSystemsTouchRateHourHM*pSystemsLeaseRecordSearchLaborHrsHM*pSystemsLeaseRecordsSearchForecast)*(1+Inflation)^3</f>
        <v>0</v>
      </c>
      <c r="I513" s="555">
        <f>(pSystemsTouchRateHourHM*pSystemsLeaseRecordSearchLaborHrsHM*pSystemsLeaseRecordsSearchForecast)*(1+Inflation)^4</f>
        <v>0</v>
      </c>
      <c r="J513" s="555">
        <f>(pSystemsTouchRateHourHM*pSystemsLeaseRecordSearchLaborHrsHM*pSystemsLeaseRecordsSearchForecast)*(1+Inflation)^5</f>
        <v>0</v>
      </c>
      <c r="K513" s="555">
        <f>(pSystemsTouchRateHourHM*pSystemsLeaseRecordSearchLaborHrsHM*pSystemsLeaseRecordsSearchForecast)*(1+Inflation)^6</f>
        <v>0</v>
      </c>
      <c r="L513" s="555">
        <f>(pSystemsTouchRateHourHM*pSystemsLeaseRecordSearchLaborHrsHM*pSystemsLeaseRecordsSearchForecast)*(1+Inflation)^7</f>
        <v>0</v>
      </c>
      <c r="M513" s="555">
        <f>(pSystemsTouchRateHourHM*pSystemsLeaseRecordSearchLaborHrsHM*pSystemsLeaseRecordsSearchForecast)*(1+Inflation)^8</f>
        <v>0</v>
      </c>
      <c r="N513" s="555">
        <f>(pSystemsTouchRateHourHM*pSystemsLeaseRecordSearchLaborHrsHM*pSystemsLeaseRecordsSearchForecast)*(1+Inflation)^9</f>
        <v>0</v>
      </c>
      <c r="O513" s="535" t="s">
        <v>2258</v>
      </c>
    </row>
    <row r="514" spans="1:33" s="142" customFormat="1" ht="18" hidden="1" customHeight="1" outlineLevel="1" x14ac:dyDescent="0.2">
      <c r="A514" s="1398"/>
      <c r="B514" s="128"/>
      <c r="C514" s="235"/>
      <c r="D514" s="726" t="s">
        <v>2297</v>
      </c>
      <c r="E514" s="555">
        <f>(pSystemsTouchRateHourLM*pSystemsLeaseRecordSearchLaborHrsLM*pSystemsLeaseRecordsSearchForecast)</f>
        <v>0</v>
      </c>
      <c r="F514" s="555">
        <f>(pSystemsTouchRateHourLM*pSystemsLeaseRecordSearchLaborHrsLM*pSystemsLeaseRecordsSearchForecast)*(1+Inflation)</f>
        <v>0</v>
      </c>
      <c r="G514" s="555">
        <f>(pSystemsTouchRateHourLM*pSystemsLeaseRecordSearchLaborHrsLM*pSystemsLeaseRecordsSearchForecast)*(1+Inflation)^2</f>
        <v>0</v>
      </c>
      <c r="H514" s="555">
        <f>(pSystemsTouchRateHourLM*pSystemsLeaseRecordSearchLaborHrsLM*pSystemsLeaseRecordsSearchForecast)*(1+Inflation)^3</f>
        <v>0</v>
      </c>
      <c r="I514" s="555">
        <f>(pSystemsTouchRateHourLM*pSystemsLeaseRecordSearchLaborHrsLM*pSystemsLeaseRecordsSearchForecast)*(1+Inflation)^4</f>
        <v>0</v>
      </c>
      <c r="J514" s="555">
        <f>(pSystemsTouchRateHourLM*pSystemsLeaseRecordSearchLaborHrsLM*pSystemsLeaseRecordsSearchForecast)*(1+Inflation)^5</f>
        <v>0</v>
      </c>
      <c r="K514" s="555">
        <f>(pSystemsTouchRateHourLM*pSystemsLeaseRecordSearchLaborHrsLM*pSystemsLeaseRecordsSearchForecast)*(1+Inflation)^6</f>
        <v>0</v>
      </c>
      <c r="L514" s="555">
        <f>(pSystemsTouchRateHourLM*pSystemsLeaseRecordSearchLaborHrsLM*pSystemsLeaseRecordsSearchForecast)*(1+Inflation)^7</f>
        <v>0</v>
      </c>
      <c r="M514" s="555">
        <f>(pSystemsTouchRateHourLM*pSystemsLeaseRecordSearchLaborHrsLM*pSystemsLeaseRecordsSearchForecast)*(1+Inflation)^8</f>
        <v>0</v>
      </c>
      <c r="N514" s="555">
        <f>(pSystemsTouchRateHourLM*pSystemsLeaseRecordSearchLaborHrsLM*pSystemsLeaseRecordsSearchForecast)*(1+Inflation)^9</f>
        <v>0</v>
      </c>
      <c r="O514" s="535" t="s">
        <v>2259</v>
      </c>
    </row>
    <row r="515" spans="1:33" s="142" customFormat="1" ht="18" hidden="1" customHeight="1" outlineLevel="1" x14ac:dyDescent="0.2">
      <c r="A515" s="1398"/>
      <c r="B515" s="128"/>
      <c r="C515" s="235"/>
      <c r="D515" s="727" t="s">
        <v>2298</v>
      </c>
      <c r="E515" s="555">
        <f>(pSystemsTouchRateHourENG*pSystemsLeaseRecordSearchLaborHrsENG*pSystemsLeaseRecordsSearchForecast)</f>
        <v>0</v>
      </c>
      <c r="F515" s="555">
        <f>(pSystemsTouchRateHourENG*pSystemsLeaseRecordSearchLaborHrsENG*pSystemsLeaseRecordsSearchForecast)*(1+Inflation)</f>
        <v>0</v>
      </c>
      <c r="G515" s="555">
        <f>(pSystemsTouchRateHourENG*pSystemsLeaseRecordSearchLaborHrsENG*pSystemsLeaseRecordsSearchForecast)*(1+Inflation)^2</f>
        <v>0</v>
      </c>
      <c r="H515" s="555">
        <f>(pSystemsTouchRateHourENG*pSystemsLeaseRecordSearchLaborHrsENG*pSystemsLeaseRecordsSearchForecast)*(1+Inflation)^3</f>
        <v>0</v>
      </c>
      <c r="I515" s="555">
        <f>(pSystemsTouchRateHourENG*pSystemsLeaseRecordSearchLaborHrsENG*pSystemsLeaseRecordsSearchForecast)*(1+Inflation)^4</f>
        <v>0</v>
      </c>
      <c r="J515" s="555">
        <f>(pSystemsTouchRateHourENG*pSystemsLeaseRecordSearchLaborHrsENG*pSystemsLeaseRecordsSearchForecast)*(1+Inflation)^5</f>
        <v>0</v>
      </c>
      <c r="K515" s="555">
        <f>(pSystemsTouchRateHourENG*pSystemsLeaseRecordSearchLaborHrsENG*pSystemsLeaseRecordsSearchForecast)*(1+Inflation)^6</f>
        <v>0</v>
      </c>
      <c r="L515" s="555">
        <f>(pSystemsTouchRateHourENG*pSystemsLeaseRecordSearchLaborHrsENG*pSystemsLeaseRecordsSearchForecast)*(1+Inflation)^7</f>
        <v>0</v>
      </c>
      <c r="M515" s="555">
        <f>(pSystemsTouchRateHourENG*pSystemsLeaseRecordSearchLaborHrsENG*pSystemsLeaseRecordsSearchForecast)*(1+Inflation)^8</f>
        <v>0</v>
      </c>
      <c r="N515" s="555">
        <f>(pSystemsTouchRateHourENG*pSystemsLeaseRecordSearchLaborHrsENG*pSystemsLeaseRecordsSearchForecast)*(1+Inflation)^9</f>
        <v>0</v>
      </c>
      <c r="O515" s="535" t="s">
        <v>2260</v>
      </c>
    </row>
    <row r="516" spans="1:33" s="142" customFormat="1" ht="18" hidden="1" customHeight="1" outlineLevel="1" x14ac:dyDescent="0.2">
      <c r="A516" s="1398"/>
      <c r="B516" s="138"/>
      <c r="C516" s="235"/>
      <c r="D516" s="726" t="s">
        <v>2299</v>
      </c>
      <c r="E516" s="555">
        <f>(pSystemsTouchRateHourPLG*pSystemsLeaseRecordSearchLaborHrsPLG*pSystemsLeaseRecordsSearchForecast)</f>
        <v>114995.87458745875</v>
      </c>
      <c r="F516" s="555">
        <f>(pSystemsTouchRateHourPLG*pSystemsLeaseRecordSearchLaborHrsPLG*pSystemsLeaseRecordsSearchForecast)*(1+Inflation)</f>
        <v>117295.79207920792</v>
      </c>
      <c r="G516" s="555">
        <f>(pSystemsTouchRateHourPLG*pSystemsLeaseRecordSearchLaborHrsPLG*pSystemsLeaseRecordsSearchForecast)*(1+Inflation)^2</f>
        <v>119641.70792079208</v>
      </c>
      <c r="H516" s="555">
        <f>(pSystemsTouchRateHourPLG*pSystemsLeaseRecordSearchLaborHrsPLG*pSystemsLeaseRecordsSearchForecast)*(1+Inflation)^3</f>
        <v>122034.54207920791</v>
      </c>
      <c r="I516" s="555">
        <f>(pSystemsTouchRateHourPLG*pSystemsLeaseRecordSearchLaborHrsPLG*pSystemsLeaseRecordsSearchForecast)*(1+Inflation)^4</f>
        <v>124475.23292079208</v>
      </c>
      <c r="J516" s="555">
        <f>(pSystemsTouchRateHourPLG*pSystemsLeaseRecordSearchLaborHrsPLG*pSystemsLeaseRecordsSearchForecast)*(1+Inflation)^5</f>
        <v>126964.73757920793</v>
      </c>
      <c r="K516" s="555">
        <f>(pSystemsTouchRateHourPLG*pSystemsLeaseRecordSearchLaborHrsPLG*pSystemsLeaseRecordsSearchForecast)*(1+Inflation)^6</f>
        <v>129504.03233079209</v>
      </c>
      <c r="L516" s="555">
        <f>(pSystemsTouchRateHourPLG*pSystemsLeaseRecordSearchLaborHrsPLG*pSystemsLeaseRecordsSearchForecast)*(1+Inflation)^7</f>
        <v>132094.1129774079</v>
      </c>
      <c r="M516" s="555">
        <f>(pSystemsTouchRateHourPLG*pSystemsLeaseRecordSearchLaborHrsPLG*pSystemsLeaseRecordsSearchForecast)*(1+Inflation)^8</f>
        <v>134735.99523695608</v>
      </c>
      <c r="N516" s="555">
        <f>(pSystemsTouchRateHourPLG*pSystemsLeaseRecordSearchLaborHrsPLG*pSystemsLeaseRecordsSearchForecast)*(1+Inflation)^9</f>
        <v>137430.7151416952</v>
      </c>
      <c r="O516" s="535" t="s">
        <v>2261</v>
      </c>
    </row>
    <row r="517" spans="1:33" s="142" customFormat="1" ht="18" hidden="1" customHeight="1" outlineLevel="1" x14ac:dyDescent="0.2">
      <c r="A517" s="1398"/>
      <c r="B517" s="138"/>
      <c r="C517" s="235"/>
      <c r="D517" s="726" t="s">
        <v>2300</v>
      </c>
      <c r="E517" s="555">
        <f>(pSystemsTouchRateHourCRT*pSystemsLeaseRecordSearchLaborHrsCRT*pSystemsLeaseRecordsSearchForecast)</f>
        <v>67644.632110269857</v>
      </c>
      <c r="F517" s="555">
        <f>(pSystemsTouchRateHourCRT*pSystemsLeaseRecordSearchLaborHrsCRT*pSystemsLeaseRecordsSearchForecast)*(1+Inflation)</f>
        <v>68997.524752475249</v>
      </c>
      <c r="G517" s="555">
        <f>(pSystemsTouchRateHourCRT*pSystemsLeaseRecordSearchLaborHrsCRT*pSystemsLeaseRecordsSearchForecast)*(1+Inflation)^2</f>
        <v>70377.475247524751</v>
      </c>
      <c r="H517" s="555">
        <f>(pSystemsTouchRateHourCRT*pSystemsLeaseRecordSearchLaborHrsCRT*pSystemsLeaseRecordsSearchForecast)*(1+Inflation)^3</f>
        <v>71785.024752475249</v>
      </c>
      <c r="I517" s="555">
        <f>(pSystemsTouchRateHourCRT*pSystemsLeaseRecordSearchLaborHrsCRT*pSystemsLeaseRecordsSearchForecast)*(1+Inflation)^4</f>
        <v>73220.725247524751</v>
      </c>
      <c r="J517" s="555">
        <f>(pSystemsTouchRateHourCRT*pSystemsLeaseRecordSearchLaborHrsCRT*pSystemsLeaseRecordsSearchForecast)*(1+Inflation)^5</f>
        <v>74685.139752475254</v>
      </c>
      <c r="K517" s="555">
        <f>(pSystemsTouchRateHourCRT*pSystemsLeaseRecordSearchLaborHrsCRT*pSystemsLeaseRecordsSearchForecast)*(1+Inflation)^6</f>
        <v>76178.842547524764</v>
      </c>
      <c r="L517" s="555">
        <f>(pSystemsTouchRateHourCRT*pSystemsLeaseRecordSearchLaborHrsCRT*pSystemsLeaseRecordsSearchForecast)*(1+Inflation)^7</f>
        <v>77702.419398475249</v>
      </c>
      <c r="M517" s="555">
        <f>(pSystemsTouchRateHourCRT*pSystemsLeaseRecordSearchLaborHrsCRT*pSystemsLeaseRecordsSearchForecast)*(1+Inflation)^8</f>
        <v>79256.467786444759</v>
      </c>
      <c r="N517" s="555">
        <f>(pSystemsTouchRateHourCRT*pSystemsLeaseRecordSearchLaborHrsCRT*pSystemsLeaseRecordsSearchForecast)*(1+Inflation)^9</f>
        <v>80841.597142173647</v>
      </c>
      <c r="O517" s="535" t="s">
        <v>2262</v>
      </c>
    </row>
    <row r="518" spans="1:33" s="142" customFormat="1" ht="18" hidden="1" customHeight="1" outlineLevel="1" x14ac:dyDescent="0.2">
      <c r="A518" s="1398"/>
      <c r="B518" s="128"/>
      <c r="C518" s="235"/>
      <c r="D518" s="726" t="s">
        <v>2301</v>
      </c>
      <c r="E518" s="555">
        <f>(pSystemsTouchRateHourSCL*pSystemsLeaseRecordSearchLaborHrsSCL*pSystemsLeaseRecordsSearchForecast)</f>
        <v>81173.558532323819</v>
      </c>
      <c r="F518" s="555">
        <f>(pSystemsTouchRateHourSCL*pSystemsLeaseRecordSearchLaborHrsSCL*pSystemsLeaseRecordsSearchForecast)*(1+Inflation)</f>
        <v>82797.029702970292</v>
      </c>
      <c r="G518" s="555">
        <f>(pSystemsTouchRateHourSCL*pSystemsLeaseRecordSearchLaborHrsSCL*pSystemsLeaseRecordsSearchForecast)*(1+Inflation)^2</f>
        <v>84452.970297029708</v>
      </c>
      <c r="H518" s="555">
        <f>(pSystemsTouchRateHourSCL*pSystemsLeaseRecordSearchLaborHrsSCL*pSystemsLeaseRecordsSearchForecast)*(1+Inflation)^3</f>
        <v>86142.029702970292</v>
      </c>
      <c r="I518" s="555">
        <f>(pSystemsTouchRateHourSCL*pSystemsLeaseRecordSearchLaborHrsSCL*pSystemsLeaseRecordsSearchForecast)*(1+Inflation)^4</f>
        <v>87864.870297029702</v>
      </c>
      <c r="J518" s="555">
        <f>(pSystemsTouchRateHourSCL*pSystemsLeaseRecordSearchLaborHrsSCL*pSystemsLeaseRecordsSearchForecast)*(1+Inflation)^5</f>
        <v>89622.167702970299</v>
      </c>
      <c r="K518" s="555">
        <f>(pSystemsTouchRateHourSCL*pSystemsLeaseRecordSearchLaborHrsSCL*pSystemsLeaseRecordsSearchForecast)*(1+Inflation)^6</f>
        <v>91414.611057029702</v>
      </c>
      <c r="L518" s="555">
        <f>(pSystemsTouchRateHourSCL*pSystemsLeaseRecordSearchLaborHrsSCL*pSystemsLeaseRecordsSearchForecast)*(1+Inflation)^7</f>
        <v>93242.903278170284</v>
      </c>
      <c r="M518" s="555">
        <f>(pSystemsTouchRateHourSCL*pSystemsLeaseRecordSearchLaborHrsSCL*pSystemsLeaseRecordsSearchForecast)*(1+Inflation)^8</f>
        <v>95107.761343733699</v>
      </c>
      <c r="N518" s="555">
        <f>(pSystemsTouchRateHourSCL*pSystemsLeaseRecordSearchLaborHrsSCL*pSystemsLeaseRecordsSearchForecast)*(1+Inflation)^9</f>
        <v>97009.916570608373</v>
      </c>
      <c r="O518" s="535" t="s">
        <v>2263</v>
      </c>
    </row>
    <row r="519" spans="1:33" s="142" customFormat="1" ht="18" hidden="1" customHeight="1" outlineLevel="1" x14ac:dyDescent="0.2">
      <c r="A519" s="1398"/>
      <c r="B519" s="138"/>
      <c r="C519" s="235"/>
      <c r="D519" s="726" t="s">
        <v>2302</v>
      </c>
      <c r="E519" s="555">
        <f>(pSystemsTouchRateHourQSC*pSystemsLeaseRecordSearchLaborHrsQSC*pSystemsLeaseRecordsSearchForecast)</f>
        <v>101466.94816540477</v>
      </c>
      <c r="F519" s="555">
        <f>(pSystemsTouchRateHourQSC*pSystemsLeaseRecordSearchLaborHrsQSC*pSystemsLeaseRecordsSearchForecast)*(1+Inflation)</f>
        <v>103496.28712871287</v>
      </c>
      <c r="G519" s="555">
        <f>(pSystemsTouchRateHourQSC*pSystemsLeaseRecordSearchLaborHrsQSC*pSystemsLeaseRecordsSearchForecast)*(1+Inflation)^2</f>
        <v>105566.21287128712</v>
      </c>
      <c r="H519" s="555">
        <f>(pSystemsTouchRateHourQSC*pSystemsLeaseRecordSearchLaborHrsQSC*pSystemsLeaseRecordsSearchForecast)*(1+Inflation)^3</f>
        <v>107677.53712871287</v>
      </c>
      <c r="I519" s="555">
        <f>(pSystemsTouchRateHourQSC*pSystemsLeaseRecordSearchLaborHrsQSC*pSystemsLeaseRecordsSearchForecast)*(1+Inflation)^4</f>
        <v>109831.08787128712</v>
      </c>
      <c r="J519" s="555">
        <f>(pSystemsTouchRateHourQSC*pSystemsLeaseRecordSearchLaborHrsQSC*pSystemsLeaseRecordsSearchForecast)*(1+Inflation)^5</f>
        <v>112027.70962871287</v>
      </c>
      <c r="K519" s="555">
        <f>(pSystemsTouchRateHourQSC*pSystemsLeaseRecordSearchLaborHrsQSC*pSystemsLeaseRecordsSearchForecast)*(1+Inflation)^6</f>
        <v>114268.26382128712</v>
      </c>
      <c r="L519" s="555">
        <f>(pSystemsTouchRateHourQSC*pSystemsLeaseRecordSearchLaborHrsQSC*pSystemsLeaseRecordsSearchForecast)*(1+Inflation)^7</f>
        <v>116553.62909771285</v>
      </c>
      <c r="M519" s="555">
        <f>(pSystemsTouchRateHourQSC*pSystemsLeaseRecordSearchLaborHrsQSC*pSystemsLeaseRecordsSearchForecast)*(1+Inflation)^8</f>
        <v>118884.70167966711</v>
      </c>
      <c r="N519" s="555">
        <f>(pSystemsTouchRateHourQSC*pSystemsLeaseRecordSearchLaborHrsQSC*pSystemsLeaseRecordsSearchForecast)*(1+Inflation)^9</f>
        <v>121262.39571326046</v>
      </c>
      <c r="O519" s="535" t="s">
        <v>2264</v>
      </c>
    </row>
    <row r="520" spans="1:33" s="142" customFormat="1" ht="18" hidden="1" customHeight="1" outlineLevel="1" x14ac:dyDescent="0.2">
      <c r="A520" s="1398"/>
      <c r="B520" s="138"/>
      <c r="C520" s="235"/>
      <c r="D520" s="726" t="s">
        <v>2303</v>
      </c>
      <c r="E520" s="555">
        <f>(pSystemsTouchRateHourEM*pSystemsLeaseRecordSearchLaborHrsEM*pSystemsLeaseRecordsSearchForecast)</f>
        <v>0</v>
      </c>
      <c r="F520" s="555">
        <f>(pSystemsTouchRateHourEM*pSystemsLeaseRecordSearchLaborHrsEM*pSystemsLeaseRecordsSearchForecast)*(1+Inflation)</f>
        <v>0</v>
      </c>
      <c r="G520" s="555">
        <f>(pSystemsTouchRateHourEM*pSystemsLeaseRecordSearchLaborHrsEM*pSystemsLeaseRecordsSearchForecast)*(1+Inflation)^2</f>
        <v>0</v>
      </c>
      <c r="H520" s="555">
        <f>(pSystemsTouchRateHourEM*pSystemsLeaseRecordSearchLaborHrsEM*pSystemsLeaseRecordsSearchForecast)*(1+Inflation)^3</f>
        <v>0</v>
      </c>
      <c r="I520" s="555">
        <f>(pSystemsTouchRateHourEM*pSystemsLeaseRecordSearchLaborHrsEM*pSystemsLeaseRecordsSearchForecast)*(1+Inflation)^4</f>
        <v>0</v>
      </c>
      <c r="J520" s="555">
        <f>(pSystemsTouchRateHourEM*pSystemsLeaseRecordSearchLaborHrsEM*pSystemsLeaseRecordsSearchForecast)*(1+Inflation)^5</f>
        <v>0</v>
      </c>
      <c r="K520" s="555">
        <f>(pSystemsTouchRateHourEM*pSystemsLeaseRecordSearchLaborHrsEM*pSystemsLeaseRecordsSearchForecast)*(1+Inflation)^6</f>
        <v>0</v>
      </c>
      <c r="L520" s="555">
        <f>(pSystemsTouchRateHourEM*pSystemsLeaseRecordSearchLaborHrsEM*pSystemsLeaseRecordsSearchForecast)*(1+Inflation)^7</f>
        <v>0</v>
      </c>
      <c r="M520" s="555">
        <f>(pSystemsTouchRateHourEM*pSystemsLeaseRecordSearchLaborHrsEM*pSystemsLeaseRecordsSearchForecast)*(1+Inflation)^8</f>
        <v>0</v>
      </c>
      <c r="N520" s="555">
        <f>(pSystemsTouchRateHourEM*pSystemsLeaseRecordSearchLaborHrsEM*pSystemsLeaseRecordsSearchForecast)*(1+Inflation)^9</f>
        <v>0</v>
      </c>
      <c r="O520" s="535" t="s">
        <v>2265</v>
      </c>
    </row>
    <row r="521" spans="1:33" s="142" customFormat="1" ht="18" hidden="1" customHeight="1" outlineLevel="1" x14ac:dyDescent="0.2">
      <c r="A521" s="1398"/>
      <c r="B521" s="138"/>
      <c r="C521" s="235"/>
      <c r="D521" s="726" t="s">
        <v>2304</v>
      </c>
      <c r="E521" s="555">
        <f>(pSystemsTouchRateHourCM*pSystemsLeaseRecordSearchLaborHrsCM*pSystemsLeaseRecordsSearchForecast)</f>
        <v>0</v>
      </c>
      <c r="F521" s="555">
        <f>(pSystemsTouchRateHourCM*pSystemsLeaseRecordSearchLaborHrsCM*pSystemsLeaseRecordsSearchForecast)*(1+Inflation)</f>
        <v>0</v>
      </c>
      <c r="G521" s="555">
        <f>(pSystemsTouchRateHourCM*pSystemsLeaseRecordSearchLaborHrsCM*pSystemsLeaseRecordsSearchForecast)*(1+Inflation)^2</f>
        <v>0</v>
      </c>
      <c r="H521" s="555">
        <f>(pSystemsTouchRateHourCM*pSystemsLeaseRecordSearchLaborHrsCM*pSystemsLeaseRecordsSearchForecast)*(1+Inflation)^3</f>
        <v>0</v>
      </c>
      <c r="I521" s="555">
        <f>(pSystemsTouchRateHourCM*pSystemsLeaseRecordSearchLaborHrsCM*pSystemsLeaseRecordsSearchForecast)*(1+Inflation)^4</f>
        <v>0</v>
      </c>
      <c r="J521" s="555">
        <f>(pSystemsTouchRateHourCM*pSystemsLeaseRecordSearchLaborHrsCM*pSystemsLeaseRecordsSearchForecast)*(1+Inflation)^5</f>
        <v>0</v>
      </c>
      <c r="K521" s="555">
        <f>(pSystemsTouchRateHourCM*pSystemsLeaseRecordSearchLaborHrsCM*pSystemsLeaseRecordsSearchForecast)*(1+Inflation)^6</f>
        <v>0</v>
      </c>
      <c r="L521" s="555">
        <f>(pSystemsTouchRateHourCM*pSystemsLeaseRecordSearchLaborHrsCM*pSystemsLeaseRecordsSearchForecast)*(1+Inflation)^7</f>
        <v>0</v>
      </c>
      <c r="M521" s="555">
        <f>(pSystemsTouchRateHourCM*pSystemsLeaseRecordSearchLaborHrsCM*pSystemsLeaseRecordsSearchForecast)*(1+Inflation)^8</f>
        <v>0</v>
      </c>
      <c r="N521" s="555">
        <f>(pSystemsTouchRateHourCM*pSystemsLeaseRecordSearchLaborHrsCM*pSystemsLeaseRecordsSearchForecast)*(1+Inflation)^9</f>
        <v>0</v>
      </c>
      <c r="O521" s="535" t="s">
        <v>2266</v>
      </c>
    </row>
    <row r="522" spans="1:33" s="142" customFormat="1" ht="18" hidden="1" customHeight="1" outlineLevel="1" x14ac:dyDescent="0.2">
      <c r="A522" s="1398"/>
      <c r="B522" s="138"/>
      <c r="C522" s="235"/>
      <c r="D522" s="726" t="s">
        <v>2305</v>
      </c>
      <c r="E522" s="555">
        <f>(pSystemsTouchRateHourSMCS*pSystemsLeaseRecordSearchLaborHrsSMCS*pSystemsLeaseRecordsSearchForecast)</f>
        <v>0</v>
      </c>
      <c r="F522" s="555">
        <f>(pSystemsTouchRateHourSMCS*pSystemsLeaseRecordSearchLaborHrsSMCS*pSystemsLeaseRecordsSearchForecast)*(1+Inflation)</f>
        <v>0</v>
      </c>
      <c r="G522" s="555">
        <f>(pSystemsTouchRateHourSMCS*pSystemsLeaseRecordSearchLaborHrsSMCS*pSystemsLeaseRecordsSearchForecast)*(1+Inflation)^2</f>
        <v>0</v>
      </c>
      <c r="H522" s="555">
        <f>(pSystemsTouchRateHourSMCS*pSystemsLeaseRecordSearchLaborHrsSMCS*pSystemsLeaseRecordsSearchForecast)*(1+Inflation)^3</f>
        <v>0</v>
      </c>
      <c r="I522" s="555">
        <f>(pSystemsTouchRateHourSMCS*pSystemsLeaseRecordSearchLaborHrsSMCS*pSystemsLeaseRecordsSearchForecast)*(1+Inflation)^4</f>
        <v>0</v>
      </c>
      <c r="J522" s="555">
        <f>(pSystemsTouchRateHourSMCS*pSystemsLeaseRecordSearchLaborHrsSMCS*pSystemsLeaseRecordsSearchForecast)*(1+Inflation)^5</f>
        <v>0</v>
      </c>
      <c r="K522" s="555">
        <f>(pSystemsTouchRateHourSMCS*pSystemsLeaseRecordSearchLaborHrsSMCS*pSystemsLeaseRecordsSearchForecast)*(1+Inflation)^6</f>
        <v>0</v>
      </c>
      <c r="L522" s="555">
        <f>(pSystemsTouchRateHourSMCS*pSystemsLeaseRecordSearchLaborHrsSMCS*pSystemsLeaseRecordsSearchForecast)*(1+Inflation)^7</f>
        <v>0</v>
      </c>
      <c r="M522" s="555">
        <f>(pSystemsTouchRateHourSMCS*pSystemsLeaseRecordSearchLaborHrsSMCS*pSystemsLeaseRecordsSearchForecast)*(1+Inflation)^8</f>
        <v>0</v>
      </c>
      <c r="N522" s="555">
        <f>(pSystemsTouchRateHourSMCS*pSystemsLeaseRecordSearchLaborHrsSMCS*pSystemsLeaseRecordsSearchForecast)*(1+Inflation)^9</f>
        <v>0</v>
      </c>
      <c r="O522" s="535" t="s">
        <v>2267</v>
      </c>
    </row>
    <row r="523" spans="1:33" s="142" customFormat="1" ht="18" hidden="1" customHeight="1" outlineLevel="1" x14ac:dyDescent="0.2">
      <c r="A523" s="1398"/>
      <c r="B523" s="138"/>
      <c r="C523" s="235"/>
      <c r="D523" s="726" t="s">
        <v>2306</v>
      </c>
      <c r="E523" s="555">
        <f>(pSystemsTouchRateHourO1*pSystemsLeaseRecordSearchLaborHrsO1*pSystemsLeaseRecordsSearchForecast)</f>
        <v>0</v>
      </c>
      <c r="F523" s="555">
        <f>(pSystemsTouchRateHourO1*pSystemsLeaseRecordSearchLaborHrsO1*pSystemsLeaseRecordsSearchForecast)*(1+Inflation)</f>
        <v>0</v>
      </c>
      <c r="G523" s="555">
        <f>(pSystemsTouchRateHourO1*pSystemsLeaseRecordSearchLaborHrsO1*pSystemsLeaseRecordsSearchForecast)*(1+Inflation)^2</f>
        <v>0</v>
      </c>
      <c r="H523" s="555">
        <f>(pSystemsTouchRateHourO1*pSystemsLeaseRecordSearchLaborHrsO1*pSystemsLeaseRecordsSearchForecast)*(1+Inflation)^3</f>
        <v>0</v>
      </c>
      <c r="I523" s="555">
        <f>(pSystemsTouchRateHourO1*pSystemsLeaseRecordSearchLaborHrsO1*pSystemsLeaseRecordsSearchForecast)*(1+Inflation)^4</f>
        <v>0</v>
      </c>
      <c r="J523" s="555">
        <f>(pSystemsTouchRateHourO1*pSystemsLeaseRecordSearchLaborHrsO1*pSystemsLeaseRecordsSearchForecast)*(1+Inflation)^5</f>
        <v>0</v>
      </c>
      <c r="K523" s="555">
        <f>(pSystemsTouchRateHourO1*pSystemsLeaseRecordSearchLaborHrsO1*pSystemsLeaseRecordsSearchForecast)*(1+Inflation)^6</f>
        <v>0</v>
      </c>
      <c r="L523" s="555">
        <f>(pSystemsTouchRateHourO1*pSystemsLeaseRecordSearchLaborHrsO1*pSystemsLeaseRecordsSearchForecast)*(1+Inflation)^7</f>
        <v>0</v>
      </c>
      <c r="M523" s="555">
        <f>(pSystemsTouchRateHourO1*pSystemsLeaseRecordSearchLaborHrsO1*pSystemsLeaseRecordsSearchForecast)*(1+Inflation)^8</f>
        <v>0</v>
      </c>
      <c r="N523" s="555">
        <f>(pSystemsTouchRateHourO1*pSystemsLeaseRecordSearchLaborHrsO1*pSystemsLeaseRecordsSearchForecast)*(1+Inflation)^9</f>
        <v>0</v>
      </c>
      <c r="O523" s="535" t="s">
        <v>2268</v>
      </c>
    </row>
    <row r="524" spans="1:33" s="142" customFormat="1" ht="18" hidden="1" customHeight="1" outlineLevel="1" x14ac:dyDescent="0.2">
      <c r="A524" s="1398"/>
      <c r="B524" s="138"/>
      <c r="C524" s="235"/>
      <c r="D524" s="726" t="s">
        <v>2307</v>
      </c>
      <c r="E524" s="555">
        <f>(pSystemsTouchRateHourO2*pSystemsLeaseRecordSearchLaborHrsO2*pSystemsLeaseRecordsSearchForecast)</f>
        <v>0</v>
      </c>
      <c r="F524" s="555">
        <f>(pSystemsTouchRateHourO2*pSystemsLeaseRecordSearchLaborHrsO2*pSystemsLeaseRecordsSearchForecast)*(1+Inflation)</f>
        <v>0</v>
      </c>
      <c r="G524" s="555">
        <f>(pSystemsTouchRateHourO2*pSystemsLeaseRecordSearchLaborHrsO2*pSystemsLeaseRecordsSearchForecast)*(1+Inflation)^2</f>
        <v>0</v>
      </c>
      <c r="H524" s="555">
        <f>(pSystemsTouchRateHourO2*pSystemsLeaseRecordSearchLaborHrsO2*pSystemsLeaseRecordsSearchForecast)*(1+Inflation)^3</f>
        <v>0</v>
      </c>
      <c r="I524" s="555">
        <f>(pSystemsTouchRateHourO2*pSystemsLeaseRecordSearchLaborHrsO2*pSystemsLeaseRecordsSearchForecast)*(1+Inflation)^4</f>
        <v>0</v>
      </c>
      <c r="J524" s="555">
        <f>(pSystemsTouchRateHourO2*pSystemsLeaseRecordSearchLaborHrsO2*pSystemsLeaseRecordsSearchForecast)*(1+Inflation)^5</f>
        <v>0</v>
      </c>
      <c r="K524" s="555">
        <f>(pSystemsTouchRateHourO2*pSystemsLeaseRecordSearchLaborHrsO2*pSystemsLeaseRecordsSearchForecast)*(1+Inflation)^6</f>
        <v>0</v>
      </c>
      <c r="L524" s="555">
        <f>(pSystemsTouchRateHourO2*pSystemsLeaseRecordSearchLaborHrsO2*pSystemsLeaseRecordsSearchForecast)*(1+Inflation)^7</f>
        <v>0</v>
      </c>
      <c r="M524" s="555">
        <f>(pSystemsTouchRateHourO2*pSystemsLeaseRecordSearchLaborHrsO2*pSystemsLeaseRecordsSearchForecast)*(1+Inflation)^8</f>
        <v>0</v>
      </c>
      <c r="N524" s="555">
        <f>(pSystemsTouchRateHourO2*pSystemsLeaseRecordSearchLaborHrsO2*pSystemsLeaseRecordsSearchForecast)*(1+Inflation)^9</f>
        <v>0</v>
      </c>
      <c r="O524" s="535" t="s">
        <v>2269</v>
      </c>
    </row>
    <row r="525" spans="1:33" s="142" customFormat="1" ht="18" hidden="1" customHeight="1" outlineLevel="1" x14ac:dyDescent="0.25">
      <c r="A525" s="1398"/>
      <c r="B525" s="138"/>
      <c r="C525" s="235"/>
      <c r="D525" s="728" t="s">
        <v>2308</v>
      </c>
      <c r="E525" s="556">
        <f>SUM(E513:E524)</f>
        <v>365281.01339545718</v>
      </c>
      <c r="F525" s="556">
        <f t="shared" ref="F525:N525" si="126">SUM(F513:F524)</f>
        <v>372586.63366336632</v>
      </c>
      <c r="G525" s="556">
        <f t="shared" si="126"/>
        <v>380038.36633663368</v>
      </c>
      <c r="H525" s="556">
        <f t="shared" si="126"/>
        <v>387639.13366336632</v>
      </c>
      <c r="I525" s="556">
        <f t="shared" si="126"/>
        <v>395391.91633663367</v>
      </c>
      <c r="J525" s="556">
        <f t="shared" si="126"/>
        <v>403299.75466336636</v>
      </c>
      <c r="K525" s="556">
        <f t="shared" si="126"/>
        <v>411365.74975663371</v>
      </c>
      <c r="L525" s="556">
        <f t="shared" si="126"/>
        <v>419593.06475176627</v>
      </c>
      <c r="M525" s="556">
        <f t="shared" si="126"/>
        <v>427984.92604680161</v>
      </c>
      <c r="N525" s="556">
        <f t="shared" si="126"/>
        <v>436544.62456773769</v>
      </c>
      <c r="O525" s="535" t="s">
        <v>2270</v>
      </c>
    </row>
    <row r="526" spans="1:33" s="203" customFormat="1" ht="13.5" hidden="1" outlineLevel="1" thickBot="1" x14ac:dyDescent="0.25">
      <c r="A526" s="1399"/>
      <c r="B526" s="74"/>
      <c r="C526" s="325"/>
      <c r="D526" s="725"/>
      <c r="E526" s="568"/>
      <c r="F526" s="568"/>
      <c r="G526" s="568"/>
      <c r="H526" s="568"/>
      <c r="I526" s="568"/>
      <c r="J526" s="568"/>
      <c r="K526" s="568"/>
      <c r="L526" s="568"/>
      <c r="M526" s="568"/>
      <c r="N526" s="568"/>
      <c r="O526" s="569"/>
      <c r="P526" s="204"/>
    </row>
    <row r="527" spans="1:33" s="203" customFormat="1" ht="13.5" hidden="1" outlineLevel="1" thickBot="1" x14ac:dyDescent="0.25">
      <c r="A527" s="74"/>
      <c r="B527" s="74"/>
      <c r="C527" s="211"/>
      <c r="D527" s="214"/>
      <c r="E527" s="210"/>
      <c r="F527" s="210"/>
      <c r="G527" s="210"/>
      <c r="H527" s="210"/>
      <c r="I527" s="210"/>
      <c r="J527" s="210"/>
      <c r="K527" s="210"/>
      <c r="L527" s="210"/>
      <c r="M527" s="210"/>
      <c r="N527" s="210"/>
      <c r="O527" s="204"/>
      <c r="P527" s="204"/>
    </row>
    <row r="528" spans="1:33" customFormat="1" ht="20.25" hidden="1" outlineLevel="1" x14ac:dyDescent="0.2">
      <c r="A528" s="1397" t="s">
        <v>4194</v>
      </c>
      <c r="B528" s="13"/>
      <c r="C528" s="1008" t="str">
        <f>Scenario1&amp;"  Record Search FTEs"</f>
        <v>pSystems (Paper)  Record Search FTEs</v>
      </c>
      <c r="D528" s="310"/>
      <c r="E528" s="434"/>
      <c r="F528" s="434"/>
      <c r="G528" s="434"/>
      <c r="H528" s="434"/>
      <c r="I528" s="434"/>
      <c r="J528" s="434"/>
      <c r="K528" s="434"/>
      <c r="L528" s="434"/>
      <c r="M528" s="434"/>
      <c r="N528" s="434"/>
      <c r="O528" s="573"/>
      <c r="P528" s="18"/>
      <c r="Q528" s="18"/>
      <c r="R528" s="18"/>
      <c r="S528" s="18"/>
      <c r="T528" s="18"/>
      <c r="U528" s="18"/>
      <c r="V528" s="18"/>
      <c r="W528" s="18"/>
      <c r="X528" s="18"/>
      <c r="Y528" s="18"/>
      <c r="Z528" s="18"/>
      <c r="AA528" s="18"/>
      <c r="AB528" s="18"/>
      <c r="AC528" s="18"/>
      <c r="AD528" s="18"/>
      <c r="AE528" s="18"/>
      <c r="AF528" s="18"/>
      <c r="AG528" s="18"/>
    </row>
    <row r="529" spans="1:16" s="142" customFormat="1" ht="18" hidden="1" customHeight="1" outlineLevel="1" x14ac:dyDescent="0.2">
      <c r="A529" s="1398"/>
      <c r="B529" s="138"/>
      <c r="C529" s="235"/>
      <c r="D529" s="726" t="s">
        <v>2309</v>
      </c>
      <c r="E529" s="557">
        <f t="shared" ref="E529:N529" si="127">(pSystemsLeaseRecordSearchLaborHrsHM/pSystemsTouchHourspaHM)*pSystemsLeaseRecordsSearchForecast</f>
        <v>0</v>
      </c>
      <c r="F529" s="557">
        <f t="shared" si="127"/>
        <v>0</v>
      </c>
      <c r="G529" s="557">
        <f t="shared" si="127"/>
        <v>0</v>
      </c>
      <c r="H529" s="557">
        <f t="shared" si="127"/>
        <v>0</v>
      </c>
      <c r="I529" s="557">
        <f t="shared" si="127"/>
        <v>0</v>
      </c>
      <c r="J529" s="557">
        <f t="shared" si="127"/>
        <v>0</v>
      </c>
      <c r="K529" s="557">
        <f t="shared" si="127"/>
        <v>0</v>
      </c>
      <c r="L529" s="557">
        <f t="shared" si="127"/>
        <v>0</v>
      </c>
      <c r="M529" s="557">
        <f t="shared" si="127"/>
        <v>0</v>
      </c>
      <c r="N529" s="557">
        <f t="shared" si="127"/>
        <v>0</v>
      </c>
      <c r="O529" s="535" t="s">
        <v>2271</v>
      </c>
    </row>
    <row r="530" spans="1:16" s="142" customFormat="1" ht="18" hidden="1" customHeight="1" outlineLevel="1" x14ac:dyDescent="0.2">
      <c r="A530" s="1398"/>
      <c r="B530" s="138"/>
      <c r="C530" s="235"/>
      <c r="D530" s="726" t="s">
        <v>2310</v>
      </c>
      <c r="E530" s="557">
        <f t="shared" ref="E530:N530" si="128">(pSystemsLeaseRecordSearchLaborHrsLM/pSystemsTouchHourspaLM)*pSystemsLeaseRecordsSearchForecast</f>
        <v>0</v>
      </c>
      <c r="F530" s="557">
        <f t="shared" si="128"/>
        <v>0</v>
      </c>
      <c r="G530" s="557">
        <f t="shared" si="128"/>
        <v>0</v>
      </c>
      <c r="H530" s="557">
        <f t="shared" si="128"/>
        <v>0</v>
      </c>
      <c r="I530" s="557">
        <f t="shared" si="128"/>
        <v>0</v>
      </c>
      <c r="J530" s="557">
        <f t="shared" si="128"/>
        <v>0</v>
      </c>
      <c r="K530" s="557">
        <f t="shared" si="128"/>
        <v>0</v>
      </c>
      <c r="L530" s="557">
        <f t="shared" si="128"/>
        <v>0</v>
      </c>
      <c r="M530" s="557">
        <f t="shared" si="128"/>
        <v>0</v>
      </c>
      <c r="N530" s="557">
        <f t="shared" si="128"/>
        <v>0</v>
      </c>
      <c r="O530" s="535" t="s">
        <v>2272</v>
      </c>
    </row>
    <row r="531" spans="1:16" s="142" customFormat="1" ht="18" hidden="1" customHeight="1" outlineLevel="1" x14ac:dyDescent="0.2">
      <c r="A531" s="1398"/>
      <c r="B531" s="138"/>
      <c r="C531" s="235"/>
      <c r="D531" s="727" t="s">
        <v>2311</v>
      </c>
      <c r="E531" s="557">
        <f t="shared" ref="E531:N531" si="129">(pSystemsLeaseRecordSearchLaborHrsENG/pSystemsTouchHourspaENG)*pSystemsLeaseRecordsSearchForecast</f>
        <v>0</v>
      </c>
      <c r="F531" s="557">
        <f t="shared" si="129"/>
        <v>0</v>
      </c>
      <c r="G531" s="557">
        <f t="shared" si="129"/>
        <v>0</v>
      </c>
      <c r="H531" s="557">
        <f t="shared" si="129"/>
        <v>0</v>
      </c>
      <c r="I531" s="557">
        <f t="shared" si="129"/>
        <v>0</v>
      </c>
      <c r="J531" s="557">
        <f t="shared" si="129"/>
        <v>0</v>
      </c>
      <c r="K531" s="557">
        <f t="shared" si="129"/>
        <v>0</v>
      </c>
      <c r="L531" s="557">
        <f t="shared" si="129"/>
        <v>0</v>
      </c>
      <c r="M531" s="557">
        <f t="shared" si="129"/>
        <v>0</v>
      </c>
      <c r="N531" s="557">
        <f t="shared" si="129"/>
        <v>0</v>
      </c>
      <c r="O531" s="535" t="s">
        <v>2273</v>
      </c>
    </row>
    <row r="532" spans="1:16" s="142" customFormat="1" ht="18" hidden="1" customHeight="1" outlineLevel="1" x14ac:dyDescent="0.2">
      <c r="A532" s="1398"/>
      <c r="B532" s="138"/>
      <c r="C532" s="235"/>
      <c r="D532" s="726" t="s">
        <v>2312</v>
      </c>
      <c r="E532" s="557">
        <f t="shared" ref="E532:N532" si="130">(pSystemsLeaseRecordSearchLaborHrsPLG/pSystemsTouchHourspaPLG)*pSystemsLeaseRecordsSearchForecast</f>
        <v>0.97068530382450002</v>
      </c>
      <c r="F532" s="557">
        <f t="shared" si="130"/>
        <v>0.97068530382450002</v>
      </c>
      <c r="G532" s="557">
        <f t="shared" si="130"/>
        <v>0.97068530382450002</v>
      </c>
      <c r="H532" s="557">
        <f t="shared" si="130"/>
        <v>0.97068530382450002</v>
      </c>
      <c r="I532" s="557">
        <f t="shared" si="130"/>
        <v>0.97068530382450002</v>
      </c>
      <c r="J532" s="557">
        <f t="shared" si="130"/>
        <v>0.97068530382450002</v>
      </c>
      <c r="K532" s="557">
        <f t="shared" si="130"/>
        <v>0.97068530382450002</v>
      </c>
      <c r="L532" s="557">
        <f t="shared" si="130"/>
        <v>0.97068530382450002</v>
      </c>
      <c r="M532" s="557">
        <f t="shared" si="130"/>
        <v>0.97068530382450002</v>
      </c>
      <c r="N532" s="557">
        <f t="shared" si="130"/>
        <v>0.97068530382450002</v>
      </c>
      <c r="O532" s="535" t="s">
        <v>2274</v>
      </c>
    </row>
    <row r="533" spans="1:16" s="142" customFormat="1" ht="18" hidden="1" customHeight="1" outlineLevel="1" x14ac:dyDescent="0.2">
      <c r="A533" s="1398"/>
      <c r="B533" s="138"/>
      <c r="C533" s="235"/>
      <c r="D533" s="726" t="s">
        <v>2313</v>
      </c>
      <c r="E533" s="557">
        <f t="shared" ref="E533:N533" si="131">(pSystemsLeaseRecordSearchLaborHrsCRT/pSystemsTouchHourspaCRT)*pSystemsLeaseRecordsSearchForecast</f>
        <v>0.97068530382450002</v>
      </c>
      <c r="F533" s="557">
        <f t="shared" si="131"/>
        <v>0.97068530382450002</v>
      </c>
      <c r="G533" s="557">
        <f t="shared" si="131"/>
        <v>0.97068530382450002</v>
      </c>
      <c r="H533" s="557">
        <f t="shared" si="131"/>
        <v>0.97068530382450002</v>
      </c>
      <c r="I533" s="557">
        <f t="shared" si="131"/>
        <v>0.97068530382450002</v>
      </c>
      <c r="J533" s="557">
        <f t="shared" si="131"/>
        <v>0.97068530382450002</v>
      </c>
      <c r="K533" s="557">
        <f t="shared" si="131"/>
        <v>0.97068530382450002</v>
      </c>
      <c r="L533" s="557">
        <f t="shared" si="131"/>
        <v>0.97068530382450002</v>
      </c>
      <c r="M533" s="557">
        <f t="shared" si="131"/>
        <v>0.97068530382450002</v>
      </c>
      <c r="N533" s="557">
        <f t="shared" si="131"/>
        <v>0.97068530382450002</v>
      </c>
      <c r="O533" s="535" t="s">
        <v>2275</v>
      </c>
    </row>
    <row r="534" spans="1:16" s="142" customFormat="1" ht="18" hidden="1" customHeight="1" outlineLevel="1" x14ac:dyDescent="0.2">
      <c r="A534" s="1398"/>
      <c r="B534" s="138"/>
      <c r="C534" s="235"/>
      <c r="D534" s="726" t="s">
        <v>2314</v>
      </c>
      <c r="E534" s="557">
        <f t="shared" ref="E534:N534" si="132">(pSystemsLeaseRecordSearchLaborHrsSCL/pSystemsTouchHourspaSCL)*pSystemsLeaseRecordsSearchForecast</f>
        <v>0.97068530382450002</v>
      </c>
      <c r="F534" s="557">
        <f t="shared" si="132"/>
        <v>0.97068530382450002</v>
      </c>
      <c r="G534" s="557">
        <f t="shared" si="132"/>
        <v>0.97068530382450002</v>
      </c>
      <c r="H534" s="557">
        <f t="shared" si="132"/>
        <v>0.97068530382450002</v>
      </c>
      <c r="I534" s="557">
        <f t="shared" si="132"/>
        <v>0.97068530382450002</v>
      </c>
      <c r="J534" s="557">
        <f t="shared" si="132"/>
        <v>0.97068530382450002</v>
      </c>
      <c r="K534" s="557">
        <f t="shared" si="132"/>
        <v>0.97068530382450002</v>
      </c>
      <c r="L534" s="557">
        <f t="shared" si="132"/>
        <v>0.97068530382450002</v>
      </c>
      <c r="M534" s="557">
        <f t="shared" si="132"/>
        <v>0.97068530382450002</v>
      </c>
      <c r="N534" s="557">
        <f t="shared" si="132"/>
        <v>0.97068530382450002</v>
      </c>
      <c r="O534" s="535" t="s">
        <v>2276</v>
      </c>
    </row>
    <row r="535" spans="1:16" s="142" customFormat="1" ht="18" hidden="1" customHeight="1" outlineLevel="1" x14ac:dyDescent="0.2">
      <c r="A535" s="1398"/>
      <c r="B535" s="138"/>
      <c r="C535" s="235"/>
      <c r="D535" s="726" t="s">
        <v>2315</v>
      </c>
      <c r="E535" s="557">
        <f t="shared" ref="E535:N535" si="133">(pSystemsLeaseRecordSearchLaborHrsQSC/pSystemsTouchHourspaQSC)*pSystemsLeaseRecordsSearchForecast</f>
        <v>0.97068530382450002</v>
      </c>
      <c r="F535" s="557">
        <f t="shared" si="133"/>
        <v>0.97068530382450002</v>
      </c>
      <c r="G535" s="557">
        <f t="shared" si="133"/>
        <v>0.97068530382450002</v>
      </c>
      <c r="H535" s="557">
        <f t="shared" si="133"/>
        <v>0.97068530382450002</v>
      </c>
      <c r="I535" s="557">
        <f t="shared" si="133"/>
        <v>0.97068530382450002</v>
      </c>
      <c r="J535" s="557">
        <f t="shared" si="133"/>
        <v>0.97068530382450002</v>
      </c>
      <c r="K535" s="557">
        <f t="shared" si="133"/>
        <v>0.97068530382450002</v>
      </c>
      <c r="L535" s="557">
        <f t="shared" si="133"/>
        <v>0.97068530382450002</v>
      </c>
      <c r="M535" s="557">
        <f t="shared" si="133"/>
        <v>0.97068530382450002</v>
      </c>
      <c r="N535" s="557">
        <f t="shared" si="133"/>
        <v>0.97068530382450002</v>
      </c>
      <c r="O535" s="535" t="s">
        <v>2277</v>
      </c>
    </row>
    <row r="536" spans="1:16" s="142" customFormat="1" ht="18" hidden="1" customHeight="1" outlineLevel="1" x14ac:dyDescent="0.2">
      <c r="A536" s="1398"/>
      <c r="B536" s="138"/>
      <c r="C536" s="235"/>
      <c r="D536" s="726" t="s">
        <v>2316</v>
      </c>
      <c r="E536" s="557">
        <f t="shared" ref="E536:N536" si="134">(pSystemsLeaseRecordSearchLaborHrsEM/pSystemsTouchHourspaEM)*pSystemsLeaseRecordsSearchForecast</f>
        <v>0</v>
      </c>
      <c r="F536" s="557">
        <f t="shared" si="134"/>
        <v>0</v>
      </c>
      <c r="G536" s="557">
        <f t="shared" si="134"/>
        <v>0</v>
      </c>
      <c r="H536" s="557">
        <f t="shared" si="134"/>
        <v>0</v>
      </c>
      <c r="I536" s="557">
        <f t="shared" si="134"/>
        <v>0</v>
      </c>
      <c r="J536" s="557">
        <f t="shared" si="134"/>
        <v>0</v>
      </c>
      <c r="K536" s="557">
        <f t="shared" si="134"/>
        <v>0</v>
      </c>
      <c r="L536" s="557">
        <f t="shared" si="134"/>
        <v>0</v>
      </c>
      <c r="M536" s="557">
        <f t="shared" si="134"/>
        <v>0</v>
      </c>
      <c r="N536" s="557">
        <f t="shared" si="134"/>
        <v>0</v>
      </c>
      <c r="O536" s="535" t="s">
        <v>2278</v>
      </c>
    </row>
    <row r="537" spans="1:16" s="142" customFormat="1" ht="18" hidden="1" customHeight="1" outlineLevel="1" x14ac:dyDescent="0.2">
      <c r="A537" s="1398"/>
      <c r="B537" s="138"/>
      <c r="C537" s="235"/>
      <c r="D537" s="726" t="s">
        <v>2317</v>
      </c>
      <c r="E537" s="557">
        <f t="shared" ref="E537:N537" si="135">(pSystemsLeaseRecordSearchLaborHrsCM/pSystemsTouchHourspaCM)*pSystemsLeaseRecordsSearchForecast</f>
        <v>0</v>
      </c>
      <c r="F537" s="557">
        <f t="shared" si="135"/>
        <v>0</v>
      </c>
      <c r="G537" s="557">
        <f t="shared" si="135"/>
        <v>0</v>
      </c>
      <c r="H537" s="557">
        <f t="shared" si="135"/>
        <v>0</v>
      </c>
      <c r="I537" s="557">
        <f t="shared" si="135"/>
        <v>0</v>
      </c>
      <c r="J537" s="557">
        <f t="shared" si="135"/>
        <v>0</v>
      </c>
      <c r="K537" s="557">
        <f t="shared" si="135"/>
        <v>0</v>
      </c>
      <c r="L537" s="557">
        <f t="shared" si="135"/>
        <v>0</v>
      </c>
      <c r="M537" s="557">
        <f t="shared" si="135"/>
        <v>0</v>
      </c>
      <c r="N537" s="557">
        <f t="shared" si="135"/>
        <v>0</v>
      </c>
      <c r="O537" s="535" t="s">
        <v>2279</v>
      </c>
    </row>
    <row r="538" spans="1:16" s="142" customFormat="1" ht="18" hidden="1" customHeight="1" outlineLevel="1" x14ac:dyDescent="0.2">
      <c r="A538" s="1398"/>
      <c r="B538" s="138"/>
      <c r="C538" s="235"/>
      <c r="D538" s="726" t="s">
        <v>2318</v>
      </c>
      <c r="E538" s="557">
        <f t="shared" ref="E538:N538" si="136">(pSystemsLeaseRecordSearchLaborHrsSMCS/pSystemsTouchHourspaSMCS)*pSystemsLeaseRecordsSearchForecast</f>
        <v>0</v>
      </c>
      <c r="F538" s="557">
        <f t="shared" si="136"/>
        <v>0</v>
      </c>
      <c r="G538" s="557">
        <f t="shared" si="136"/>
        <v>0</v>
      </c>
      <c r="H538" s="557">
        <f t="shared" si="136"/>
        <v>0</v>
      </c>
      <c r="I538" s="557">
        <f t="shared" si="136"/>
        <v>0</v>
      </c>
      <c r="J538" s="557">
        <f t="shared" si="136"/>
        <v>0</v>
      </c>
      <c r="K538" s="557">
        <f t="shared" si="136"/>
        <v>0</v>
      </c>
      <c r="L538" s="557">
        <f t="shared" si="136"/>
        <v>0</v>
      </c>
      <c r="M538" s="557">
        <f t="shared" si="136"/>
        <v>0</v>
      </c>
      <c r="N538" s="557">
        <f t="shared" si="136"/>
        <v>0</v>
      </c>
      <c r="O538" s="535" t="s">
        <v>2280</v>
      </c>
    </row>
    <row r="539" spans="1:16" s="142" customFormat="1" ht="18" hidden="1" customHeight="1" outlineLevel="1" x14ac:dyDescent="0.2">
      <c r="A539" s="1398"/>
      <c r="B539" s="138"/>
      <c r="C539" s="235"/>
      <c r="D539" s="726" t="s">
        <v>2319</v>
      </c>
      <c r="E539" s="557">
        <f t="shared" ref="E539:N539" si="137">(pSystemsLeaseRecordSearchLaborHrsO1/pSystemsTouchHourspaO1)*pSystemsLeaseRecordsSearchForecast</f>
        <v>0</v>
      </c>
      <c r="F539" s="557">
        <f t="shared" si="137"/>
        <v>0</v>
      </c>
      <c r="G539" s="557">
        <f t="shared" si="137"/>
        <v>0</v>
      </c>
      <c r="H539" s="557">
        <f t="shared" si="137"/>
        <v>0</v>
      </c>
      <c r="I539" s="557">
        <f t="shared" si="137"/>
        <v>0</v>
      </c>
      <c r="J539" s="557">
        <f t="shared" si="137"/>
        <v>0</v>
      </c>
      <c r="K539" s="557">
        <f t="shared" si="137"/>
        <v>0</v>
      </c>
      <c r="L539" s="557">
        <f t="shared" si="137"/>
        <v>0</v>
      </c>
      <c r="M539" s="557">
        <f t="shared" si="137"/>
        <v>0</v>
      </c>
      <c r="N539" s="557">
        <f t="shared" si="137"/>
        <v>0</v>
      </c>
      <c r="O539" s="535" t="s">
        <v>2281</v>
      </c>
    </row>
    <row r="540" spans="1:16" s="142" customFormat="1" ht="18" hidden="1" customHeight="1" outlineLevel="1" x14ac:dyDescent="0.2">
      <c r="A540" s="1398"/>
      <c r="B540" s="138"/>
      <c r="C540" s="235"/>
      <c r="D540" s="726" t="s">
        <v>2320</v>
      </c>
      <c r="E540" s="557">
        <f t="shared" ref="E540:N540" si="138">(pSystemsLeaseRecordSearchLaborHrsO2/pSystemsTouchHourspaO2)*pSystemsLeaseRecordsSearchForecast</f>
        <v>0</v>
      </c>
      <c r="F540" s="557">
        <f t="shared" si="138"/>
        <v>0</v>
      </c>
      <c r="G540" s="557">
        <f t="shared" si="138"/>
        <v>0</v>
      </c>
      <c r="H540" s="557">
        <f t="shared" si="138"/>
        <v>0</v>
      </c>
      <c r="I540" s="557">
        <f t="shared" si="138"/>
        <v>0</v>
      </c>
      <c r="J540" s="557">
        <f t="shared" si="138"/>
        <v>0</v>
      </c>
      <c r="K540" s="557">
        <f t="shared" si="138"/>
        <v>0</v>
      </c>
      <c r="L540" s="557">
        <f t="shared" si="138"/>
        <v>0</v>
      </c>
      <c r="M540" s="557">
        <f t="shared" si="138"/>
        <v>0</v>
      </c>
      <c r="N540" s="557">
        <f t="shared" si="138"/>
        <v>0</v>
      </c>
      <c r="O540" s="535" t="s">
        <v>2282</v>
      </c>
    </row>
    <row r="541" spans="1:16" s="142" customFormat="1" ht="18" hidden="1" customHeight="1" outlineLevel="1" x14ac:dyDescent="0.25">
      <c r="A541" s="1398"/>
      <c r="B541" s="138"/>
      <c r="C541" s="235"/>
      <c r="D541" s="728" t="s">
        <v>2321</v>
      </c>
      <c r="E541" s="562">
        <f>SUM(E529:E540)</f>
        <v>3.8827412152980001</v>
      </c>
      <c r="F541" s="562">
        <f t="shared" ref="F541:N541" si="139">SUM(F529:F540)</f>
        <v>3.8827412152980001</v>
      </c>
      <c r="G541" s="562">
        <f t="shared" si="139"/>
        <v>3.8827412152980001</v>
      </c>
      <c r="H541" s="562">
        <f t="shared" si="139"/>
        <v>3.8827412152980001</v>
      </c>
      <c r="I541" s="562">
        <f t="shared" si="139"/>
        <v>3.8827412152980001</v>
      </c>
      <c r="J541" s="562">
        <f t="shared" si="139"/>
        <v>3.8827412152980001</v>
      </c>
      <c r="K541" s="562">
        <f t="shared" si="139"/>
        <v>3.8827412152980001</v>
      </c>
      <c r="L541" s="562">
        <f t="shared" si="139"/>
        <v>3.8827412152980001</v>
      </c>
      <c r="M541" s="562">
        <f t="shared" si="139"/>
        <v>3.8827412152980001</v>
      </c>
      <c r="N541" s="562">
        <f t="shared" si="139"/>
        <v>3.8827412152980001</v>
      </c>
      <c r="O541" s="535" t="s">
        <v>2283</v>
      </c>
    </row>
    <row r="542" spans="1:16" s="203" customFormat="1" ht="13.5" hidden="1" outlineLevel="1" thickBot="1" x14ac:dyDescent="0.25">
      <c r="A542" s="1399"/>
      <c r="B542" s="74"/>
      <c r="C542" s="325"/>
      <c r="D542" s="725"/>
      <c r="E542" s="568"/>
      <c r="F542" s="568"/>
      <c r="G542" s="568"/>
      <c r="H542" s="568"/>
      <c r="I542" s="568"/>
      <c r="J542" s="568"/>
      <c r="K542" s="568"/>
      <c r="L542" s="568"/>
      <c r="M542" s="568"/>
      <c r="N542" s="568"/>
      <c r="O542" s="569"/>
      <c r="P542" s="204"/>
    </row>
    <row r="543" spans="1:16" s="203" customFormat="1" ht="13.5" hidden="1" outlineLevel="1" thickBot="1" x14ac:dyDescent="0.25">
      <c r="A543" s="74"/>
      <c r="B543" s="74"/>
      <c r="C543" s="211"/>
      <c r="D543" s="214"/>
      <c r="E543" s="210"/>
      <c r="F543" s="210"/>
      <c r="G543" s="210"/>
      <c r="H543" s="210"/>
      <c r="I543" s="210"/>
      <c r="J543" s="210"/>
      <c r="K543" s="210"/>
      <c r="L543" s="210"/>
      <c r="M543" s="210"/>
      <c r="N543" s="210"/>
      <c r="O543" s="204"/>
      <c r="P543" s="204"/>
    </row>
    <row r="544" spans="1:16" s="203" customFormat="1" ht="15.75" hidden="1" outlineLevel="1" x14ac:dyDescent="0.2">
      <c r="A544" s="74"/>
      <c r="B544" s="211"/>
      <c r="C544" s="1009" t="str">
        <f>Scenario2&amp;" - Record Search Forecast"</f>
        <v>hSystems (Hybrid) - Record Search Forecast</v>
      </c>
      <c r="D544" s="729"/>
      <c r="E544" s="322"/>
      <c r="F544" s="322"/>
      <c r="G544" s="322"/>
      <c r="H544" s="322"/>
      <c r="I544" s="322"/>
      <c r="J544" s="322"/>
      <c r="K544" s="322"/>
      <c r="L544" s="322"/>
      <c r="M544" s="322"/>
      <c r="N544" s="322"/>
      <c r="O544" s="579"/>
      <c r="P544" s="204"/>
    </row>
    <row r="545" spans="1:33" s="203" customFormat="1" hidden="1" outlineLevel="1" x14ac:dyDescent="0.2">
      <c r="A545" s="74"/>
      <c r="B545" s="211"/>
      <c r="C545" s="331"/>
      <c r="D545" s="730" t="s">
        <v>2322</v>
      </c>
      <c r="E545" s="570">
        <v>1000</v>
      </c>
      <c r="F545" s="570">
        <v>900</v>
      </c>
      <c r="G545" s="570">
        <v>800</v>
      </c>
      <c r="H545" s="570">
        <v>700</v>
      </c>
      <c r="I545" s="570">
        <v>600</v>
      </c>
      <c r="J545" s="570">
        <v>500</v>
      </c>
      <c r="K545" s="570">
        <v>400</v>
      </c>
      <c r="L545" s="570">
        <v>300</v>
      </c>
      <c r="M545" s="570">
        <v>200</v>
      </c>
      <c r="N545" s="570">
        <v>100</v>
      </c>
      <c r="O545" s="324" t="s">
        <v>221</v>
      </c>
      <c r="P545" s="204"/>
    </row>
    <row r="546" spans="1:33" s="206" customFormat="1" ht="13.5" hidden="1" outlineLevel="1" thickBot="1" x14ac:dyDescent="0.25">
      <c r="A546" s="74"/>
      <c r="B546" s="211"/>
      <c r="C546" s="564"/>
      <c r="D546" s="725"/>
      <c r="E546" s="568"/>
      <c r="F546" s="568"/>
      <c r="G546" s="568"/>
      <c r="H546" s="568"/>
      <c r="I546" s="568"/>
      <c r="J546" s="568"/>
      <c r="K546" s="568"/>
      <c r="L546" s="568"/>
      <c r="M546" s="568"/>
      <c r="N546" s="568"/>
      <c r="O546" s="580"/>
      <c r="P546" s="210"/>
    </row>
    <row r="547" spans="1:33" s="206" customFormat="1" ht="13.5" hidden="1" outlineLevel="1" thickBot="1" x14ac:dyDescent="0.25">
      <c r="A547" s="74"/>
      <c r="B547" s="211"/>
      <c r="C547" s="582"/>
      <c r="D547" s="214"/>
      <c r="E547" s="210"/>
      <c r="F547" s="210"/>
      <c r="G547" s="210"/>
      <c r="H547" s="210"/>
      <c r="I547" s="210"/>
      <c r="J547" s="210"/>
      <c r="K547" s="210"/>
      <c r="L547" s="210"/>
      <c r="M547" s="210"/>
      <c r="N547" s="210"/>
      <c r="O547" s="210"/>
      <c r="P547" s="210"/>
    </row>
    <row r="548" spans="1:33" s="8" customFormat="1" ht="20.25" hidden="1" outlineLevel="1" x14ac:dyDescent="0.25">
      <c r="A548" s="74"/>
      <c r="B548" s="194"/>
      <c r="C548" s="1009" t="str">
        <f>Scenario2&amp;" Lessee Labor Hours per Record Search"</f>
        <v>hSystems (Hybrid) Lessee Labor Hours per Record Search</v>
      </c>
      <c r="D548" s="310"/>
      <c r="E548" s="240"/>
      <c r="F548" s="240"/>
      <c r="G548" s="240"/>
      <c r="H548" s="240"/>
      <c r="I548" s="240"/>
      <c r="J548" s="240"/>
      <c r="K548" s="240"/>
      <c r="L548" s="240"/>
      <c r="M548" s="240"/>
      <c r="N548" s="240"/>
      <c r="O548" s="435"/>
      <c r="P548" s="17"/>
      <c r="Q548" s="17"/>
      <c r="R548" s="17"/>
      <c r="S548" s="17"/>
      <c r="T548" s="17"/>
      <c r="U548" s="17"/>
      <c r="V548" s="17"/>
      <c r="W548" s="17"/>
      <c r="X548" s="17"/>
      <c r="Y548" s="17"/>
      <c r="Z548" s="17"/>
      <c r="AA548" s="17"/>
      <c r="AB548" s="17"/>
      <c r="AC548" s="17"/>
      <c r="AD548" s="17"/>
      <c r="AE548" s="17"/>
      <c r="AF548" s="17"/>
      <c r="AG548" s="17"/>
    </row>
    <row r="549" spans="1:33" s="142" customFormat="1" ht="18" hidden="1" customHeight="1" outlineLevel="1" x14ac:dyDescent="0.2">
      <c r="A549" s="74"/>
      <c r="B549" s="138"/>
      <c r="C549" s="235"/>
      <c r="D549" s="726" t="s">
        <v>2323</v>
      </c>
      <c r="E549" s="577">
        <v>0</v>
      </c>
      <c r="F549" s="577">
        <v>0</v>
      </c>
      <c r="G549" s="577">
        <v>0</v>
      </c>
      <c r="H549" s="577">
        <v>0</v>
      </c>
      <c r="I549" s="577">
        <v>0</v>
      </c>
      <c r="J549" s="577">
        <v>0</v>
      </c>
      <c r="K549" s="577">
        <v>0</v>
      </c>
      <c r="L549" s="577">
        <v>0</v>
      </c>
      <c r="M549" s="577">
        <v>0</v>
      </c>
      <c r="N549" s="577">
        <v>0</v>
      </c>
      <c r="O549" s="535" t="s">
        <v>2324</v>
      </c>
    </row>
    <row r="550" spans="1:33" s="142" customFormat="1" ht="18" hidden="1" customHeight="1" outlineLevel="1" x14ac:dyDescent="0.2">
      <c r="A550" s="74"/>
      <c r="B550" s="138"/>
      <c r="C550" s="235"/>
      <c r="D550" s="726" t="s">
        <v>2325</v>
      </c>
      <c r="E550" s="577">
        <v>0</v>
      </c>
      <c r="F550" s="577">
        <v>0</v>
      </c>
      <c r="G550" s="577">
        <v>0</v>
      </c>
      <c r="H550" s="577">
        <v>0</v>
      </c>
      <c r="I550" s="577">
        <v>0</v>
      </c>
      <c r="J550" s="577">
        <v>0</v>
      </c>
      <c r="K550" s="577">
        <v>0</v>
      </c>
      <c r="L550" s="577">
        <v>0</v>
      </c>
      <c r="M550" s="577">
        <v>0</v>
      </c>
      <c r="N550" s="577">
        <v>0</v>
      </c>
      <c r="O550" s="535" t="s">
        <v>2326</v>
      </c>
    </row>
    <row r="551" spans="1:33" s="142" customFormat="1" ht="18" hidden="1" customHeight="1" outlineLevel="1" x14ac:dyDescent="0.2">
      <c r="A551" s="74"/>
      <c r="B551" s="138"/>
      <c r="C551" s="235"/>
      <c r="D551" s="726" t="s">
        <v>2327</v>
      </c>
      <c r="E551" s="577">
        <v>0</v>
      </c>
      <c r="F551" s="577">
        <v>0</v>
      </c>
      <c r="G551" s="577">
        <v>0</v>
      </c>
      <c r="H551" s="577">
        <v>0</v>
      </c>
      <c r="I551" s="577">
        <v>0</v>
      </c>
      <c r="J551" s="577">
        <v>0</v>
      </c>
      <c r="K551" s="577">
        <v>0</v>
      </c>
      <c r="L551" s="577">
        <v>0</v>
      </c>
      <c r="M551" s="577">
        <v>0</v>
      </c>
      <c r="N551" s="577">
        <v>0</v>
      </c>
      <c r="O551" s="535" t="s">
        <v>2328</v>
      </c>
    </row>
    <row r="552" spans="1:33" s="142" customFormat="1" ht="18" hidden="1" customHeight="1" outlineLevel="1" x14ac:dyDescent="0.2">
      <c r="A552" s="74"/>
      <c r="B552" s="138"/>
      <c r="C552" s="235"/>
      <c r="D552" s="726" t="s">
        <v>2329</v>
      </c>
      <c r="E552" s="577">
        <v>1</v>
      </c>
      <c r="F552" s="577">
        <v>0.15</v>
      </c>
      <c r="G552" s="577">
        <v>0.15</v>
      </c>
      <c r="H552" s="577">
        <v>0.15</v>
      </c>
      <c r="I552" s="577">
        <v>0.15</v>
      </c>
      <c r="J552" s="577">
        <v>0.15</v>
      </c>
      <c r="K552" s="577">
        <v>0.15</v>
      </c>
      <c r="L552" s="577">
        <v>0.15</v>
      </c>
      <c r="M552" s="577">
        <v>0.15</v>
      </c>
      <c r="N552" s="577">
        <v>0.15</v>
      </c>
      <c r="O552" s="535" t="s">
        <v>2330</v>
      </c>
    </row>
    <row r="553" spans="1:33" s="142" customFormat="1" ht="18" hidden="1" customHeight="1" outlineLevel="1" x14ac:dyDescent="0.2">
      <c r="A553" s="74"/>
      <c r="B553" s="138"/>
      <c r="C553" s="235"/>
      <c r="D553" s="726" t="s">
        <v>2331</v>
      </c>
      <c r="E553" s="577">
        <v>1</v>
      </c>
      <c r="F553" s="577">
        <v>0.15</v>
      </c>
      <c r="G553" s="577">
        <v>0.15</v>
      </c>
      <c r="H553" s="577">
        <v>0.15</v>
      </c>
      <c r="I553" s="577">
        <v>0.15</v>
      </c>
      <c r="J553" s="577">
        <v>0.15</v>
      </c>
      <c r="K553" s="577">
        <v>0.15</v>
      </c>
      <c r="L553" s="577">
        <v>0.15</v>
      </c>
      <c r="M553" s="577">
        <v>0.15</v>
      </c>
      <c r="N553" s="577">
        <v>0.15</v>
      </c>
      <c r="O553" s="535" t="s">
        <v>2332</v>
      </c>
    </row>
    <row r="554" spans="1:33" s="142" customFormat="1" ht="18" hidden="1" customHeight="1" outlineLevel="1" x14ac:dyDescent="0.2">
      <c r="A554" s="74"/>
      <c r="B554" s="138"/>
      <c r="C554" s="235"/>
      <c r="D554" s="726" t="s">
        <v>2333</v>
      </c>
      <c r="E554" s="577">
        <v>0</v>
      </c>
      <c r="F554" s="577">
        <v>0</v>
      </c>
      <c r="G554" s="577">
        <v>0</v>
      </c>
      <c r="H554" s="577">
        <v>0</v>
      </c>
      <c r="I554" s="577">
        <v>0</v>
      </c>
      <c r="J554" s="577">
        <v>0</v>
      </c>
      <c r="K554" s="577">
        <v>0</v>
      </c>
      <c r="L554" s="577">
        <v>0</v>
      </c>
      <c r="M554" s="577">
        <v>0</v>
      </c>
      <c r="N554" s="577">
        <v>0</v>
      </c>
      <c r="O554" s="535" t="s">
        <v>2334</v>
      </c>
    </row>
    <row r="555" spans="1:33" s="142" customFormat="1" ht="18" hidden="1" customHeight="1" outlineLevel="1" x14ac:dyDescent="0.2">
      <c r="A555" s="74"/>
      <c r="B555" s="138"/>
      <c r="C555" s="235"/>
      <c r="D555" s="726" t="s">
        <v>2335</v>
      </c>
      <c r="E555" s="577">
        <v>1</v>
      </c>
      <c r="F555" s="577">
        <v>0.15</v>
      </c>
      <c r="G555" s="577">
        <v>0.15</v>
      </c>
      <c r="H555" s="577">
        <v>0.15</v>
      </c>
      <c r="I555" s="577">
        <v>0.15</v>
      </c>
      <c r="J555" s="577">
        <v>0.15</v>
      </c>
      <c r="K555" s="577">
        <v>0.15</v>
      </c>
      <c r="L555" s="577">
        <v>0.15</v>
      </c>
      <c r="M555" s="577">
        <v>0.15</v>
      </c>
      <c r="N555" s="577">
        <v>0.15</v>
      </c>
      <c r="O555" s="535" t="s">
        <v>2336</v>
      </c>
    </row>
    <row r="556" spans="1:33" s="142" customFormat="1" ht="18" hidden="1" customHeight="1" outlineLevel="1" x14ac:dyDescent="0.2">
      <c r="A556" s="74"/>
      <c r="B556" s="138"/>
      <c r="C556" s="235"/>
      <c r="D556" s="726" t="s">
        <v>2337</v>
      </c>
      <c r="E556" s="577">
        <v>0</v>
      </c>
      <c r="F556" s="577">
        <v>0</v>
      </c>
      <c r="G556" s="577">
        <v>0</v>
      </c>
      <c r="H556" s="577">
        <v>0</v>
      </c>
      <c r="I556" s="577">
        <v>0</v>
      </c>
      <c r="J556" s="577">
        <v>0</v>
      </c>
      <c r="K556" s="577">
        <v>0</v>
      </c>
      <c r="L556" s="577">
        <v>0</v>
      </c>
      <c r="M556" s="577">
        <v>0</v>
      </c>
      <c r="N556" s="577">
        <v>0</v>
      </c>
      <c r="O556" s="535" t="s">
        <v>2338</v>
      </c>
    </row>
    <row r="557" spans="1:33" s="142" customFormat="1" ht="18" hidden="1" customHeight="1" outlineLevel="1" x14ac:dyDescent="0.2">
      <c r="A557" s="74"/>
      <c r="B557" s="565"/>
      <c r="C557" s="235"/>
      <c r="D557" s="726" t="s">
        <v>2339</v>
      </c>
      <c r="E557" s="577">
        <v>0</v>
      </c>
      <c r="F557" s="577">
        <v>0</v>
      </c>
      <c r="G557" s="577">
        <v>0</v>
      </c>
      <c r="H557" s="577">
        <v>0</v>
      </c>
      <c r="I557" s="577">
        <v>0</v>
      </c>
      <c r="J557" s="577">
        <v>0</v>
      </c>
      <c r="K557" s="577">
        <v>0</v>
      </c>
      <c r="L557" s="577">
        <v>0</v>
      </c>
      <c r="M557" s="577">
        <v>0</v>
      </c>
      <c r="N557" s="577">
        <v>0</v>
      </c>
      <c r="O557" s="535" t="s">
        <v>2340</v>
      </c>
    </row>
    <row r="558" spans="1:33" s="142" customFormat="1" ht="18" hidden="1" customHeight="1" outlineLevel="1" x14ac:dyDescent="0.2">
      <c r="A558" s="74"/>
      <c r="B558" s="565"/>
      <c r="C558" s="235"/>
      <c r="D558" s="726" t="s">
        <v>2341</v>
      </c>
      <c r="E558" s="577">
        <v>0</v>
      </c>
      <c r="F558" s="577">
        <v>0</v>
      </c>
      <c r="G558" s="577">
        <v>0</v>
      </c>
      <c r="H558" s="577">
        <v>0</v>
      </c>
      <c r="I558" s="577">
        <v>0</v>
      </c>
      <c r="J558" s="577">
        <v>0</v>
      </c>
      <c r="K558" s="577">
        <v>0</v>
      </c>
      <c r="L558" s="577">
        <v>0</v>
      </c>
      <c r="M558" s="577">
        <v>0</v>
      </c>
      <c r="N558" s="577">
        <v>0</v>
      </c>
      <c r="O558" s="535" t="s">
        <v>2342</v>
      </c>
    </row>
    <row r="559" spans="1:33" s="142" customFormat="1" ht="18" hidden="1" customHeight="1" outlineLevel="1" x14ac:dyDescent="0.2">
      <c r="A559" s="74"/>
      <c r="B559" s="138"/>
      <c r="C559" s="235"/>
      <c r="D559" s="726" t="s">
        <v>2343</v>
      </c>
      <c r="E559" s="577">
        <v>0</v>
      </c>
      <c r="F559" s="577">
        <v>0</v>
      </c>
      <c r="G559" s="577">
        <v>0</v>
      </c>
      <c r="H559" s="577">
        <v>0</v>
      </c>
      <c r="I559" s="577">
        <v>0</v>
      </c>
      <c r="J559" s="577">
        <v>0</v>
      </c>
      <c r="K559" s="577">
        <v>0</v>
      </c>
      <c r="L559" s="577">
        <v>0</v>
      </c>
      <c r="M559" s="577">
        <v>0</v>
      </c>
      <c r="N559" s="577">
        <v>0</v>
      </c>
      <c r="O559" s="535" t="s">
        <v>2344</v>
      </c>
    </row>
    <row r="560" spans="1:33" s="142" customFormat="1" ht="18" hidden="1" customHeight="1" outlineLevel="1" x14ac:dyDescent="0.2">
      <c r="A560" s="74"/>
      <c r="B560" s="138"/>
      <c r="C560" s="235"/>
      <c r="D560" s="726" t="s">
        <v>2345</v>
      </c>
      <c r="E560" s="577">
        <v>0</v>
      </c>
      <c r="F560" s="577">
        <v>0</v>
      </c>
      <c r="G560" s="577">
        <v>0</v>
      </c>
      <c r="H560" s="577">
        <v>0</v>
      </c>
      <c r="I560" s="577">
        <v>0</v>
      </c>
      <c r="J560" s="577">
        <v>0</v>
      </c>
      <c r="K560" s="577">
        <v>0</v>
      </c>
      <c r="L560" s="577">
        <v>0</v>
      </c>
      <c r="M560" s="577">
        <v>0</v>
      </c>
      <c r="N560" s="577">
        <v>0</v>
      </c>
      <c r="O560" s="535" t="s">
        <v>2346</v>
      </c>
    </row>
    <row r="561" spans="1:33" s="206" customFormat="1" ht="15.75" hidden="1" outlineLevel="1" thickBot="1" x14ac:dyDescent="0.3">
      <c r="A561" s="74"/>
      <c r="B561" s="563"/>
      <c r="C561" s="564"/>
      <c r="D561" s="724"/>
      <c r="E561" s="571"/>
      <c r="F561" s="571"/>
      <c r="G561" s="571"/>
      <c r="H561" s="571"/>
      <c r="I561" s="571"/>
      <c r="J561" s="571"/>
      <c r="K561" s="571"/>
      <c r="L561" s="571"/>
      <c r="M561" s="571"/>
      <c r="N561" s="571"/>
      <c r="O561" s="572"/>
      <c r="P561" s="210"/>
    </row>
    <row r="562" spans="1:33" s="206" customFormat="1" ht="15.75" hidden="1" outlineLevel="1" thickBot="1" x14ac:dyDescent="0.3">
      <c r="A562" s="74"/>
      <c r="B562" s="563"/>
      <c r="C562" s="322"/>
      <c r="D562" s="732"/>
      <c r="E562" s="581"/>
      <c r="F562" s="581"/>
      <c r="G562" s="581"/>
      <c r="H562" s="581"/>
      <c r="I562" s="581"/>
      <c r="J562" s="581"/>
      <c r="K562" s="581"/>
      <c r="L562" s="581"/>
      <c r="M562" s="581"/>
      <c r="N562" s="581"/>
      <c r="O562" s="558"/>
      <c r="P562" s="210"/>
    </row>
    <row r="563" spans="1:33" s="8" customFormat="1" ht="20.25" hidden="1" outlineLevel="1" x14ac:dyDescent="0.2">
      <c r="A563" s="74"/>
      <c r="B563" s="102"/>
      <c r="C563" s="1010" t="str">
        <f>Scenario2&amp;" Record Search Cost pa (based on Touch Hour Rate)"</f>
        <v>hSystems (Hybrid) Record Search Cost pa (based on Touch Hour Rate)</v>
      </c>
      <c r="D563" s="310"/>
      <c r="E563" s="316"/>
      <c r="F563" s="316"/>
      <c r="G563" s="316"/>
      <c r="H563" s="316"/>
      <c r="I563" s="316"/>
      <c r="J563" s="316"/>
      <c r="K563" s="316"/>
      <c r="L563" s="316"/>
      <c r="M563" s="316"/>
      <c r="N563" s="316"/>
      <c r="O563" s="583"/>
      <c r="P563" s="17"/>
      <c r="Q563" s="17"/>
      <c r="R563" s="17"/>
      <c r="S563" s="17"/>
      <c r="T563" s="17"/>
      <c r="U563" s="17"/>
      <c r="V563" s="17"/>
      <c r="W563" s="17"/>
      <c r="X563" s="17"/>
      <c r="Y563" s="17"/>
      <c r="Z563" s="17"/>
      <c r="AA563" s="17"/>
      <c r="AB563" s="17"/>
      <c r="AC563" s="17"/>
      <c r="AD563" s="17"/>
      <c r="AE563" s="17"/>
      <c r="AF563" s="17"/>
      <c r="AG563" s="17"/>
    </row>
    <row r="564" spans="1:33" s="142" customFormat="1" ht="18" hidden="1" customHeight="1" outlineLevel="1" x14ac:dyDescent="0.2">
      <c r="A564" s="74"/>
      <c r="B564" s="138"/>
      <c r="C564" s="235"/>
      <c r="D564" s="726" t="s">
        <v>2347</v>
      </c>
      <c r="E564" s="555">
        <f>(hSystemsTouchRateHourHM*hSystemsLeaseRecordSearchLaborHrsHM*hSystemsLeaseRecordsSearchForecast)</f>
        <v>0</v>
      </c>
      <c r="F564" s="555">
        <f>(hSystemsTouchRateHourHM*hSystemsLeaseRecordSearchLaborHrsHM*hSystemsLeaseRecordsSearchForecast)*(1+Inflation)</f>
        <v>0</v>
      </c>
      <c r="G564" s="555">
        <f>(hSystemsTouchRateHourHM*hSystemsLeaseRecordSearchLaborHrsHM*hSystemsLeaseRecordsSearchForecast)*(1+Inflation)^2</f>
        <v>0</v>
      </c>
      <c r="H564" s="555">
        <f>(hSystemsTouchRateHourHM*hSystemsLeaseRecordSearchLaborHrsHM*hSystemsLeaseRecordsSearchForecast)*(1+Inflation)^3</f>
        <v>0</v>
      </c>
      <c r="I564" s="555">
        <f>(hSystemsTouchRateHourHM*hSystemsLeaseRecordSearchLaborHrsHM*hSystemsLeaseRecordsSearchForecast)*(1+Inflation)^4</f>
        <v>0</v>
      </c>
      <c r="J564" s="555">
        <f>(hSystemsTouchRateHourHM*hSystemsLeaseRecordSearchLaborHrsHM*hSystemsLeaseRecordsSearchForecast)*(1+Inflation)^5</f>
        <v>0</v>
      </c>
      <c r="K564" s="555">
        <f>(hSystemsTouchRateHourHM*hSystemsLeaseRecordSearchLaborHrsHM*hSystemsLeaseRecordsSearchForecast)*(1+Inflation)^6</f>
        <v>0</v>
      </c>
      <c r="L564" s="555">
        <f>(hSystemsTouchRateHourHM*hSystemsLeaseRecordSearchLaborHrsHM*hSystemsLeaseRecordsSearchForecast)*(1+Inflation)^7</f>
        <v>0</v>
      </c>
      <c r="M564" s="555">
        <f>(hSystemsTouchRateHourHM*hSystemsLeaseRecordSearchLaborHrsHM*hSystemsLeaseRecordsSearchForecast)*(1+Inflation)^8</f>
        <v>0</v>
      </c>
      <c r="N564" s="555">
        <f>(hSystemsTouchRateHourHM*hSystemsLeaseRecordSearchLaborHrsHM*hSystemsLeaseRecordsSearchForecast)*(1+Inflation)^9</f>
        <v>0</v>
      </c>
      <c r="O564" s="535" t="s">
        <v>2348</v>
      </c>
    </row>
    <row r="565" spans="1:33" s="142" customFormat="1" ht="18" hidden="1" customHeight="1" outlineLevel="1" x14ac:dyDescent="0.2">
      <c r="A565" s="74"/>
      <c r="B565" s="128"/>
      <c r="C565" s="235"/>
      <c r="D565" s="726" t="s">
        <v>2349</v>
      </c>
      <c r="E565" s="555">
        <f>(hSystemsTouchRateHourLM*hSystemsLeaseRecordSearchLaborHrsLM*hSystemsLeaseRecordsSearchForecast)</f>
        <v>0</v>
      </c>
      <c r="F565" s="555">
        <f>(hSystemsTouchRateHourLM*hSystemsLeaseRecordSearchLaborHrsLM*hSystemsLeaseRecordsSearchForecast)*(1+Inflation)</f>
        <v>0</v>
      </c>
      <c r="G565" s="555">
        <f>(hSystemsTouchRateHourLM*hSystemsLeaseRecordSearchLaborHrsLM*hSystemsLeaseRecordsSearchForecast)*(1+Inflation)^2</f>
        <v>0</v>
      </c>
      <c r="H565" s="555">
        <f>(hSystemsTouchRateHourLM*hSystemsLeaseRecordSearchLaborHrsLM*hSystemsLeaseRecordsSearchForecast)*(1+Inflation)^3</f>
        <v>0</v>
      </c>
      <c r="I565" s="555">
        <f>(hSystemsTouchRateHourLM*hSystemsLeaseRecordSearchLaborHrsLM*hSystemsLeaseRecordsSearchForecast)*(1+Inflation)^4</f>
        <v>0</v>
      </c>
      <c r="J565" s="555">
        <f>(hSystemsTouchRateHourLM*hSystemsLeaseRecordSearchLaborHrsLM*hSystemsLeaseRecordsSearchForecast)*(1+Inflation)^5</f>
        <v>0</v>
      </c>
      <c r="K565" s="555">
        <f>(hSystemsTouchRateHourLM*hSystemsLeaseRecordSearchLaborHrsLM*hSystemsLeaseRecordsSearchForecast)*(1+Inflation)^6</f>
        <v>0</v>
      </c>
      <c r="L565" s="555">
        <f>(hSystemsTouchRateHourLM*hSystemsLeaseRecordSearchLaborHrsLM*hSystemsLeaseRecordsSearchForecast)*(1+Inflation)^7</f>
        <v>0</v>
      </c>
      <c r="M565" s="555">
        <f>(hSystemsTouchRateHourLM*hSystemsLeaseRecordSearchLaborHrsLM*hSystemsLeaseRecordsSearchForecast)*(1+Inflation)^8</f>
        <v>0</v>
      </c>
      <c r="N565" s="555">
        <f>(hSystemsTouchRateHourLM*hSystemsLeaseRecordSearchLaborHrsLM*hSystemsLeaseRecordsSearchForecast)*(1+Inflation)^9</f>
        <v>0</v>
      </c>
      <c r="O565" s="535" t="s">
        <v>2350</v>
      </c>
    </row>
    <row r="566" spans="1:33" s="142" customFormat="1" ht="18" hidden="1" customHeight="1" outlineLevel="1" x14ac:dyDescent="0.2">
      <c r="A566" s="74"/>
      <c r="B566" s="128"/>
      <c r="C566" s="235"/>
      <c r="D566" s="727" t="s">
        <v>2351</v>
      </c>
      <c r="E566" s="555">
        <f>(hSystemsTouchRateHourENG*hSystemsLeaseRecordSearchLaborHrsENG*hSystemsLeaseRecordsSearchForecast)</f>
        <v>0</v>
      </c>
      <c r="F566" s="555">
        <f>(hSystemsTouchRateHourENG*hSystemsLeaseRecordSearchLaborHrsENG*hSystemsLeaseRecordsSearchForecast)*(1+Inflation)</f>
        <v>0</v>
      </c>
      <c r="G566" s="555">
        <f>(hSystemsTouchRateHourENG*hSystemsLeaseRecordSearchLaborHrsENG*hSystemsLeaseRecordsSearchForecast)*(1+Inflation)^2</f>
        <v>0</v>
      </c>
      <c r="H566" s="555">
        <f>(hSystemsTouchRateHourENG*hSystemsLeaseRecordSearchLaborHrsENG*hSystemsLeaseRecordsSearchForecast)*(1+Inflation)^3</f>
        <v>0</v>
      </c>
      <c r="I566" s="555">
        <f>(hSystemsTouchRateHourENG*hSystemsLeaseRecordSearchLaborHrsENG*hSystemsLeaseRecordsSearchForecast)*(1+Inflation)^4</f>
        <v>0</v>
      </c>
      <c r="J566" s="555">
        <f>(hSystemsTouchRateHourENG*hSystemsLeaseRecordSearchLaborHrsENG*hSystemsLeaseRecordsSearchForecast)*(1+Inflation)^5</f>
        <v>0</v>
      </c>
      <c r="K566" s="555">
        <f>(hSystemsTouchRateHourENG*hSystemsLeaseRecordSearchLaborHrsENG*hSystemsLeaseRecordsSearchForecast)*(1+Inflation)^6</f>
        <v>0</v>
      </c>
      <c r="L566" s="555">
        <f>(hSystemsTouchRateHourENG*hSystemsLeaseRecordSearchLaborHrsENG*hSystemsLeaseRecordsSearchForecast)*(1+Inflation)^7</f>
        <v>0</v>
      </c>
      <c r="M566" s="555">
        <f>(hSystemsTouchRateHourENG*hSystemsLeaseRecordSearchLaborHrsENG*hSystemsLeaseRecordsSearchForecast)*(1+Inflation)^8</f>
        <v>0</v>
      </c>
      <c r="N566" s="555">
        <f>(hSystemsTouchRateHourENG*hSystemsLeaseRecordSearchLaborHrsENG*hSystemsLeaseRecordsSearchForecast)*(1+Inflation)^9</f>
        <v>0</v>
      </c>
      <c r="O566" s="535" t="s">
        <v>2352</v>
      </c>
    </row>
    <row r="567" spans="1:33" s="142" customFormat="1" ht="18" hidden="1" customHeight="1" outlineLevel="1" x14ac:dyDescent="0.2">
      <c r="A567" s="74"/>
      <c r="B567" s="138"/>
      <c r="C567" s="235"/>
      <c r="D567" s="726" t="s">
        <v>2353</v>
      </c>
      <c r="E567" s="555">
        <f>(hSystemsTouchRateHourPLG*hSystemsLeaseRecordSearchLaborHrsPLG*hSystemsLeaseRecordsSearchForecast)</f>
        <v>98567.892503536073</v>
      </c>
      <c r="F567" s="555">
        <f>(hSystemsTouchRateHourPLG*hSystemsLeaseRecordSearchLaborHrsPLG*hSystemsLeaseRecordsSearchForecast)*(1+Inflation)</f>
        <v>13572.798797736918</v>
      </c>
      <c r="G567" s="555">
        <f>(hSystemsTouchRateHourPLG*hSystemsLeaseRecordSearchLaborHrsPLG*hSystemsLeaseRecordsSearchForecast)*(1+Inflation)^2</f>
        <v>12306.004243281472</v>
      </c>
      <c r="H567" s="555">
        <f>(hSystemsTouchRateHourPLG*hSystemsLeaseRecordSearchLaborHrsPLG*hSystemsLeaseRecordsSearchForecast)*(1+Inflation)^3</f>
        <v>10983.108787128713</v>
      </c>
      <c r="I567" s="555">
        <f>(hSystemsTouchRateHourPLG*hSystemsLeaseRecordSearchLaborHrsPLG*hSystemsLeaseRecordsSearchForecast)*(1+Inflation)^4</f>
        <v>9602.375111032532</v>
      </c>
      <c r="J567" s="555">
        <f>(hSystemsTouchRateHourPLG*hSystemsLeaseRecordSearchLaborHrsPLG*hSystemsLeaseRecordsSearchForecast)*(1+Inflation)^5</f>
        <v>8162.0188443776524</v>
      </c>
      <c r="K567" s="555">
        <f>(hSystemsTouchRateHourPLG*hSystemsLeaseRecordSearchLaborHrsPLG*hSystemsLeaseRecordsSearchForecast)*(1+Inflation)^6</f>
        <v>6660.2073770121651</v>
      </c>
      <c r="L567" s="555">
        <f>(hSystemsTouchRateHourPLG*hSystemsLeaseRecordSearchLaborHrsPLG*hSystemsLeaseRecordsSearchForecast)*(1+Inflation)^7</f>
        <v>5095.0586434143052</v>
      </c>
      <c r="M567" s="555">
        <f>(hSystemsTouchRateHourPLG*hSystemsLeaseRecordSearchLaborHrsPLG*hSystemsLeaseRecordsSearchForecast)*(1+Inflation)^8</f>
        <v>3464.6398775217276</v>
      </c>
      <c r="N567" s="555">
        <f>(hSystemsTouchRateHourPLG*hSystemsLeaseRecordSearchLaborHrsPLG*hSystemsLeaseRecordsSearchForecast)*(1+Inflation)^9</f>
        <v>1766.966337536081</v>
      </c>
      <c r="O567" s="535" t="s">
        <v>2354</v>
      </c>
    </row>
    <row r="568" spans="1:33" s="142" customFormat="1" ht="18" hidden="1" customHeight="1" outlineLevel="1" x14ac:dyDescent="0.2">
      <c r="A568" s="74"/>
      <c r="B568" s="138"/>
      <c r="C568" s="235"/>
      <c r="D568" s="726" t="s">
        <v>2355</v>
      </c>
      <c r="E568" s="555">
        <f>(hSystemsTouchRateHourCRT*hSystemsLeaseRecordSearchLaborHrsCRT*hSystemsLeaseRecordsSearchForecast)</f>
        <v>57981.113237374164</v>
      </c>
      <c r="F568" s="555">
        <f>(hSystemsTouchRateHourCRT*hSystemsLeaseRecordSearchLaborHrsCRT*hSystemsLeaseRecordsSearchForecast)*(1+Inflation)</f>
        <v>7983.9992927864223</v>
      </c>
      <c r="G568" s="555">
        <f>(hSystemsTouchRateHourCRT*hSystemsLeaseRecordSearchLaborHrsCRT*hSystemsLeaseRecordsSearchForecast)*(1+Inflation)^2</f>
        <v>7238.8260254596889</v>
      </c>
      <c r="H568" s="555">
        <f>(hSystemsTouchRateHourCRT*hSystemsLeaseRecordSearchLaborHrsCRT*hSystemsLeaseRecordsSearchForecast)*(1+Inflation)^3</f>
        <v>6460.6522277227723</v>
      </c>
      <c r="I568" s="555">
        <f>(hSystemsTouchRateHourCRT*hSystemsLeaseRecordSearchLaborHrsCRT*hSystemsLeaseRecordsSearchForecast)*(1+Inflation)^4</f>
        <v>5648.4559476661952</v>
      </c>
      <c r="J568" s="555">
        <f>(hSystemsTouchRateHourCRT*hSystemsLeaseRecordSearchLaborHrsCRT*hSystemsLeaseRecordsSearchForecast)*(1+Inflation)^5</f>
        <v>4801.187555516266</v>
      </c>
      <c r="K568" s="555">
        <f>(hSystemsTouchRateHourCRT*hSystemsLeaseRecordSearchLaborHrsCRT*hSystemsLeaseRecordsSearchForecast)*(1+Inflation)^6</f>
        <v>3917.7690453012733</v>
      </c>
      <c r="L568" s="555">
        <f>(hSystemsTouchRateHourCRT*hSystemsLeaseRecordSearchLaborHrsCRT*hSystemsLeaseRecordsSearchForecast)*(1+Inflation)^7</f>
        <v>2997.0933196554734</v>
      </c>
      <c r="M568" s="555">
        <f>(hSystemsTouchRateHourCRT*hSystemsLeaseRecordSearchLaborHrsCRT*hSystemsLeaseRecordsSearchForecast)*(1+Inflation)^8</f>
        <v>2038.0234573657222</v>
      </c>
      <c r="N568" s="555">
        <f>(hSystemsTouchRateHourCRT*hSystemsLeaseRecordSearchLaborHrsCRT*hSystemsLeaseRecordsSearchForecast)*(1+Inflation)^9</f>
        <v>1039.3919632565182</v>
      </c>
      <c r="O568" s="535" t="s">
        <v>2356</v>
      </c>
    </row>
    <row r="569" spans="1:33" s="142" customFormat="1" ht="18" hidden="1" customHeight="1" outlineLevel="1" x14ac:dyDescent="0.2">
      <c r="A569" s="74"/>
      <c r="B569" s="128"/>
      <c r="C569" s="235"/>
      <c r="D569" s="726" t="s">
        <v>2357</v>
      </c>
      <c r="E569" s="555">
        <f>(hSystemsTouchRateHourSCL*hSystemsLeaseRecordSearchLaborHrsSCL*hSystemsLeaseRecordsSearchForecast)</f>
        <v>0</v>
      </c>
      <c r="F569" s="555">
        <f>(hSystemsTouchRateHourSCL*hSystemsLeaseRecordSearchLaborHrsSCL*hSystemsLeaseRecordsSearchForecast)*(1+Inflation)</f>
        <v>0</v>
      </c>
      <c r="G569" s="555">
        <f>(hSystemsTouchRateHourSCL*hSystemsLeaseRecordSearchLaborHrsSCL*hSystemsLeaseRecordsSearchForecast)*(1+Inflation)^2</f>
        <v>0</v>
      </c>
      <c r="H569" s="555">
        <f>(hSystemsTouchRateHourSCL*hSystemsLeaseRecordSearchLaborHrsSCL*hSystemsLeaseRecordsSearchForecast)*(1+Inflation)^3</f>
        <v>0</v>
      </c>
      <c r="I569" s="555">
        <f>(hSystemsTouchRateHourSCL*hSystemsLeaseRecordSearchLaborHrsSCL*hSystemsLeaseRecordsSearchForecast)*(1+Inflation)^4</f>
        <v>0</v>
      </c>
      <c r="J569" s="555">
        <f>(hSystemsTouchRateHourSCL*hSystemsLeaseRecordSearchLaborHrsSCL*hSystemsLeaseRecordsSearchForecast)*(1+Inflation)^5</f>
        <v>0</v>
      </c>
      <c r="K569" s="555">
        <f>(hSystemsTouchRateHourSCL*hSystemsLeaseRecordSearchLaborHrsSCL*hSystemsLeaseRecordsSearchForecast)*(1+Inflation)^6</f>
        <v>0</v>
      </c>
      <c r="L569" s="555">
        <f>(hSystemsTouchRateHourSCL*hSystemsLeaseRecordSearchLaborHrsSCL*hSystemsLeaseRecordsSearchForecast)*(1+Inflation)^7</f>
        <v>0</v>
      </c>
      <c r="M569" s="555">
        <f>(hSystemsTouchRateHourSCL*hSystemsLeaseRecordSearchLaborHrsSCL*hSystemsLeaseRecordsSearchForecast)*(1+Inflation)^8</f>
        <v>0</v>
      </c>
      <c r="N569" s="555">
        <f>(hSystemsTouchRateHourSCL*hSystemsLeaseRecordSearchLaborHrsSCL*hSystemsLeaseRecordsSearchForecast)*(1+Inflation)^9</f>
        <v>0</v>
      </c>
      <c r="O569" s="535" t="s">
        <v>2358</v>
      </c>
    </row>
    <row r="570" spans="1:33" s="142" customFormat="1" ht="18" hidden="1" customHeight="1" outlineLevel="1" x14ac:dyDescent="0.2">
      <c r="A570" s="74"/>
      <c r="B570" s="138"/>
      <c r="C570" s="235"/>
      <c r="D570" s="726" t="s">
        <v>2359</v>
      </c>
      <c r="E570" s="555">
        <f>(hSystemsTouchRateHourQSC*hSystemsLeaseRecordSearchLaborHrsQSC*hSystemsLeaseRecordsSearchForecast)</f>
        <v>86971.669856061242</v>
      </c>
      <c r="F570" s="555">
        <f>(hSystemsTouchRateHourQSC*hSystemsLeaseRecordSearchLaborHrsQSC*hSystemsLeaseRecordsSearchForecast)*(1+Inflation)</f>
        <v>11975.998939179633</v>
      </c>
      <c r="G570" s="555">
        <f>(hSystemsTouchRateHourQSC*hSystemsLeaseRecordSearchLaborHrsQSC*hSystemsLeaseRecordsSearchForecast)*(1+Inflation)^2</f>
        <v>10858.239038189533</v>
      </c>
      <c r="H570" s="555">
        <f>(hSystemsTouchRateHourQSC*hSystemsLeaseRecordSearchLaborHrsQSC*hSystemsLeaseRecordsSearchForecast)*(1+Inflation)^3</f>
        <v>9690.9783415841575</v>
      </c>
      <c r="I570" s="555">
        <f>(hSystemsTouchRateHourQSC*hSystemsLeaseRecordSearchLaborHrsQSC*hSystemsLeaseRecordsSearchForecast)*(1+Inflation)^4</f>
        <v>8472.6839214992924</v>
      </c>
      <c r="J570" s="555">
        <f>(hSystemsTouchRateHourQSC*hSystemsLeaseRecordSearchLaborHrsQSC*hSystemsLeaseRecordsSearchForecast)*(1+Inflation)^5</f>
        <v>7201.781333274399</v>
      </c>
      <c r="K570" s="555">
        <f>(hSystemsTouchRateHourQSC*hSystemsLeaseRecordSearchLaborHrsQSC*hSystemsLeaseRecordsSearchForecast)*(1+Inflation)^6</f>
        <v>5876.6535679519102</v>
      </c>
      <c r="L570" s="555">
        <f>(hSystemsTouchRateHourQSC*hSystemsLeaseRecordSearchLaborHrsQSC*hSystemsLeaseRecordsSearchForecast)*(1+Inflation)^7</f>
        <v>4495.6399794832105</v>
      </c>
      <c r="M570" s="555">
        <f>(hSystemsTouchRateHourQSC*hSystemsLeaseRecordSearchLaborHrsQSC*hSystemsLeaseRecordsSearchForecast)*(1+Inflation)^8</f>
        <v>3057.0351860485835</v>
      </c>
      <c r="N570" s="555">
        <f>(hSystemsTouchRateHourQSC*hSystemsLeaseRecordSearchLaborHrsQSC*hSystemsLeaseRecordsSearchForecast)*(1+Inflation)^9</f>
        <v>1559.0879448847775</v>
      </c>
      <c r="O570" s="535" t="s">
        <v>2360</v>
      </c>
    </row>
    <row r="571" spans="1:33" s="142" customFormat="1" ht="18" hidden="1" customHeight="1" outlineLevel="1" x14ac:dyDescent="0.2">
      <c r="A571" s="74"/>
      <c r="B571" s="138"/>
      <c r="C571" s="235"/>
      <c r="D571" s="726" t="s">
        <v>2361</v>
      </c>
      <c r="E571" s="555">
        <f>(hSystemsTouchRateHourEM*hSystemsLeaseRecordSearchLaborHrsEM*hSystemsLeaseRecordsSearchForecast)</f>
        <v>0</v>
      </c>
      <c r="F571" s="555">
        <f>(hSystemsTouchRateHourEM*hSystemsLeaseRecordSearchLaborHrsEM*hSystemsLeaseRecordsSearchForecast)*(1+Inflation)</f>
        <v>0</v>
      </c>
      <c r="G571" s="555">
        <f>(hSystemsTouchRateHourEM*hSystemsLeaseRecordSearchLaborHrsEM*hSystemsLeaseRecordsSearchForecast)*(1+Inflation)^2</f>
        <v>0</v>
      </c>
      <c r="H571" s="555">
        <f>(hSystemsTouchRateHourEM*hSystemsLeaseRecordSearchLaborHrsEM*hSystemsLeaseRecordsSearchForecast)*(1+Inflation)^3</f>
        <v>0</v>
      </c>
      <c r="I571" s="555">
        <f>(hSystemsTouchRateHourEM*hSystemsLeaseRecordSearchLaborHrsEM*hSystemsLeaseRecordsSearchForecast)*(1+Inflation)^4</f>
        <v>0</v>
      </c>
      <c r="J571" s="555">
        <f>(hSystemsTouchRateHourEM*hSystemsLeaseRecordSearchLaborHrsEM*hSystemsLeaseRecordsSearchForecast)*(1+Inflation)^5</f>
        <v>0</v>
      </c>
      <c r="K571" s="555">
        <f>(hSystemsTouchRateHourEM*hSystemsLeaseRecordSearchLaborHrsEM*hSystemsLeaseRecordsSearchForecast)*(1+Inflation)^6</f>
        <v>0</v>
      </c>
      <c r="L571" s="555">
        <f>(hSystemsTouchRateHourEM*hSystemsLeaseRecordSearchLaborHrsEM*hSystemsLeaseRecordsSearchForecast)*(1+Inflation)^7</f>
        <v>0</v>
      </c>
      <c r="M571" s="555">
        <f>(hSystemsTouchRateHourEM*hSystemsLeaseRecordSearchLaborHrsEM*hSystemsLeaseRecordsSearchForecast)*(1+Inflation)^8</f>
        <v>0</v>
      </c>
      <c r="N571" s="555">
        <f>(hSystemsTouchRateHourEM*hSystemsLeaseRecordSearchLaborHrsEM*hSystemsLeaseRecordsSearchForecast)*(1+Inflation)^9</f>
        <v>0</v>
      </c>
      <c r="O571" s="535" t="s">
        <v>2362</v>
      </c>
    </row>
    <row r="572" spans="1:33" s="142" customFormat="1" ht="18" hidden="1" customHeight="1" outlineLevel="1" x14ac:dyDescent="0.2">
      <c r="A572" s="74"/>
      <c r="B572" s="138"/>
      <c r="C572" s="235"/>
      <c r="D572" s="726" t="s">
        <v>2363</v>
      </c>
      <c r="E572" s="555">
        <f>(hSystemsTouchRateHourCM*hSystemsLeaseRecordSearchLaborHrsCM*hSystemsLeaseRecordsSearchForecast)</f>
        <v>0</v>
      </c>
      <c r="F572" s="555">
        <f>(hSystemsTouchRateHourCM*hSystemsLeaseRecordSearchLaborHrsCM*hSystemsLeaseRecordsSearchForecast)*(1+Inflation)</f>
        <v>0</v>
      </c>
      <c r="G572" s="555">
        <f>(hSystemsTouchRateHourCM*hSystemsLeaseRecordSearchLaborHrsCM*hSystemsLeaseRecordsSearchForecast)*(1+Inflation)^2</f>
        <v>0</v>
      </c>
      <c r="H572" s="555">
        <f>(hSystemsTouchRateHourCM*hSystemsLeaseRecordSearchLaborHrsCM*hSystemsLeaseRecordsSearchForecast)*(1+Inflation)^3</f>
        <v>0</v>
      </c>
      <c r="I572" s="555">
        <f>(hSystemsTouchRateHourCM*hSystemsLeaseRecordSearchLaborHrsCM*hSystemsLeaseRecordsSearchForecast)*(1+Inflation)^4</f>
        <v>0</v>
      </c>
      <c r="J572" s="555">
        <f>(hSystemsTouchRateHourCM*hSystemsLeaseRecordSearchLaborHrsCM*hSystemsLeaseRecordsSearchForecast)*(1+Inflation)^5</f>
        <v>0</v>
      </c>
      <c r="K572" s="555">
        <f>(hSystemsTouchRateHourCM*hSystemsLeaseRecordSearchLaborHrsCM*hSystemsLeaseRecordsSearchForecast)*(1+Inflation)^6</f>
        <v>0</v>
      </c>
      <c r="L572" s="555">
        <f>(hSystemsTouchRateHourCM*hSystemsLeaseRecordSearchLaborHrsCM*hSystemsLeaseRecordsSearchForecast)*(1+Inflation)^7</f>
        <v>0</v>
      </c>
      <c r="M572" s="555">
        <f>(hSystemsTouchRateHourCM*hSystemsLeaseRecordSearchLaborHrsCM*hSystemsLeaseRecordsSearchForecast)*(1+Inflation)^8</f>
        <v>0</v>
      </c>
      <c r="N572" s="555">
        <f>(hSystemsTouchRateHourCM*hSystemsLeaseRecordSearchLaborHrsCM*hSystemsLeaseRecordsSearchForecast)*(1+Inflation)^9</f>
        <v>0</v>
      </c>
      <c r="O572" s="535" t="s">
        <v>2364</v>
      </c>
    </row>
    <row r="573" spans="1:33" s="142" customFormat="1" ht="18" hidden="1" customHeight="1" outlineLevel="1" x14ac:dyDescent="0.2">
      <c r="A573" s="74"/>
      <c r="B573" s="138"/>
      <c r="C573" s="235"/>
      <c r="D573" s="726" t="s">
        <v>2365</v>
      </c>
      <c r="E573" s="555">
        <f>(hSystemsTouchRateHourSMCS*hSystemsLeaseRecordSearchLaborHrsSMCS*hSystemsLeaseRecordsSearchForecast)</f>
        <v>0</v>
      </c>
      <c r="F573" s="555">
        <f>(hSystemsTouchRateHourSMCS*hSystemsLeaseRecordSearchLaborHrsSMCS*hSystemsLeaseRecordsSearchForecast)*(1+Inflation)</f>
        <v>0</v>
      </c>
      <c r="G573" s="555">
        <f>(hSystemsTouchRateHourSMCS*hSystemsLeaseRecordSearchLaborHrsSMCS*hSystemsLeaseRecordsSearchForecast)*(1+Inflation)^2</f>
        <v>0</v>
      </c>
      <c r="H573" s="555">
        <f>(hSystemsTouchRateHourSMCS*hSystemsLeaseRecordSearchLaborHrsSMCS*hSystemsLeaseRecordsSearchForecast)*(1+Inflation)^3</f>
        <v>0</v>
      </c>
      <c r="I573" s="555">
        <f>(hSystemsTouchRateHourSMCS*hSystemsLeaseRecordSearchLaborHrsSMCS*hSystemsLeaseRecordsSearchForecast)*(1+Inflation)^4</f>
        <v>0</v>
      </c>
      <c r="J573" s="555">
        <f>(hSystemsTouchRateHourSMCS*hSystemsLeaseRecordSearchLaborHrsSMCS*hSystemsLeaseRecordsSearchForecast)*(1+Inflation)^5</f>
        <v>0</v>
      </c>
      <c r="K573" s="555">
        <f>(hSystemsTouchRateHourSMCS*hSystemsLeaseRecordSearchLaborHrsSMCS*hSystemsLeaseRecordsSearchForecast)*(1+Inflation)^6</f>
        <v>0</v>
      </c>
      <c r="L573" s="555">
        <f>(hSystemsTouchRateHourSMCS*hSystemsLeaseRecordSearchLaborHrsSMCS*hSystemsLeaseRecordsSearchForecast)*(1+Inflation)^7</f>
        <v>0</v>
      </c>
      <c r="M573" s="555">
        <f>(hSystemsTouchRateHourSMCS*hSystemsLeaseRecordSearchLaborHrsSMCS*hSystemsLeaseRecordsSearchForecast)*(1+Inflation)^8</f>
        <v>0</v>
      </c>
      <c r="N573" s="555">
        <f>(hSystemsTouchRateHourSMCS*hSystemsLeaseRecordSearchLaborHrsSMCS*hSystemsLeaseRecordsSearchForecast)*(1+Inflation)^9</f>
        <v>0</v>
      </c>
      <c r="O573" s="535" t="s">
        <v>2366</v>
      </c>
    </row>
    <row r="574" spans="1:33" s="142" customFormat="1" ht="18" hidden="1" customHeight="1" outlineLevel="1" x14ac:dyDescent="0.2">
      <c r="A574" s="74"/>
      <c r="B574" s="138"/>
      <c r="C574" s="235"/>
      <c r="D574" s="726" t="s">
        <v>2367</v>
      </c>
      <c r="E574" s="555">
        <f>(hSystemsTouchRateHourO1*hSystemsLeaseRecordSearchLaborHrsO1*hSystemsLeaseRecordsSearchForecast)</f>
        <v>0</v>
      </c>
      <c r="F574" s="555">
        <f>(hSystemsTouchRateHourO1*hSystemsLeaseRecordSearchLaborHrsO1*hSystemsLeaseRecordsSearchForecast)*(1+Inflation)</f>
        <v>0</v>
      </c>
      <c r="G574" s="555">
        <f>(hSystemsTouchRateHourO1*hSystemsLeaseRecordSearchLaborHrsO1*hSystemsLeaseRecordsSearchForecast)*(1+Inflation)^2</f>
        <v>0</v>
      </c>
      <c r="H574" s="555">
        <f>(hSystemsTouchRateHourO1*hSystemsLeaseRecordSearchLaborHrsO1*hSystemsLeaseRecordsSearchForecast)*(1+Inflation)^3</f>
        <v>0</v>
      </c>
      <c r="I574" s="555">
        <f>(hSystemsTouchRateHourO1*hSystemsLeaseRecordSearchLaborHrsO1*hSystemsLeaseRecordsSearchForecast)*(1+Inflation)^4</f>
        <v>0</v>
      </c>
      <c r="J574" s="555">
        <f>(hSystemsTouchRateHourO1*hSystemsLeaseRecordSearchLaborHrsO1*hSystemsLeaseRecordsSearchForecast)*(1+Inflation)^5</f>
        <v>0</v>
      </c>
      <c r="K574" s="555">
        <f>(hSystemsTouchRateHourO1*hSystemsLeaseRecordSearchLaborHrsO1*hSystemsLeaseRecordsSearchForecast)*(1+Inflation)^6</f>
        <v>0</v>
      </c>
      <c r="L574" s="555">
        <f>(hSystemsTouchRateHourO1*hSystemsLeaseRecordSearchLaborHrsO1*hSystemsLeaseRecordsSearchForecast)*(1+Inflation)^7</f>
        <v>0</v>
      </c>
      <c r="M574" s="555">
        <f>(hSystemsTouchRateHourO1*hSystemsLeaseRecordSearchLaborHrsO1*hSystemsLeaseRecordsSearchForecast)*(1+Inflation)^8</f>
        <v>0</v>
      </c>
      <c r="N574" s="555">
        <f>(hSystemsTouchRateHourO1*hSystemsLeaseRecordSearchLaborHrsO1*hSystemsLeaseRecordsSearchForecast)*(1+Inflation)^9</f>
        <v>0</v>
      </c>
      <c r="O574" s="535" t="s">
        <v>2368</v>
      </c>
    </row>
    <row r="575" spans="1:33" s="142" customFormat="1" ht="18" hidden="1" customHeight="1" outlineLevel="1" x14ac:dyDescent="0.2">
      <c r="A575" s="74"/>
      <c r="B575" s="138"/>
      <c r="C575" s="235"/>
      <c r="D575" s="726" t="s">
        <v>2369</v>
      </c>
      <c r="E575" s="555">
        <f>(hSystemsTouchRateHourO2*hSystemsLeaseRecordSearchLaborHrsO2*hSystemsLeaseRecordsSearchForecast)</f>
        <v>0</v>
      </c>
      <c r="F575" s="555">
        <f>(hSystemsTouchRateHourO2*hSystemsLeaseRecordSearchLaborHrsO2*hSystemsLeaseRecordsSearchForecast)*(1+Inflation)</f>
        <v>0</v>
      </c>
      <c r="G575" s="555">
        <f>(hSystemsTouchRateHourO2*hSystemsLeaseRecordSearchLaborHrsO2*hSystemsLeaseRecordsSearchForecast)*(1+Inflation)^2</f>
        <v>0</v>
      </c>
      <c r="H575" s="555">
        <f>(hSystemsTouchRateHourO2*hSystemsLeaseRecordSearchLaborHrsO2*hSystemsLeaseRecordsSearchForecast)*(1+Inflation)^3</f>
        <v>0</v>
      </c>
      <c r="I575" s="555">
        <f>(hSystemsTouchRateHourO2*hSystemsLeaseRecordSearchLaborHrsO2*hSystemsLeaseRecordsSearchForecast)*(1+Inflation)^4</f>
        <v>0</v>
      </c>
      <c r="J575" s="555">
        <f>(hSystemsTouchRateHourO2*hSystemsLeaseRecordSearchLaborHrsO2*hSystemsLeaseRecordsSearchForecast)*(1+Inflation)^5</f>
        <v>0</v>
      </c>
      <c r="K575" s="555">
        <f>(hSystemsTouchRateHourO2*hSystemsLeaseRecordSearchLaborHrsO2*hSystemsLeaseRecordsSearchForecast)*(1+Inflation)^6</f>
        <v>0</v>
      </c>
      <c r="L575" s="555">
        <f>(hSystemsTouchRateHourO2*hSystemsLeaseRecordSearchLaborHrsO2*hSystemsLeaseRecordsSearchForecast)*(1+Inflation)^7</f>
        <v>0</v>
      </c>
      <c r="M575" s="555">
        <f>(hSystemsTouchRateHourO2*hSystemsLeaseRecordSearchLaborHrsO2*hSystemsLeaseRecordsSearchForecast)*(1+Inflation)^8</f>
        <v>0</v>
      </c>
      <c r="N575" s="555">
        <f>(hSystemsTouchRateHourO2*hSystemsLeaseRecordSearchLaborHrsO2*hSystemsLeaseRecordsSearchForecast)*(1+Inflation)^9</f>
        <v>0</v>
      </c>
      <c r="O575" s="535" t="s">
        <v>2370</v>
      </c>
    </row>
    <row r="576" spans="1:33" s="142" customFormat="1" ht="18" hidden="1" customHeight="1" outlineLevel="1" x14ac:dyDescent="0.25">
      <c r="A576" s="74"/>
      <c r="B576" s="138"/>
      <c r="C576" s="235"/>
      <c r="D576" s="728" t="s">
        <v>2371</v>
      </c>
      <c r="E576" s="556">
        <f>SUM(E564:E575)</f>
        <v>243520.67559697147</v>
      </c>
      <c r="F576" s="556">
        <f t="shared" ref="F576:N576" si="140">SUM(F564:F575)</f>
        <v>33532.797029702975</v>
      </c>
      <c r="G576" s="556">
        <f t="shared" si="140"/>
        <v>30403.069306930694</v>
      </c>
      <c r="H576" s="556">
        <f t="shared" si="140"/>
        <v>27134.739356435646</v>
      </c>
      <c r="I576" s="556">
        <f t="shared" si="140"/>
        <v>23723.514980198022</v>
      </c>
      <c r="J576" s="556">
        <f t="shared" si="140"/>
        <v>20164.987733168316</v>
      </c>
      <c r="K576" s="556">
        <f t="shared" si="140"/>
        <v>16454.629990265348</v>
      </c>
      <c r="L576" s="556">
        <f t="shared" si="140"/>
        <v>12587.791942552989</v>
      </c>
      <c r="M576" s="556">
        <f t="shared" si="140"/>
        <v>8559.6985209360319</v>
      </c>
      <c r="N576" s="556">
        <f t="shared" si="140"/>
        <v>4365.4462456773763</v>
      </c>
      <c r="O576" s="535" t="s">
        <v>2372</v>
      </c>
    </row>
    <row r="577" spans="1:33" s="203" customFormat="1" ht="13.5" hidden="1" outlineLevel="1" thickBot="1" x14ac:dyDescent="0.25">
      <c r="A577" s="74"/>
      <c r="B577" s="74"/>
      <c r="C577" s="325"/>
      <c r="D577" s="725"/>
      <c r="E577" s="568"/>
      <c r="F577" s="568"/>
      <c r="G577" s="568"/>
      <c r="H577" s="568"/>
      <c r="I577" s="568"/>
      <c r="J577" s="568"/>
      <c r="K577" s="568"/>
      <c r="L577" s="568"/>
      <c r="M577" s="568"/>
      <c r="N577" s="568"/>
      <c r="O577" s="569"/>
      <c r="P577" s="204"/>
    </row>
    <row r="578" spans="1:33" s="203" customFormat="1" ht="13.5" hidden="1" outlineLevel="1" thickBot="1" x14ac:dyDescent="0.25">
      <c r="A578" s="74"/>
      <c r="B578" s="74"/>
      <c r="C578" s="211"/>
      <c r="D578" s="214"/>
      <c r="E578" s="210"/>
      <c r="F578" s="210"/>
      <c r="G578" s="210"/>
      <c r="H578" s="210"/>
      <c r="I578" s="210"/>
      <c r="J578" s="210"/>
      <c r="K578" s="210"/>
      <c r="L578" s="210"/>
      <c r="M578" s="210"/>
      <c r="N578" s="210"/>
      <c r="O578" s="204"/>
      <c r="P578" s="204"/>
    </row>
    <row r="579" spans="1:33" customFormat="1" ht="20.25" hidden="1" outlineLevel="1" x14ac:dyDescent="0.2">
      <c r="A579" s="74"/>
      <c r="B579" s="13"/>
      <c r="C579" s="1010" t="str">
        <f>Scenario2&amp;"  Record Search FTEs"</f>
        <v>hSystems (Hybrid)  Record Search FTEs</v>
      </c>
      <c r="D579" s="310"/>
      <c r="E579" s="434"/>
      <c r="F579" s="434"/>
      <c r="G579" s="434"/>
      <c r="H579" s="434"/>
      <c r="I579" s="434"/>
      <c r="J579" s="434"/>
      <c r="K579" s="434"/>
      <c r="L579" s="434"/>
      <c r="M579" s="434"/>
      <c r="N579" s="434"/>
      <c r="O579" s="573"/>
      <c r="P579" s="18"/>
      <c r="Q579" s="18"/>
      <c r="R579" s="18"/>
      <c r="S579" s="18"/>
      <c r="T579" s="18"/>
      <c r="U579" s="18"/>
      <c r="V579" s="18"/>
      <c r="W579" s="18"/>
      <c r="X579" s="18"/>
      <c r="Y579" s="18"/>
      <c r="Z579" s="18"/>
      <c r="AA579" s="18"/>
      <c r="AB579" s="18"/>
      <c r="AC579" s="18"/>
      <c r="AD579" s="18"/>
      <c r="AE579" s="18"/>
      <c r="AF579" s="18"/>
      <c r="AG579" s="18"/>
    </row>
    <row r="580" spans="1:33" s="142" customFormat="1" ht="18" hidden="1" customHeight="1" outlineLevel="1" x14ac:dyDescent="0.2">
      <c r="A580" s="74"/>
      <c r="B580" s="138"/>
      <c r="C580" s="235"/>
      <c r="D580" s="726" t="s">
        <v>2373</v>
      </c>
      <c r="E580" s="557">
        <f t="shared" ref="E580:N580" si="141">(hSystemsLeaseRecordSearchLaborHrsHM/hSystemsTouchHourspaHM)*hSystemsLeaseRecordsSearchForecast</f>
        <v>0</v>
      </c>
      <c r="F580" s="557">
        <f t="shared" si="141"/>
        <v>0</v>
      </c>
      <c r="G580" s="557">
        <f t="shared" si="141"/>
        <v>0</v>
      </c>
      <c r="H580" s="557">
        <f t="shared" si="141"/>
        <v>0</v>
      </c>
      <c r="I580" s="557">
        <f t="shared" si="141"/>
        <v>0</v>
      </c>
      <c r="J580" s="557">
        <f t="shared" si="141"/>
        <v>0</v>
      </c>
      <c r="K580" s="557">
        <f t="shared" si="141"/>
        <v>0</v>
      </c>
      <c r="L580" s="557">
        <f t="shared" si="141"/>
        <v>0</v>
      </c>
      <c r="M580" s="557">
        <f t="shared" si="141"/>
        <v>0</v>
      </c>
      <c r="N580" s="557">
        <f t="shared" si="141"/>
        <v>0</v>
      </c>
      <c r="O580" s="535" t="s">
        <v>2374</v>
      </c>
    </row>
    <row r="581" spans="1:33" s="142" customFormat="1" ht="18" hidden="1" customHeight="1" outlineLevel="1" x14ac:dyDescent="0.2">
      <c r="A581" s="74"/>
      <c r="B581" s="138"/>
      <c r="C581" s="235"/>
      <c r="D581" s="726" t="s">
        <v>2375</v>
      </c>
      <c r="E581" s="557">
        <f t="shared" ref="E581:N581" si="142">(hSystemsLeaseRecordSearchLaborHrsLM/hSystemsTouchHourspaLM)*hSystemsLeaseRecordsSearchForecast</f>
        <v>0</v>
      </c>
      <c r="F581" s="557">
        <f t="shared" si="142"/>
        <v>0</v>
      </c>
      <c r="G581" s="557">
        <f t="shared" si="142"/>
        <v>0</v>
      </c>
      <c r="H581" s="557">
        <f t="shared" si="142"/>
        <v>0</v>
      </c>
      <c r="I581" s="557">
        <f t="shared" si="142"/>
        <v>0</v>
      </c>
      <c r="J581" s="557">
        <f t="shared" si="142"/>
        <v>0</v>
      </c>
      <c r="K581" s="557">
        <f t="shared" si="142"/>
        <v>0</v>
      </c>
      <c r="L581" s="557">
        <f t="shared" si="142"/>
        <v>0</v>
      </c>
      <c r="M581" s="557">
        <f t="shared" si="142"/>
        <v>0</v>
      </c>
      <c r="N581" s="557">
        <f t="shared" si="142"/>
        <v>0</v>
      </c>
      <c r="O581" s="535" t="s">
        <v>2376</v>
      </c>
    </row>
    <row r="582" spans="1:33" s="142" customFormat="1" ht="18" hidden="1" customHeight="1" outlineLevel="1" x14ac:dyDescent="0.2">
      <c r="A582" s="74"/>
      <c r="B582" s="138"/>
      <c r="C582" s="235"/>
      <c r="D582" s="727" t="s">
        <v>2377</v>
      </c>
      <c r="E582" s="557">
        <f t="shared" ref="E582:N582" si="143">(hSystemsLeaseRecordSearchLaborHrsENG/hSystemsTouchHourspaENG)*hSystemsLeaseRecordsSearchForecast</f>
        <v>0</v>
      </c>
      <c r="F582" s="557">
        <f t="shared" si="143"/>
        <v>0</v>
      </c>
      <c r="G582" s="557">
        <f t="shared" si="143"/>
        <v>0</v>
      </c>
      <c r="H582" s="557">
        <f t="shared" si="143"/>
        <v>0</v>
      </c>
      <c r="I582" s="557">
        <f t="shared" si="143"/>
        <v>0</v>
      </c>
      <c r="J582" s="557">
        <f t="shared" si="143"/>
        <v>0</v>
      </c>
      <c r="K582" s="557">
        <f t="shared" si="143"/>
        <v>0</v>
      </c>
      <c r="L582" s="557">
        <f t="shared" si="143"/>
        <v>0</v>
      </c>
      <c r="M582" s="557">
        <f t="shared" si="143"/>
        <v>0</v>
      </c>
      <c r="N582" s="557">
        <f t="shared" si="143"/>
        <v>0</v>
      </c>
      <c r="O582" s="535" t="s">
        <v>2378</v>
      </c>
    </row>
    <row r="583" spans="1:33" s="142" customFormat="1" ht="18" hidden="1" customHeight="1" outlineLevel="1" x14ac:dyDescent="0.2">
      <c r="A583" s="74"/>
      <c r="B583" s="138"/>
      <c r="C583" s="235"/>
      <c r="D583" s="726" t="s">
        <v>2379</v>
      </c>
      <c r="E583" s="557">
        <f t="shared" ref="E583:N583" si="144">(hSystemsLeaseRecordSearchLaborHrsPLG/hSystemsTouchHourspaPLG)*hSystemsLeaseRecordsSearchForecast</f>
        <v>0.83201597470671451</v>
      </c>
      <c r="F583" s="557">
        <f t="shared" si="144"/>
        <v>0.11232215658540644</v>
      </c>
      <c r="G583" s="557">
        <f t="shared" si="144"/>
        <v>9.9841916964805724E-2</v>
      </c>
      <c r="H583" s="557">
        <f t="shared" si="144"/>
        <v>8.736167734420501E-2</v>
      </c>
      <c r="I583" s="557">
        <f t="shared" si="144"/>
        <v>7.4881437723604297E-2</v>
      </c>
      <c r="J583" s="557">
        <f t="shared" si="144"/>
        <v>6.2401198103003583E-2</v>
      </c>
      <c r="K583" s="557">
        <f t="shared" si="144"/>
        <v>4.9920958482402862E-2</v>
      </c>
      <c r="L583" s="557">
        <f t="shared" si="144"/>
        <v>3.7440718861802148E-2</v>
      </c>
      <c r="M583" s="557">
        <f t="shared" si="144"/>
        <v>2.4960479241201431E-2</v>
      </c>
      <c r="N583" s="557">
        <f t="shared" si="144"/>
        <v>1.2480239620600716E-2</v>
      </c>
      <c r="O583" s="535" t="s">
        <v>2380</v>
      </c>
    </row>
    <row r="584" spans="1:33" s="142" customFormat="1" ht="18" hidden="1" customHeight="1" outlineLevel="1" x14ac:dyDescent="0.2">
      <c r="A584" s="74"/>
      <c r="B584" s="138"/>
      <c r="C584" s="235"/>
      <c r="D584" s="726" t="s">
        <v>2381</v>
      </c>
      <c r="E584" s="557">
        <f t="shared" ref="E584:N584" si="145">(hSystemsLeaseRecordSearchLaborHrsCRT/hSystemsTouchHourspaCRT)*hSystemsLeaseRecordsSearchForecast</f>
        <v>0.83201597470671451</v>
      </c>
      <c r="F584" s="557">
        <f t="shared" si="145"/>
        <v>0.11232215658540644</v>
      </c>
      <c r="G584" s="557">
        <f t="shared" si="145"/>
        <v>9.9841916964805724E-2</v>
      </c>
      <c r="H584" s="557">
        <f t="shared" si="145"/>
        <v>8.736167734420501E-2</v>
      </c>
      <c r="I584" s="557">
        <f t="shared" si="145"/>
        <v>7.4881437723604297E-2</v>
      </c>
      <c r="J584" s="557">
        <f t="shared" si="145"/>
        <v>6.2401198103003583E-2</v>
      </c>
      <c r="K584" s="557">
        <f t="shared" si="145"/>
        <v>4.9920958482402862E-2</v>
      </c>
      <c r="L584" s="557">
        <f t="shared" si="145"/>
        <v>3.7440718861802148E-2</v>
      </c>
      <c r="M584" s="557">
        <f t="shared" si="145"/>
        <v>2.4960479241201431E-2</v>
      </c>
      <c r="N584" s="557">
        <f t="shared" si="145"/>
        <v>1.2480239620600716E-2</v>
      </c>
      <c r="O584" s="535" t="s">
        <v>2382</v>
      </c>
    </row>
    <row r="585" spans="1:33" s="142" customFormat="1" ht="18" hidden="1" customHeight="1" outlineLevel="1" x14ac:dyDescent="0.2">
      <c r="A585" s="74"/>
      <c r="B585" s="138"/>
      <c r="C585" s="235"/>
      <c r="D585" s="726" t="s">
        <v>2383</v>
      </c>
      <c r="E585" s="557">
        <f t="shared" ref="E585:N585" si="146">(hSystemsLeaseRecordSearchLaborHrsSCL/hSystemsTouchHourspaSCL)*hSystemsLeaseRecordsSearchForecast</f>
        <v>0</v>
      </c>
      <c r="F585" s="557">
        <f t="shared" si="146"/>
        <v>0</v>
      </c>
      <c r="G585" s="557">
        <f t="shared" si="146"/>
        <v>0</v>
      </c>
      <c r="H585" s="557">
        <f t="shared" si="146"/>
        <v>0</v>
      </c>
      <c r="I585" s="557">
        <f t="shared" si="146"/>
        <v>0</v>
      </c>
      <c r="J585" s="557">
        <f t="shared" si="146"/>
        <v>0</v>
      </c>
      <c r="K585" s="557">
        <f t="shared" si="146"/>
        <v>0</v>
      </c>
      <c r="L585" s="557">
        <f t="shared" si="146"/>
        <v>0</v>
      </c>
      <c r="M585" s="557">
        <f t="shared" si="146"/>
        <v>0</v>
      </c>
      <c r="N585" s="557">
        <f t="shared" si="146"/>
        <v>0</v>
      </c>
      <c r="O585" s="535" t="s">
        <v>2384</v>
      </c>
    </row>
    <row r="586" spans="1:33" s="142" customFormat="1" ht="18" hidden="1" customHeight="1" outlineLevel="1" x14ac:dyDescent="0.2">
      <c r="A586" s="74"/>
      <c r="B586" s="138"/>
      <c r="C586" s="235"/>
      <c r="D586" s="726" t="s">
        <v>2385</v>
      </c>
      <c r="E586" s="557">
        <f t="shared" ref="E586:N586" si="147">(hSystemsLeaseRecordSearchLaborHrsQSC/hSystemsTouchHourspaQSC)*hSystemsLeaseRecordsSearchForecast</f>
        <v>0.83201597470671451</v>
      </c>
      <c r="F586" s="557">
        <f t="shared" si="147"/>
        <v>0.11232215658540644</v>
      </c>
      <c r="G586" s="557">
        <f t="shared" si="147"/>
        <v>9.9841916964805724E-2</v>
      </c>
      <c r="H586" s="557">
        <f t="shared" si="147"/>
        <v>8.736167734420501E-2</v>
      </c>
      <c r="I586" s="557">
        <f t="shared" si="147"/>
        <v>7.4881437723604297E-2</v>
      </c>
      <c r="J586" s="557">
        <f t="shared" si="147"/>
        <v>6.2401198103003583E-2</v>
      </c>
      <c r="K586" s="557">
        <f t="shared" si="147"/>
        <v>4.9920958482402862E-2</v>
      </c>
      <c r="L586" s="557">
        <f t="shared" si="147"/>
        <v>3.7440718861802148E-2</v>
      </c>
      <c r="M586" s="557">
        <f t="shared" si="147"/>
        <v>2.4960479241201431E-2</v>
      </c>
      <c r="N586" s="557">
        <f t="shared" si="147"/>
        <v>1.2480239620600716E-2</v>
      </c>
      <c r="O586" s="535" t="s">
        <v>2386</v>
      </c>
    </row>
    <row r="587" spans="1:33" s="142" customFormat="1" ht="18" hidden="1" customHeight="1" outlineLevel="1" x14ac:dyDescent="0.2">
      <c r="A587" s="74"/>
      <c r="B587" s="138"/>
      <c r="C587" s="235"/>
      <c r="D587" s="726" t="s">
        <v>2387</v>
      </c>
      <c r="E587" s="557">
        <f t="shared" ref="E587:N587" si="148">(hSystemsLeaseRecordSearchLaborHrsEM/hSystemsTouchHourspaEM)*hSystemsLeaseRecordsSearchForecast</f>
        <v>0</v>
      </c>
      <c r="F587" s="557">
        <f t="shared" si="148"/>
        <v>0</v>
      </c>
      <c r="G587" s="557">
        <f t="shared" si="148"/>
        <v>0</v>
      </c>
      <c r="H587" s="557">
        <f t="shared" si="148"/>
        <v>0</v>
      </c>
      <c r="I587" s="557">
        <f t="shared" si="148"/>
        <v>0</v>
      </c>
      <c r="J587" s="557">
        <f t="shared" si="148"/>
        <v>0</v>
      </c>
      <c r="K587" s="557">
        <f t="shared" si="148"/>
        <v>0</v>
      </c>
      <c r="L587" s="557">
        <f t="shared" si="148"/>
        <v>0</v>
      </c>
      <c r="M587" s="557">
        <f t="shared" si="148"/>
        <v>0</v>
      </c>
      <c r="N587" s="557">
        <f t="shared" si="148"/>
        <v>0</v>
      </c>
      <c r="O587" s="535" t="s">
        <v>2388</v>
      </c>
    </row>
    <row r="588" spans="1:33" s="142" customFormat="1" ht="18" hidden="1" customHeight="1" outlineLevel="1" x14ac:dyDescent="0.2">
      <c r="A588" s="74"/>
      <c r="B588" s="138"/>
      <c r="C588" s="235"/>
      <c r="D588" s="726" t="s">
        <v>2389</v>
      </c>
      <c r="E588" s="557">
        <f t="shared" ref="E588:N588" si="149">(hSystemsLeaseRecordSearchLaborHrsCM/hSystemsTouchHourspaCM)*hSystemsLeaseRecordsSearchForecast</f>
        <v>0</v>
      </c>
      <c r="F588" s="557">
        <f t="shared" si="149"/>
        <v>0</v>
      </c>
      <c r="G588" s="557">
        <f t="shared" si="149"/>
        <v>0</v>
      </c>
      <c r="H588" s="557">
        <f t="shared" si="149"/>
        <v>0</v>
      </c>
      <c r="I588" s="557">
        <f t="shared" si="149"/>
        <v>0</v>
      </c>
      <c r="J588" s="557">
        <f t="shared" si="149"/>
        <v>0</v>
      </c>
      <c r="K588" s="557">
        <f t="shared" si="149"/>
        <v>0</v>
      </c>
      <c r="L588" s="557">
        <f t="shared" si="149"/>
        <v>0</v>
      </c>
      <c r="M588" s="557">
        <f t="shared" si="149"/>
        <v>0</v>
      </c>
      <c r="N588" s="557">
        <f t="shared" si="149"/>
        <v>0</v>
      </c>
      <c r="O588" s="535" t="s">
        <v>2390</v>
      </c>
    </row>
    <row r="589" spans="1:33" s="142" customFormat="1" ht="18" hidden="1" customHeight="1" outlineLevel="1" x14ac:dyDescent="0.2">
      <c r="A589" s="74"/>
      <c r="B589" s="138"/>
      <c r="C589" s="235"/>
      <c r="D589" s="726" t="s">
        <v>2391</v>
      </c>
      <c r="E589" s="557">
        <f t="shared" ref="E589:N589" si="150">(hSystemsLeaseRecordSearchLaborHrsSMCS/hSystemsTouchHourspaSMCS)*hSystemsLeaseRecordsSearchForecast</f>
        <v>0</v>
      </c>
      <c r="F589" s="557">
        <f t="shared" si="150"/>
        <v>0</v>
      </c>
      <c r="G589" s="557">
        <f t="shared" si="150"/>
        <v>0</v>
      </c>
      <c r="H589" s="557">
        <f t="shared" si="150"/>
        <v>0</v>
      </c>
      <c r="I589" s="557">
        <f t="shared" si="150"/>
        <v>0</v>
      </c>
      <c r="J589" s="557">
        <f t="shared" si="150"/>
        <v>0</v>
      </c>
      <c r="K589" s="557">
        <f t="shared" si="150"/>
        <v>0</v>
      </c>
      <c r="L589" s="557">
        <f t="shared" si="150"/>
        <v>0</v>
      </c>
      <c r="M589" s="557">
        <f t="shared" si="150"/>
        <v>0</v>
      </c>
      <c r="N589" s="557">
        <f t="shared" si="150"/>
        <v>0</v>
      </c>
      <c r="O589" s="535" t="s">
        <v>2392</v>
      </c>
    </row>
    <row r="590" spans="1:33" s="142" customFormat="1" ht="18" hidden="1" customHeight="1" outlineLevel="1" x14ac:dyDescent="0.2">
      <c r="A590" s="74"/>
      <c r="B590" s="138"/>
      <c r="C590" s="235"/>
      <c r="D590" s="726" t="s">
        <v>2393</v>
      </c>
      <c r="E590" s="557">
        <f t="shared" ref="E590:N590" si="151">(hSystemsLeaseRecordSearchLaborHrsO1/hSystemsTouchHourspaO1)*hSystemsLeaseRecordsSearchForecast</f>
        <v>0</v>
      </c>
      <c r="F590" s="557">
        <f t="shared" si="151"/>
        <v>0</v>
      </c>
      <c r="G590" s="557">
        <f t="shared" si="151"/>
        <v>0</v>
      </c>
      <c r="H590" s="557">
        <f t="shared" si="151"/>
        <v>0</v>
      </c>
      <c r="I590" s="557">
        <f t="shared" si="151"/>
        <v>0</v>
      </c>
      <c r="J590" s="557">
        <f t="shared" si="151"/>
        <v>0</v>
      </c>
      <c r="K590" s="557">
        <f t="shared" si="151"/>
        <v>0</v>
      </c>
      <c r="L590" s="557">
        <f t="shared" si="151"/>
        <v>0</v>
      </c>
      <c r="M590" s="557">
        <f t="shared" si="151"/>
        <v>0</v>
      </c>
      <c r="N590" s="557">
        <f t="shared" si="151"/>
        <v>0</v>
      </c>
      <c r="O590" s="535" t="s">
        <v>2394</v>
      </c>
    </row>
    <row r="591" spans="1:33" s="142" customFormat="1" ht="18" hidden="1" customHeight="1" outlineLevel="1" x14ac:dyDescent="0.2">
      <c r="A591" s="74"/>
      <c r="B591" s="138"/>
      <c r="C591" s="235"/>
      <c r="D591" s="726" t="s">
        <v>2395</v>
      </c>
      <c r="E591" s="557">
        <f t="shared" ref="E591:N591" si="152">(hSystemsLeaseRecordSearchLaborHrsO2/hSystemsTouchHourspaO2)*hSystemsLeaseRecordsSearchForecast</f>
        <v>0</v>
      </c>
      <c r="F591" s="557">
        <f t="shared" si="152"/>
        <v>0</v>
      </c>
      <c r="G591" s="557">
        <f t="shared" si="152"/>
        <v>0</v>
      </c>
      <c r="H591" s="557">
        <f t="shared" si="152"/>
        <v>0</v>
      </c>
      <c r="I591" s="557">
        <f t="shared" si="152"/>
        <v>0</v>
      </c>
      <c r="J591" s="557">
        <f t="shared" si="152"/>
        <v>0</v>
      </c>
      <c r="K591" s="557">
        <f t="shared" si="152"/>
        <v>0</v>
      </c>
      <c r="L591" s="557">
        <f t="shared" si="152"/>
        <v>0</v>
      </c>
      <c r="M591" s="557">
        <f t="shared" si="152"/>
        <v>0</v>
      </c>
      <c r="N591" s="557">
        <f t="shared" si="152"/>
        <v>0</v>
      </c>
      <c r="O591" s="535" t="s">
        <v>2396</v>
      </c>
    </row>
    <row r="592" spans="1:33" s="142" customFormat="1" ht="18" hidden="1" customHeight="1" outlineLevel="1" x14ac:dyDescent="0.25">
      <c r="A592" s="74"/>
      <c r="B592" s="138"/>
      <c r="C592" s="235"/>
      <c r="D592" s="728" t="s">
        <v>2397</v>
      </c>
      <c r="E592" s="562">
        <f>SUM(E580:E591)</f>
        <v>2.4960479241201434</v>
      </c>
      <c r="F592" s="562">
        <f t="shared" ref="F592:N592" si="153">SUM(F580:F591)</f>
        <v>0.3369664697562193</v>
      </c>
      <c r="G592" s="562">
        <f t="shared" si="153"/>
        <v>0.29952575089441719</v>
      </c>
      <c r="H592" s="562">
        <f t="shared" si="153"/>
        <v>0.26208503203261502</v>
      </c>
      <c r="I592" s="562">
        <f t="shared" si="153"/>
        <v>0.2246443131708129</v>
      </c>
      <c r="J592" s="562">
        <f t="shared" si="153"/>
        <v>0.18720359430901073</v>
      </c>
      <c r="K592" s="562">
        <f t="shared" si="153"/>
        <v>0.14976287544720859</v>
      </c>
      <c r="L592" s="562">
        <f t="shared" si="153"/>
        <v>0.11232215658540645</v>
      </c>
      <c r="M592" s="562">
        <f t="shared" si="153"/>
        <v>7.4881437723604297E-2</v>
      </c>
      <c r="N592" s="562">
        <f t="shared" si="153"/>
        <v>3.7440718861802148E-2</v>
      </c>
      <c r="O592" s="535" t="s">
        <v>2398</v>
      </c>
    </row>
    <row r="593" spans="1:33" s="203" customFormat="1" ht="13.5" hidden="1" outlineLevel="1" thickBot="1" x14ac:dyDescent="0.25">
      <c r="A593" s="74"/>
      <c r="B593" s="74"/>
      <c r="C593" s="325"/>
      <c r="D593" s="725"/>
      <c r="E593" s="568"/>
      <c r="F593" s="568"/>
      <c r="G593" s="568"/>
      <c r="H593" s="568"/>
      <c r="I593" s="568"/>
      <c r="J593" s="568"/>
      <c r="K593" s="568"/>
      <c r="L593" s="568"/>
      <c r="M593" s="568"/>
      <c r="N593" s="568"/>
      <c r="O593" s="569"/>
      <c r="P593" s="204"/>
    </row>
    <row r="594" spans="1:33" s="203" customFormat="1" hidden="1" outlineLevel="1" x14ac:dyDescent="0.2">
      <c r="A594" s="74"/>
      <c r="B594" s="74"/>
      <c r="C594" s="211"/>
      <c r="D594" s="214"/>
      <c r="E594" s="210"/>
      <c r="F594" s="210"/>
      <c r="G594" s="210"/>
      <c r="H594" s="210"/>
      <c r="I594" s="210"/>
      <c r="J594" s="210"/>
      <c r="K594" s="210"/>
      <c r="L594" s="210"/>
      <c r="M594" s="210"/>
      <c r="N594" s="210"/>
      <c r="O594" s="204"/>
      <c r="P594" s="204"/>
    </row>
    <row r="595" spans="1:33" s="203" customFormat="1" ht="13.5" hidden="1" outlineLevel="1" thickBot="1" x14ac:dyDescent="0.25">
      <c r="A595" s="74"/>
      <c r="B595" s="74"/>
      <c r="C595" s="211"/>
      <c r="D595" s="214"/>
      <c r="E595" s="210"/>
      <c r="F595" s="210"/>
      <c r="G595" s="210"/>
      <c r="H595" s="210"/>
      <c r="I595" s="210"/>
      <c r="J595" s="210"/>
      <c r="K595" s="210"/>
      <c r="L595" s="210"/>
      <c r="M595" s="210"/>
      <c r="N595" s="210"/>
      <c r="O595" s="204"/>
      <c r="P595" s="204"/>
    </row>
    <row r="596" spans="1:33" s="203" customFormat="1" ht="15.75" hidden="1" outlineLevel="1" x14ac:dyDescent="0.2">
      <c r="A596" s="74"/>
      <c r="B596" s="211"/>
      <c r="C596" s="1011" t="str">
        <f>Scenario3&amp;" Record Search - Lessee Labor Cost"</f>
        <v>eSystems (Paperless) Record Search - Lessee Labor Cost</v>
      </c>
      <c r="D596" s="729"/>
      <c r="E596" s="322"/>
      <c r="F596" s="322"/>
      <c r="G596" s="322"/>
      <c r="H596" s="322"/>
      <c r="I596" s="322"/>
      <c r="J596" s="322"/>
      <c r="K596" s="322"/>
      <c r="L596" s="322"/>
      <c r="M596" s="322"/>
      <c r="N596" s="322"/>
      <c r="O596" s="579"/>
      <c r="P596" s="204"/>
    </row>
    <row r="597" spans="1:33" s="203" customFormat="1" hidden="1" outlineLevel="1" x14ac:dyDescent="0.2">
      <c r="A597" s="74"/>
      <c r="B597" s="211"/>
      <c r="C597" s="331"/>
      <c r="D597" s="730" t="s">
        <v>2399</v>
      </c>
      <c r="E597" s="570">
        <v>500</v>
      </c>
      <c r="F597" s="570">
        <v>450</v>
      </c>
      <c r="G597" s="570">
        <v>400</v>
      </c>
      <c r="H597" s="570">
        <v>350</v>
      </c>
      <c r="I597" s="570">
        <v>300</v>
      </c>
      <c r="J597" s="570">
        <v>250</v>
      </c>
      <c r="K597" s="570">
        <v>200</v>
      </c>
      <c r="L597" s="570">
        <v>150</v>
      </c>
      <c r="M597" s="570">
        <v>100</v>
      </c>
      <c r="N597" s="570">
        <v>50</v>
      </c>
      <c r="O597" s="324" t="s">
        <v>222</v>
      </c>
      <c r="P597" s="204"/>
    </row>
    <row r="598" spans="1:33" s="206" customFormat="1" ht="13.5" hidden="1" outlineLevel="1" thickBot="1" x14ac:dyDescent="0.25">
      <c r="A598" s="74"/>
      <c r="B598" s="211"/>
      <c r="C598" s="564"/>
      <c r="D598" s="725"/>
      <c r="E598" s="568"/>
      <c r="F598" s="568"/>
      <c r="G598" s="568"/>
      <c r="H598" s="568"/>
      <c r="I598" s="568"/>
      <c r="J598" s="568"/>
      <c r="K598" s="568"/>
      <c r="L598" s="568"/>
      <c r="M598" s="568"/>
      <c r="N598" s="568"/>
      <c r="O598" s="580"/>
      <c r="P598" s="210"/>
    </row>
    <row r="599" spans="1:33" s="206" customFormat="1" ht="13.5" hidden="1" outlineLevel="1" thickBot="1" x14ac:dyDescent="0.25">
      <c r="A599" s="74"/>
      <c r="B599" s="211"/>
      <c r="C599" s="582"/>
      <c r="D599" s="214"/>
      <c r="E599" s="210"/>
      <c r="F599" s="210"/>
      <c r="G599" s="210"/>
      <c r="H599" s="210"/>
      <c r="I599" s="210"/>
      <c r="J599" s="210"/>
      <c r="K599" s="210"/>
      <c r="L599" s="210"/>
      <c r="M599" s="210"/>
      <c r="N599" s="210"/>
      <c r="O599" s="210"/>
      <c r="P599" s="210"/>
    </row>
    <row r="600" spans="1:33" s="8" customFormat="1" ht="20.25" hidden="1" outlineLevel="1" x14ac:dyDescent="0.25">
      <c r="A600" s="74"/>
      <c r="B600" s="194"/>
      <c r="C600" s="1011" t="str">
        <f>Scenario3&amp;" Lessee Labor Hours per Record Search"</f>
        <v>eSystems (Paperless) Lessee Labor Hours per Record Search</v>
      </c>
      <c r="D600" s="310"/>
      <c r="E600" s="240"/>
      <c r="F600" s="240"/>
      <c r="G600" s="240"/>
      <c r="H600" s="240"/>
      <c r="I600" s="240"/>
      <c r="J600" s="240"/>
      <c r="K600" s="240"/>
      <c r="L600" s="240"/>
      <c r="M600" s="240"/>
      <c r="N600" s="240"/>
      <c r="O600" s="435"/>
      <c r="P600" s="17"/>
      <c r="Q600" s="17"/>
      <c r="R600" s="17"/>
      <c r="S600" s="17"/>
      <c r="T600" s="17"/>
      <c r="U600" s="17"/>
      <c r="V600" s="17"/>
      <c r="W600" s="17"/>
      <c r="X600" s="17"/>
      <c r="Y600" s="17"/>
      <c r="Z600" s="17"/>
      <c r="AA600" s="17"/>
      <c r="AB600" s="17"/>
      <c r="AC600" s="17"/>
      <c r="AD600" s="17"/>
      <c r="AE600" s="17"/>
      <c r="AF600" s="17"/>
      <c r="AG600" s="17"/>
    </row>
    <row r="601" spans="1:33" s="142" customFormat="1" ht="18" hidden="1" customHeight="1" outlineLevel="1" x14ac:dyDescent="0.2">
      <c r="A601" s="74"/>
      <c r="B601" s="138"/>
      <c r="C601" s="235"/>
      <c r="D601" s="726" t="s">
        <v>2400</v>
      </c>
      <c r="E601" s="577">
        <v>0</v>
      </c>
      <c r="F601" s="577">
        <v>0</v>
      </c>
      <c r="G601" s="577">
        <v>0</v>
      </c>
      <c r="H601" s="577">
        <v>0</v>
      </c>
      <c r="I601" s="577">
        <v>0</v>
      </c>
      <c r="J601" s="577">
        <v>0</v>
      </c>
      <c r="K601" s="577">
        <v>0</v>
      </c>
      <c r="L601" s="577">
        <v>0</v>
      </c>
      <c r="M601" s="577">
        <v>0</v>
      </c>
      <c r="N601" s="577">
        <v>0</v>
      </c>
      <c r="O601" s="535" t="s">
        <v>2401</v>
      </c>
    </row>
    <row r="602" spans="1:33" s="142" customFormat="1" ht="18" hidden="1" customHeight="1" outlineLevel="1" x14ac:dyDescent="0.2">
      <c r="A602" s="74"/>
      <c r="B602" s="138"/>
      <c r="C602" s="235"/>
      <c r="D602" s="726" t="s">
        <v>2402</v>
      </c>
      <c r="E602" s="577">
        <v>0</v>
      </c>
      <c r="F602" s="577">
        <v>0</v>
      </c>
      <c r="G602" s="577">
        <v>0</v>
      </c>
      <c r="H602" s="577">
        <v>0</v>
      </c>
      <c r="I602" s="577">
        <v>0</v>
      </c>
      <c r="J602" s="577">
        <v>0</v>
      </c>
      <c r="K602" s="577">
        <v>0</v>
      </c>
      <c r="L602" s="577">
        <v>0</v>
      </c>
      <c r="M602" s="577">
        <v>0</v>
      </c>
      <c r="N602" s="577">
        <v>0</v>
      </c>
      <c r="O602" s="535" t="s">
        <v>2403</v>
      </c>
    </row>
    <row r="603" spans="1:33" s="142" customFormat="1" ht="18" hidden="1" customHeight="1" outlineLevel="1" x14ac:dyDescent="0.2">
      <c r="A603" s="74"/>
      <c r="B603" s="138"/>
      <c r="C603" s="235"/>
      <c r="D603" s="726" t="s">
        <v>2404</v>
      </c>
      <c r="E603" s="577">
        <v>0</v>
      </c>
      <c r="F603" s="577">
        <v>0</v>
      </c>
      <c r="G603" s="577">
        <v>0</v>
      </c>
      <c r="H603" s="577">
        <v>0</v>
      </c>
      <c r="I603" s="577">
        <v>0</v>
      </c>
      <c r="J603" s="577">
        <v>0</v>
      </c>
      <c r="K603" s="577">
        <v>0</v>
      </c>
      <c r="L603" s="577">
        <v>0</v>
      </c>
      <c r="M603" s="577">
        <v>0</v>
      </c>
      <c r="N603" s="577">
        <v>0</v>
      </c>
      <c r="O603" s="535" t="s">
        <v>2405</v>
      </c>
    </row>
    <row r="604" spans="1:33" s="142" customFormat="1" ht="18" hidden="1" customHeight="1" outlineLevel="1" x14ac:dyDescent="0.2">
      <c r="A604" s="74"/>
      <c r="B604" s="138"/>
      <c r="C604" s="235"/>
      <c r="D604" s="726" t="s">
        <v>2406</v>
      </c>
      <c r="E604" s="577">
        <v>1</v>
      </c>
      <c r="F604" s="577">
        <v>0.1</v>
      </c>
      <c r="G604" s="577">
        <v>0.1</v>
      </c>
      <c r="H604" s="577">
        <v>0.1</v>
      </c>
      <c r="I604" s="577">
        <v>0.1</v>
      </c>
      <c r="J604" s="577">
        <v>0.1</v>
      </c>
      <c r="K604" s="577">
        <v>0.1</v>
      </c>
      <c r="L604" s="577">
        <v>0.1</v>
      </c>
      <c r="M604" s="577">
        <v>0.1</v>
      </c>
      <c r="N604" s="577">
        <v>0.1</v>
      </c>
      <c r="O604" s="535" t="s">
        <v>2407</v>
      </c>
    </row>
    <row r="605" spans="1:33" s="142" customFormat="1" ht="18" hidden="1" customHeight="1" outlineLevel="1" x14ac:dyDescent="0.2">
      <c r="A605" s="74"/>
      <c r="B605" s="138"/>
      <c r="C605" s="235"/>
      <c r="D605" s="726" t="s">
        <v>2408</v>
      </c>
      <c r="E605" s="577">
        <v>1</v>
      </c>
      <c r="F605" s="577">
        <v>0.1</v>
      </c>
      <c r="G605" s="577">
        <v>0.1</v>
      </c>
      <c r="H605" s="577">
        <v>0.1</v>
      </c>
      <c r="I605" s="577">
        <v>0.1</v>
      </c>
      <c r="J605" s="577">
        <v>0.1</v>
      </c>
      <c r="K605" s="577">
        <v>0.1</v>
      </c>
      <c r="L605" s="577">
        <v>0.1</v>
      </c>
      <c r="M605" s="577">
        <v>0.1</v>
      </c>
      <c r="N605" s="577">
        <v>0.1</v>
      </c>
      <c r="O605" s="535" t="s">
        <v>2409</v>
      </c>
    </row>
    <row r="606" spans="1:33" s="142" customFormat="1" ht="18" hidden="1" customHeight="1" outlineLevel="1" x14ac:dyDescent="0.2">
      <c r="A606" s="74"/>
      <c r="B606" s="138"/>
      <c r="C606" s="235"/>
      <c r="D606" s="726" t="s">
        <v>2410</v>
      </c>
      <c r="E606" s="577">
        <v>0</v>
      </c>
      <c r="F606" s="577">
        <v>0</v>
      </c>
      <c r="G606" s="577">
        <v>0</v>
      </c>
      <c r="H606" s="577">
        <v>0</v>
      </c>
      <c r="I606" s="577">
        <v>0</v>
      </c>
      <c r="J606" s="577">
        <v>0</v>
      </c>
      <c r="K606" s="577">
        <v>0</v>
      </c>
      <c r="L606" s="577">
        <v>0</v>
      </c>
      <c r="M606" s="577">
        <v>0</v>
      </c>
      <c r="N606" s="577">
        <v>0</v>
      </c>
      <c r="O606" s="535" t="s">
        <v>2411</v>
      </c>
    </row>
    <row r="607" spans="1:33" s="142" customFormat="1" ht="18" hidden="1" customHeight="1" outlineLevel="1" x14ac:dyDescent="0.2">
      <c r="A607" s="74"/>
      <c r="B607" s="138"/>
      <c r="C607" s="235"/>
      <c r="D607" s="726" t="s">
        <v>2412</v>
      </c>
      <c r="E607" s="577">
        <v>1</v>
      </c>
      <c r="F607" s="577">
        <v>0.1</v>
      </c>
      <c r="G607" s="577">
        <v>0.1</v>
      </c>
      <c r="H607" s="577">
        <v>0.1</v>
      </c>
      <c r="I607" s="577">
        <v>0.1</v>
      </c>
      <c r="J607" s="577">
        <v>0.1</v>
      </c>
      <c r="K607" s="577">
        <v>0.1</v>
      </c>
      <c r="L607" s="577">
        <v>0.1</v>
      </c>
      <c r="M607" s="577">
        <v>0.1</v>
      </c>
      <c r="N607" s="577">
        <v>0.1</v>
      </c>
      <c r="O607" s="535" t="s">
        <v>2413</v>
      </c>
    </row>
    <row r="608" spans="1:33" s="142" customFormat="1" ht="18" hidden="1" customHeight="1" outlineLevel="1" x14ac:dyDescent="0.2">
      <c r="A608" s="74"/>
      <c r="B608" s="138"/>
      <c r="C608" s="235"/>
      <c r="D608" s="726" t="s">
        <v>2414</v>
      </c>
      <c r="E608" s="577">
        <v>0</v>
      </c>
      <c r="F608" s="577">
        <v>0</v>
      </c>
      <c r="G608" s="577">
        <v>0</v>
      </c>
      <c r="H608" s="577">
        <v>0</v>
      </c>
      <c r="I608" s="577">
        <v>0</v>
      </c>
      <c r="J608" s="577">
        <v>0</v>
      </c>
      <c r="K608" s="577">
        <v>0</v>
      </c>
      <c r="L608" s="577">
        <v>0</v>
      </c>
      <c r="M608" s="577">
        <v>0</v>
      </c>
      <c r="N608" s="577">
        <v>0</v>
      </c>
      <c r="O608" s="535" t="s">
        <v>2415</v>
      </c>
    </row>
    <row r="609" spans="1:33" s="142" customFormat="1" ht="18" hidden="1" customHeight="1" outlineLevel="1" x14ac:dyDescent="0.2">
      <c r="A609" s="74"/>
      <c r="B609" s="565"/>
      <c r="C609" s="235"/>
      <c r="D609" s="726" t="s">
        <v>2416</v>
      </c>
      <c r="E609" s="577">
        <v>0</v>
      </c>
      <c r="F609" s="577">
        <v>0</v>
      </c>
      <c r="G609" s="577">
        <v>0</v>
      </c>
      <c r="H609" s="577">
        <v>0</v>
      </c>
      <c r="I609" s="577">
        <v>0</v>
      </c>
      <c r="J609" s="577">
        <v>0</v>
      </c>
      <c r="K609" s="577">
        <v>0</v>
      </c>
      <c r="L609" s="577">
        <v>0</v>
      </c>
      <c r="M609" s="577">
        <v>0</v>
      </c>
      <c r="N609" s="577">
        <v>0</v>
      </c>
      <c r="O609" s="535" t="s">
        <v>2417</v>
      </c>
    </row>
    <row r="610" spans="1:33" s="142" customFormat="1" ht="18" hidden="1" customHeight="1" outlineLevel="1" x14ac:dyDescent="0.2">
      <c r="A610" s="74"/>
      <c r="B610" s="565"/>
      <c r="C610" s="235"/>
      <c r="D610" s="726" t="s">
        <v>2418</v>
      </c>
      <c r="E610" s="577">
        <v>0</v>
      </c>
      <c r="F610" s="577">
        <v>0</v>
      </c>
      <c r="G610" s="577">
        <v>0</v>
      </c>
      <c r="H610" s="577">
        <v>0</v>
      </c>
      <c r="I610" s="577">
        <v>0</v>
      </c>
      <c r="J610" s="577">
        <v>0</v>
      </c>
      <c r="K610" s="577">
        <v>0</v>
      </c>
      <c r="L610" s="577">
        <v>0</v>
      </c>
      <c r="M610" s="577">
        <v>0</v>
      </c>
      <c r="N610" s="577">
        <v>0</v>
      </c>
      <c r="O610" s="535" t="s">
        <v>2419</v>
      </c>
    </row>
    <row r="611" spans="1:33" s="142" customFormat="1" ht="18" hidden="1" customHeight="1" outlineLevel="1" x14ac:dyDescent="0.2">
      <c r="A611" s="74"/>
      <c r="B611" s="138"/>
      <c r="C611" s="235"/>
      <c r="D611" s="726" t="s">
        <v>2420</v>
      </c>
      <c r="E611" s="577">
        <v>0</v>
      </c>
      <c r="F611" s="577">
        <v>0</v>
      </c>
      <c r="G611" s="577">
        <v>0</v>
      </c>
      <c r="H611" s="577">
        <v>0</v>
      </c>
      <c r="I611" s="577">
        <v>0</v>
      </c>
      <c r="J611" s="577">
        <v>0</v>
      </c>
      <c r="K611" s="577">
        <v>0</v>
      </c>
      <c r="L611" s="577">
        <v>0</v>
      </c>
      <c r="M611" s="577">
        <v>0</v>
      </c>
      <c r="N611" s="577">
        <v>0</v>
      </c>
      <c r="O611" s="535" t="s">
        <v>2421</v>
      </c>
    </row>
    <row r="612" spans="1:33" s="142" customFormat="1" ht="18" hidden="1" customHeight="1" outlineLevel="1" x14ac:dyDescent="0.2">
      <c r="A612" s="74"/>
      <c r="B612" s="138"/>
      <c r="C612" s="235"/>
      <c r="D612" s="726" t="s">
        <v>2422</v>
      </c>
      <c r="E612" s="577">
        <v>0</v>
      </c>
      <c r="F612" s="577">
        <v>0</v>
      </c>
      <c r="G612" s="577">
        <v>0</v>
      </c>
      <c r="H612" s="577">
        <v>0</v>
      </c>
      <c r="I612" s="577">
        <v>0</v>
      </c>
      <c r="J612" s="577">
        <v>0</v>
      </c>
      <c r="K612" s="577">
        <v>0</v>
      </c>
      <c r="L612" s="577">
        <v>0</v>
      </c>
      <c r="M612" s="577">
        <v>0</v>
      </c>
      <c r="N612" s="577">
        <v>0</v>
      </c>
      <c r="O612" s="535" t="s">
        <v>2423</v>
      </c>
    </row>
    <row r="613" spans="1:33" s="206" customFormat="1" ht="15.75" hidden="1" outlineLevel="1" thickBot="1" x14ac:dyDescent="0.3">
      <c r="A613" s="74"/>
      <c r="B613" s="563"/>
      <c r="C613" s="564"/>
      <c r="D613" s="724"/>
      <c r="E613" s="571"/>
      <c r="F613" s="571"/>
      <c r="G613" s="571"/>
      <c r="H613" s="571"/>
      <c r="I613" s="571"/>
      <c r="J613" s="571"/>
      <c r="K613" s="571"/>
      <c r="L613" s="571"/>
      <c r="M613" s="571"/>
      <c r="N613" s="571"/>
      <c r="O613" s="572"/>
      <c r="P613" s="210"/>
    </row>
    <row r="614" spans="1:33" s="206" customFormat="1" ht="15.75" hidden="1" outlineLevel="1" thickBot="1" x14ac:dyDescent="0.3">
      <c r="A614" s="74"/>
      <c r="B614" s="563"/>
      <c r="C614" s="322"/>
      <c r="D614" s="732"/>
      <c r="E614" s="581"/>
      <c r="F614" s="581"/>
      <c r="G614" s="581"/>
      <c r="H614" s="581"/>
      <c r="I614" s="581"/>
      <c r="J614" s="581"/>
      <c r="K614" s="581"/>
      <c r="L614" s="581"/>
      <c r="M614" s="581"/>
      <c r="N614" s="581"/>
      <c r="O614" s="558"/>
      <c r="P614" s="210"/>
    </row>
    <row r="615" spans="1:33" s="8" customFormat="1" ht="20.25" hidden="1" outlineLevel="1" x14ac:dyDescent="0.2">
      <c r="A615" s="74"/>
      <c r="B615" s="102"/>
      <c r="C615" s="1012" t="str">
        <f>Scenario3&amp;" Record Search Cost pa (based on Touch Hour Rate)"</f>
        <v>eSystems (Paperless) Record Search Cost pa (based on Touch Hour Rate)</v>
      </c>
      <c r="D615" s="310"/>
      <c r="E615" s="316"/>
      <c r="F615" s="316"/>
      <c r="G615" s="316"/>
      <c r="H615" s="316"/>
      <c r="I615" s="316"/>
      <c r="J615" s="316"/>
      <c r="K615" s="316"/>
      <c r="L615" s="316"/>
      <c r="M615" s="316"/>
      <c r="N615" s="316"/>
      <c r="O615" s="583"/>
      <c r="P615" s="17"/>
      <c r="Q615" s="17"/>
      <c r="R615" s="17"/>
      <c r="S615" s="17"/>
      <c r="T615" s="17"/>
      <c r="U615" s="17"/>
      <c r="V615" s="17"/>
      <c r="W615" s="17"/>
      <c r="X615" s="17"/>
      <c r="Y615" s="17"/>
      <c r="Z615" s="17"/>
      <c r="AA615" s="17"/>
      <c r="AB615" s="17"/>
      <c r="AC615" s="17"/>
      <c r="AD615" s="17"/>
      <c r="AE615" s="17"/>
      <c r="AF615" s="17"/>
      <c r="AG615" s="17"/>
    </row>
    <row r="616" spans="1:33" s="142" customFormat="1" ht="18" hidden="1" customHeight="1" outlineLevel="1" x14ac:dyDescent="0.2">
      <c r="A616" s="74"/>
      <c r="B616" s="138"/>
      <c r="C616" s="235"/>
      <c r="D616" s="726" t="s">
        <v>2424</v>
      </c>
      <c r="E616" s="555">
        <f>(eSystemsTouchRateHourHM*eSystemsLeaseRecordSearchLaborHrsHM*eSystemsLeaseRecordsSearchForecast)</f>
        <v>0</v>
      </c>
      <c r="F616" s="555">
        <f>(eSystemsTouchRateHourHM*eSystemsLeaseRecordSearchLaborHrsHM*eSystemsLeaseRecordsSearchForecast)*(1+Inflation)</f>
        <v>0</v>
      </c>
      <c r="G616" s="555">
        <f>(eSystemsTouchRateHourHM*eSystemsLeaseRecordSearchLaborHrsHM*eSystemsLeaseRecordsSearchForecast)*(1+Inflation)^2</f>
        <v>0</v>
      </c>
      <c r="H616" s="555">
        <f>(eSystemsTouchRateHourHM*eSystemsLeaseRecordSearchLaborHrsHM*eSystemsLeaseRecordsSearchForecast)*(1+Inflation)^3</f>
        <v>0</v>
      </c>
      <c r="I616" s="555">
        <f>(eSystemsTouchRateHourHM*eSystemsLeaseRecordSearchLaborHrsHM*eSystemsLeaseRecordsSearchForecast)*(1+Inflation)^4</f>
        <v>0</v>
      </c>
      <c r="J616" s="555">
        <f>(eSystemsTouchRateHourHM*eSystemsLeaseRecordSearchLaborHrsHM*eSystemsLeaseRecordsSearchForecast)*(1+Inflation)^5</f>
        <v>0</v>
      </c>
      <c r="K616" s="555">
        <f>(eSystemsTouchRateHourHM*eSystemsLeaseRecordSearchLaborHrsHM*eSystemsLeaseRecordsSearchForecast)*(1+Inflation)^6</f>
        <v>0</v>
      </c>
      <c r="L616" s="555">
        <f>(eSystemsTouchRateHourHM*eSystemsLeaseRecordSearchLaborHrsHM*eSystemsLeaseRecordsSearchForecast)*(1+Inflation)^7</f>
        <v>0</v>
      </c>
      <c r="M616" s="555">
        <f>(eSystemsTouchRateHourHM*eSystemsLeaseRecordSearchLaborHrsHM*eSystemsLeaseRecordsSearchForecast)*(1+Inflation)^8</f>
        <v>0</v>
      </c>
      <c r="N616" s="555">
        <f>(eSystemsTouchRateHourHM*eSystemsLeaseRecordSearchLaborHrsHM*eSystemsLeaseRecordsSearchForecast)*(1+Inflation)^9</f>
        <v>0</v>
      </c>
      <c r="O616" s="535" t="s">
        <v>2425</v>
      </c>
    </row>
    <row r="617" spans="1:33" s="142" customFormat="1" ht="18" hidden="1" customHeight="1" outlineLevel="1" x14ac:dyDescent="0.2">
      <c r="A617" s="74"/>
      <c r="B617" s="128"/>
      <c r="C617" s="235"/>
      <c r="D617" s="726" t="s">
        <v>2426</v>
      </c>
      <c r="E617" s="555">
        <f>(eSystemsTouchRateHourLM*eSystemsLeaseRecordSearchLaborHrsLM*eSystemsLeaseRecordsSearchForecast)</f>
        <v>0</v>
      </c>
      <c r="F617" s="555">
        <f>(eSystemsTouchRateHourLM*eSystemsLeaseRecordSearchLaborHrsLM*eSystemsLeaseRecordsSearchForecast)*(1+Inflation)</f>
        <v>0</v>
      </c>
      <c r="G617" s="555">
        <f>(eSystemsTouchRateHourLM*eSystemsLeaseRecordSearchLaborHrsLM*eSystemsLeaseRecordsSearchForecast)*(1+Inflation)^2</f>
        <v>0</v>
      </c>
      <c r="H617" s="555">
        <f>(eSystemsTouchRateHourLM*eSystemsLeaseRecordSearchLaborHrsLM*eSystemsLeaseRecordsSearchForecast)*(1+Inflation)^3</f>
        <v>0</v>
      </c>
      <c r="I617" s="555">
        <f>(eSystemsTouchRateHourLM*eSystemsLeaseRecordSearchLaborHrsLM*eSystemsLeaseRecordsSearchForecast)*(1+Inflation)^4</f>
        <v>0</v>
      </c>
      <c r="J617" s="555">
        <f>(eSystemsTouchRateHourLM*eSystemsLeaseRecordSearchLaborHrsLM*eSystemsLeaseRecordsSearchForecast)*(1+Inflation)^5</f>
        <v>0</v>
      </c>
      <c r="K617" s="555">
        <f>(eSystemsTouchRateHourLM*eSystemsLeaseRecordSearchLaborHrsLM*eSystemsLeaseRecordsSearchForecast)*(1+Inflation)^6</f>
        <v>0</v>
      </c>
      <c r="L617" s="555">
        <f>(eSystemsTouchRateHourLM*eSystemsLeaseRecordSearchLaborHrsLM*eSystemsLeaseRecordsSearchForecast)*(1+Inflation)^7</f>
        <v>0</v>
      </c>
      <c r="M617" s="555">
        <f>(eSystemsTouchRateHourLM*eSystemsLeaseRecordSearchLaborHrsLM*eSystemsLeaseRecordsSearchForecast)*(1+Inflation)^8</f>
        <v>0</v>
      </c>
      <c r="N617" s="555">
        <f>(eSystemsTouchRateHourLM*eSystemsLeaseRecordSearchLaborHrsLM*eSystemsLeaseRecordsSearchForecast)*(1+Inflation)^9</f>
        <v>0</v>
      </c>
      <c r="O617" s="535" t="s">
        <v>2427</v>
      </c>
    </row>
    <row r="618" spans="1:33" s="142" customFormat="1" ht="18" hidden="1" customHeight="1" outlineLevel="1" x14ac:dyDescent="0.2">
      <c r="A618" s="74"/>
      <c r="B618" s="128"/>
      <c r="C618" s="235"/>
      <c r="D618" s="727" t="s">
        <v>2428</v>
      </c>
      <c r="E618" s="555">
        <f>(eSystemsTouchRateHourENG*eSystemsLeaseRecordSearchLaborHrsENG*eSystemsLeaseRecordsSearchForecast)</f>
        <v>0</v>
      </c>
      <c r="F618" s="555">
        <f>(eSystemsTouchRateHourENG*eSystemsLeaseRecordSearchLaborHrsENG*eSystemsLeaseRecordsSearchForecast)*(1+Inflation)</f>
        <v>0</v>
      </c>
      <c r="G618" s="555">
        <f>(eSystemsTouchRateHourENG*eSystemsLeaseRecordSearchLaborHrsENG*eSystemsLeaseRecordsSearchForecast)*(1+Inflation)^2</f>
        <v>0</v>
      </c>
      <c r="H618" s="555">
        <f>(eSystemsTouchRateHourENG*eSystemsLeaseRecordSearchLaborHrsENG*eSystemsLeaseRecordsSearchForecast)*(1+Inflation)^3</f>
        <v>0</v>
      </c>
      <c r="I618" s="555">
        <f>(eSystemsTouchRateHourENG*eSystemsLeaseRecordSearchLaborHrsENG*eSystemsLeaseRecordsSearchForecast)*(1+Inflation)^4</f>
        <v>0</v>
      </c>
      <c r="J618" s="555">
        <f>(eSystemsTouchRateHourENG*eSystemsLeaseRecordSearchLaborHrsENG*eSystemsLeaseRecordsSearchForecast)*(1+Inflation)^5</f>
        <v>0</v>
      </c>
      <c r="K618" s="555">
        <f>(eSystemsTouchRateHourENG*eSystemsLeaseRecordSearchLaborHrsENG*eSystemsLeaseRecordsSearchForecast)*(1+Inflation)^6</f>
        <v>0</v>
      </c>
      <c r="L618" s="555">
        <f>(eSystemsTouchRateHourENG*eSystemsLeaseRecordSearchLaborHrsENG*eSystemsLeaseRecordsSearchForecast)*(1+Inflation)^7</f>
        <v>0</v>
      </c>
      <c r="M618" s="555">
        <f>(eSystemsTouchRateHourENG*eSystemsLeaseRecordSearchLaborHrsENG*eSystemsLeaseRecordsSearchForecast)*(1+Inflation)^8</f>
        <v>0</v>
      </c>
      <c r="N618" s="555">
        <f>(eSystemsTouchRateHourENG*eSystemsLeaseRecordSearchLaborHrsENG*eSystemsLeaseRecordsSearchForecast)*(1+Inflation)^9</f>
        <v>0</v>
      </c>
      <c r="O618" s="535" t="s">
        <v>2429</v>
      </c>
    </row>
    <row r="619" spans="1:33" s="142" customFormat="1" ht="18" hidden="1" customHeight="1" outlineLevel="1" x14ac:dyDescent="0.2">
      <c r="A619" s="74"/>
      <c r="B619" s="138"/>
      <c r="C619" s="235"/>
      <c r="D619" s="726" t="s">
        <v>2430</v>
      </c>
      <c r="E619" s="555">
        <f>(eSystemsTouchRateHourPLG*eSystemsLeaseRecordSearchLaborHrsPLG*eSystemsLeaseRecordsSearchForecast)</f>
        <v>43123.452970297025</v>
      </c>
      <c r="F619" s="555">
        <f>(eSystemsTouchRateHourPLG*eSystemsLeaseRecordSearchLaborHrsPLG*eSystemsLeaseRecordsSearchForecast)*(1+Inflation)</f>
        <v>3958.7329826732671</v>
      </c>
      <c r="G619" s="555">
        <f>(eSystemsTouchRateHourPLG*eSystemsLeaseRecordSearchLaborHrsPLG*eSystemsLeaseRecordsSearchForecast)*(1+Inflation)^2</f>
        <v>3589.2512376237623</v>
      </c>
      <c r="H619" s="555">
        <f>(eSystemsTouchRateHourPLG*eSystemsLeaseRecordSearchLaborHrsPLG*eSystemsLeaseRecordsSearchForecast)*(1+Inflation)^3</f>
        <v>3203.4067295792074</v>
      </c>
      <c r="I619" s="555">
        <f>(eSystemsTouchRateHourPLG*eSystemsLeaseRecordSearchLaborHrsPLG*eSystemsLeaseRecordsSearchForecast)*(1+Inflation)^4</f>
        <v>2800.6927407178214</v>
      </c>
      <c r="J619" s="555">
        <f>(eSystemsTouchRateHourPLG*eSystemsLeaseRecordSearchLaborHrsPLG*eSystemsLeaseRecordsSearchForecast)*(1+Inflation)^5</f>
        <v>2380.5888296101484</v>
      </c>
      <c r="K619" s="555">
        <f>(eSystemsTouchRateHourPLG*eSystemsLeaseRecordSearchLaborHrsPLG*eSystemsLeaseRecordsSearchForecast)*(1+Inflation)^6</f>
        <v>1942.5604849618812</v>
      </c>
      <c r="L619" s="555">
        <f>(eSystemsTouchRateHourPLG*eSystemsLeaseRecordSearchLaborHrsPLG*eSystemsLeaseRecordsSearchForecast)*(1+Inflation)^7</f>
        <v>1486.0587709958388</v>
      </c>
      <c r="M619" s="555">
        <f>(eSystemsTouchRateHourPLG*eSystemsLeaseRecordSearchLaborHrsPLG*eSystemsLeaseRecordsSearchForecast)*(1+Inflation)^8</f>
        <v>1010.5199642771705</v>
      </c>
      <c r="N619" s="555">
        <f>(eSystemsTouchRateHourPLG*eSystemsLeaseRecordSearchLaborHrsPLG*eSystemsLeaseRecordsSearchForecast)*(1+Inflation)^9</f>
        <v>515.36518178135691</v>
      </c>
      <c r="O619" s="535" t="s">
        <v>2431</v>
      </c>
    </row>
    <row r="620" spans="1:33" s="142" customFormat="1" ht="18" hidden="1" customHeight="1" outlineLevel="1" x14ac:dyDescent="0.2">
      <c r="A620" s="74"/>
      <c r="B620" s="138"/>
      <c r="C620" s="235"/>
      <c r="D620" s="726" t="s">
        <v>2432</v>
      </c>
      <c r="E620" s="555">
        <f>(eSystemsTouchRateHourCRT*eSystemsLeaseRecordSearchLaborHrsCRT*eSystemsLeaseRecordsSearchForecast)</f>
        <v>25366.737041351189</v>
      </c>
      <c r="F620" s="555">
        <f>(eSystemsTouchRateHourCRT*eSystemsLeaseRecordSearchLaborHrsCRT*eSystemsLeaseRecordsSearchForecast)*(1+Inflation)</f>
        <v>2328.6664603960394</v>
      </c>
      <c r="G620" s="555">
        <f>(eSystemsTouchRateHourCRT*eSystemsLeaseRecordSearchLaborHrsCRT*eSystemsLeaseRecordsSearchForecast)*(1+Inflation)^2</f>
        <v>2111.3242574257424</v>
      </c>
      <c r="H620" s="555">
        <f>(eSystemsTouchRateHourCRT*eSystemsLeaseRecordSearchLaborHrsCRT*eSystemsLeaseRecordsSearchForecast)*(1+Inflation)^3</f>
        <v>1884.3568997524746</v>
      </c>
      <c r="I620" s="555">
        <f>(eSystemsTouchRateHourCRT*eSystemsLeaseRecordSearchLaborHrsCRT*eSystemsLeaseRecordsSearchForecast)*(1+Inflation)^4</f>
        <v>1647.4663180693067</v>
      </c>
      <c r="J620" s="555">
        <f>(eSystemsTouchRateHourCRT*eSystemsLeaseRecordSearchLaborHrsCRT*eSystemsLeaseRecordsSearchForecast)*(1+Inflation)^5</f>
        <v>1400.3463703589107</v>
      </c>
      <c r="K620" s="555">
        <f>(eSystemsTouchRateHourCRT*eSystemsLeaseRecordSearchLaborHrsCRT*eSystemsLeaseRecordsSearchForecast)*(1+Inflation)^6</f>
        <v>1142.6826382128713</v>
      </c>
      <c r="L620" s="555">
        <f>(eSystemsTouchRateHourCRT*eSystemsLeaseRecordSearchLaborHrsCRT*eSystemsLeaseRecordsSearchForecast)*(1+Inflation)^7</f>
        <v>874.15221823284628</v>
      </c>
      <c r="M620" s="555">
        <f>(eSystemsTouchRateHourCRT*eSystemsLeaseRecordSearchLaborHrsCRT*eSystemsLeaseRecordsSearchForecast)*(1+Inflation)^8</f>
        <v>594.42350839833557</v>
      </c>
      <c r="N620" s="555">
        <f>(eSystemsTouchRateHourCRT*eSystemsLeaseRecordSearchLaborHrsCRT*eSystemsLeaseRecordsSearchForecast)*(1+Inflation)^9</f>
        <v>303.15598928315114</v>
      </c>
      <c r="O620" s="535" t="s">
        <v>2433</v>
      </c>
    </row>
    <row r="621" spans="1:33" s="142" customFormat="1" ht="18" hidden="1" customHeight="1" outlineLevel="1" x14ac:dyDescent="0.2">
      <c r="A621" s="74"/>
      <c r="B621" s="128"/>
      <c r="C621" s="235"/>
      <c r="D621" s="726" t="s">
        <v>2434</v>
      </c>
      <c r="E621" s="555">
        <f>(eSystemsTouchRateHourSCL*eSystemsLeaseRecordSearchLaborHrsSCL*eSystemsLeaseRecordsSearchForecast)</f>
        <v>0</v>
      </c>
      <c r="F621" s="555">
        <f>(eSystemsTouchRateHourSCL*eSystemsLeaseRecordSearchLaborHrsSCL*eSystemsLeaseRecordsSearchForecast)*(1+Inflation)</f>
        <v>0</v>
      </c>
      <c r="G621" s="555">
        <f>(eSystemsTouchRateHourSCL*eSystemsLeaseRecordSearchLaborHrsSCL*eSystemsLeaseRecordsSearchForecast)*(1+Inflation)^2</f>
        <v>0</v>
      </c>
      <c r="H621" s="555">
        <f>(eSystemsTouchRateHourSCL*eSystemsLeaseRecordSearchLaborHrsSCL*eSystemsLeaseRecordsSearchForecast)*(1+Inflation)^3</f>
        <v>0</v>
      </c>
      <c r="I621" s="555">
        <f>(eSystemsTouchRateHourSCL*eSystemsLeaseRecordSearchLaborHrsSCL*eSystemsLeaseRecordsSearchForecast)*(1+Inflation)^4</f>
        <v>0</v>
      </c>
      <c r="J621" s="555">
        <f>(eSystemsTouchRateHourSCL*eSystemsLeaseRecordSearchLaborHrsSCL*eSystemsLeaseRecordsSearchForecast)*(1+Inflation)^5</f>
        <v>0</v>
      </c>
      <c r="K621" s="555">
        <f>(eSystemsTouchRateHourSCL*eSystemsLeaseRecordSearchLaborHrsSCL*eSystemsLeaseRecordsSearchForecast)*(1+Inflation)^6</f>
        <v>0</v>
      </c>
      <c r="L621" s="555">
        <f>(eSystemsTouchRateHourSCL*eSystemsLeaseRecordSearchLaborHrsSCL*eSystemsLeaseRecordsSearchForecast)*(1+Inflation)^7</f>
        <v>0</v>
      </c>
      <c r="M621" s="555">
        <f>(eSystemsTouchRateHourSCL*eSystemsLeaseRecordSearchLaborHrsSCL*eSystemsLeaseRecordsSearchForecast)*(1+Inflation)^8</f>
        <v>0</v>
      </c>
      <c r="N621" s="555">
        <f>(eSystemsTouchRateHourSCL*eSystemsLeaseRecordSearchLaborHrsSCL*eSystemsLeaseRecordsSearchForecast)*(1+Inflation)^9</f>
        <v>0</v>
      </c>
      <c r="O621" s="535" t="s">
        <v>2435</v>
      </c>
    </row>
    <row r="622" spans="1:33" s="142" customFormat="1" ht="18" hidden="1" customHeight="1" outlineLevel="1" x14ac:dyDescent="0.2">
      <c r="A622" s="74"/>
      <c r="B622" s="138"/>
      <c r="C622" s="235"/>
      <c r="D622" s="726" t="s">
        <v>2436</v>
      </c>
      <c r="E622" s="555">
        <f>(eSystemsTouchRateHourQSC*eSystemsLeaseRecordSearchLaborHrsQSC*eSystemsLeaseRecordsSearchForecast)</f>
        <v>38050.105562026787</v>
      </c>
      <c r="F622" s="555">
        <f>(eSystemsTouchRateHourQSC*eSystemsLeaseRecordSearchLaborHrsQSC*eSystemsLeaseRecordsSearchForecast)*(1+Inflation)</f>
        <v>3492.9996905940593</v>
      </c>
      <c r="G622" s="555">
        <f>(eSystemsTouchRateHourQSC*eSystemsLeaseRecordSearchLaborHrsQSC*eSystemsLeaseRecordsSearchForecast)*(1+Inflation)^2</f>
        <v>3166.9863861386139</v>
      </c>
      <c r="H622" s="555">
        <f>(eSystemsTouchRateHourQSC*eSystemsLeaseRecordSearchLaborHrsQSC*eSystemsLeaseRecordsSearchForecast)*(1+Inflation)^3</f>
        <v>2826.5353496287125</v>
      </c>
      <c r="I622" s="555">
        <f>(eSystemsTouchRateHourQSC*eSystemsLeaseRecordSearchLaborHrsQSC*eSystemsLeaseRecordsSearchForecast)*(1+Inflation)^4</f>
        <v>2471.1994771039604</v>
      </c>
      <c r="J622" s="555">
        <f>(eSystemsTouchRateHourQSC*eSystemsLeaseRecordSearchLaborHrsQSC*eSystemsLeaseRecordsSearchForecast)*(1+Inflation)^5</f>
        <v>2100.5195555383661</v>
      </c>
      <c r="K622" s="555">
        <f>(eSystemsTouchRateHourQSC*eSystemsLeaseRecordSearchLaborHrsQSC*eSystemsLeaseRecordsSearchForecast)*(1+Inflation)^6</f>
        <v>1714.0239573193069</v>
      </c>
      <c r="L622" s="555">
        <f>(eSystemsTouchRateHourQSC*eSystemsLeaseRecordSearchLaborHrsQSC*eSystemsLeaseRecordsSearchForecast)*(1+Inflation)^7</f>
        <v>1311.2283273492696</v>
      </c>
      <c r="M622" s="555">
        <f>(eSystemsTouchRateHourQSC*eSystemsLeaseRecordSearchLaborHrsQSC*eSystemsLeaseRecordsSearchForecast)*(1+Inflation)^8</f>
        <v>891.63526259750336</v>
      </c>
      <c r="N622" s="555">
        <f>(eSystemsTouchRateHourQSC*eSystemsLeaseRecordSearchLaborHrsQSC*eSystemsLeaseRecordsSearchForecast)*(1+Inflation)^9</f>
        <v>454.73398392472672</v>
      </c>
      <c r="O622" s="535" t="s">
        <v>2437</v>
      </c>
    </row>
    <row r="623" spans="1:33" s="142" customFormat="1" ht="18" hidden="1" customHeight="1" outlineLevel="1" x14ac:dyDescent="0.2">
      <c r="A623" s="74"/>
      <c r="B623" s="138"/>
      <c r="C623" s="235"/>
      <c r="D623" s="726" t="s">
        <v>2438</v>
      </c>
      <c r="E623" s="555">
        <f>(eSystemsTouchRateHourEM*eSystemsLeaseRecordSearchLaborHrsEM*eSystemsLeaseRecordsSearchForecast)</f>
        <v>0</v>
      </c>
      <c r="F623" s="555">
        <f>(eSystemsTouchRateHourEM*eSystemsLeaseRecordSearchLaborHrsEM*eSystemsLeaseRecordsSearchForecast)*(1+Inflation)</f>
        <v>0</v>
      </c>
      <c r="G623" s="555">
        <f>(eSystemsTouchRateHourEM*eSystemsLeaseRecordSearchLaborHrsEM*eSystemsLeaseRecordsSearchForecast)*(1+Inflation)^2</f>
        <v>0</v>
      </c>
      <c r="H623" s="555">
        <f>(eSystemsTouchRateHourEM*eSystemsLeaseRecordSearchLaborHrsEM*eSystemsLeaseRecordsSearchForecast)*(1+Inflation)^3</f>
        <v>0</v>
      </c>
      <c r="I623" s="555">
        <f>(eSystemsTouchRateHourEM*eSystemsLeaseRecordSearchLaborHrsEM*eSystemsLeaseRecordsSearchForecast)*(1+Inflation)^4</f>
        <v>0</v>
      </c>
      <c r="J623" s="555">
        <f>(eSystemsTouchRateHourEM*eSystemsLeaseRecordSearchLaborHrsEM*eSystemsLeaseRecordsSearchForecast)*(1+Inflation)^5</f>
        <v>0</v>
      </c>
      <c r="K623" s="555">
        <f>(eSystemsTouchRateHourEM*eSystemsLeaseRecordSearchLaborHrsEM*eSystemsLeaseRecordsSearchForecast)*(1+Inflation)^6</f>
        <v>0</v>
      </c>
      <c r="L623" s="555">
        <f>(eSystemsTouchRateHourEM*eSystemsLeaseRecordSearchLaborHrsEM*eSystemsLeaseRecordsSearchForecast)*(1+Inflation)^7</f>
        <v>0</v>
      </c>
      <c r="M623" s="555">
        <f>(eSystemsTouchRateHourEM*eSystemsLeaseRecordSearchLaborHrsEM*eSystemsLeaseRecordsSearchForecast)*(1+Inflation)^8</f>
        <v>0</v>
      </c>
      <c r="N623" s="555">
        <f>(eSystemsTouchRateHourEM*eSystemsLeaseRecordSearchLaborHrsEM*eSystemsLeaseRecordsSearchForecast)*(1+Inflation)^9</f>
        <v>0</v>
      </c>
      <c r="O623" s="535" t="s">
        <v>2439</v>
      </c>
    </row>
    <row r="624" spans="1:33" s="142" customFormat="1" ht="18" hidden="1" customHeight="1" outlineLevel="1" x14ac:dyDescent="0.2">
      <c r="A624" s="74"/>
      <c r="B624" s="138"/>
      <c r="C624" s="235"/>
      <c r="D624" s="726" t="s">
        <v>2440</v>
      </c>
      <c r="E624" s="555">
        <f>(eSystemsTouchRateHourCM*eSystemsLeaseRecordSearchLaborHrsCM*eSystemsLeaseRecordsSearchForecast)</f>
        <v>0</v>
      </c>
      <c r="F624" s="555">
        <f>(eSystemsTouchRateHourCM*eSystemsLeaseRecordSearchLaborHrsCM*eSystemsLeaseRecordsSearchForecast)*(1+Inflation)</f>
        <v>0</v>
      </c>
      <c r="G624" s="555">
        <f>(eSystemsTouchRateHourCM*eSystemsLeaseRecordSearchLaborHrsCM*eSystemsLeaseRecordsSearchForecast)*(1+Inflation)^2</f>
        <v>0</v>
      </c>
      <c r="H624" s="555">
        <f>(eSystemsTouchRateHourCM*eSystemsLeaseRecordSearchLaborHrsCM*eSystemsLeaseRecordsSearchForecast)*(1+Inflation)^3</f>
        <v>0</v>
      </c>
      <c r="I624" s="555">
        <f>(eSystemsTouchRateHourCM*eSystemsLeaseRecordSearchLaborHrsCM*eSystemsLeaseRecordsSearchForecast)*(1+Inflation)^4</f>
        <v>0</v>
      </c>
      <c r="J624" s="555">
        <f>(eSystemsTouchRateHourCM*eSystemsLeaseRecordSearchLaborHrsCM*eSystemsLeaseRecordsSearchForecast)*(1+Inflation)^5</f>
        <v>0</v>
      </c>
      <c r="K624" s="555">
        <f>(eSystemsTouchRateHourCM*eSystemsLeaseRecordSearchLaborHrsCM*eSystemsLeaseRecordsSearchForecast)*(1+Inflation)^6</f>
        <v>0</v>
      </c>
      <c r="L624" s="555">
        <f>(eSystemsTouchRateHourCM*eSystemsLeaseRecordSearchLaborHrsCM*eSystemsLeaseRecordsSearchForecast)*(1+Inflation)^7</f>
        <v>0</v>
      </c>
      <c r="M624" s="555">
        <f>(eSystemsTouchRateHourCM*eSystemsLeaseRecordSearchLaborHrsCM*eSystemsLeaseRecordsSearchForecast)*(1+Inflation)^8</f>
        <v>0</v>
      </c>
      <c r="N624" s="555">
        <f>(eSystemsTouchRateHourCM*eSystemsLeaseRecordSearchLaborHrsCM*eSystemsLeaseRecordsSearchForecast)*(1+Inflation)^9</f>
        <v>0</v>
      </c>
      <c r="O624" s="535" t="s">
        <v>2441</v>
      </c>
    </row>
    <row r="625" spans="1:33" s="142" customFormat="1" ht="18" hidden="1" customHeight="1" outlineLevel="1" x14ac:dyDescent="0.2">
      <c r="A625" s="74"/>
      <c r="B625" s="138"/>
      <c r="C625" s="235"/>
      <c r="D625" s="726" t="s">
        <v>2442</v>
      </c>
      <c r="E625" s="555">
        <f>(eSystemsTouchRateHourSMCS*eSystemsLeaseRecordSearchLaborHrsSMCS*eSystemsLeaseRecordsSearchForecast)</f>
        <v>0</v>
      </c>
      <c r="F625" s="555">
        <f>(eSystemsTouchRateHourSMCS*eSystemsLeaseRecordSearchLaborHrsSMCS*eSystemsLeaseRecordsSearchForecast)*(1+Inflation)</f>
        <v>0</v>
      </c>
      <c r="G625" s="555">
        <f>(eSystemsTouchRateHourSMCS*eSystemsLeaseRecordSearchLaborHrsSMCS*eSystemsLeaseRecordsSearchForecast)*(1+Inflation)^2</f>
        <v>0</v>
      </c>
      <c r="H625" s="555">
        <f>(eSystemsTouchRateHourSMCS*eSystemsLeaseRecordSearchLaborHrsSMCS*eSystemsLeaseRecordsSearchForecast)*(1+Inflation)^3</f>
        <v>0</v>
      </c>
      <c r="I625" s="555">
        <f>(eSystemsTouchRateHourSMCS*eSystemsLeaseRecordSearchLaborHrsSMCS*eSystemsLeaseRecordsSearchForecast)*(1+Inflation)^4</f>
        <v>0</v>
      </c>
      <c r="J625" s="555">
        <f>(eSystemsTouchRateHourSMCS*eSystemsLeaseRecordSearchLaborHrsSMCS*eSystemsLeaseRecordsSearchForecast)*(1+Inflation)^5</f>
        <v>0</v>
      </c>
      <c r="K625" s="555">
        <f>(eSystemsTouchRateHourSMCS*eSystemsLeaseRecordSearchLaborHrsSMCS*eSystemsLeaseRecordsSearchForecast)*(1+Inflation)^6</f>
        <v>0</v>
      </c>
      <c r="L625" s="555">
        <f>(eSystemsTouchRateHourSMCS*eSystemsLeaseRecordSearchLaborHrsSMCS*eSystemsLeaseRecordsSearchForecast)*(1+Inflation)^7</f>
        <v>0</v>
      </c>
      <c r="M625" s="555">
        <f>(eSystemsTouchRateHourSMCS*eSystemsLeaseRecordSearchLaborHrsSMCS*eSystemsLeaseRecordsSearchForecast)*(1+Inflation)^8</f>
        <v>0</v>
      </c>
      <c r="N625" s="555">
        <f>(eSystemsTouchRateHourSMCS*eSystemsLeaseRecordSearchLaborHrsSMCS*eSystemsLeaseRecordsSearchForecast)*(1+Inflation)^9</f>
        <v>0</v>
      </c>
      <c r="O625" s="535" t="s">
        <v>2443</v>
      </c>
    </row>
    <row r="626" spans="1:33" s="142" customFormat="1" ht="18" hidden="1" customHeight="1" outlineLevel="1" x14ac:dyDescent="0.2">
      <c r="A626" s="74"/>
      <c r="B626" s="138"/>
      <c r="C626" s="235"/>
      <c r="D626" s="726" t="s">
        <v>2444</v>
      </c>
      <c r="E626" s="555">
        <f>(eSystemsTouchRateHourO1*eSystemsLeaseRecordSearchLaborHrsO1*eSystemsLeaseRecordsSearchForecast)</f>
        <v>0</v>
      </c>
      <c r="F626" s="555">
        <f>(eSystemsTouchRateHourO1*eSystemsLeaseRecordSearchLaborHrsO1*eSystemsLeaseRecordsSearchForecast)*(1+Inflation)</f>
        <v>0</v>
      </c>
      <c r="G626" s="555">
        <f>(eSystemsTouchRateHourO1*eSystemsLeaseRecordSearchLaborHrsO1*eSystemsLeaseRecordsSearchForecast)*(1+Inflation)^2</f>
        <v>0</v>
      </c>
      <c r="H626" s="555">
        <f>(eSystemsTouchRateHourO1*eSystemsLeaseRecordSearchLaborHrsO1*eSystemsLeaseRecordsSearchForecast)*(1+Inflation)^3</f>
        <v>0</v>
      </c>
      <c r="I626" s="555">
        <f>(eSystemsTouchRateHourO1*eSystemsLeaseRecordSearchLaborHrsO1*eSystemsLeaseRecordsSearchForecast)*(1+Inflation)^4</f>
        <v>0</v>
      </c>
      <c r="J626" s="555">
        <f>(eSystemsTouchRateHourO1*eSystemsLeaseRecordSearchLaborHrsO1*eSystemsLeaseRecordsSearchForecast)*(1+Inflation)^5</f>
        <v>0</v>
      </c>
      <c r="K626" s="555">
        <f>(eSystemsTouchRateHourO1*eSystemsLeaseRecordSearchLaborHrsO1*eSystemsLeaseRecordsSearchForecast)*(1+Inflation)^6</f>
        <v>0</v>
      </c>
      <c r="L626" s="555">
        <f>(eSystemsTouchRateHourO1*eSystemsLeaseRecordSearchLaborHrsO1*eSystemsLeaseRecordsSearchForecast)*(1+Inflation)^7</f>
        <v>0</v>
      </c>
      <c r="M626" s="555">
        <f>(eSystemsTouchRateHourO1*eSystemsLeaseRecordSearchLaborHrsO1*eSystemsLeaseRecordsSearchForecast)*(1+Inflation)^8</f>
        <v>0</v>
      </c>
      <c r="N626" s="555">
        <f>(eSystemsTouchRateHourO1*eSystemsLeaseRecordSearchLaborHrsO1*eSystemsLeaseRecordsSearchForecast)*(1+Inflation)^9</f>
        <v>0</v>
      </c>
      <c r="O626" s="535" t="s">
        <v>2445</v>
      </c>
    </row>
    <row r="627" spans="1:33" s="142" customFormat="1" ht="18" hidden="1" customHeight="1" outlineLevel="1" x14ac:dyDescent="0.2">
      <c r="A627" s="74"/>
      <c r="B627" s="138"/>
      <c r="C627" s="235"/>
      <c r="D627" s="726" t="s">
        <v>2446</v>
      </c>
      <c r="E627" s="555">
        <f>(eSystemsTouchRateHourO2*eSystemsLeaseRecordSearchLaborHrsO2*eSystemsLeaseRecordsSearchForecast)</f>
        <v>0</v>
      </c>
      <c r="F627" s="555">
        <f>(eSystemsTouchRateHourO2*eSystemsLeaseRecordSearchLaborHrsO2*eSystemsLeaseRecordsSearchForecast)*(1+Inflation)</f>
        <v>0</v>
      </c>
      <c r="G627" s="555">
        <f>(eSystemsTouchRateHourO2*eSystemsLeaseRecordSearchLaborHrsO2*eSystemsLeaseRecordsSearchForecast)*(1+Inflation)^2</f>
        <v>0</v>
      </c>
      <c r="H627" s="555">
        <f>(eSystemsTouchRateHourO2*eSystemsLeaseRecordSearchLaborHrsO2*eSystemsLeaseRecordsSearchForecast)*(1+Inflation)^3</f>
        <v>0</v>
      </c>
      <c r="I627" s="555">
        <f>(eSystemsTouchRateHourO2*eSystemsLeaseRecordSearchLaborHrsO2*eSystemsLeaseRecordsSearchForecast)*(1+Inflation)^4</f>
        <v>0</v>
      </c>
      <c r="J627" s="555">
        <f>(eSystemsTouchRateHourO2*eSystemsLeaseRecordSearchLaborHrsO2*eSystemsLeaseRecordsSearchForecast)*(1+Inflation)^5</f>
        <v>0</v>
      </c>
      <c r="K627" s="555">
        <f>(eSystemsTouchRateHourO2*eSystemsLeaseRecordSearchLaborHrsO2*eSystemsLeaseRecordsSearchForecast)*(1+Inflation)^6</f>
        <v>0</v>
      </c>
      <c r="L627" s="555">
        <f>(eSystemsTouchRateHourO2*eSystemsLeaseRecordSearchLaborHrsO2*eSystemsLeaseRecordsSearchForecast)*(1+Inflation)^7</f>
        <v>0</v>
      </c>
      <c r="M627" s="555">
        <f>(eSystemsTouchRateHourO2*eSystemsLeaseRecordSearchLaborHrsO2*eSystemsLeaseRecordsSearchForecast)*(1+Inflation)^8</f>
        <v>0</v>
      </c>
      <c r="N627" s="555">
        <f>(eSystemsTouchRateHourO2*eSystemsLeaseRecordSearchLaborHrsO2*eSystemsLeaseRecordsSearchForecast)*(1+Inflation)^9</f>
        <v>0</v>
      </c>
      <c r="O627" s="535" t="s">
        <v>2447</v>
      </c>
    </row>
    <row r="628" spans="1:33" s="142" customFormat="1" ht="18" hidden="1" customHeight="1" outlineLevel="1" x14ac:dyDescent="0.25">
      <c r="A628" s="74"/>
      <c r="B628" s="138"/>
      <c r="C628" s="235"/>
      <c r="D628" s="728" t="s">
        <v>2448</v>
      </c>
      <c r="E628" s="556">
        <f>SUM(E616:E627)</f>
        <v>106540.295573675</v>
      </c>
      <c r="F628" s="556">
        <f t="shared" ref="F628:N628" si="154">SUM(F616:F627)</f>
        <v>9780.3991336633662</v>
      </c>
      <c r="G628" s="556">
        <f t="shared" si="154"/>
        <v>8867.5618811881177</v>
      </c>
      <c r="H628" s="556">
        <f t="shared" si="154"/>
        <v>7914.2989789603944</v>
      </c>
      <c r="I628" s="556">
        <f t="shared" si="154"/>
        <v>6919.3585358910877</v>
      </c>
      <c r="J628" s="556">
        <f t="shared" si="154"/>
        <v>5881.454755507425</v>
      </c>
      <c r="K628" s="556">
        <f t="shared" si="154"/>
        <v>4799.267080494059</v>
      </c>
      <c r="L628" s="556">
        <f t="shared" si="154"/>
        <v>3671.4393165779547</v>
      </c>
      <c r="M628" s="556">
        <f t="shared" si="154"/>
        <v>2496.5787352730094</v>
      </c>
      <c r="N628" s="556">
        <f t="shared" si="154"/>
        <v>1273.2551549892348</v>
      </c>
      <c r="O628" s="535" t="s">
        <v>2449</v>
      </c>
    </row>
    <row r="629" spans="1:33" s="203" customFormat="1" ht="13.5" hidden="1" outlineLevel="1" thickBot="1" x14ac:dyDescent="0.25">
      <c r="A629" s="74"/>
      <c r="B629" s="74"/>
      <c r="C629" s="325"/>
      <c r="D629" s="725"/>
      <c r="E629" s="568"/>
      <c r="F629" s="568"/>
      <c r="G629" s="568"/>
      <c r="H629" s="568"/>
      <c r="I629" s="568"/>
      <c r="J629" s="568"/>
      <c r="K629" s="568"/>
      <c r="L629" s="568"/>
      <c r="M629" s="568"/>
      <c r="N629" s="568"/>
      <c r="O629" s="569"/>
      <c r="P629" s="204"/>
    </row>
    <row r="630" spans="1:33" s="203" customFormat="1" ht="13.5" hidden="1" outlineLevel="1" thickBot="1" x14ac:dyDescent="0.25">
      <c r="A630" s="74"/>
      <c r="B630" s="74"/>
      <c r="C630" s="211"/>
      <c r="D630" s="214"/>
      <c r="E630" s="210"/>
      <c r="F630" s="210"/>
      <c r="G630" s="210"/>
      <c r="H630" s="210"/>
      <c r="I630" s="210"/>
      <c r="J630" s="210"/>
      <c r="K630" s="210"/>
      <c r="L630" s="210"/>
      <c r="M630" s="210"/>
      <c r="N630" s="210"/>
      <c r="O630" s="204"/>
      <c r="P630" s="204"/>
    </row>
    <row r="631" spans="1:33" customFormat="1" ht="20.25" hidden="1" outlineLevel="1" x14ac:dyDescent="0.2">
      <c r="A631" s="74"/>
      <c r="B631" s="13"/>
      <c r="C631" s="1012" t="str">
        <f>Scenario3&amp;"  Record Search FTEs"</f>
        <v>eSystems (Paperless)  Record Search FTEs</v>
      </c>
      <c r="D631" s="310"/>
      <c r="E631" s="434"/>
      <c r="F631" s="434"/>
      <c r="G631" s="434"/>
      <c r="H631" s="434"/>
      <c r="I631" s="434"/>
      <c r="J631" s="434"/>
      <c r="K631" s="434"/>
      <c r="L631" s="434"/>
      <c r="M631" s="434"/>
      <c r="N631" s="434"/>
      <c r="O631" s="573"/>
      <c r="P631" s="18"/>
      <c r="Q631" s="18"/>
      <c r="R631" s="18"/>
      <c r="S631" s="18"/>
      <c r="T631" s="18"/>
      <c r="U631" s="18"/>
      <c r="V631" s="18"/>
      <c r="W631" s="18"/>
      <c r="X631" s="18"/>
      <c r="Y631" s="18"/>
      <c r="Z631" s="18"/>
      <c r="AA631" s="18"/>
      <c r="AB631" s="18"/>
      <c r="AC631" s="18"/>
      <c r="AD631" s="18"/>
      <c r="AE631" s="18"/>
      <c r="AF631" s="18"/>
      <c r="AG631" s="18"/>
    </row>
    <row r="632" spans="1:33" s="142" customFormat="1" ht="18" hidden="1" customHeight="1" outlineLevel="1" x14ac:dyDescent="0.2">
      <c r="A632" s="74"/>
      <c r="B632" s="138"/>
      <c r="C632" s="235"/>
      <c r="D632" s="726" t="s">
        <v>2450</v>
      </c>
      <c r="E632" s="557">
        <f t="shared" ref="E632:N632" si="155">(eSystemsLeaseRecordSearchLaborHrsHM/eSystemsTouchHourspaHM)*eSystemsLeaseRecordsSearchForecast</f>
        <v>0</v>
      </c>
      <c r="F632" s="557">
        <f t="shared" si="155"/>
        <v>0</v>
      </c>
      <c r="G632" s="557">
        <f t="shared" si="155"/>
        <v>0</v>
      </c>
      <c r="H632" s="557">
        <f t="shared" si="155"/>
        <v>0</v>
      </c>
      <c r="I632" s="557">
        <f t="shared" si="155"/>
        <v>0</v>
      </c>
      <c r="J632" s="557">
        <f t="shared" si="155"/>
        <v>0</v>
      </c>
      <c r="K632" s="557">
        <f t="shared" si="155"/>
        <v>0</v>
      </c>
      <c r="L632" s="557">
        <f t="shared" si="155"/>
        <v>0</v>
      </c>
      <c r="M632" s="557">
        <f t="shared" si="155"/>
        <v>0</v>
      </c>
      <c r="N632" s="557">
        <f t="shared" si="155"/>
        <v>0</v>
      </c>
      <c r="O632" s="535" t="s">
        <v>2451</v>
      </c>
    </row>
    <row r="633" spans="1:33" s="142" customFormat="1" ht="18" hidden="1" customHeight="1" outlineLevel="1" x14ac:dyDescent="0.2">
      <c r="A633" s="74"/>
      <c r="B633" s="138"/>
      <c r="C633" s="235"/>
      <c r="D633" s="726" t="s">
        <v>2452</v>
      </c>
      <c r="E633" s="557">
        <f t="shared" ref="E633:N633" si="156">(eSystemsLeaseRecordSearchLaborHrsLM/eSystemsTouchHourspaLM)*eSystemsLeaseRecordsSearchForecast</f>
        <v>0</v>
      </c>
      <c r="F633" s="557">
        <f t="shared" si="156"/>
        <v>0</v>
      </c>
      <c r="G633" s="557">
        <f t="shared" si="156"/>
        <v>0</v>
      </c>
      <c r="H633" s="557">
        <f t="shared" si="156"/>
        <v>0</v>
      </c>
      <c r="I633" s="557">
        <f t="shared" si="156"/>
        <v>0</v>
      </c>
      <c r="J633" s="557">
        <f t="shared" si="156"/>
        <v>0</v>
      </c>
      <c r="K633" s="557">
        <f t="shared" si="156"/>
        <v>0</v>
      </c>
      <c r="L633" s="557">
        <f t="shared" si="156"/>
        <v>0</v>
      </c>
      <c r="M633" s="557">
        <f t="shared" si="156"/>
        <v>0</v>
      </c>
      <c r="N633" s="557">
        <f t="shared" si="156"/>
        <v>0</v>
      </c>
      <c r="O633" s="535" t="s">
        <v>2453</v>
      </c>
    </row>
    <row r="634" spans="1:33" s="142" customFormat="1" ht="18" hidden="1" customHeight="1" outlineLevel="1" x14ac:dyDescent="0.2">
      <c r="A634" s="74"/>
      <c r="B634" s="138"/>
      <c r="C634" s="235"/>
      <c r="D634" s="727" t="s">
        <v>2454</v>
      </c>
      <c r="E634" s="557">
        <f t="shared" ref="E634:N634" si="157">(eSystemsLeaseRecordSearchLaborHrsENG/eSystemsTouchHourspaENG)*eSystemsLeaseRecordsSearchForecast</f>
        <v>0</v>
      </c>
      <c r="F634" s="557">
        <f t="shared" si="157"/>
        <v>0</v>
      </c>
      <c r="G634" s="557">
        <f t="shared" si="157"/>
        <v>0</v>
      </c>
      <c r="H634" s="557">
        <f t="shared" si="157"/>
        <v>0</v>
      </c>
      <c r="I634" s="557">
        <f t="shared" si="157"/>
        <v>0</v>
      </c>
      <c r="J634" s="557">
        <f t="shared" si="157"/>
        <v>0</v>
      </c>
      <c r="K634" s="557">
        <f t="shared" si="157"/>
        <v>0</v>
      </c>
      <c r="L634" s="557">
        <f t="shared" si="157"/>
        <v>0</v>
      </c>
      <c r="M634" s="557">
        <f t="shared" si="157"/>
        <v>0</v>
      </c>
      <c r="N634" s="557">
        <f t="shared" si="157"/>
        <v>0</v>
      </c>
      <c r="O634" s="535" t="s">
        <v>2455</v>
      </c>
    </row>
    <row r="635" spans="1:33" s="142" customFormat="1" ht="18" hidden="1" customHeight="1" outlineLevel="1" x14ac:dyDescent="0.2">
      <c r="A635" s="74"/>
      <c r="B635" s="138"/>
      <c r="C635" s="235"/>
      <c r="D635" s="726" t="s">
        <v>2456</v>
      </c>
      <c r="E635" s="557">
        <f t="shared" ref="E635:N635" si="158">(eSystemsLeaseRecordSearchLaborHrsPLG/eSystemsTouchHourspaPLG)*eSystemsLeaseRecordsSearchForecast</f>
        <v>0.36400698893418754</v>
      </c>
      <c r="F635" s="557">
        <f t="shared" si="158"/>
        <v>3.2760629004076877E-2</v>
      </c>
      <c r="G635" s="557">
        <f t="shared" si="158"/>
        <v>2.9120559114735003E-2</v>
      </c>
      <c r="H635" s="557">
        <f t="shared" si="158"/>
        <v>2.548048922539313E-2</v>
      </c>
      <c r="I635" s="557">
        <f t="shared" si="158"/>
        <v>2.1840419336051253E-2</v>
      </c>
      <c r="J635" s="557">
        <f t="shared" si="158"/>
        <v>1.8200349446709379E-2</v>
      </c>
      <c r="K635" s="557">
        <f t="shared" si="158"/>
        <v>1.4560279557367502E-2</v>
      </c>
      <c r="L635" s="557">
        <f t="shared" si="158"/>
        <v>1.0920209668025626E-2</v>
      </c>
      <c r="M635" s="557">
        <f t="shared" si="158"/>
        <v>7.2801397786837509E-3</v>
      </c>
      <c r="N635" s="557">
        <f t="shared" si="158"/>
        <v>3.6400698893418754E-3</v>
      </c>
      <c r="O635" s="535" t="s">
        <v>2457</v>
      </c>
    </row>
    <row r="636" spans="1:33" s="142" customFormat="1" ht="18" hidden="1" customHeight="1" outlineLevel="1" x14ac:dyDescent="0.2">
      <c r="A636" s="74"/>
      <c r="B636" s="138"/>
      <c r="C636" s="235"/>
      <c r="D636" s="726" t="s">
        <v>2458</v>
      </c>
      <c r="E636" s="557">
        <f t="shared" ref="E636:N636" si="159">(eSystemsLeaseRecordSearchLaborHrsCRT/eSystemsTouchHourspaCRT)*eSystemsLeaseRecordsSearchForecast</f>
        <v>0.36400698893418754</v>
      </c>
      <c r="F636" s="557">
        <f t="shared" si="159"/>
        <v>3.2760629004076877E-2</v>
      </c>
      <c r="G636" s="557">
        <f t="shared" si="159"/>
        <v>2.9120559114735003E-2</v>
      </c>
      <c r="H636" s="557">
        <f t="shared" si="159"/>
        <v>2.548048922539313E-2</v>
      </c>
      <c r="I636" s="557">
        <f t="shared" si="159"/>
        <v>2.1840419336051253E-2</v>
      </c>
      <c r="J636" s="557">
        <f t="shared" si="159"/>
        <v>1.8200349446709379E-2</v>
      </c>
      <c r="K636" s="557">
        <f t="shared" si="159"/>
        <v>1.4560279557367502E-2</v>
      </c>
      <c r="L636" s="557">
        <f t="shared" si="159"/>
        <v>1.0920209668025626E-2</v>
      </c>
      <c r="M636" s="557">
        <f t="shared" si="159"/>
        <v>7.2801397786837509E-3</v>
      </c>
      <c r="N636" s="557">
        <f t="shared" si="159"/>
        <v>3.6400698893418754E-3</v>
      </c>
      <c r="O636" s="535" t="s">
        <v>2459</v>
      </c>
    </row>
    <row r="637" spans="1:33" s="142" customFormat="1" ht="18" hidden="1" customHeight="1" outlineLevel="1" x14ac:dyDescent="0.2">
      <c r="A637" s="74"/>
      <c r="B637" s="138"/>
      <c r="C637" s="235"/>
      <c r="D637" s="726" t="s">
        <v>2460</v>
      </c>
      <c r="E637" s="557">
        <f t="shared" ref="E637:N637" si="160">(eSystemsLeaseRecordSearchLaborHrsSCL/eSystemsTouchHourspaSCL)*eSystemsLeaseRecordsSearchForecast</f>
        <v>0</v>
      </c>
      <c r="F637" s="557">
        <f t="shared" si="160"/>
        <v>0</v>
      </c>
      <c r="G637" s="557">
        <f t="shared" si="160"/>
        <v>0</v>
      </c>
      <c r="H637" s="557">
        <f t="shared" si="160"/>
        <v>0</v>
      </c>
      <c r="I637" s="557">
        <f t="shared" si="160"/>
        <v>0</v>
      </c>
      <c r="J637" s="557">
        <f t="shared" si="160"/>
        <v>0</v>
      </c>
      <c r="K637" s="557">
        <f t="shared" si="160"/>
        <v>0</v>
      </c>
      <c r="L637" s="557">
        <f t="shared" si="160"/>
        <v>0</v>
      </c>
      <c r="M637" s="557">
        <f t="shared" si="160"/>
        <v>0</v>
      </c>
      <c r="N637" s="557">
        <f t="shared" si="160"/>
        <v>0</v>
      </c>
      <c r="O637" s="535" t="s">
        <v>2461</v>
      </c>
    </row>
    <row r="638" spans="1:33" s="142" customFormat="1" ht="18" hidden="1" customHeight="1" outlineLevel="1" x14ac:dyDescent="0.2">
      <c r="A638" s="74"/>
      <c r="B638" s="138"/>
      <c r="C638" s="235"/>
      <c r="D638" s="726" t="s">
        <v>2462</v>
      </c>
      <c r="E638" s="557">
        <f t="shared" ref="E638:N638" si="161">(eSystemsLeaseRecordSearchLaborHrsQSC/eSystemsTouchHourspaQSC)*eSystemsLeaseRecordsSearchForecast</f>
        <v>0.36400698893418754</v>
      </c>
      <c r="F638" s="557">
        <f t="shared" si="161"/>
        <v>3.2760629004076877E-2</v>
      </c>
      <c r="G638" s="557">
        <f t="shared" si="161"/>
        <v>2.9120559114735003E-2</v>
      </c>
      <c r="H638" s="557">
        <f t="shared" si="161"/>
        <v>2.548048922539313E-2</v>
      </c>
      <c r="I638" s="557">
        <f t="shared" si="161"/>
        <v>2.1840419336051253E-2</v>
      </c>
      <c r="J638" s="557">
        <f t="shared" si="161"/>
        <v>1.8200349446709379E-2</v>
      </c>
      <c r="K638" s="557">
        <f t="shared" si="161"/>
        <v>1.4560279557367502E-2</v>
      </c>
      <c r="L638" s="557">
        <f t="shared" si="161"/>
        <v>1.0920209668025626E-2</v>
      </c>
      <c r="M638" s="557">
        <f t="shared" si="161"/>
        <v>7.2801397786837509E-3</v>
      </c>
      <c r="N638" s="557">
        <f t="shared" si="161"/>
        <v>3.6400698893418754E-3</v>
      </c>
      <c r="O638" s="535" t="s">
        <v>2463</v>
      </c>
    </row>
    <row r="639" spans="1:33" s="142" customFormat="1" ht="18" hidden="1" customHeight="1" outlineLevel="1" x14ac:dyDescent="0.2">
      <c r="A639" s="74"/>
      <c r="B639" s="138"/>
      <c r="C639" s="235"/>
      <c r="D639" s="726" t="s">
        <v>2464</v>
      </c>
      <c r="E639" s="557">
        <f t="shared" ref="E639:N639" si="162">(eSystemsLeaseRecordSearchLaborHrsEM/eSystemsTouchHourspaEM)*eSystemsLeaseRecordsSearchForecast</f>
        <v>0</v>
      </c>
      <c r="F639" s="557">
        <f t="shared" si="162"/>
        <v>0</v>
      </c>
      <c r="G639" s="557">
        <f t="shared" si="162"/>
        <v>0</v>
      </c>
      <c r="H639" s="557">
        <f t="shared" si="162"/>
        <v>0</v>
      </c>
      <c r="I639" s="557">
        <f t="shared" si="162"/>
        <v>0</v>
      </c>
      <c r="J639" s="557">
        <f t="shared" si="162"/>
        <v>0</v>
      </c>
      <c r="K639" s="557">
        <f t="shared" si="162"/>
        <v>0</v>
      </c>
      <c r="L639" s="557">
        <f t="shared" si="162"/>
        <v>0</v>
      </c>
      <c r="M639" s="557">
        <f t="shared" si="162"/>
        <v>0</v>
      </c>
      <c r="N639" s="557">
        <f t="shared" si="162"/>
        <v>0</v>
      </c>
      <c r="O639" s="535" t="s">
        <v>2465</v>
      </c>
    </row>
    <row r="640" spans="1:33" s="142" customFormat="1" ht="18" hidden="1" customHeight="1" outlineLevel="1" x14ac:dyDescent="0.2">
      <c r="A640" s="74"/>
      <c r="B640" s="138"/>
      <c r="C640" s="235"/>
      <c r="D640" s="726" t="s">
        <v>2466</v>
      </c>
      <c r="E640" s="557">
        <f t="shared" ref="E640:N640" si="163">(eSystemsLeaseRecordSearchLaborHrsCM/eSystemsTouchHourspaCM)*eSystemsLeaseRecordsSearchForecast</f>
        <v>0</v>
      </c>
      <c r="F640" s="557">
        <f t="shared" si="163"/>
        <v>0</v>
      </c>
      <c r="G640" s="557">
        <f t="shared" si="163"/>
        <v>0</v>
      </c>
      <c r="H640" s="557">
        <f t="shared" si="163"/>
        <v>0</v>
      </c>
      <c r="I640" s="557">
        <f t="shared" si="163"/>
        <v>0</v>
      </c>
      <c r="J640" s="557">
        <f t="shared" si="163"/>
        <v>0</v>
      </c>
      <c r="K640" s="557">
        <f t="shared" si="163"/>
        <v>0</v>
      </c>
      <c r="L640" s="557">
        <f t="shared" si="163"/>
        <v>0</v>
      </c>
      <c r="M640" s="557">
        <f t="shared" si="163"/>
        <v>0</v>
      </c>
      <c r="N640" s="557">
        <f t="shared" si="163"/>
        <v>0</v>
      </c>
      <c r="O640" s="535" t="s">
        <v>2467</v>
      </c>
    </row>
    <row r="641" spans="1:32" s="142" customFormat="1" ht="18" hidden="1" customHeight="1" outlineLevel="1" x14ac:dyDescent="0.2">
      <c r="A641" s="74"/>
      <c r="B641" s="138"/>
      <c r="C641" s="235"/>
      <c r="D641" s="726" t="s">
        <v>2468</v>
      </c>
      <c r="E641" s="557">
        <f t="shared" ref="E641:N641" si="164">(eSystemsLeaseRecordSearchLaborHrsSMCS/eSystemsTouchHourspaSMCS)*eSystemsLeaseRecordsSearchForecast</f>
        <v>0</v>
      </c>
      <c r="F641" s="557">
        <f t="shared" si="164"/>
        <v>0</v>
      </c>
      <c r="G641" s="557">
        <f t="shared" si="164"/>
        <v>0</v>
      </c>
      <c r="H641" s="557">
        <f t="shared" si="164"/>
        <v>0</v>
      </c>
      <c r="I641" s="557">
        <f t="shared" si="164"/>
        <v>0</v>
      </c>
      <c r="J641" s="557">
        <f t="shared" si="164"/>
        <v>0</v>
      </c>
      <c r="K641" s="557">
        <f t="shared" si="164"/>
        <v>0</v>
      </c>
      <c r="L641" s="557">
        <f t="shared" si="164"/>
        <v>0</v>
      </c>
      <c r="M641" s="557">
        <f t="shared" si="164"/>
        <v>0</v>
      </c>
      <c r="N641" s="557">
        <f t="shared" si="164"/>
        <v>0</v>
      </c>
      <c r="O641" s="535" t="s">
        <v>2469</v>
      </c>
    </row>
    <row r="642" spans="1:32" s="142" customFormat="1" ht="18" hidden="1" customHeight="1" outlineLevel="1" x14ac:dyDescent="0.2">
      <c r="A642" s="74"/>
      <c r="B642" s="138"/>
      <c r="C642" s="235"/>
      <c r="D642" s="726" t="s">
        <v>2470</v>
      </c>
      <c r="E642" s="557">
        <f t="shared" ref="E642:N642" si="165">(eSystemsLeaseRecordSearchLaborHrsO1/eSystemsTouchHourspaO1)*eSystemsLeaseRecordsSearchForecast</f>
        <v>0</v>
      </c>
      <c r="F642" s="557">
        <f t="shared" si="165"/>
        <v>0</v>
      </c>
      <c r="G642" s="557">
        <f t="shared" si="165"/>
        <v>0</v>
      </c>
      <c r="H642" s="557">
        <f t="shared" si="165"/>
        <v>0</v>
      </c>
      <c r="I642" s="557">
        <f t="shared" si="165"/>
        <v>0</v>
      </c>
      <c r="J642" s="557">
        <f t="shared" si="165"/>
        <v>0</v>
      </c>
      <c r="K642" s="557">
        <f t="shared" si="165"/>
        <v>0</v>
      </c>
      <c r="L642" s="557">
        <f t="shared" si="165"/>
        <v>0</v>
      </c>
      <c r="M642" s="557">
        <f t="shared" si="165"/>
        <v>0</v>
      </c>
      <c r="N642" s="557">
        <f t="shared" si="165"/>
        <v>0</v>
      </c>
      <c r="O642" s="535" t="s">
        <v>2471</v>
      </c>
    </row>
    <row r="643" spans="1:32" s="142" customFormat="1" ht="18" hidden="1" customHeight="1" outlineLevel="1" x14ac:dyDescent="0.2">
      <c r="A643" s="74"/>
      <c r="B643" s="138"/>
      <c r="C643" s="235"/>
      <c r="D643" s="726" t="s">
        <v>2472</v>
      </c>
      <c r="E643" s="557">
        <f t="shared" ref="E643:N643" si="166">(eSystemsLeaseRecordSearchLaborHrsO2/eSystemsTouchHourspaO2)*eSystemsLeaseRecordsSearchForecast</f>
        <v>0</v>
      </c>
      <c r="F643" s="557">
        <f t="shared" si="166"/>
        <v>0</v>
      </c>
      <c r="G643" s="557">
        <f t="shared" si="166"/>
        <v>0</v>
      </c>
      <c r="H643" s="557">
        <f t="shared" si="166"/>
        <v>0</v>
      </c>
      <c r="I643" s="557">
        <f t="shared" si="166"/>
        <v>0</v>
      </c>
      <c r="J643" s="557">
        <f t="shared" si="166"/>
        <v>0</v>
      </c>
      <c r="K643" s="557">
        <f t="shared" si="166"/>
        <v>0</v>
      </c>
      <c r="L643" s="557">
        <f t="shared" si="166"/>
        <v>0</v>
      </c>
      <c r="M643" s="557">
        <f t="shared" si="166"/>
        <v>0</v>
      </c>
      <c r="N643" s="557">
        <f t="shared" si="166"/>
        <v>0</v>
      </c>
      <c r="O643" s="535" t="s">
        <v>2473</v>
      </c>
    </row>
    <row r="644" spans="1:32" s="142" customFormat="1" ht="18" hidden="1" customHeight="1" outlineLevel="1" x14ac:dyDescent="0.25">
      <c r="A644" s="74"/>
      <c r="B644" s="138"/>
      <c r="C644" s="235"/>
      <c r="D644" s="728" t="s">
        <v>2474</v>
      </c>
      <c r="E644" s="562">
        <f>SUM(E632:E643)</f>
        <v>1.0920209668025627</v>
      </c>
      <c r="F644" s="562">
        <f t="shared" ref="F644:N644" si="167">SUM(F632:F643)</f>
        <v>9.8281887012230632E-2</v>
      </c>
      <c r="G644" s="562">
        <f t="shared" si="167"/>
        <v>8.736167734420501E-2</v>
      </c>
      <c r="H644" s="562">
        <f t="shared" si="167"/>
        <v>7.6441467676179389E-2</v>
      </c>
      <c r="I644" s="562">
        <f t="shared" si="167"/>
        <v>6.5521258008153754E-2</v>
      </c>
      <c r="J644" s="562">
        <f t="shared" si="167"/>
        <v>5.4601048340128133E-2</v>
      </c>
      <c r="K644" s="562">
        <f t="shared" si="167"/>
        <v>4.3680838672102505E-2</v>
      </c>
      <c r="L644" s="562">
        <f t="shared" si="167"/>
        <v>3.2760629004076877E-2</v>
      </c>
      <c r="M644" s="562">
        <f t="shared" si="167"/>
        <v>2.1840419336051253E-2</v>
      </c>
      <c r="N644" s="562">
        <f t="shared" si="167"/>
        <v>1.0920209668025626E-2</v>
      </c>
      <c r="O644" s="535" t="s">
        <v>2475</v>
      </c>
    </row>
    <row r="645" spans="1:32" s="203" customFormat="1" ht="13.5" hidden="1" outlineLevel="1" thickBot="1" x14ac:dyDescent="0.25">
      <c r="A645" s="74"/>
      <c r="B645" s="74"/>
      <c r="C645" s="325"/>
      <c r="D645" s="725"/>
      <c r="E645" s="568"/>
      <c r="F645" s="568"/>
      <c r="G645" s="568"/>
      <c r="H645" s="568"/>
      <c r="I645" s="568"/>
      <c r="J645" s="568"/>
      <c r="K645" s="568"/>
      <c r="L645" s="568"/>
      <c r="M645" s="568"/>
      <c r="N645" s="568"/>
      <c r="O645" s="569"/>
      <c r="P645" s="204"/>
    </row>
    <row r="646" spans="1:32" s="203" customFormat="1" ht="15" hidden="1" outlineLevel="1" x14ac:dyDescent="0.25">
      <c r="A646" s="221"/>
      <c r="B646" s="74"/>
      <c r="C646" s="211"/>
      <c r="D646" s="214"/>
      <c r="E646" s="210"/>
      <c r="F646" s="210"/>
      <c r="G646" s="210"/>
      <c r="H646" s="210"/>
      <c r="I646" s="210"/>
      <c r="J646" s="210"/>
      <c r="K646" s="210"/>
      <c r="L646" s="210"/>
      <c r="M646" s="210"/>
      <c r="N646" s="210"/>
      <c r="O646" s="204"/>
      <c r="P646" s="204"/>
    </row>
    <row r="647" spans="1:32" s="122" customFormat="1" ht="15.75" collapsed="1" x14ac:dyDescent="0.2">
      <c r="A647" s="1043">
        <v>5</v>
      </c>
      <c r="B647" s="1039"/>
      <c r="C647" s="1039"/>
      <c r="D647" s="1039"/>
      <c r="E647" s="1039"/>
      <c r="F647" s="1039"/>
      <c r="G647" s="1039"/>
      <c r="H647" s="1039"/>
      <c r="I647" s="1039"/>
      <c r="J647" s="1039"/>
      <c r="K647" s="1039"/>
      <c r="L647" s="1039"/>
      <c r="M647" s="1039"/>
      <c r="N647" s="1039"/>
      <c r="O647" s="1039"/>
      <c r="P647" s="206"/>
      <c r="Q647" s="206"/>
      <c r="R647" s="206"/>
      <c r="S647" s="206"/>
      <c r="T647" s="206"/>
      <c r="U647" s="206"/>
      <c r="V647" s="206"/>
      <c r="W647" s="206"/>
      <c r="X647" s="206"/>
      <c r="Y647" s="206"/>
      <c r="Z647" s="206"/>
      <c r="AA647" s="206"/>
      <c r="AB647" s="206"/>
      <c r="AC647" s="206"/>
      <c r="AD647" s="206"/>
      <c r="AE647" s="206"/>
      <c r="AF647" s="206"/>
    </row>
    <row r="648" spans="1:32" s="203" customFormat="1" ht="15.75" thickBot="1" x14ac:dyDescent="0.3">
      <c r="A648" s="221"/>
      <c r="B648" s="74"/>
      <c r="C648" s="211"/>
      <c r="D648" s="214"/>
      <c r="E648" s="210"/>
      <c r="F648" s="210"/>
      <c r="G648" s="210"/>
      <c r="H648" s="210"/>
      <c r="I648" s="210"/>
      <c r="J648" s="210"/>
      <c r="K648" s="210"/>
      <c r="L648" s="210"/>
      <c r="M648" s="210"/>
      <c r="N648" s="210"/>
      <c r="O648" s="204"/>
      <c r="P648" s="204"/>
    </row>
    <row r="649" spans="1:32" s="203" customFormat="1" ht="20.100000000000001" customHeight="1" x14ac:dyDescent="0.2">
      <c r="A649" s="1397" t="s">
        <v>4196</v>
      </c>
      <c r="C649" s="1413" t="s">
        <v>223</v>
      </c>
      <c r="D649" s="1414"/>
      <c r="E649" s="210"/>
      <c r="F649" s="210"/>
      <c r="G649" s="210"/>
      <c r="H649" s="210"/>
      <c r="I649" s="210"/>
      <c r="J649" s="210"/>
      <c r="K649" s="210"/>
      <c r="L649" s="210"/>
      <c r="M649" s="210"/>
      <c r="N649" s="210"/>
      <c r="O649" s="210"/>
      <c r="P649" s="204"/>
    </row>
    <row r="650" spans="1:32" s="203" customFormat="1" ht="15.75" customHeight="1" x14ac:dyDescent="0.2">
      <c r="A650" s="1398"/>
      <c r="B650" s="267"/>
      <c r="C650" s="267"/>
      <c r="D650" s="214"/>
      <c r="E650" s="210"/>
      <c r="F650" s="210"/>
      <c r="G650" s="210"/>
      <c r="H650" s="210"/>
      <c r="I650" s="210"/>
      <c r="J650" s="210"/>
      <c r="K650" s="210"/>
      <c r="L650" s="210"/>
      <c r="M650" s="210"/>
      <c r="N650" s="210"/>
      <c r="O650" s="210"/>
      <c r="P650" s="204"/>
    </row>
    <row r="651" spans="1:32" s="203" customFormat="1" ht="30.75" customHeight="1" x14ac:dyDescent="0.2">
      <c r="A651" s="1399"/>
      <c r="B651" s="267"/>
      <c r="C651" s="267"/>
      <c r="D651" s="214"/>
      <c r="E651" s="210"/>
      <c r="F651" s="210"/>
      <c r="G651" s="210"/>
      <c r="H651" s="210"/>
      <c r="I651" s="210"/>
      <c r="J651" s="210"/>
      <c r="K651" s="210"/>
      <c r="L651" s="210"/>
      <c r="M651" s="210"/>
      <c r="N651" s="210"/>
      <c r="O651" s="210"/>
      <c r="P651" s="204"/>
    </row>
    <row r="652" spans="1:32" s="203" customFormat="1" ht="15.75" customHeight="1" x14ac:dyDescent="0.2">
      <c r="A652" s="1042"/>
      <c r="B652" s="267"/>
      <c r="C652" s="267"/>
      <c r="D652" s="214"/>
      <c r="E652" s="210"/>
      <c r="F652" s="210"/>
      <c r="G652" s="210"/>
      <c r="H652" s="210"/>
      <c r="I652" s="210"/>
      <c r="J652" s="210"/>
      <c r="K652" s="210"/>
      <c r="L652" s="210"/>
      <c r="M652" s="210"/>
      <c r="N652" s="210"/>
      <c r="O652" s="210"/>
      <c r="P652" s="204"/>
    </row>
    <row r="653" spans="1:32" s="203" customFormat="1" ht="15.75" hidden="1" customHeight="1" outlineLevel="1" thickBot="1" x14ac:dyDescent="0.25">
      <c r="A653" s="1042"/>
      <c r="B653" s="267"/>
      <c r="C653" s="267"/>
      <c r="D653" s="214"/>
      <c r="E653" s="210"/>
      <c r="F653" s="210"/>
      <c r="G653" s="210"/>
      <c r="H653" s="210"/>
      <c r="I653" s="210"/>
      <c r="J653" s="210"/>
      <c r="K653" s="210"/>
      <c r="L653" s="210"/>
      <c r="M653" s="210"/>
      <c r="N653" s="210"/>
      <c r="O653" s="210"/>
      <c r="P653" s="204"/>
    </row>
    <row r="654" spans="1:32" s="203" customFormat="1" ht="15.75" hidden="1" customHeight="1" outlineLevel="1" x14ac:dyDescent="0.2">
      <c r="A654" s="1397" t="s">
        <v>4195</v>
      </c>
      <c r="B654" s="211"/>
      <c r="C654" s="1007" t="s">
        <v>463</v>
      </c>
      <c r="D654" s="729"/>
      <c r="E654" s="322"/>
      <c r="F654" s="322"/>
      <c r="G654" s="322"/>
      <c r="H654" s="322"/>
      <c r="I654" s="322"/>
      <c r="J654" s="322"/>
      <c r="K654" s="322"/>
      <c r="L654" s="322"/>
      <c r="M654" s="322"/>
      <c r="N654" s="322"/>
      <c r="O654" s="579"/>
      <c r="P654" s="204"/>
    </row>
    <row r="655" spans="1:32" s="203" customFormat="1" hidden="1" outlineLevel="1" x14ac:dyDescent="0.2">
      <c r="A655" s="1398"/>
      <c r="B655" s="211"/>
      <c r="C655" s="331"/>
      <c r="D655" s="730" t="s">
        <v>224</v>
      </c>
      <c r="E655" s="570">
        <v>3</v>
      </c>
      <c r="F655" s="570">
        <v>2</v>
      </c>
      <c r="G655" s="570">
        <v>3</v>
      </c>
      <c r="H655" s="570">
        <v>2</v>
      </c>
      <c r="I655" s="570">
        <v>3</v>
      </c>
      <c r="J655" s="570">
        <v>2</v>
      </c>
      <c r="K655" s="570">
        <v>3</v>
      </c>
      <c r="L655" s="570">
        <v>2</v>
      </c>
      <c r="M655" s="570">
        <v>3</v>
      </c>
      <c r="N655" s="570">
        <v>2</v>
      </c>
      <c r="O655" s="324" t="s">
        <v>227</v>
      </c>
      <c r="P655" s="204"/>
    </row>
    <row r="656" spans="1:32" s="206" customFormat="1" ht="13.5" hidden="1" outlineLevel="1" thickBot="1" x14ac:dyDescent="0.25">
      <c r="A656" s="1399"/>
      <c r="B656" s="211"/>
      <c r="C656" s="564"/>
      <c r="D656" s="725"/>
      <c r="E656" s="568"/>
      <c r="F656" s="568"/>
      <c r="G656" s="568"/>
      <c r="H656" s="568"/>
      <c r="I656" s="568"/>
      <c r="J656" s="568"/>
      <c r="K656" s="568"/>
      <c r="L656" s="568"/>
      <c r="M656" s="568"/>
      <c r="N656" s="568"/>
      <c r="O656" s="580"/>
      <c r="P656" s="210"/>
    </row>
    <row r="657" spans="1:33" s="206" customFormat="1" ht="13.5" hidden="1" outlineLevel="1" thickBot="1" x14ac:dyDescent="0.25">
      <c r="A657" s="1042"/>
      <c r="B657" s="211"/>
      <c r="C657" s="568"/>
      <c r="D657" s="214"/>
      <c r="E657" s="210"/>
      <c r="F657" s="210"/>
      <c r="G657" s="210"/>
      <c r="H657" s="210"/>
      <c r="I657" s="210"/>
      <c r="J657" s="210"/>
      <c r="K657" s="210"/>
      <c r="L657" s="210"/>
      <c r="M657" s="210"/>
      <c r="N657" s="210"/>
      <c r="O657" s="210"/>
      <c r="P657" s="210"/>
    </row>
    <row r="658" spans="1:33" s="8" customFormat="1" ht="20.25" hidden="1" outlineLevel="1" x14ac:dyDescent="0.25">
      <c r="A658" s="1397" t="s">
        <v>4197</v>
      </c>
      <c r="B658" s="194"/>
      <c r="C658" s="1007" t="str">
        <f>Scenario1&amp;" Lessee Labor Hours per Due Diligence Event"</f>
        <v>pSystems (Paper) Lessee Labor Hours per Due Diligence Event</v>
      </c>
      <c r="D658" s="310"/>
      <c r="E658" s="240"/>
      <c r="F658" s="240"/>
      <c r="G658" s="240"/>
      <c r="H658" s="240"/>
      <c r="I658" s="240"/>
      <c r="J658" s="240"/>
      <c r="K658" s="240"/>
      <c r="L658" s="240"/>
      <c r="M658" s="240"/>
      <c r="N658" s="240"/>
      <c r="O658" s="435"/>
      <c r="P658" s="17"/>
      <c r="Q658" s="17"/>
      <c r="R658" s="17"/>
      <c r="S658" s="17"/>
      <c r="T658" s="17"/>
      <c r="U658" s="17"/>
      <c r="V658" s="17"/>
      <c r="W658" s="17"/>
      <c r="X658" s="17"/>
      <c r="Y658" s="17"/>
      <c r="Z658" s="17"/>
      <c r="AA658" s="17"/>
      <c r="AB658" s="17"/>
      <c r="AC658" s="17"/>
      <c r="AD658" s="17"/>
      <c r="AE658" s="17"/>
      <c r="AF658" s="17"/>
      <c r="AG658" s="17"/>
    </row>
    <row r="659" spans="1:33" s="142" customFormat="1" ht="18" hidden="1" customHeight="1" outlineLevel="1" x14ac:dyDescent="0.2">
      <c r="A659" s="1398"/>
      <c r="B659" s="138"/>
      <c r="C659" s="235"/>
      <c r="D659" s="726" t="s">
        <v>2476</v>
      </c>
      <c r="E659" s="577">
        <v>0</v>
      </c>
      <c r="F659" s="577">
        <v>0</v>
      </c>
      <c r="G659" s="577">
        <v>0</v>
      </c>
      <c r="H659" s="577">
        <v>0</v>
      </c>
      <c r="I659" s="577">
        <v>0</v>
      </c>
      <c r="J659" s="577">
        <v>0</v>
      </c>
      <c r="K659" s="577">
        <v>0</v>
      </c>
      <c r="L659" s="577">
        <v>0</v>
      </c>
      <c r="M659" s="577">
        <v>0</v>
      </c>
      <c r="N659" s="577">
        <v>0</v>
      </c>
      <c r="O659" s="535" t="s">
        <v>2514</v>
      </c>
    </row>
    <row r="660" spans="1:33" s="142" customFormat="1" ht="18" hidden="1" customHeight="1" outlineLevel="1" x14ac:dyDescent="0.2">
      <c r="A660" s="1398"/>
      <c r="B660" s="138"/>
      <c r="C660" s="235"/>
      <c r="D660" s="726" t="s">
        <v>2477</v>
      </c>
      <c r="E660" s="577">
        <v>0</v>
      </c>
      <c r="F660" s="577">
        <v>0</v>
      </c>
      <c r="G660" s="577">
        <v>0</v>
      </c>
      <c r="H660" s="577">
        <v>0</v>
      </c>
      <c r="I660" s="577">
        <v>0</v>
      </c>
      <c r="J660" s="577">
        <v>0</v>
      </c>
      <c r="K660" s="577">
        <v>0</v>
      </c>
      <c r="L660" s="577">
        <v>0</v>
      </c>
      <c r="M660" s="577">
        <v>0</v>
      </c>
      <c r="N660" s="577">
        <v>0</v>
      </c>
      <c r="O660" s="535" t="s">
        <v>2515</v>
      </c>
    </row>
    <row r="661" spans="1:33" s="142" customFormat="1" ht="18" hidden="1" customHeight="1" outlineLevel="1" x14ac:dyDescent="0.2">
      <c r="A661" s="1398"/>
      <c r="B661" s="138"/>
      <c r="C661" s="235"/>
      <c r="D661" s="726" t="s">
        <v>2478</v>
      </c>
      <c r="E661" s="577">
        <v>1000</v>
      </c>
      <c r="F661" s="577">
        <v>1000</v>
      </c>
      <c r="G661" s="577">
        <v>1000</v>
      </c>
      <c r="H661" s="577">
        <v>1000</v>
      </c>
      <c r="I661" s="577">
        <v>1000</v>
      </c>
      <c r="J661" s="577">
        <v>1000</v>
      </c>
      <c r="K661" s="577">
        <v>1000</v>
      </c>
      <c r="L661" s="577">
        <v>1000</v>
      </c>
      <c r="M661" s="577">
        <v>1000</v>
      </c>
      <c r="N661" s="577">
        <v>1000</v>
      </c>
      <c r="O661" s="535" t="s">
        <v>2516</v>
      </c>
    </row>
    <row r="662" spans="1:33" s="142" customFormat="1" ht="18" hidden="1" customHeight="1" outlineLevel="1" x14ac:dyDescent="0.2">
      <c r="A662" s="1398"/>
      <c r="B662" s="138"/>
      <c r="C662" s="235"/>
      <c r="D662" s="726" t="s">
        <v>2479</v>
      </c>
      <c r="E662" s="577">
        <v>1000</v>
      </c>
      <c r="F662" s="577">
        <v>1000</v>
      </c>
      <c r="G662" s="577">
        <v>1000</v>
      </c>
      <c r="H662" s="577">
        <v>1000</v>
      </c>
      <c r="I662" s="577">
        <v>1000</v>
      </c>
      <c r="J662" s="577">
        <v>1000</v>
      </c>
      <c r="K662" s="577">
        <v>1000</v>
      </c>
      <c r="L662" s="577">
        <v>1000</v>
      </c>
      <c r="M662" s="577">
        <v>1000</v>
      </c>
      <c r="N662" s="577">
        <v>1000</v>
      </c>
      <c r="O662" s="535" t="s">
        <v>2517</v>
      </c>
    </row>
    <row r="663" spans="1:33" s="142" customFormat="1" ht="18" hidden="1" customHeight="1" outlineLevel="1" x14ac:dyDescent="0.2">
      <c r="A663" s="1398"/>
      <c r="B663" s="138"/>
      <c r="C663" s="235"/>
      <c r="D663" s="726" t="s">
        <v>2480</v>
      </c>
      <c r="E663" s="577">
        <v>1000</v>
      </c>
      <c r="F663" s="577">
        <v>1000</v>
      </c>
      <c r="G663" s="577">
        <v>1000</v>
      </c>
      <c r="H663" s="577">
        <v>1000</v>
      </c>
      <c r="I663" s="577">
        <v>1000</v>
      </c>
      <c r="J663" s="577">
        <v>1000</v>
      </c>
      <c r="K663" s="577">
        <v>1000</v>
      </c>
      <c r="L663" s="577">
        <v>1000</v>
      </c>
      <c r="M663" s="577">
        <v>1000</v>
      </c>
      <c r="N663" s="577">
        <v>1000</v>
      </c>
      <c r="O663" s="535" t="s">
        <v>2518</v>
      </c>
    </row>
    <row r="664" spans="1:33" s="142" customFormat="1" ht="18" hidden="1" customHeight="1" outlineLevel="1" x14ac:dyDescent="0.2">
      <c r="A664" s="1398"/>
      <c r="B664" s="138"/>
      <c r="C664" s="235"/>
      <c r="D664" s="726" t="s">
        <v>2481</v>
      </c>
      <c r="E664" s="577">
        <v>0</v>
      </c>
      <c r="F664" s="577">
        <v>0</v>
      </c>
      <c r="G664" s="577">
        <v>0</v>
      </c>
      <c r="H664" s="577">
        <v>0</v>
      </c>
      <c r="I664" s="577">
        <v>0</v>
      </c>
      <c r="J664" s="577">
        <v>0</v>
      </c>
      <c r="K664" s="577">
        <v>0</v>
      </c>
      <c r="L664" s="577">
        <v>0</v>
      </c>
      <c r="M664" s="577">
        <v>0</v>
      </c>
      <c r="N664" s="577">
        <v>0</v>
      </c>
      <c r="O664" s="535" t="s">
        <v>2519</v>
      </c>
    </row>
    <row r="665" spans="1:33" s="142" customFormat="1" ht="18" hidden="1" customHeight="1" outlineLevel="1" x14ac:dyDescent="0.2">
      <c r="A665" s="1398"/>
      <c r="B665" s="138"/>
      <c r="C665" s="235"/>
      <c r="D665" s="726" t="s">
        <v>2482</v>
      </c>
      <c r="E665" s="577">
        <v>1000</v>
      </c>
      <c r="F665" s="577">
        <v>1000</v>
      </c>
      <c r="G665" s="577">
        <v>1000</v>
      </c>
      <c r="H665" s="577">
        <v>1000</v>
      </c>
      <c r="I665" s="577">
        <v>1000</v>
      </c>
      <c r="J665" s="577">
        <v>1000</v>
      </c>
      <c r="K665" s="577">
        <v>1000</v>
      </c>
      <c r="L665" s="577">
        <v>1000</v>
      </c>
      <c r="M665" s="577">
        <v>1000</v>
      </c>
      <c r="N665" s="577">
        <v>1000</v>
      </c>
      <c r="O665" s="535" t="s">
        <v>2520</v>
      </c>
    </row>
    <row r="666" spans="1:33" s="142" customFormat="1" ht="18" hidden="1" customHeight="1" outlineLevel="1" x14ac:dyDescent="0.2">
      <c r="A666" s="1398"/>
      <c r="B666" s="138"/>
      <c r="C666" s="235"/>
      <c r="D666" s="726" t="s">
        <v>2483</v>
      </c>
      <c r="E666" s="577">
        <v>0</v>
      </c>
      <c r="F666" s="577">
        <v>0</v>
      </c>
      <c r="G666" s="577">
        <v>0</v>
      </c>
      <c r="H666" s="577">
        <v>0</v>
      </c>
      <c r="I666" s="577">
        <v>0</v>
      </c>
      <c r="J666" s="577">
        <v>0</v>
      </c>
      <c r="K666" s="577">
        <v>0</v>
      </c>
      <c r="L666" s="577">
        <v>0</v>
      </c>
      <c r="M666" s="577">
        <v>0</v>
      </c>
      <c r="N666" s="577">
        <v>0</v>
      </c>
      <c r="O666" s="535" t="s">
        <v>2521</v>
      </c>
    </row>
    <row r="667" spans="1:33" s="142" customFormat="1" ht="18" hidden="1" customHeight="1" outlineLevel="1" x14ac:dyDescent="0.2">
      <c r="A667" s="1398"/>
      <c r="B667" s="565"/>
      <c r="C667" s="235"/>
      <c r="D667" s="726" t="s">
        <v>2484</v>
      </c>
      <c r="E667" s="577">
        <v>0</v>
      </c>
      <c r="F667" s="577">
        <v>0</v>
      </c>
      <c r="G667" s="577">
        <v>0</v>
      </c>
      <c r="H667" s="577">
        <v>0</v>
      </c>
      <c r="I667" s="577">
        <v>0</v>
      </c>
      <c r="J667" s="577">
        <v>0</v>
      </c>
      <c r="K667" s="577">
        <v>0</v>
      </c>
      <c r="L667" s="577">
        <v>0</v>
      </c>
      <c r="M667" s="577">
        <v>0</v>
      </c>
      <c r="N667" s="577">
        <v>0</v>
      </c>
      <c r="O667" s="535" t="s">
        <v>2522</v>
      </c>
    </row>
    <row r="668" spans="1:33" s="142" customFormat="1" ht="18" hidden="1" customHeight="1" outlineLevel="1" x14ac:dyDescent="0.2">
      <c r="A668" s="1398"/>
      <c r="B668" s="565"/>
      <c r="C668" s="235"/>
      <c r="D668" s="726" t="s">
        <v>2485</v>
      </c>
      <c r="E668" s="577">
        <v>0</v>
      </c>
      <c r="F668" s="577">
        <v>0</v>
      </c>
      <c r="G668" s="577">
        <v>0</v>
      </c>
      <c r="H668" s="577">
        <v>0</v>
      </c>
      <c r="I668" s="577">
        <v>0</v>
      </c>
      <c r="J668" s="577">
        <v>0</v>
      </c>
      <c r="K668" s="577">
        <v>0</v>
      </c>
      <c r="L668" s="577">
        <v>0</v>
      </c>
      <c r="M668" s="577">
        <v>0</v>
      </c>
      <c r="N668" s="577">
        <v>0</v>
      </c>
      <c r="O668" s="535" t="s">
        <v>2523</v>
      </c>
    </row>
    <row r="669" spans="1:33" s="142" customFormat="1" ht="18" hidden="1" customHeight="1" outlineLevel="1" x14ac:dyDescent="0.2">
      <c r="A669" s="1398"/>
      <c r="B669" s="138"/>
      <c r="C669" s="235"/>
      <c r="D669" s="726" t="s">
        <v>2486</v>
      </c>
      <c r="E669" s="577">
        <v>0</v>
      </c>
      <c r="F669" s="577">
        <v>0</v>
      </c>
      <c r="G669" s="577">
        <v>0</v>
      </c>
      <c r="H669" s="577">
        <v>0</v>
      </c>
      <c r="I669" s="577">
        <v>0</v>
      </c>
      <c r="J669" s="577">
        <v>0</v>
      </c>
      <c r="K669" s="577">
        <v>0</v>
      </c>
      <c r="L669" s="577">
        <v>0</v>
      </c>
      <c r="M669" s="577">
        <v>0</v>
      </c>
      <c r="N669" s="577">
        <v>0</v>
      </c>
      <c r="O669" s="535" t="s">
        <v>2524</v>
      </c>
    </row>
    <row r="670" spans="1:33" s="142" customFormat="1" ht="18" hidden="1" customHeight="1" outlineLevel="1" x14ac:dyDescent="0.2">
      <c r="A670" s="1398"/>
      <c r="B670" s="138"/>
      <c r="C670" s="235"/>
      <c r="D670" s="726" t="s">
        <v>2487</v>
      </c>
      <c r="E670" s="577">
        <v>0</v>
      </c>
      <c r="F670" s="577">
        <v>0</v>
      </c>
      <c r="G670" s="577">
        <v>0</v>
      </c>
      <c r="H670" s="577">
        <v>0</v>
      </c>
      <c r="I670" s="577">
        <v>0</v>
      </c>
      <c r="J670" s="577">
        <v>0</v>
      </c>
      <c r="K670" s="577">
        <v>0</v>
      </c>
      <c r="L670" s="577">
        <v>0</v>
      </c>
      <c r="M670" s="577">
        <v>0</v>
      </c>
      <c r="N670" s="577">
        <v>0</v>
      </c>
      <c r="O670" s="535" t="s">
        <v>2525</v>
      </c>
    </row>
    <row r="671" spans="1:33" s="206" customFormat="1" ht="15.75" hidden="1" outlineLevel="1" thickBot="1" x14ac:dyDescent="0.3">
      <c r="A671" s="1399"/>
      <c r="B671" s="563"/>
      <c r="C671" s="564"/>
      <c r="D671" s="724"/>
      <c r="E671" s="571"/>
      <c r="F671" s="571"/>
      <c r="G671" s="571"/>
      <c r="H671" s="571"/>
      <c r="I671" s="571"/>
      <c r="J671" s="571"/>
      <c r="K671" s="571"/>
      <c r="L671" s="571"/>
      <c r="M671" s="571"/>
      <c r="N671" s="571"/>
      <c r="O671" s="572"/>
      <c r="P671" s="210"/>
    </row>
    <row r="672" spans="1:33" s="206" customFormat="1" ht="15.75" hidden="1" outlineLevel="1" thickBot="1" x14ac:dyDescent="0.3">
      <c r="A672" s="1024"/>
      <c r="B672" s="563"/>
      <c r="C672" s="322"/>
      <c r="D672" s="732"/>
      <c r="E672" s="581"/>
      <c r="F672" s="581"/>
      <c r="G672" s="581"/>
      <c r="H672" s="581"/>
      <c r="I672" s="581"/>
      <c r="J672" s="581"/>
      <c r="K672" s="581"/>
      <c r="L672" s="581"/>
      <c r="M672" s="581"/>
      <c r="N672" s="581"/>
      <c r="O672" s="558"/>
      <c r="P672" s="210"/>
    </row>
    <row r="673" spans="1:33" s="8" customFormat="1" ht="20.25" hidden="1" outlineLevel="1" x14ac:dyDescent="0.2">
      <c r="A673" s="1397" t="s">
        <v>4198</v>
      </c>
      <c r="B673" s="102"/>
      <c r="C673" s="1008" t="str">
        <f>Scenario1&amp;" Due Diligence Labor Cost pa (based on Touch Hour Rate)"</f>
        <v>pSystems (Paper) Due Diligence Labor Cost pa (based on Touch Hour Rate)</v>
      </c>
      <c r="D673" s="310"/>
      <c r="E673" s="316"/>
      <c r="F673" s="316"/>
      <c r="G673" s="316"/>
      <c r="H673" s="316"/>
      <c r="I673" s="316"/>
      <c r="J673" s="316"/>
      <c r="K673" s="316"/>
      <c r="L673" s="316"/>
      <c r="M673" s="316"/>
      <c r="N673" s="316"/>
      <c r="O673" s="583"/>
      <c r="P673" s="17"/>
      <c r="Q673" s="17"/>
      <c r="R673" s="17"/>
      <c r="S673" s="17"/>
      <c r="T673" s="17"/>
      <c r="U673" s="17"/>
      <c r="V673" s="17"/>
      <c r="W673" s="17"/>
      <c r="X673" s="17"/>
      <c r="Y673" s="17"/>
      <c r="Z673" s="17"/>
      <c r="AA673" s="17"/>
      <c r="AB673" s="17"/>
      <c r="AC673" s="17"/>
      <c r="AD673" s="17"/>
      <c r="AE673" s="17"/>
      <c r="AF673" s="17"/>
      <c r="AG673" s="17"/>
    </row>
    <row r="674" spans="1:33" s="142" customFormat="1" ht="18" hidden="1" customHeight="1" outlineLevel="1" x14ac:dyDescent="0.2">
      <c r="A674" s="1398"/>
      <c r="B674" s="138"/>
      <c r="C674" s="235"/>
      <c r="D674" s="726" t="s">
        <v>2488</v>
      </c>
      <c r="E674" s="555">
        <f>(pSystemsTouchRateHourHM*pSystemsLeaseDueDilLaborHrsHM*pSystemsLeaseDueDilEventForecast)</f>
        <v>0</v>
      </c>
      <c r="F674" s="555">
        <f>(pSystemsTouchRateHourHM*pSystemsLeaseDueDilLaborHrsHM*pSystemsLeaseDueDilEventForecast)*(1+Inflation)</f>
        <v>0</v>
      </c>
      <c r="G674" s="555">
        <f>(pSystemsTouchRateHourHM*pSystemsLeaseDueDilLaborHrsHM*pSystemsLeaseDueDilEventForecast)*(1+Inflation)^2</f>
        <v>0</v>
      </c>
      <c r="H674" s="555">
        <f>(pSystemsTouchRateHourHM*pSystemsLeaseDueDilLaborHrsHM*pSystemsLeaseDueDilEventForecast)*(1+Inflation)^3</f>
        <v>0</v>
      </c>
      <c r="I674" s="555">
        <f>(pSystemsTouchRateHourHM*pSystemsLeaseDueDilLaborHrsHM*pSystemsLeaseDueDilEventForecast)*(1+Inflation)^4</f>
        <v>0</v>
      </c>
      <c r="J674" s="555">
        <f>(pSystemsTouchRateHourHM*pSystemsLeaseDueDilLaborHrsHM*pSystemsLeaseDueDilEventForecast)*(1+Inflation)^5</f>
        <v>0</v>
      </c>
      <c r="K674" s="555">
        <f>(pSystemsTouchRateHourHM*pSystemsLeaseDueDilLaborHrsHM*pSystemsLeaseDueDilEventForecast)*(1+Inflation)^6</f>
        <v>0</v>
      </c>
      <c r="L674" s="555">
        <f>(pSystemsTouchRateHourHM*pSystemsLeaseDueDilLaborHrsHM*pSystemsLeaseDueDilEventForecast)*(1+Inflation)^7</f>
        <v>0</v>
      </c>
      <c r="M674" s="555">
        <f>(pSystemsTouchRateHourHM*pSystemsLeaseDueDilLaborHrsHM*pSystemsLeaseDueDilEventForecast)*(1+Inflation)^8</f>
        <v>0</v>
      </c>
      <c r="N674" s="555">
        <f>(pSystemsTouchRateHourHM*pSystemsLeaseDueDilLaborHrsHM*pSystemsLeaseDueDilEventForecast)*(1+Inflation)^9</f>
        <v>0</v>
      </c>
      <c r="O674" s="535" t="s">
        <v>2526</v>
      </c>
    </row>
    <row r="675" spans="1:33" s="142" customFormat="1" ht="18" hidden="1" customHeight="1" outlineLevel="1" x14ac:dyDescent="0.2">
      <c r="A675" s="1398"/>
      <c r="B675" s="128"/>
      <c r="C675" s="235"/>
      <c r="D675" s="726" t="s">
        <v>2489</v>
      </c>
      <c r="E675" s="555">
        <f>(pSystemsTouchRateHourLM*pSystemsLeaseDueDilLaborHrsLM*pSystemsLeaseDueDilEventForecast)</f>
        <v>0</v>
      </c>
      <c r="F675" s="555">
        <f>(pSystemsTouchRateHourLM*pSystemsLeaseDueDilLaborHrsLM*pSystemsLeaseDueDilEventForecast)*(1+Inflation)</f>
        <v>0</v>
      </c>
      <c r="G675" s="555">
        <f>(pSystemsTouchRateHourLM*pSystemsLeaseDueDilLaborHrsLM*pSystemsLeaseDueDilEventForecast)*(1+Inflation)^2</f>
        <v>0</v>
      </c>
      <c r="H675" s="555">
        <f>(pSystemsTouchRateHourLM*pSystemsLeaseDueDilLaborHrsLM*pSystemsLeaseDueDilEventForecast)*(1+Inflation)^3</f>
        <v>0</v>
      </c>
      <c r="I675" s="555">
        <f>(pSystemsTouchRateHourLM*pSystemsLeaseDueDilLaborHrsLM*pSystemsLeaseDueDilEventForecast)*(1+Inflation)^4</f>
        <v>0</v>
      </c>
      <c r="J675" s="555">
        <f>(pSystemsTouchRateHourLM*pSystemsLeaseDueDilLaborHrsLM*pSystemsLeaseDueDilEventForecast)*(1+Inflation)^5</f>
        <v>0</v>
      </c>
      <c r="K675" s="555">
        <f>(pSystemsTouchRateHourLM*pSystemsLeaseDueDilLaborHrsLM*pSystemsLeaseDueDilEventForecast)*(1+Inflation)^6</f>
        <v>0</v>
      </c>
      <c r="L675" s="555">
        <f>(pSystemsTouchRateHourLM*pSystemsLeaseDueDilLaborHrsLM*pSystemsLeaseDueDilEventForecast)*(1+Inflation)^7</f>
        <v>0</v>
      </c>
      <c r="M675" s="555">
        <f>(pSystemsTouchRateHourLM*pSystemsLeaseDueDilLaborHrsLM*pSystemsLeaseDueDilEventForecast)*(1+Inflation)^8</f>
        <v>0</v>
      </c>
      <c r="N675" s="555">
        <f>(pSystemsTouchRateHourLM*pSystemsLeaseDueDilLaborHrsLM*pSystemsLeaseDueDilEventForecast)*(1+Inflation)^9</f>
        <v>0</v>
      </c>
      <c r="O675" s="535" t="s">
        <v>2527</v>
      </c>
    </row>
    <row r="676" spans="1:33" s="142" customFormat="1" ht="18" hidden="1" customHeight="1" outlineLevel="1" x14ac:dyDescent="0.2">
      <c r="A676" s="1398"/>
      <c r="B676" s="128"/>
      <c r="C676" s="235"/>
      <c r="D676" s="727" t="s">
        <v>2490</v>
      </c>
      <c r="E676" s="555">
        <f>(pSystemsTouchRateHourENG*pSystemsLeaseDueDilLaborHrsENG*pSystemsLeaseDueDilEventForecast)</f>
        <v>365281.01339545718</v>
      </c>
      <c r="F676" s="555">
        <f>(pSystemsTouchRateHourENG*pSystemsLeaseDueDilLaborHrsENG*pSystemsLeaseDueDilEventForecast)*(1+Inflation)</f>
        <v>248391.08910891088</v>
      </c>
      <c r="G676" s="555">
        <f>(pSystemsTouchRateHourENG*pSystemsLeaseDueDilLaborHrsENG*pSystemsLeaseDueDilEventForecast)*(1+Inflation)^2</f>
        <v>380038.36633663363</v>
      </c>
      <c r="H676" s="555">
        <f>(pSystemsTouchRateHourENG*pSystemsLeaseDueDilLaborHrsENG*pSystemsLeaseDueDilEventForecast)*(1+Inflation)^3</f>
        <v>258426.08910891085</v>
      </c>
      <c r="I676" s="555">
        <f>(pSystemsTouchRateHourENG*pSystemsLeaseDueDilLaborHrsENG*pSystemsLeaseDueDilEventForecast)*(1+Inflation)^4</f>
        <v>395391.91633663361</v>
      </c>
      <c r="J676" s="555">
        <f>(pSystemsTouchRateHourENG*pSystemsLeaseDueDilLaborHrsENG*pSystemsLeaseDueDilEventForecast)*(1+Inflation)^5</f>
        <v>268866.50310891087</v>
      </c>
      <c r="K676" s="555">
        <f>(pSystemsTouchRateHourENG*pSystemsLeaseDueDilLaborHrsENG*pSystemsLeaseDueDilEventForecast)*(1+Inflation)^6</f>
        <v>411365.74975663365</v>
      </c>
      <c r="L676" s="555">
        <f>(pSystemsTouchRateHourENG*pSystemsLeaseDueDilLaborHrsENG*pSystemsLeaseDueDilEventForecast)*(1+Inflation)^7</f>
        <v>279728.70983451081</v>
      </c>
      <c r="M676" s="555">
        <f>(pSystemsTouchRateHourENG*pSystemsLeaseDueDilLaborHrsENG*pSystemsLeaseDueDilEventForecast)*(1+Inflation)^8</f>
        <v>427984.92604680161</v>
      </c>
      <c r="N676" s="555">
        <f>(pSystemsTouchRateHourENG*pSystemsLeaseDueDilLaborHrsENG*pSystemsLeaseDueDilEventForecast)*(1+Inflation)^9</f>
        <v>291029.7497118251</v>
      </c>
      <c r="O676" s="535" t="s">
        <v>2528</v>
      </c>
    </row>
    <row r="677" spans="1:33" s="142" customFormat="1" ht="18" hidden="1" customHeight="1" outlineLevel="1" x14ac:dyDescent="0.2">
      <c r="A677" s="1398"/>
      <c r="B677" s="138"/>
      <c r="C677" s="235"/>
      <c r="D677" s="726" t="s">
        <v>2491</v>
      </c>
      <c r="E677" s="555">
        <f>(pSystemsTouchRateHourPLG*pSystemsLeaseDueDilLaborHrsPLG*pSystemsLeaseDueDilEventForecast)</f>
        <v>344987.62376237626</v>
      </c>
      <c r="F677" s="555">
        <f>(pSystemsTouchRateHourPLG*pSystemsLeaseDueDilLaborHrsPLG*pSystemsLeaseDueDilEventForecast)*(1+Inflation)</f>
        <v>234591.58415841585</v>
      </c>
      <c r="G677" s="555">
        <f>(pSystemsTouchRateHourPLG*pSystemsLeaseDueDilLaborHrsPLG*pSystemsLeaseDueDilEventForecast)*(1+Inflation)^2</f>
        <v>358925.12376237626</v>
      </c>
      <c r="H677" s="555">
        <f>(pSystemsTouchRateHourPLG*pSystemsLeaseDueDilLaborHrsPLG*pSystemsLeaseDueDilEventForecast)*(1+Inflation)^3</f>
        <v>244069.08415841582</v>
      </c>
      <c r="I677" s="555">
        <f>(pSystemsTouchRateHourPLG*pSystemsLeaseDueDilLaborHrsPLG*pSystemsLeaseDueDilEventForecast)*(1+Inflation)^4</f>
        <v>373425.69876237627</v>
      </c>
      <c r="J677" s="555">
        <f>(pSystemsTouchRateHourPLG*pSystemsLeaseDueDilLaborHrsPLG*pSystemsLeaseDueDilEventForecast)*(1+Inflation)^5</f>
        <v>253929.47515841585</v>
      </c>
      <c r="K677" s="555">
        <f>(pSystemsTouchRateHourPLG*pSystemsLeaseDueDilLaborHrsPLG*pSystemsLeaseDueDilEventForecast)*(1+Inflation)^6</f>
        <v>388512.09699237626</v>
      </c>
      <c r="L677" s="555">
        <f>(pSystemsTouchRateHourPLG*pSystemsLeaseDueDilLaborHrsPLG*pSystemsLeaseDueDilEventForecast)*(1+Inflation)^7</f>
        <v>264188.2259548158</v>
      </c>
      <c r="M677" s="555">
        <f>(pSystemsTouchRateHourPLG*pSystemsLeaseDueDilLaborHrsPLG*pSystemsLeaseDueDilEventForecast)*(1+Inflation)^8</f>
        <v>404207.9857108682</v>
      </c>
      <c r="N677" s="555">
        <f>(pSystemsTouchRateHourPLG*pSystemsLeaseDueDilLaborHrsPLG*pSystemsLeaseDueDilEventForecast)*(1+Inflation)^9</f>
        <v>274861.43028339039</v>
      </c>
      <c r="O677" s="535" t="s">
        <v>2529</v>
      </c>
    </row>
    <row r="678" spans="1:33" s="142" customFormat="1" ht="18" hidden="1" customHeight="1" outlineLevel="1" x14ac:dyDescent="0.2">
      <c r="A678" s="1398"/>
      <c r="B678" s="138"/>
      <c r="C678" s="235"/>
      <c r="D678" s="726" t="s">
        <v>2492</v>
      </c>
      <c r="E678" s="555">
        <f>(pSystemsTouchRateHourCRT*pSystemsLeaseDueDilLaborHrsCRT*pSystemsLeaseDueDilEventForecast)</f>
        <v>202933.89633080957</v>
      </c>
      <c r="F678" s="555">
        <f>(pSystemsTouchRateHourCRT*pSystemsLeaseDueDilLaborHrsCRT*pSystemsLeaseDueDilEventForecast)*(1+Inflation)</f>
        <v>137995.0495049505</v>
      </c>
      <c r="G678" s="555">
        <f>(pSystemsTouchRateHourCRT*pSystemsLeaseDueDilLaborHrsCRT*pSystemsLeaseDueDilEventForecast)*(1+Inflation)^2</f>
        <v>211132.42574257427</v>
      </c>
      <c r="H678" s="555">
        <f>(pSystemsTouchRateHourCRT*pSystemsLeaseDueDilLaborHrsCRT*pSystemsLeaseDueDilEventForecast)*(1+Inflation)^3</f>
        <v>143570.0495049505</v>
      </c>
      <c r="I678" s="555">
        <f>(pSystemsTouchRateHourCRT*pSystemsLeaseDueDilLaborHrsCRT*pSystemsLeaseDueDilEventForecast)*(1+Inflation)^4</f>
        <v>219662.17574257427</v>
      </c>
      <c r="J678" s="555">
        <f>(pSystemsTouchRateHourCRT*pSystemsLeaseDueDilLaborHrsCRT*pSystemsLeaseDueDilEventForecast)*(1+Inflation)^5</f>
        <v>149370.27950495051</v>
      </c>
      <c r="K678" s="555">
        <f>(pSystemsTouchRateHourCRT*pSystemsLeaseDueDilLaborHrsCRT*pSystemsLeaseDueDilEventForecast)*(1+Inflation)^6</f>
        <v>228536.52764257428</v>
      </c>
      <c r="L678" s="555">
        <f>(pSystemsTouchRateHourCRT*pSystemsLeaseDueDilLaborHrsCRT*pSystemsLeaseDueDilEventForecast)*(1+Inflation)^7</f>
        <v>155404.8387969505</v>
      </c>
      <c r="M678" s="555">
        <f>(pSystemsTouchRateHourCRT*pSystemsLeaseDueDilLaborHrsCRT*pSystemsLeaseDueDilEventForecast)*(1+Inflation)^8</f>
        <v>237769.40335933428</v>
      </c>
      <c r="N678" s="555">
        <f>(pSystemsTouchRateHourCRT*pSystemsLeaseDueDilLaborHrsCRT*pSystemsLeaseDueDilEventForecast)*(1+Inflation)^9</f>
        <v>161683.19428434729</v>
      </c>
      <c r="O678" s="535" t="s">
        <v>2530</v>
      </c>
    </row>
    <row r="679" spans="1:33" s="142" customFormat="1" ht="18" hidden="1" customHeight="1" outlineLevel="1" x14ac:dyDescent="0.2">
      <c r="A679" s="1398"/>
      <c r="B679" s="128"/>
      <c r="C679" s="235"/>
      <c r="D679" s="726" t="s">
        <v>2493</v>
      </c>
      <c r="E679" s="555">
        <f>(pSystemsTouchRateHourSCL*pSystemsLeaseDueDilLaborHrsSCL*pSystemsLeaseDueDilEventForecast)</f>
        <v>0</v>
      </c>
      <c r="F679" s="555">
        <f>(pSystemsTouchRateHourSCL*pSystemsLeaseDueDilLaborHrsSCL*pSystemsLeaseDueDilEventForecast)*(1+Inflation)</f>
        <v>0</v>
      </c>
      <c r="G679" s="555">
        <f>(pSystemsTouchRateHourSCL*pSystemsLeaseDueDilLaborHrsSCL*pSystemsLeaseDueDilEventForecast)*(1+Inflation)^2</f>
        <v>0</v>
      </c>
      <c r="H679" s="555">
        <f>(pSystemsTouchRateHourSCL*pSystemsLeaseDueDilLaborHrsSCL*pSystemsLeaseDueDilEventForecast)*(1+Inflation)^3</f>
        <v>0</v>
      </c>
      <c r="I679" s="555">
        <f>(pSystemsTouchRateHourSCL*pSystemsLeaseDueDilLaborHrsSCL*pSystemsLeaseDueDilEventForecast)*(1+Inflation)^4</f>
        <v>0</v>
      </c>
      <c r="J679" s="555">
        <f>(pSystemsTouchRateHourSCL*pSystemsLeaseDueDilLaborHrsSCL*pSystemsLeaseDueDilEventForecast)*(1+Inflation)^5</f>
        <v>0</v>
      </c>
      <c r="K679" s="555">
        <f>(pSystemsTouchRateHourSCL*pSystemsLeaseDueDilLaborHrsSCL*pSystemsLeaseDueDilEventForecast)*(1+Inflation)^6</f>
        <v>0</v>
      </c>
      <c r="L679" s="555">
        <f>(pSystemsTouchRateHourSCL*pSystemsLeaseDueDilLaborHrsSCL*pSystemsLeaseDueDilEventForecast)*(1+Inflation)^7</f>
        <v>0</v>
      </c>
      <c r="M679" s="555">
        <f>(pSystemsTouchRateHourSCL*pSystemsLeaseDueDilLaborHrsSCL*pSystemsLeaseDueDilEventForecast)*(1+Inflation)^8</f>
        <v>0</v>
      </c>
      <c r="N679" s="555">
        <f>(pSystemsTouchRateHourSCL*pSystemsLeaseDueDilLaborHrsSCL*pSystemsLeaseDueDilEventForecast)*(1+Inflation)^9</f>
        <v>0</v>
      </c>
      <c r="O679" s="535" t="s">
        <v>2531</v>
      </c>
    </row>
    <row r="680" spans="1:33" s="142" customFormat="1" ht="18" hidden="1" customHeight="1" outlineLevel="1" x14ac:dyDescent="0.2">
      <c r="A680" s="1398"/>
      <c r="B680" s="138"/>
      <c r="C680" s="235"/>
      <c r="D680" s="726" t="s">
        <v>2494</v>
      </c>
      <c r="E680" s="555">
        <f>(pSystemsTouchRateHourQSC*pSystemsLeaseDueDilLaborHrsQSC*pSystemsLeaseDueDilEventForecast)</f>
        <v>304400.8444962143</v>
      </c>
      <c r="F680" s="555">
        <f>(pSystemsTouchRateHourQSC*pSystemsLeaseDueDilLaborHrsQSC*pSystemsLeaseDueDilEventForecast)*(1+Inflation)</f>
        <v>206992.57425742573</v>
      </c>
      <c r="G680" s="555">
        <f>(pSystemsTouchRateHourQSC*pSystemsLeaseDueDilLaborHrsQSC*pSystemsLeaseDueDilEventForecast)*(1+Inflation)^2</f>
        <v>316698.63861386135</v>
      </c>
      <c r="H680" s="555">
        <f>(pSystemsTouchRateHourQSC*pSystemsLeaseDueDilLaborHrsQSC*pSystemsLeaseDueDilEventForecast)*(1+Inflation)^3</f>
        <v>215355.07425742573</v>
      </c>
      <c r="I680" s="555">
        <f>(pSystemsTouchRateHourQSC*pSystemsLeaseDueDilLaborHrsQSC*pSystemsLeaseDueDilEventForecast)*(1+Inflation)^4</f>
        <v>329493.26361386135</v>
      </c>
      <c r="J680" s="555">
        <f>(pSystemsTouchRateHourQSC*pSystemsLeaseDueDilLaborHrsQSC*pSystemsLeaseDueDilEventForecast)*(1+Inflation)^5</f>
        <v>224055.41925742573</v>
      </c>
      <c r="K680" s="555">
        <f>(pSystemsTouchRateHourQSC*pSystemsLeaseDueDilLaborHrsQSC*pSystemsLeaseDueDilEventForecast)*(1+Inflation)^6</f>
        <v>342804.79146386136</v>
      </c>
      <c r="L680" s="555">
        <f>(pSystemsTouchRateHourQSC*pSystemsLeaseDueDilLaborHrsQSC*pSystemsLeaseDueDilEventForecast)*(1+Inflation)^7</f>
        <v>233107.2581954257</v>
      </c>
      <c r="M680" s="555">
        <f>(pSystemsTouchRateHourQSC*pSystemsLeaseDueDilLaborHrsQSC*pSystemsLeaseDueDilEventForecast)*(1+Inflation)^8</f>
        <v>356654.10503900133</v>
      </c>
      <c r="N680" s="555">
        <f>(pSystemsTouchRateHourQSC*pSystemsLeaseDueDilLaborHrsQSC*pSystemsLeaseDueDilEventForecast)*(1+Inflation)^9</f>
        <v>242524.79142652091</v>
      </c>
      <c r="O680" s="535" t="s">
        <v>2532</v>
      </c>
    </row>
    <row r="681" spans="1:33" s="142" customFormat="1" ht="18" hidden="1" customHeight="1" outlineLevel="1" x14ac:dyDescent="0.2">
      <c r="A681" s="1398"/>
      <c r="B681" s="138"/>
      <c r="C681" s="235"/>
      <c r="D681" s="726" t="s">
        <v>2495</v>
      </c>
      <c r="E681" s="555">
        <f>(pSystemsTouchRateHourEM*pSystemsLeaseDueDilLaborHrsEM*pSystemsLeaseDueDilEventForecast)</f>
        <v>0</v>
      </c>
      <c r="F681" s="555">
        <f>(pSystemsTouchRateHourEM*pSystemsLeaseDueDilLaborHrsEM*pSystemsLeaseDueDilEventForecast)*(1+Inflation)</f>
        <v>0</v>
      </c>
      <c r="G681" s="555">
        <f>(pSystemsTouchRateHourEM*pSystemsLeaseDueDilLaborHrsEM*pSystemsLeaseDueDilEventForecast)*(1+Inflation)^2</f>
        <v>0</v>
      </c>
      <c r="H681" s="555">
        <f>(pSystemsTouchRateHourEM*pSystemsLeaseDueDilLaborHrsEM*pSystemsLeaseDueDilEventForecast)*(1+Inflation)^3</f>
        <v>0</v>
      </c>
      <c r="I681" s="555">
        <f>(pSystemsTouchRateHourEM*pSystemsLeaseDueDilLaborHrsEM*pSystemsLeaseDueDilEventForecast)*(1+Inflation)^4</f>
        <v>0</v>
      </c>
      <c r="J681" s="555">
        <f>(pSystemsTouchRateHourEM*pSystemsLeaseDueDilLaborHrsEM*pSystemsLeaseDueDilEventForecast)*(1+Inflation)^5</f>
        <v>0</v>
      </c>
      <c r="K681" s="555">
        <f>(pSystemsTouchRateHourEM*pSystemsLeaseDueDilLaborHrsEM*pSystemsLeaseDueDilEventForecast)*(1+Inflation)^6</f>
        <v>0</v>
      </c>
      <c r="L681" s="555">
        <f>(pSystemsTouchRateHourEM*pSystemsLeaseDueDilLaborHrsEM*pSystemsLeaseDueDilEventForecast)*(1+Inflation)^7</f>
        <v>0</v>
      </c>
      <c r="M681" s="555">
        <f>(pSystemsTouchRateHourEM*pSystemsLeaseDueDilLaborHrsEM*pSystemsLeaseDueDilEventForecast)*(1+Inflation)^8</f>
        <v>0</v>
      </c>
      <c r="N681" s="555">
        <f>(pSystemsTouchRateHourEM*pSystemsLeaseDueDilLaborHrsEM*pSystemsLeaseDueDilEventForecast)*(1+Inflation)^9</f>
        <v>0</v>
      </c>
      <c r="O681" s="535" t="s">
        <v>2533</v>
      </c>
    </row>
    <row r="682" spans="1:33" s="142" customFormat="1" ht="18" hidden="1" customHeight="1" outlineLevel="1" x14ac:dyDescent="0.2">
      <c r="A682" s="1398"/>
      <c r="B682" s="138"/>
      <c r="C682" s="235"/>
      <c r="D682" s="726" t="s">
        <v>2496</v>
      </c>
      <c r="E682" s="555">
        <f>(pSystemsTouchRateHourCM*pSystemsLeaseDueDilLaborHrsCM*pSystemsLeaseDueDilEventForecast)</f>
        <v>0</v>
      </c>
      <c r="F682" s="555">
        <f>(pSystemsTouchRateHourCM*pSystemsLeaseDueDilLaborHrsCM*pSystemsLeaseDueDilEventForecast)*(1+Inflation)</f>
        <v>0</v>
      </c>
      <c r="G682" s="555">
        <f>(pSystemsTouchRateHourCM*pSystemsLeaseDueDilLaborHrsCM*pSystemsLeaseDueDilEventForecast)*(1+Inflation)^2</f>
        <v>0</v>
      </c>
      <c r="H682" s="555">
        <f>(pSystemsTouchRateHourCM*pSystemsLeaseDueDilLaborHrsCM*pSystemsLeaseDueDilEventForecast)*(1+Inflation)^3</f>
        <v>0</v>
      </c>
      <c r="I682" s="555">
        <f>(pSystemsTouchRateHourCM*pSystemsLeaseDueDilLaborHrsCM*pSystemsLeaseDueDilEventForecast)*(1+Inflation)^4</f>
        <v>0</v>
      </c>
      <c r="J682" s="555">
        <f>(pSystemsTouchRateHourCM*pSystemsLeaseDueDilLaborHrsCM*pSystemsLeaseDueDilEventForecast)*(1+Inflation)^5</f>
        <v>0</v>
      </c>
      <c r="K682" s="555">
        <f>(pSystemsTouchRateHourCM*pSystemsLeaseDueDilLaborHrsCM*pSystemsLeaseDueDilEventForecast)*(1+Inflation)^6</f>
        <v>0</v>
      </c>
      <c r="L682" s="555">
        <f>(pSystemsTouchRateHourCM*pSystemsLeaseDueDilLaborHrsCM*pSystemsLeaseDueDilEventForecast)*(1+Inflation)^7</f>
        <v>0</v>
      </c>
      <c r="M682" s="555">
        <f>(pSystemsTouchRateHourCM*pSystemsLeaseDueDilLaborHrsCM*pSystemsLeaseDueDilEventForecast)*(1+Inflation)^8</f>
        <v>0</v>
      </c>
      <c r="N682" s="555">
        <f>(pSystemsTouchRateHourCM*pSystemsLeaseDueDilLaborHrsCM*pSystemsLeaseDueDilEventForecast)*(1+Inflation)^9</f>
        <v>0</v>
      </c>
      <c r="O682" s="535" t="s">
        <v>2534</v>
      </c>
    </row>
    <row r="683" spans="1:33" s="142" customFormat="1" ht="18" hidden="1" customHeight="1" outlineLevel="1" x14ac:dyDescent="0.2">
      <c r="A683" s="1398"/>
      <c r="B683" s="138"/>
      <c r="C683" s="235"/>
      <c r="D683" s="726" t="s">
        <v>2497</v>
      </c>
      <c r="E683" s="555">
        <f>(pSystemsTouchRateHourSMCS*pSystemsLeaseDueDilLaborHrsSMCS*pSystemsLeaseDueDilEventForecast)</f>
        <v>0</v>
      </c>
      <c r="F683" s="555">
        <f>(pSystemsTouchRateHourSMCS*pSystemsLeaseDueDilLaborHrsSMCS*pSystemsLeaseDueDilEventForecast)*(1+Inflation)</f>
        <v>0</v>
      </c>
      <c r="G683" s="555">
        <f>(pSystemsTouchRateHourSMCS*pSystemsLeaseDueDilLaborHrsSMCS*pSystemsLeaseDueDilEventForecast)*(1+Inflation)^2</f>
        <v>0</v>
      </c>
      <c r="H683" s="555">
        <f>(pSystemsTouchRateHourSMCS*pSystemsLeaseDueDilLaborHrsSMCS*pSystemsLeaseDueDilEventForecast)*(1+Inflation)^3</f>
        <v>0</v>
      </c>
      <c r="I683" s="555">
        <f>(pSystemsTouchRateHourSMCS*pSystemsLeaseDueDilLaborHrsSMCS*pSystemsLeaseDueDilEventForecast)*(1+Inflation)^4</f>
        <v>0</v>
      </c>
      <c r="J683" s="555">
        <f>(pSystemsTouchRateHourSMCS*pSystemsLeaseDueDilLaborHrsSMCS*pSystemsLeaseDueDilEventForecast)*(1+Inflation)^5</f>
        <v>0</v>
      </c>
      <c r="K683" s="555">
        <f>(pSystemsTouchRateHourSMCS*pSystemsLeaseDueDilLaborHrsSMCS*pSystemsLeaseDueDilEventForecast)*(1+Inflation)^6</f>
        <v>0</v>
      </c>
      <c r="L683" s="555">
        <f>(pSystemsTouchRateHourSMCS*pSystemsLeaseDueDilLaborHrsSMCS*pSystemsLeaseDueDilEventForecast)*(1+Inflation)^7</f>
        <v>0</v>
      </c>
      <c r="M683" s="555">
        <f>(pSystemsTouchRateHourSMCS*pSystemsLeaseDueDilLaborHrsSMCS*pSystemsLeaseDueDilEventForecast)*(1+Inflation)^8</f>
        <v>0</v>
      </c>
      <c r="N683" s="555">
        <f>(pSystemsTouchRateHourSMCS*pSystemsLeaseDueDilLaborHrsSMCS*pSystemsLeaseDueDilEventForecast)*(1+Inflation)^9</f>
        <v>0</v>
      </c>
      <c r="O683" s="535" t="s">
        <v>2535</v>
      </c>
    </row>
    <row r="684" spans="1:33" s="142" customFormat="1" ht="18" hidden="1" customHeight="1" outlineLevel="1" x14ac:dyDescent="0.2">
      <c r="A684" s="1398"/>
      <c r="B684" s="138"/>
      <c r="C684" s="235"/>
      <c r="D684" s="726" t="s">
        <v>2498</v>
      </c>
      <c r="E684" s="555">
        <f>(pSystemsTouchRateHourO1*pSystemsLeaseDueDilLaborHrsO1*pSystemsLeaseDueDilEventForecast)</f>
        <v>0</v>
      </c>
      <c r="F684" s="555">
        <f>(pSystemsTouchRateHourO1*pSystemsLeaseDueDilLaborHrsO1*pSystemsLeaseDueDilEventForecast)*(1+Inflation)</f>
        <v>0</v>
      </c>
      <c r="G684" s="555">
        <f>(pSystemsTouchRateHourO1*pSystemsLeaseDueDilLaborHrsO1*pSystemsLeaseDueDilEventForecast)*(1+Inflation)^2</f>
        <v>0</v>
      </c>
      <c r="H684" s="555">
        <f>(pSystemsTouchRateHourO1*pSystemsLeaseDueDilLaborHrsO1*pSystemsLeaseDueDilEventForecast)*(1+Inflation)^3</f>
        <v>0</v>
      </c>
      <c r="I684" s="555">
        <f>(pSystemsTouchRateHourO1*pSystemsLeaseDueDilLaborHrsO1*pSystemsLeaseDueDilEventForecast)*(1+Inflation)^4</f>
        <v>0</v>
      </c>
      <c r="J684" s="555">
        <f>(pSystemsTouchRateHourO1*pSystemsLeaseDueDilLaborHrsO1*pSystemsLeaseDueDilEventForecast)*(1+Inflation)^5</f>
        <v>0</v>
      </c>
      <c r="K684" s="555">
        <f>(pSystemsTouchRateHourO1*pSystemsLeaseDueDilLaborHrsO1*pSystemsLeaseDueDilEventForecast)*(1+Inflation)^6</f>
        <v>0</v>
      </c>
      <c r="L684" s="555">
        <f>(pSystemsTouchRateHourO1*pSystemsLeaseDueDilLaborHrsO1*pSystemsLeaseDueDilEventForecast)*(1+Inflation)^7</f>
        <v>0</v>
      </c>
      <c r="M684" s="555">
        <f>(pSystemsTouchRateHourO1*pSystemsLeaseDueDilLaborHrsO1*pSystemsLeaseDueDilEventForecast)*(1+Inflation)^8</f>
        <v>0</v>
      </c>
      <c r="N684" s="555">
        <f>(pSystemsTouchRateHourO1*pSystemsLeaseDueDilLaborHrsO1*pSystemsLeaseDueDilEventForecast)*(1+Inflation)^9</f>
        <v>0</v>
      </c>
      <c r="O684" s="535" t="s">
        <v>2536</v>
      </c>
    </row>
    <row r="685" spans="1:33" s="142" customFormat="1" ht="18" hidden="1" customHeight="1" outlineLevel="1" x14ac:dyDescent="0.2">
      <c r="A685" s="1398"/>
      <c r="B685" s="138"/>
      <c r="C685" s="235"/>
      <c r="D685" s="726" t="s">
        <v>2499</v>
      </c>
      <c r="E685" s="555">
        <f>(pSystemsTouchRateHourO2*pSystemsLeaseDueDilLaborHrsO2*pSystemsLeaseDueDilEventForecast)</f>
        <v>0</v>
      </c>
      <c r="F685" s="555">
        <f>(pSystemsTouchRateHourO2*pSystemsLeaseDueDilLaborHrsO2*pSystemsLeaseDueDilEventForecast)*(1+Inflation)</f>
        <v>0</v>
      </c>
      <c r="G685" s="555">
        <f>(pSystemsTouchRateHourO2*pSystemsLeaseDueDilLaborHrsO2*pSystemsLeaseDueDilEventForecast)*(1+Inflation)^2</f>
        <v>0</v>
      </c>
      <c r="H685" s="555">
        <f>(pSystemsTouchRateHourO2*pSystemsLeaseDueDilLaborHrsO2*pSystemsLeaseDueDilEventForecast)*(1+Inflation)^3</f>
        <v>0</v>
      </c>
      <c r="I685" s="555">
        <f>(pSystemsTouchRateHourO2*pSystemsLeaseDueDilLaborHrsO2*pSystemsLeaseDueDilEventForecast)*(1+Inflation)^4</f>
        <v>0</v>
      </c>
      <c r="J685" s="555">
        <f>(pSystemsTouchRateHourO2*pSystemsLeaseDueDilLaborHrsO2*pSystemsLeaseDueDilEventForecast)*(1+Inflation)^5</f>
        <v>0</v>
      </c>
      <c r="K685" s="555">
        <f>(pSystemsTouchRateHourO2*pSystemsLeaseDueDilLaborHrsO2*pSystemsLeaseDueDilEventForecast)*(1+Inflation)^6</f>
        <v>0</v>
      </c>
      <c r="L685" s="555">
        <f>(pSystemsTouchRateHourO2*pSystemsLeaseDueDilLaborHrsO2*pSystemsLeaseDueDilEventForecast)*(1+Inflation)^7</f>
        <v>0</v>
      </c>
      <c r="M685" s="555">
        <f>(pSystemsTouchRateHourO2*pSystemsLeaseDueDilLaborHrsO2*pSystemsLeaseDueDilEventForecast)*(1+Inflation)^8</f>
        <v>0</v>
      </c>
      <c r="N685" s="555">
        <f>(pSystemsTouchRateHourO2*pSystemsLeaseDueDilLaborHrsO2*pSystemsLeaseDueDilEventForecast)*(1+Inflation)^9</f>
        <v>0</v>
      </c>
      <c r="O685" s="535" t="s">
        <v>2537</v>
      </c>
    </row>
    <row r="686" spans="1:33" s="142" customFormat="1" ht="18" hidden="1" customHeight="1" outlineLevel="1" x14ac:dyDescent="0.25">
      <c r="A686" s="1398"/>
      <c r="B686" s="138"/>
      <c r="C686" s="235"/>
      <c r="D686" s="728" t="s">
        <v>2500</v>
      </c>
      <c r="E686" s="556">
        <f>SUM(E674:E685)</f>
        <v>1217603.3779848572</v>
      </c>
      <c r="F686" s="556">
        <f t="shared" ref="F686:N686" si="168">SUM(F674:F685)</f>
        <v>827970.29702970292</v>
      </c>
      <c r="G686" s="556">
        <f t="shared" si="168"/>
        <v>1266794.5544554454</v>
      </c>
      <c r="H686" s="556">
        <f t="shared" si="168"/>
        <v>861420.29702970292</v>
      </c>
      <c r="I686" s="556">
        <f t="shared" si="168"/>
        <v>1317973.0544554454</v>
      </c>
      <c r="J686" s="556">
        <f t="shared" si="168"/>
        <v>896221.67702970293</v>
      </c>
      <c r="K686" s="556">
        <f t="shared" si="168"/>
        <v>1371219.1658554454</v>
      </c>
      <c r="L686" s="556">
        <f t="shared" si="168"/>
        <v>932429.03278170293</v>
      </c>
      <c r="M686" s="556">
        <f t="shared" si="168"/>
        <v>1426616.4201560053</v>
      </c>
      <c r="N686" s="556">
        <f t="shared" si="168"/>
        <v>970099.16570608376</v>
      </c>
      <c r="O686" s="535" t="s">
        <v>2538</v>
      </c>
    </row>
    <row r="687" spans="1:33" s="203" customFormat="1" ht="13.5" hidden="1" outlineLevel="1" thickBot="1" x14ac:dyDescent="0.25">
      <c r="A687" s="1399"/>
      <c r="B687" s="74"/>
      <c r="C687" s="325"/>
      <c r="D687" s="725"/>
      <c r="E687" s="568"/>
      <c r="F687" s="568"/>
      <c r="G687" s="568"/>
      <c r="H687" s="568"/>
      <c r="I687" s="568"/>
      <c r="J687" s="568"/>
      <c r="K687" s="568"/>
      <c r="L687" s="568"/>
      <c r="M687" s="568"/>
      <c r="N687" s="568"/>
      <c r="O687" s="569"/>
      <c r="P687" s="204"/>
    </row>
    <row r="688" spans="1:33" s="203" customFormat="1" ht="13.5" hidden="1" outlineLevel="1" thickBot="1" x14ac:dyDescent="0.25">
      <c r="A688" s="1024"/>
      <c r="B688" s="74"/>
      <c r="C688" s="211"/>
      <c r="D688" s="214"/>
      <c r="E688" s="210"/>
      <c r="F688" s="210"/>
      <c r="G688" s="210"/>
      <c r="H688" s="210"/>
      <c r="I688" s="210"/>
      <c r="J688" s="210"/>
      <c r="K688" s="210"/>
      <c r="L688" s="210"/>
      <c r="M688" s="210"/>
      <c r="N688" s="210"/>
      <c r="O688" s="204"/>
      <c r="P688" s="204"/>
    </row>
    <row r="689" spans="1:33" customFormat="1" ht="20.25" hidden="1" outlineLevel="1" x14ac:dyDescent="0.2">
      <c r="A689" s="1397" t="s">
        <v>4199</v>
      </c>
      <c r="B689" s="13"/>
      <c r="C689" s="1008" t="str">
        <f>Scenario1&amp;"  Due Diligence FTEs"</f>
        <v>pSystems (Paper)  Due Diligence FTEs</v>
      </c>
      <c r="D689" s="310"/>
      <c r="E689" s="434"/>
      <c r="F689" s="434"/>
      <c r="G689" s="434"/>
      <c r="H689" s="434"/>
      <c r="I689" s="434"/>
      <c r="J689" s="434"/>
      <c r="K689" s="434"/>
      <c r="L689" s="434"/>
      <c r="M689" s="434"/>
      <c r="N689" s="434"/>
      <c r="O689" s="573"/>
      <c r="P689" s="18"/>
      <c r="Q689" s="18"/>
      <c r="R689" s="18"/>
      <c r="S689" s="18"/>
      <c r="T689" s="18"/>
      <c r="U689" s="18"/>
      <c r="V689" s="18"/>
      <c r="W689" s="18"/>
      <c r="X689" s="18"/>
      <c r="Y689" s="18"/>
      <c r="Z689" s="18"/>
      <c r="AA689" s="18"/>
      <c r="AB689" s="18"/>
      <c r="AC689" s="18"/>
      <c r="AD689" s="18"/>
      <c r="AE689" s="18"/>
      <c r="AF689" s="18"/>
      <c r="AG689" s="18"/>
    </row>
    <row r="690" spans="1:33" s="142" customFormat="1" ht="18" hidden="1" customHeight="1" outlineLevel="1" x14ac:dyDescent="0.2">
      <c r="A690" s="1398"/>
      <c r="B690" s="138"/>
      <c r="C690" s="235"/>
      <c r="D690" s="726" t="s">
        <v>2501</v>
      </c>
      <c r="E690" s="557">
        <f t="shared" ref="E690:N690" si="169">(pSystemsLeaseDueDilLaborHrsHM/pSystemsTouchHourspaHM)*pSystemsLeaseDueDilEventForecast</f>
        <v>0</v>
      </c>
      <c r="F690" s="557">
        <f t="shared" si="169"/>
        <v>0</v>
      </c>
      <c r="G690" s="557">
        <f t="shared" si="169"/>
        <v>0</v>
      </c>
      <c r="H690" s="557">
        <f t="shared" si="169"/>
        <v>0</v>
      </c>
      <c r="I690" s="557">
        <f t="shared" si="169"/>
        <v>0</v>
      </c>
      <c r="J690" s="557">
        <f t="shared" si="169"/>
        <v>0</v>
      </c>
      <c r="K690" s="557">
        <f t="shared" si="169"/>
        <v>0</v>
      </c>
      <c r="L690" s="557">
        <f t="shared" si="169"/>
        <v>0</v>
      </c>
      <c r="M690" s="557">
        <f t="shared" si="169"/>
        <v>0</v>
      </c>
      <c r="N690" s="557">
        <f t="shared" si="169"/>
        <v>0</v>
      </c>
      <c r="O690" s="535" t="s">
        <v>2539</v>
      </c>
    </row>
    <row r="691" spans="1:33" s="142" customFormat="1" ht="18" hidden="1" customHeight="1" outlineLevel="1" x14ac:dyDescent="0.2">
      <c r="A691" s="1398"/>
      <c r="B691" s="138"/>
      <c r="C691" s="235"/>
      <c r="D691" s="726" t="s">
        <v>2502</v>
      </c>
      <c r="E691" s="557">
        <f t="shared" ref="E691:N691" si="170">(pSystemsLeaseDueDilLaborHrsLM/pSystemsTouchHourspaLM)*pSystemsLeaseDueDilEventForecast</f>
        <v>0</v>
      </c>
      <c r="F691" s="557">
        <f t="shared" si="170"/>
        <v>0</v>
      </c>
      <c r="G691" s="557">
        <f t="shared" si="170"/>
        <v>0</v>
      </c>
      <c r="H691" s="557">
        <f t="shared" si="170"/>
        <v>0</v>
      </c>
      <c r="I691" s="557">
        <f t="shared" si="170"/>
        <v>0</v>
      </c>
      <c r="J691" s="557">
        <f t="shared" si="170"/>
        <v>0</v>
      </c>
      <c r="K691" s="557">
        <f t="shared" si="170"/>
        <v>0</v>
      </c>
      <c r="L691" s="557">
        <f t="shared" si="170"/>
        <v>0</v>
      </c>
      <c r="M691" s="557">
        <f t="shared" si="170"/>
        <v>0</v>
      </c>
      <c r="N691" s="557">
        <f t="shared" si="170"/>
        <v>0</v>
      </c>
      <c r="O691" s="535" t="s">
        <v>2540</v>
      </c>
    </row>
    <row r="692" spans="1:33" s="142" customFormat="1" ht="18" hidden="1" customHeight="1" outlineLevel="1" x14ac:dyDescent="0.2">
      <c r="A692" s="1398"/>
      <c r="B692" s="138"/>
      <c r="C692" s="235"/>
      <c r="D692" s="727" t="s">
        <v>2503</v>
      </c>
      <c r="E692" s="557">
        <f t="shared" ref="E692:N692" si="171">(pSystemsLeaseDueDilLaborHrsENG/pSystemsTouchHourspaENG)*pSystemsLeaseDueDilEventForecast</f>
        <v>2.9120559114734998</v>
      </c>
      <c r="F692" s="557">
        <f t="shared" si="171"/>
        <v>1.941370607649</v>
      </c>
      <c r="G692" s="557">
        <f t="shared" si="171"/>
        <v>2.9120559114734998</v>
      </c>
      <c r="H692" s="557">
        <f t="shared" si="171"/>
        <v>1.941370607649</v>
      </c>
      <c r="I692" s="557">
        <f t="shared" si="171"/>
        <v>2.9120559114734998</v>
      </c>
      <c r="J692" s="557">
        <f t="shared" si="171"/>
        <v>1.941370607649</v>
      </c>
      <c r="K692" s="557">
        <f t="shared" si="171"/>
        <v>2.9120559114734998</v>
      </c>
      <c r="L692" s="557">
        <f t="shared" si="171"/>
        <v>1.941370607649</v>
      </c>
      <c r="M692" s="557">
        <f t="shared" si="171"/>
        <v>2.9120559114734998</v>
      </c>
      <c r="N692" s="557">
        <f t="shared" si="171"/>
        <v>1.941370607649</v>
      </c>
      <c r="O692" s="535" t="s">
        <v>2541</v>
      </c>
    </row>
    <row r="693" spans="1:33" s="142" customFormat="1" ht="18" hidden="1" customHeight="1" outlineLevel="1" x14ac:dyDescent="0.2">
      <c r="A693" s="1398"/>
      <c r="B693" s="138"/>
      <c r="C693" s="235"/>
      <c r="D693" s="726" t="s">
        <v>2504</v>
      </c>
      <c r="E693" s="557">
        <f t="shared" ref="E693:N693" si="172">(pSystemsLeaseDueDilLaborHrsPLG/pSystemsTouchHourspaPLG)*pSystemsLeaseDueDilEventForecast</f>
        <v>2.9120559114734998</v>
      </c>
      <c r="F693" s="557">
        <f t="shared" si="172"/>
        <v>1.941370607649</v>
      </c>
      <c r="G693" s="557">
        <f t="shared" si="172"/>
        <v>2.9120559114734998</v>
      </c>
      <c r="H693" s="557">
        <f t="shared" si="172"/>
        <v>1.941370607649</v>
      </c>
      <c r="I693" s="557">
        <f t="shared" si="172"/>
        <v>2.9120559114734998</v>
      </c>
      <c r="J693" s="557">
        <f t="shared" si="172"/>
        <v>1.941370607649</v>
      </c>
      <c r="K693" s="557">
        <f t="shared" si="172"/>
        <v>2.9120559114734998</v>
      </c>
      <c r="L693" s="557">
        <f t="shared" si="172"/>
        <v>1.941370607649</v>
      </c>
      <c r="M693" s="557">
        <f t="shared" si="172"/>
        <v>2.9120559114734998</v>
      </c>
      <c r="N693" s="557">
        <f t="shared" si="172"/>
        <v>1.941370607649</v>
      </c>
      <c r="O693" s="535" t="s">
        <v>2542</v>
      </c>
    </row>
    <row r="694" spans="1:33" s="142" customFormat="1" ht="18" hidden="1" customHeight="1" outlineLevel="1" x14ac:dyDescent="0.2">
      <c r="A694" s="1398"/>
      <c r="B694" s="138"/>
      <c r="C694" s="235"/>
      <c r="D694" s="726" t="s">
        <v>2505</v>
      </c>
      <c r="E694" s="557">
        <f t="shared" ref="E694:N694" si="173">(pSystemsLeaseDueDilLaborHrsCRT/pSystemsTouchHourspaCRT)*pSystemsLeaseDueDilEventForecast</f>
        <v>2.9120559114734998</v>
      </c>
      <c r="F694" s="557">
        <f t="shared" si="173"/>
        <v>1.941370607649</v>
      </c>
      <c r="G694" s="557">
        <f t="shared" si="173"/>
        <v>2.9120559114734998</v>
      </c>
      <c r="H694" s="557">
        <f t="shared" si="173"/>
        <v>1.941370607649</v>
      </c>
      <c r="I694" s="557">
        <f t="shared" si="173"/>
        <v>2.9120559114734998</v>
      </c>
      <c r="J694" s="557">
        <f t="shared" si="173"/>
        <v>1.941370607649</v>
      </c>
      <c r="K694" s="557">
        <f t="shared" si="173"/>
        <v>2.9120559114734998</v>
      </c>
      <c r="L694" s="557">
        <f t="shared" si="173"/>
        <v>1.941370607649</v>
      </c>
      <c r="M694" s="557">
        <f t="shared" si="173"/>
        <v>2.9120559114734998</v>
      </c>
      <c r="N694" s="557">
        <f t="shared" si="173"/>
        <v>1.941370607649</v>
      </c>
      <c r="O694" s="535" t="s">
        <v>2543</v>
      </c>
    </row>
    <row r="695" spans="1:33" s="142" customFormat="1" ht="18" hidden="1" customHeight="1" outlineLevel="1" x14ac:dyDescent="0.2">
      <c r="A695" s="1398"/>
      <c r="B695" s="138"/>
      <c r="C695" s="235"/>
      <c r="D695" s="726" t="s">
        <v>2506</v>
      </c>
      <c r="E695" s="557">
        <f t="shared" ref="E695:N695" si="174">(pSystemsLeaseDueDilLaborHrsSCL/pSystemsTouchHourspaSCL)*pSystemsLeaseDueDilEventForecast</f>
        <v>0</v>
      </c>
      <c r="F695" s="557">
        <f t="shared" si="174"/>
        <v>0</v>
      </c>
      <c r="G695" s="557">
        <f t="shared" si="174"/>
        <v>0</v>
      </c>
      <c r="H695" s="557">
        <f t="shared" si="174"/>
        <v>0</v>
      </c>
      <c r="I695" s="557">
        <f t="shared" si="174"/>
        <v>0</v>
      </c>
      <c r="J695" s="557">
        <f t="shared" si="174"/>
        <v>0</v>
      </c>
      <c r="K695" s="557">
        <f t="shared" si="174"/>
        <v>0</v>
      </c>
      <c r="L695" s="557">
        <f t="shared" si="174"/>
        <v>0</v>
      </c>
      <c r="M695" s="557">
        <f t="shared" si="174"/>
        <v>0</v>
      </c>
      <c r="N695" s="557">
        <f t="shared" si="174"/>
        <v>0</v>
      </c>
      <c r="O695" s="535" t="s">
        <v>2544</v>
      </c>
    </row>
    <row r="696" spans="1:33" s="142" customFormat="1" ht="18" hidden="1" customHeight="1" outlineLevel="1" x14ac:dyDescent="0.2">
      <c r="A696" s="1398"/>
      <c r="B696" s="138"/>
      <c r="C696" s="235"/>
      <c r="D696" s="726" t="s">
        <v>2507</v>
      </c>
      <c r="E696" s="557">
        <f t="shared" ref="E696:N696" si="175">(pSystemsLeaseDueDilLaborHrsQSC/pSystemsTouchHourspaQSC)*pSystemsLeaseDueDilEventForecast</f>
        <v>2.9120559114734998</v>
      </c>
      <c r="F696" s="557">
        <f t="shared" si="175"/>
        <v>1.941370607649</v>
      </c>
      <c r="G696" s="557">
        <f t="shared" si="175"/>
        <v>2.9120559114734998</v>
      </c>
      <c r="H696" s="557">
        <f t="shared" si="175"/>
        <v>1.941370607649</v>
      </c>
      <c r="I696" s="557">
        <f t="shared" si="175"/>
        <v>2.9120559114734998</v>
      </c>
      <c r="J696" s="557">
        <f t="shared" si="175"/>
        <v>1.941370607649</v>
      </c>
      <c r="K696" s="557">
        <f t="shared" si="175"/>
        <v>2.9120559114734998</v>
      </c>
      <c r="L696" s="557">
        <f t="shared" si="175"/>
        <v>1.941370607649</v>
      </c>
      <c r="M696" s="557">
        <f t="shared" si="175"/>
        <v>2.9120559114734998</v>
      </c>
      <c r="N696" s="557">
        <f t="shared" si="175"/>
        <v>1.941370607649</v>
      </c>
      <c r="O696" s="535" t="s">
        <v>2545</v>
      </c>
    </row>
    <row r="697" spans="1:33" s="142" customFormat="1" ht="18" hidden="1" customHeight="1" outlineLevel="1" x14ac:dyDescent="0.2">
      <c r="A697" s="1398"/>
      <c r="B697" s="138"/>
      <c r="C697" s="235"/>
      <c r="D697" s="726" t="s">
        <v>2508</v>
      </c>
      <c r="E697" s="557">
        <f t="shared" ref="E697:N697" si="176">(pSystemsLeaseDueDilLaborHrsEM/pSystemsTouchHourspaEM)*pSystemsLeaseDueDilEventForecast</f>
        <v>0</v>
      </c>
      <c r="F697" s="557">
        <f t="shared" si="176"/>
        <v>0</v>
      </c>
      <c r="G697" s="557">
        <f t="shared" si="176"/>
        <v>0</v>
      </c>
      <c r="H697" s="557">
        <f t="shared" si="176"/>
        <v>0</v>
      </c>
      <c r="I697" s="557">
        <f t="shared" si="176"/>
        <v>0</v>
      </c>
      <c r="J697" s="557">
        <f t="shared" si="176"/>
        <v>0</v>
      </c>
      <c r="K697" s="557">
        <f t="shared" si="176"/>
        <v>0</v>
      </c>
      <c r="L697" s="557">
        <f t="shared" si="176"/>
        <v>0</v>
      </c>
      <c r="M697" s="557">
        <f t="shared" si="176"/>
        <v>0</v>
      </c>
      <c r="N697" s="557">
        <f t="shared" si="176"/>
        <v>0</v>
      </c>
      <c r="O697" s="535" t="s">
        <v>2546</v>
      </c>
    </row>
    <row r="698" spans="1:33" s="142" customFormat="1" ht="18" hidden="1" customHeight="1" outlineLevel="1" x14ac:dyDescent="0.2">
      <c r="A698" s="1398"/>
      <c r="B698" s="138"/>
      <c r="C698" s="235"/>
      <c r="D698" s="727" t="s">
        <v>2509</v>
      </c>
      <c r="E698" s="557">
        <f t="shared" ref="E698:N698" si="177">(pSystemsLeaseDueDilLaborHrsCM/pSystemsTouchHourspaCM)*pSystemsLeaseDueDilEventForecast</f>
        <v>0</v>
      </c>
      <c r="F698" s="557">
        <f t="shared" si="177"/>
        <v>0</v>
      </c>
      <c r="G698" s="557">
        <f t="shared" si="177"/>
        <v>0</v>
      </c>
      <c r="H698" s="557">
        <f t="shared" si="177"/>
        <v>0</v>
      </c>
      <c r="I698" s="557">
        <f t="shared" si="177"/>
        <v>0</v>
      </c>
      <c r="J698" s="557">
        <f t="shared" si="177"/>
        <v>0</v>
      </c>
      <c r="K698" s="557">
        <f t="shared" si="177"/>
        <v>0</v>
      </c>
      <c r="L698" s="557">
        <f t="shared" si="177"/>
        <v>0</v>
      </c>
      <c r="M698" s="557">
        <f t="shared" si="177"/>
        <v>0</v>
      </c>
      <c r="N698" s="557">
        <f t="shared" si="177"/>
        <v>0</v>
      </c>
      <c r="O698" s="535" t="s">
        <v>2547</v>
      </c>
    </row>
    <row r="699" spans="1:33" s="142" customFormat="1" ht="18" hidden="1" customHeight="1" outlineLevel="1" x14ac:dyDescent="0.2">
      <c r="A699" s="1398"/>
      <c r="B699" s="138"/>
      <c r="C699" s="235"/>
      <c r="D699" s="726" t="s">
        <v>2510</v>
      </c>
      <c r="E699" s="557">
        <f t="shared" ref="E699:N699" si="178">(pSystemsLeaseDueDilLaborHrsSMCS/pSystemsTouchHourspaSMCS)*pSystemsLeaseDueDilEventForecast</f>
        <v>0</v>
      </c>
      <c r="F699" s="557">
        <f t="shared" si="178"/>
        <v>0</v>
      </c>
      <c r="G699" s="557">
        <f t="shared" si="178"/>
        <v>0</v>
      </c>
      <c r="H699" s="557">
        <f t="shared" si="178"/>
        <v>0</v>
      </c>
      <c r="I699" s="557">
        <f t="shared" si="178"/>
        <v>0</v>
      </c>
      <c r="J699" s="557">
        <f t="shared" si="178"/>
        <v>0</v>
      </c>
      <c r="K699" s="557">
        <f t="shared" si="178"/>
        <v>0</v>
      </c>
      <c r="L699" s="557">
        <f t="shared" si="178"/>
        <v>0</v>
      </c>
      <c r="M699" s="557">
        <f t="shared" si="178"/>
        <v>0</v>
      </c>
      <c r="N699" s="557">
        <f t="shared" si="178"/>
        <v>0</v>
      </c>
      <c r="O699" s="535" t="s">
        <v>2548</v>
      </c>
    </row>
    <row r="700" spans="1:33" s="142" customFormat="1" ht="18" hidden="1" customHeight="1" outlineLevel="1" x14ac:dyDescent="0.2">
      <c r="A700" s="1398"/>
      <c r="B700" s="138"/>
      <c r="C700" s="235"/>
      <c r="D700" s="726" t="s">
        <v>2511</v>
      </c>
      <c r="E700" s="557">
        <f t="shared" ref="E700:N700" si="179">(pSystemsLeaseDueDilLaborHrsO1/pSystemsTouchHourspaO1)*pSystemsLeaseDueDilEventForecast</f>
        <v>0</v>
      </c>
      <c r="F700" s="557">
        <f t="shared" si="179"/>
        <v>0</v>
      </c>
      <c r="G700" s="557">
        <f t="shared" si="179"/>
        <v>0</v>
      </c>
      <c r="H700" s="557">
        <f t="shared" si="179"/>
        <v>0</v>
      </c>
      <c r="I700" s="557">
        <f t="shared" si="179"/>
        <v>0</v>
      </c>
      <c r="J700" s="557">
        <f t="shared" si="179"/>
        <v>0</v>
      </c>
      <c r="K700" s="557">
        <f t="shared" si="179"/>
        <v>0</v>
      </c>
      <c r="L700" s="557">
        <f t="shared" si="179"/>
        <v>0</v>
      </c>
      <c r="M700" s="557">
        <f t="shared" si="179"/>
        <v>0</v>
      </c>
      <c r="N700" s="557">
        <f t="shared" si="179"/>
        <v>0</v>
      </c>
      <c r="O700" s="535" t="s">
        <v>2549</v>
      </c>
    </row>
    <row r="701" spans="1:33" s="142" customFormat="1" ht="18" hidden="1" customHeight="1" outlineLevel="1" x14ac:dyDescent="0.2">
      <c r="A701" s="1398"/>
      <c r="B701" s="138"/>
      <c r="C701" s="235"/>
      <c r="D701" s="726" t="s">
        <v>2512</v>
      </c>
      <c r="E701" s="557">
        <f t="shared" ref="E701:N701" si="180">(pSystemsLeaseDueDilLaborHrsO2/pSystemsTouchHourspaO2)*pSystemsLeaseDueDilEventForecast</f>
        <v>0</v>
      </c>
      <c r="F701" s="557">
        <f t="shared" si="180"/>
        <v>0</v>
      </c>
      <c r="G701" s="557">
        <f t="shared" si="180"/>
        <v>0</v>
      </c>
      <c r="H701" s="557">
        <f t="shared" si="180"/>
        <v>0</v>
      </c>
      <c r="I701" s="557">
        <f t="shared" si="180"/>
        <v>0</v>
      </c>
      <c r="J701" s="557">
        <f t="shared" si="180"/>
        <v>0</v>
      </c>
      <c r="K701" s="557">
        <f t="shared" si="180"/>
        <v>0</v>
      </c>
      <c r="L701" s="557">
        <f t="shared" si="180"/>
        <v>0</v>
      </c>
      <c r="M701" s="557">
        <f t="shared" si="180"/>
        <v>0</v>
      </c>
      <c r="N701" s="557">
        <f t="shared" si="180"/>
        <v>0</v>
      </c>
      <c r="O701" s="535" t="s">
        <v>2550</v>
      </c>
    </row>
    <row r="702" spans="1:33" s="142" customFormat="1" ht="18" hidden="1" customHeight="1" outlineLevel="1" x14ac:dyDescent="0.25">
      <c r="A702" s="1398"/>
      <c r="B702" s="138"/>
      <c r="C702" s="235"/>
      <c r="D702" s="728" t="s">
        <v>2513</v>
      </c>
      <c r="E702" s="562">
        <f>SUM(E690:E701)</f>
        <v>11.648223645893999</v>
      </c>
      <c r="F702" s="562">
        <f t="shared" ref="F702:N702" si="181">SUM(F690:F701)</f>
        <v>7.7654824305960002</v>
      </c>
      <c r="G702" s="562">
        <f t="shared" si="181"/>
        <v>11.648223645893999</v>
      </c>
      <c r="H702" s="562">
        <f t="shared" si="181"/>
        <v>7.7654824305960002</v>
      </c>
      <c r="I702" s="562">
        <f t="shared" si="181"/>
        <v>11.648223645893999</v>
      </c>
      <c r="J702" s="562">
        <f t="shared" si="181"/>
        <v>7.7654824305960002</v>
      </c>
      <c r="K702" s="562">
        <f t="shared" si="181"/>
        <v>11.648223645893999</v>
      </c>
      <c r="L702" s="562">
        <f t="shared" si="181"/>
        <v>7.7654824305960002</v>
      </c>
      <c r="M702" s="562">
        <f t="shared" si="181"/>
        <v>11.648223645893999</v>
      </c>
      <c r="N702" s="562">
        <f t="shared" si="181"/>
        <v>7.7654824305960002</v>
      </c>
      <c r="O702" s="535" t="s">
        <v>2551</v>
      </c>
    </row>
    <row r="703" spans="1:33" s="203" customFormat="1" ht="13.5" hidden="1" outlineLevel="1" thickBot="1" x14ac:dyDescent="0.25">
      <c r="A703" s="1399"/>
      <c r="B703" s="74"/>
      <c r="C703" s="325"/>
      <c r="D703" s="725"/>
      <c r="E703" s="568"/>
      <c r="F703" s="568"/>
      <c r="G703" s="568"/>
      <c r="H703" s="568"/>
      <c r="I703" s="568"/>
      <c r="J703" s="568"/>
      <c r="K703" s="568"/>
      <c r="L703" s="568"/>
      <c r="M703" s="568"/>
      <c r="N703" s="568"/>
      <c r="O703" s="569"/>
      <c r="P703" s="204"/>
    </row>
    <row r="704" spans="1:33" s="203" customFormat="1" ht="13.5" hidden="1" outlineLevel="1" thickBot="1" x14ac:dyDescent="0.25">
      <c r="A704" s="1025"/>
      <c r="B704" s="74"/>
      <c r="C704" s="211"/>
      <c r="D704" s="214"/>
      <c r="E704" s="210"/>
      <c r="F704" s="210"/>
      <c r="G704" s="210"/>
      <c r="H704" s="210"/>
      <c r="I704" s="210"/>
      <c r="J704" s="210"/>
      <c r="K704" s="210"/>
      <c r="L704" s="210"/>
      <c r="M704" s="210"/>
      <c r="N704" s="210"/>
      <c r="O704" s="204"/>
      <c r="P704" s="204"/>
    </row>
    <row r="705" spans="1:33" s="203" customFormat="1" ht="15.75" hidden="1" outlineLevel="1" x14ac:dyDescent="0.2">
      <c r="A705" s="1025"/>
      <c r="B705" s="211"/>
      <c r="C705" s="1009" t="str">
        <f>Scenario2&amp;" Lease Due Diligence Labor Cost"</f>
        <v>hSystems (Hybrid) Lease Due Diligence Labor Cost</v>
      </c>
      <c r="D705" s="729"/>
      <c r="E705" s="322"/>
      <c r="F705" s="322"/>
      <c r="G705" s="322"/>
      <c r="H705" s="322"/>
      <c r="I705" s="322"/>
      <c r="J705" s="322"/>
      <c r="K705" s="322"/>
      <c r="L705" s="322"/>
      <c r="M705" s="322"/>
      <c r="N705" s="322"/>
      <c r="O705" s="579"/>
      <c r="P705" s="204"/>
    </row>
    <row r="706" spans="1:33" s="203" customFormat="1" hidden="1" outlineLevel="1" x14ac:dyDescent="0.2">
      <c r="A706" s="1025"/>
      <c r="B706" s="211"/>
      <c r="C706" s="331"/>
      <c r="D706" s="730" t="s">
        <v>225</v>
      </c>
      <c r="E706" s="570">
        <v>3</v>
      </c>
      <c r="F706" s="570">
        <v>2</v>
      </c>
      <c r="G706" s="570">
        <v>3</v>
      </c>
      <c r="H706" s="570">
        <v>2</v>
      </c>
      <c r="I706" s="570">
        <v>3</v>
      </c>
      <c r="J706" s="570">
        <v>2</v>
      </c>
      <c r="K706" s="570">
        <v>3</v>
      </c>
      <c r="L706" s="570">
        <v>2</v>
      </c>
      <c r="M706" s="570">
        <v>3</v>
      </c>
      <c r="N706" s="570">
        <v>2</v>
      </c>
      <c r="O706" s="324" t="s">
        <v>228</v>
      </c>
      <c r="P706" s="204"/>
    </row>
    <row r="707" spans="1:33" s="206" customFormat="1" ht="13.5" hidden="1" outlineLevel="1" thickBot="1" x14ac:dyDescent="0.25">
      <c r="A707" s="1025"/>
      <c r="B707" s="211"/>
      <c r="C707" s="564"/>
      <c r="D707" s="725"/>
      <c r="E707" s="568"/>
      <c r="F707" s="568"/>
      <c r="G707" s="568"/>
      <c r="H707" s="568"/>
      <c r="I707" s="568"/>
      <c r="J707" s="568"/>
      <c r="K707" s="568"/>
      <c r="L707" s="568"/>
      <c r="M707" s="568"/>
      <c r="N707" s="568"/>
      <c r="O707" s="580"/>
      <c r="P707" s="210"/>
    </row>
    <row r="708" spans="1:33" s="206" customFormat="1" ht="13.5" hidden="1" outlineLevel="1" thickBot="1" x14ac:dyDescent="0.25">
      <c r="A708" s="1025"/>
      <c r="B708" s="211"/>
      <c r="C708" s="568"/>
      <c r="D708" s="214"/>
      <c r="E708" s="210"/>
      <c r="F708" s="210"/>
      <c r="G708" s="210"/>
      <c r="H708" s="210"/>
      <c r="I708" s="210"/>
      <c r="J708" s="210"/>
      <c r="K708" s="210"/>
      <c r="L708" s="210"/>
      <c r="M708" s="210"/>
      <c r="N708" s="210"/>
      <c r="O708" s="210"/>
      <c r="P708" s="210"/>
    </row>
    <row r="709" spans="1:33" s="8" customFormat="1" ht="20.25" hidden="1" outlineLevel="1" x14ac:dyDescent="0.25">
      <c r="A709" s="1025"/>
      <c r="B709" s="194"/>
      <c r="C709" s="1009" t="str">
        <f>Scenario2&amp;" Lessee Labor Hours per Due Diligence Event"</f>
        <v>hSystems (Hybrid) Lessee Labor Hours per Due Diligence Event</v>
      </c>
      <c r="D709" s="310"/>
      <c r="E709" s="240"/>
      <c r="F709" s="240"/>
      <c r="G709" s="240"/>
      <c r="H709" s="240"/>
      <c r="I709" s="240"/>
      <c r="J709" s="240"/>
      <c r="K709" s="240"/>
      <c r="L709" s="240"/>
      <c r="M709" s="240"/>
      <c r="N709" s="240"/>
      <c r="O709" s="435"/>
      <c r="P709" s="17"/>
      <c r="Q709" s="17"/>
      <c r="R709" s="17"/>
      <c r="S709" s="17"/>
      <c r="T709" s="17"/>
      <c r="U709" s="17"/>
      <c r="V709" s="17"/>
      <c r="W709" s="17"/>
      <c r="X709" s="17"/>
      <c r="Y709" s="17"/>
      <c r="Z709" s="17"/>
      <c r="AA709" s="17"/>
      <c r="AB709" s="17"/>
      <c r="AC709" s="17"/>
      <c r="AD709" s="17"/>
      <c r="AE709" s="17"/>
      <c r="AF709" s="17"/>
      <c r="AG709" s="17"/>
    </row>
    <row r="710" spans="1:33" s="142" customFormat="1" ht="18" hidden="1" customHeight="1" outlineLevel="1" x14ac:dyDescent="0.2">
      <c r="A710" s="1025"/>
      <c r="B710" s="138"/>
      <c r="C710" s="235"/>
      <c r="D710" s="726" t="s">
        <v>2552</v>
      </c>
      <c r="E710" s="577">
        <v>0</v>
      </c>
      <c r="F710" s="577">
        <v>0</v>
      </c>
      <c r="G710" s="577">
        <v>0</v>
      </c>
      <c r="H710" s="577">
        <v>0</v>
      </c>
      <c r="I710" s="577">
        <v>0</v>
      </c>
      <c r="J710" s="577">
        <v>0</v>
      </c>
      <c r="K710" s="577">
        <v>0</v>
      </c>
      <c r="L710" s="577">
        <v>0</v>
      </c>
      <c r="M710" s="577">
        <v>0</v>
      </c>
      <c r="N710" s="577">
        <v>0</v>
      </c>
      <c r="O710" s="535" t="s">
        <v>2553</v>
      </c>
    </row>
    <row r="711" spans="1:33" s="142" customFormat="1" ht="18" hidden="1" customHeight="1" outlineLevel="1" x14ac:dyDescent="0.2">
      <c r="A711" s="1025"/>
      <c r="B711" s="138"/>
      <c r="C711" s="235"/>
      <c r="D711" s="726" t="s">
        <v>2554</v>
      </c>
      <c r="E711" s="577">
        <v>0</v>
      </c>
      <c r="F711" s="577">
        <v>0</v>
      </c>
      <c r="G711" s="577">
        <v>0</v>
      </c>
      <c r="H711" s="577">
        <v>0</v>
      </c>
      <c r="I711" s="577">
        <v>0</v>
      </c>
      <c r="J711" s="577">
        <v>0</v>
      </c>
      <c r="K711" s="577">
        <v>0</v>
      </c>
      <c r="L711" s="577">
        <v>0</v>
      </c>
      <c r="M711" s="577">
        <v>0</v>
      </c>
      <c r="N711" s="577">
        <v>0</v>
      </c>
      <c r="O711" s="535" t="s">
        <v>2555</v>
      </c>
    </row>
    <row r="712" spans="1:33" s="142" customFormat="1" ht="18" hidden="1" customHeight="1" outlineLevel="1" x14ac:dyDescent="0.2">
      <c r="A712" s="1025"/>
      <c r="B712" s="138"/>
      <c r="C712" s="235"/>
      <c r="D712" s="726" t="s">
        <v>2556</v>
      </c>
      <c r="E712" s="577">
        <v>500</v>
      </c>
      <c r="F712" s="577">
        <v>500</v>
      </c>
      <c r="G712" s="577">
        <v>500</v>
      </c>
      <c r="H712" s="577">
        <v>500</v>
      </c>
      <c r="I712" s="577">
        <v>500</v>
      </c>
      <c r="J712" s="577">
        <v>500</v>
      </c>
      <c r="K712" s="577">
        <v>500</v>
      </c>
      <c r="L712" s="577">
        <v>500</v>
      </c>
      <c r="M712" s="577">
        <v>500</v>
      </c>
      <c r="N712" s="577">
        <v>500</v>
      </c>
      <c r="O712" s="535" t="s">
        <v>2557</v>
      </c>
    </row>
    <row r="713" spans="1:33" s="142" customFormat="1" ht="18" hidden="1" customHeight="1" outlineLevel="1" x14ac:dyDescent="0.2">
      <c r="A713" s="1025"/>
      <c r="B713" s="138"/>
      <c r="C713" s="235"/>
      <c r="D713" s="726" t="s">
        <v>2558</v>
      </c>
      <c r="E713" s="577">
        <v>500</v>
      </c>
      <c r="F713" s="577">
        <v>500</v>
      </c>
      <c r="G713" s="577">
        <v>500</v>
      </c>
      <c r="H713" s="577">
        <v>500</v>
      </c>
      <c r="I713" s="577">
        <v>500</v>
      </c>
      <c r="J713" s="577">
        <v>500</v>
      </c>
      <c r="K713" s="577">
        <v>500</v>
      </c>
      <c r="L713" s="577">
        <v>500</v>
      </c>
      <c r="M713" s="577">
        <v>500</v>
      </c>
      <c r="N713" s="577">
        <v>500</v>
      </c>
      <c r="O713" s="535" t="s">
        <v>2559</v>
      </c>
    </row>
    <row r="714" spans="1:33" s="142" customFormat="1" ht="18" hidden="1" customHeight="1" outlineLevel="1" x14ac:dyDescent="0.2">
      <c r="A714" s="1025"/>
      <c r="B714" s="138"/>
      <c r="C714" s="235"/>
      <c r="D714" s="726" t="s">
        <v>2560</v>
      </c>
      <c r="E714" s="577">
        <v>750</v>
      </c>
      <c r="F714" s="577">
        <v>750</v>
      </c>
      <c r="G714" s="577">
        <v>750</v>
      </c>
      <c r="H714" s="577">
        <v>750</v>
      </c>
      <c r="I714" s="577">
        <v>750</v>
      </c>
      <c r="J714" s="577">
        <v>750</v>
      </c>
      <c r="K714" s="577">
        <v>750</v>
      </c>
      <c r="L714" s="577">
        <v>750</v>
      </c>
      <c r="M714" s="577">
        <v>750</v>
      </c>
      <c r="N714" s="577">
        <v>750</v>
      </c>
      <c r="O714" s="535" t="s">
        <v>2561</v>
      </c>
    </row>
    <row r="715" spans="1:33" s="142" customFormat="1" ht="18" hidden="1" customHeight="1" outlineLevel="1" x14ac:dyDescent="0.2">
      <c r="A715" s="1025"/>
      <c r="B715" s="138"/>
      <c r="C715" s="235"/>
      <c r="D715" s="726" t="s">
        <v>2562</v>
      </c>
      <c r="E715" s="577">
        <v>0</v>
      </c>
      <c r="F715" s="577">
        <v>0</v>
      </c>
      <c r="G715" s="577">
        <v>0</v>
      </c>
      <c r="H715" s="577">
        <v>0</v>
      </c>
      <c r="I715" s="577">
        <v>0</v>
      </c>
      <c r="J715" s="577">
        <v>0</v>
      </c>
      <c r="K715" s="577">
        <v>0</v>
      </c>
      <c r="L715" s="577">
        <v>0</v>
      </c>
      <c r="M715" s="577">
        <v>0</v>
      </c>
      <c r="N715" s="577">
        <v>0</v>
      </c>
      <c r="O715" s="535" t="s">
        <v>2563</v>
      </c>
    </row>
    <row r="716" spans="1:33" s="142" customFormat="1" ht="18" hidden="1" customHeight="1" outlineLevel="1" x14ac:dyDescent="0.2">
      <c r="A716" s="1025"/>
      <c r="B716" s="138"/>
      <c r="C716" s="235"/>
      <c r="D716" s="726" t="s">
        <v>2564</v>
      </c>
      <c r="E716" s="577">
        <v>500</v>
      </c>
      <c r="F716" s="577">
        <v>500</v>
      </c>
      <c r="G716" s="577">
        <v>500</v>
      </c>
      <c r="H716" s="577">
        <v>500</v>
      </c>
      <c r="I716" s="577">
        <v>500</v>
      </c>
      <c r="J716" s="577">
        <v>500</v>
      </c>
      <c r="K716" s="577">
        <v>500</v>
      </c>
      <c r="L716" s="577">
        <v>500</v>
      </c>
      <c r="M716" s="577">
        <v>500</v>
      </c>
      <c r="N716" s="577">
        <v>500</v>
      </c>
      <c r="O716" s="535" t="s">
        <v>2565</v>
      </c>
    </row>
    <row r="717" spans="1:33" s="142" customFormat="1" ht="18" hidden="1" customHeight="1" outlineLevel="1" x14ac:dyDescent="0.2">
      <c r="A717" s="1025"/>
      <c r="B717" s="138"/>
      <c r="C717" s="235"/>
      <c r="D717" s="726" t="s">
        <v>2566</v>
      </c>
      <c r="E717" s="577">
        <v>0</v>
      </c>
      <c r="F717" s="577">
        <v>0</v>
      </c>
      <c r="G717" s="577">
        <v>0</v>
      </c>
      <c r="H717" s="577">
        <v>0</v>
      </c>
      <c r="I717" s="577">
        <v>0</v>
      </c>
      <c r="J717" s="577">
        <v>0</v>
      </c>
      <c r="K717" s="577">
        <v>0</v>
      </c>
      <c r="L717" s="577">
        <v>0</v>
      </c>
      <c r="M717" s="577">
        <v>0</v>
      </c>
      <c r="N717" s="577">
        <v>0</v>
      </c>
      <c r="O717" s="535" t="s">
        <v>2567</v>
      </c>
    </row>
    <row r="718" spans="1:33" s="142" customFormat="1" ht="18" hidden="1" customHeight="1" outlineLevel="1" x14ac:dyDescent="0.2">
      <c r="A718" s="1025"/>
      <c r="B718" s="565"/>
      <c r="C718" s="235"/>
      <c r="D718" s="726" t="s">
        <v>2568</v>
      </c>
      <c r="E718" s="577">
        <v>0</v>
      </c>
      <c r="F718" s="577">
        <v>0</v>
      </c>
      <c r="G718" s="577">
        <v>0</v>
      </c>
      <c r="H718" s="577">
        <v>0</v>
      </c>
      <c r="I718" s="577">
        <v>0</v>
      </c>
      <c r="J718" s="577">
        <v>0</v>
      </c>
      <c r="K718" s="577">
        <v>0</v>
      </c>
      <c r="L718" s="577">
        <v>0</v>
      </c>
      <c r="M718" s="577">
        <v>0</v>
      </c>
      <c r="N718" s="577">
        <v>0</v>
      </c>
      <c r="O718" s="535" t="s">
        <v>2569</v>
      </c>
    </row>
    <row r="719" spans="1:33" s="142" customFormat="1" ht="18" hidden="1" customHeight="1" outlineLevel="1" x14ac:dyDescent="0.2">
      <c r="A719" s="1025"/>
      <c r="B719" s="565"/>
      <c r="C719" s="235"/>
      <c r="D719" s="726" t="s">
        <v>2570</v>
      </c>
      <c r="E719" s="577">
        <v>0</v>
      </c>
      <c r="F719" s="577">
        <v>0</v>
      </c>
      <c r="G719" s="577">
        <v>0</v>
      </c>
      <c r="H719" s="577">
        <v>0</v>
      </c>
      <c r="I719" s="577">
        <v>0</v>
      </c>
      <c r="J719" s="577">
        <v>0</v>
      </c>
      <c r="K719" s="577">
        <v>0</v>
      </c>
      <c r="L719" s="577">
        <v>0</v>
      </c>
      <c r="M719" s="577">
        <v>0</v>
      </c>
      <c r="N719" s="577">
        <v>0</v>
      </c>
      <c r="O719" s="535" t="s">
        <v>2571</v>
      </c>
    </row>
    <row r="720" spans="1:33" s="142" customFormat="1" ht="18" hidden="1" customHeight="1" outlineLevel="1" x14ac:dyDescent="0.2">
      <c r="A720" s="1025"/>
      <c r="B720" s="138"/>
      <c r="C720" s="235"/>
      <c r="D720" s="726" t="s">
        <v>2572</v>
      </c>
      <c r="E720" s="577">
        <v>0</v>
      </c>
      <c r="F720" s="577">
        <v>0</v>
      </c>
      <c r="G720" s="577">
        <v>0</v>
      </c>
      <c r="H720" s="577">
        <v>0</v>
      </c>
      <c r="I720" s="577">
        <v>0</v>
      </c>
      <c r="J720" s="577">
        <v>0</v>
      </c>
      <c r="K720" s="577">
        <v>0</v>
      </c>
      <c r="L720" s="577">
        <v>0</v>
      </c>
      <c r="M720" s="577">
        <v>0</v>
      </c>
      <c r="N720" s="577">
        <v>0</v>
      </c>
      <c r="O720" s="535" t="s">
        <v>2573</v>
      </c>
    </row>
    <row r="721" spans="1:33" s="142" customFormat="1" ht="18" hidden="1" customHeight="1" outlineLevel="1" x14ac:dyDescent="0.2">
      <c r="A721" s="1025"/>
      <c r="B721" s="138"/>
      <c r="C721" s="235"/>
      <c r="D721" s="726" t="s">
        <v>2574</v>
      </c>
      <c r="E721" s="577">
        <v>0</v>
      </c>
      <c r="F721" s="577">
        <v>0</v>
      </c>
      <c r="G721" s="577">
        <v>0</v>
      </c>
      <c r="H721" s="577">
        <v>0</v>
      </c>
      <c r="I721" s="577">
        <v>0</v>
      </c>
      <c r="J721" s="577">
        <v>0</v>
      </c>
      <c r="K721" s="577">
        <v>0</v>
      </c>
      <c r="L721" s="577">
        <v>0</v>
      </c>
      <c r="M721" s="577">
        <v>0</v>
      </c>
      <c r="N721" s="577">
        <v>0</v>
      </c>
      <c r="O721" s="535" t="s">
        <v>2575</v>
      </c>
    </row>
    <row r="722" spans="1:33" s="206" customFormat="1" ht="15.75" hidden="1" outlineLevel="1" thickBot="1" x14ac:dyDescent="0.3">
      <c r="A722" s="1025"/>
      <c r="B722" s="563"/>
      <c r="C722" s="564"/>
      <c r="D722" s="724"/>
      <c r="E722" s="571"/>
      <c r="F722" s="571"/>
      <c r="G722" s="571"/>
      <c r="H722" s="571"/>
      <c r="I722" s="571"/>
      <c r="J722" s="571"/>
      <c r="K722" s="571"/>
      <c r="L722" s="571"/>
      <c r="M722" s="571"/>
      <c r="N722" s="571"/>
      <c r="O722" s="572"/>
      <c r="P722" s="210"/>
    </row>
    <row r="723" spans="1:33" s="206" customFormat="1" ht="15.75" hidden="1" outlineLevel="1" thickBot="1" x14ac:dyDescent="0.3">
      <c r="A723" s="1025"/>
      <c r="B723" s="563"/>
      <c r="C723" s="322"/>
      <c r="D723" s="732"/>
      <c r="E723" s="581"/>
      <c r="F723" s="581"/>
      <c r="G723" s="581"/>
      <c r="H723" s="581"/>
      <c r="I723" s="581"/>
      <c r="J723" s="581"/>
      <c r="K723" s="581"/>
      <c r="L723" s="581"/>
      <c r="M723" s="581"/>
      <c r="N723" s="581"/>
      <c r="O723" s="558"/>
      <c r="P723" s="210"/>
    </row>
    <row r="724" spans="1:33" s="8" customFormat="1" ht="20.25" hidden="1" outlineLevel="1" x14ac:dyDescent="0.2">
      <c r="A724" s="1025"/>
      <c r="B724" s="102"/>
      <c r="C724" s="1010" t="str">
        <f>Scenario2&amp;" Due Diligence Labor Cost pa (based on Touch Hour Rate)"</f>
        <v>hSystems (Hybrid) Due Diligence Labor Cost pa (based on Touch Hour Rate)</v>
      </c>
      <c r="D724" s="310"/>
      <c r="E724" s="316"/>
      <c r="F724" s="316"/>
      <c r="G724" s="316"/>
      <c r="H724" s="316"/>
      <c r="I724" s="316"/>
      <c r="J724" s="316"/>
      <c r="K724" s="316"/>
      <c r="L724" s="316"/>
      <c r="M724" s="316"/>
      <c r="N724" s="316"/>
      <c r="O724" s="583"/>
      <c r="P724" s="17"/>
      <c r="Q724" s="17"/>
      <c r="R724" s="17"/>
      <c r="S724" s="17"/>
      <c r="T724" s="17"/>
      <c r="U724" s="17"/>
      <c r="V724" s="17"/>
      <c r="W724" s="17"/>
      <c r="X724" s="17"/>
      <c r="Y724" s="17"/>
      <c r="Z724" s="17"/>
      <c r="AA724" s="17"/>
      <c r="AB724" s="17"/>
      <c r="AC724" s="17"/>
      <c r="AD724" s="17"/>
      <c r="AE724" s="17"/>
      <c r="AF724" s="17"/>
      <c r="AG724" s="17"/>
    </row>
    <row r="725" spans="1:33" s="142" customFormat="1" ht="18" hidden="1" customHeight="1" outlineLevel="1" x14ac:dyDescent="0.2">
      <c r="A725" s="1025"/>
      <c r="B725" s="138"/>
      <c r="C725" s="235"/>
      <c r="D725" s="726" t="s">
        <v>2576</v>
      </c>
      <c r="E725" s="555">
        <f>(hSystemsTouchRateHourHM*hSystemsLeaseDueDilLaborHrsHM*hSystemsLeaseDueDilEventForecast)</f>
        <v>0</v>
      </c>
      <c r="F725" s="555">
        <f>(hSystemsTouchRateHourHM*hSystemsLeaseDueDilLaborHrsHM*hSystemsLeaseDueDilEventForecast)*(1+Inflation)</f>
        <v>0</v>
      </c>
      <c r="G725" s="555">
        <f>(hSystemsTouchRateHourHM*hSystemsLeaseDueDilLaborHrsHM*hSystemsLeaseDueDilEventForecast)*(1+Inflation)^2</f>
        <v>0</v>
      </c>
      <c r="H725" s="555">
        <f>(hSystemsTouchRateHourHM*hSystemsLeaseDueDilLaborHrsHM*hSystemsLeaseDueDilEventForecast)*(1+Inflation)^3</f>
        <v>0</v>
      </c>
      <c r="I725" s="555">
        <f>(hSystemsTouchRateHourHM*hSystemsLeaseDueDilLaborHrsHM*hSystemsLeaseDueDilEventForecast)*(1+Inflation)^4</f>
        <v>0</v>
      </c>
      <c r="J725" s="555">
        <f>(hSystemsTouchRateHourHM*hSystemsLeaseDueDilLaborHrsHM*hSystemsLeaseDueDilEventForecast)*(1+Inflation)^5</f>
        <v>0</v>
      </c>
      <c r="K725" s="555">
        <f>(hSystemsTouchRateHourHM*hSystemsLeaseDueDilLaborHrsHM*hSystemsLeaseDueDilEventForecast)*(1+Inflation)^6</f>
        <v>0</v>
      </c>
      <c r="L725" s="555">
        <f>(hSystemsTouchRateHourHM*hSystemsLeaseDueDilLaborHrsHM*hSystemsLeaseDueDilEventForecast)*(1+Inflation)^7</f>
        <v>0</v>
      </c>
      <c r="M725" s="555">
        <f>(hSystemsTouchRateHourHM*hSystemsLeaseDueDilLaborHrsHM*hSystemsLeaseDueDilEventForecast)*(1+Inflation)^8</f>
        <v>0</v>
      </c>
      <c r="N725" s="555">
        <f>(hSystemsTouchRateHourHM*hSystemsLeaseDueDilLaborHrsHM*hSystemsLeaseDueDilEventForecast)*(1+Inflation)^9</f>
        <v>0</v>
      </c>
      <c r="O725" s="535" t="s">
        <v>2577</v>
      </c>
    </row>
    <row r="726" spans="1:33" s="142" customFormat="1" ht="18" hidden="1" customHeight="1" outlineLevel="1" x14ac:dyDescent="0.2">
      <c r="A726" s="1025"/>
      <c r="B726" s="128"/>
      <c r="C726" s="235"/>
      <c r="D726" s="726" t="s">
        <v>2578</v>
      </c>
      <c r="E726" s="555">
        <f>(hSystemsTouchRateHourLM*hSystemsLeaseDueDilLaborHrsLM*hSystemsLeaseDueDilEventForecast)</f>
        <v>0</v>
      </c>
      <c r="F726" s="555">
        <f>(hSystemsTouchRateHourLM*hSystemsLeaseDueDilLaborHrsLM*hSystemsLeaseDueDilEventForecast)*(1+Inflation)</f>
        <v>0</v>
      </c>
      <c r="G726" s="555">
        <f>(hSystemsTouchRateHourLM*hSystemsLeaseDueDilLaborHrsLM*hSystemsLeaseDueDilEventForecast)*(1+Inflation)^2</f>
        <v>0</v>
      </c>
      <c r="H726" s="555">
        <f>(hSystemsTouchRateHourLM*hSystemsLeaseDueDilLaborHrsLM*hSystemsLeaseDueDilEventForecast)*(1+Inflation)^3</f>
        <v>0</v>
      </c>
      <c r="I726" s="555">
        <f>(hSystemsTouchRateHourLM*hSystemsLeaseDueDilLaborHrsLM*hSystemsLeaseDueDilEventForecast)*(1+Inflation)^4</f>
        <v>0</v>
      </c>
      <c r="J726" s="555">
        <f>(hSystemsTouchRateHourLM*hSystemsLeaseDueDilLaborHrsLM*hSystemsLeaseDueDilEventForecast)*(1+Inflation)^5</f>
        <v>0</v>
      </c>
      <c r="K726" s="555">
        <f>(hSystemsTouchRateHourLM*hSystemsLeaseDueDilLaborHrsLM*hSystemsLeaseDueDilEventForecast)*(1+Inflation)^6</f>
        <v>0</v>
      </c>
      <c r="L726" s="555">
        <f>(hSystemsTouchRateHourLM*hSystemsLeaseDueDilLaborHrsLM*hSystemsLeaseDueDilEventForecast)*(1+Inflation)^7</f>
        <v>0</v>
      </c>
      <c r="M726" s="555">
        <f>(hSystemsTouchRateHourLM*hSystemsLeaseDueDilLaborHrsLM*hSystemsLeaseDueDilEventForecast)*(1+Inflation)^8</f>
        <v>0</v>
      </c>
      <c r="N726" s="555">
        <f>(hSystemsTouchRateHourLM*hSystemsLeaseDueDilLaborHrsLM*hSystemsLeaseDueDilEventForecast)*(1+Inflation)^9</f>
        <v>0</v>
      </c>
      <c r="O726" s="535" t="s">
        <v>2579</v>
      </c>
    </row>
    <row r="727" spans="1:33" s="142" customFormat="1" ht="18" hidden="1" customHeight="1" outlineLevel="1" x14ac:dyDescent="0.2">
      <c r="A727" s="1025"/>
      <c r="B727" s="128"/>
      <c r="C727" s="235"/>
      <c r="D727" s="727" t="s">
        <v>2580</v>
      </c>
      <c r="E727" s="555">
        <f>(hSystemsTouchRateHourENG*hSystemsLeaseDueDilLaborHrsENG*hSystemsLeaseDueDilEventForecast)</f>
        <v>156549.00574091024</v>
      </c>
      <c r="F727" s="555">
        <f>(hSystemsTouchRateHourENG*hSystemsLeaseDueDilLaborHrsENG*hSystemsLeaseDueDilEventForecast)*(1+Inflation)</f>
        <v>106453.32390381896</v>
      </c>
      <c r="G727" s="555">
        <f>(hSystemsTouchRateHourENG*hSystemsLeaseDueDilLaborHrsENG*hSystemsLeaseDueDilEventForecast)*(1+Inflation)^2</f>
        <v>162873.585572843</v>
      </c>
      <c r="H727" s="555">
        <f>(hSystemsTouchRateHourENG*hSystemsLeaseDueDilLaborHrsENG*hSystemsLeaseDueDilEventForecast)*(1+Inflation)^3</f>
        <v>110754.03818953324</v>
      </c>
      <c r="I727" s="555">
        <f>(hSystemsTouchRateHourENG*hSystemsLeaseDueDilLaborHrsENG*hSystemsLeaseDueDilEventForecast)*(1+Inflation)^4</f>
        <v>169453.67842998588</v>
      </c>
      <c r="J727" s="555">
        <f>(hSystemsTouchRateHourENG*hSystemsLeaseDueDilLaborHrsENG*hSystemsLeaseDueDilEventForecast)*(1+Inflation)^5</f>
        <v>115228.5013323904</v>
      </c>
      <c r="K727" s="555">
        <f>(hSystemsTouchRateHourENG*hSystemsLeaseDueDilLaborHrsENG*hSystemsLeaseDueDilEventForecast)*(1+Inflation)^6</f>
        <v>176299.60703855733</v>
      </c>
      <c r="L727" s="555">
        <f>(hSystemsTouchRateHourENG*hSystemsLeaseDueDilLaborHrsENG*hSystemsLeaseDueDilEventForecast)*(1+Inflation)^7</f>
        <v>119883.73278621896</v>
      </c>
      <c r="M727" s="555">
        <f>(hSystemsTouchRateHourENG*hSystemsLeaseDueDilLaborHrsENG*hSystemsLeaseDueDilEventForecast)*(1+Inflation)^8</f>
        <v>183422.11116291501</v>
      </c>
      <c r="N727" s="555">
        <f>(hSystemsTouchRateHourENG*hSystemsLeaseDueDilLaborHrsENG*hSystemsLeaseDueDilEventForecast)*(1+Inflation)^9</f>
        <v>124727.03559078221</v>
      </c>
      <c r="O727" s="535" t="s">
        <v>2581</v>
      </c>
    </row>
    <row r="728" spans="1:33" s="142" customFormat="1" ht="18" hidden="1" customHeight="1" outlineLevel="1" x14ac:dyDescent="0.2">
      <c r="A728" s="1025"/>
      <c r="B728" s="138"/>
      <c r="C728" s="235"/>
      <c r="D728" s="726" t="s">
        <v>2582</v>
      </c>
      <c r="E728" s="555">
        <f>(hSystemsTouchRateHourPLG*hSystemsLeaseDueDilLaborHrsPLG*hSystemsLeaseDueDilEventForecast)</f>
        <v>147851.83875530411</v>
      </c>
      <c r="F728" s="555">
        <f>(hSystemsTouchRateHourPLG*hSystemsLeaseDueDilLaborHrsPLG*hSystemsLeaseDueDilEventForecast)*(1+Inflation)</f>
        <v>100539.2503536068</v>
      </c>
      <c r="G728" s="555">
        <f>(hSystemsTouchRateHourPLG*hSystemsLeaseDueDilLaborHrsPLG*hSystemsLeaseDueDilEventForecast)*(1+Inflation)^2</f>
        <v>153825.0530410184</v>
      </c>
      <c r="H728" s="555">
        <f>(hSystemsTouchRateHourPLG*hSystemsLeaseDueDilLaborHrsPLG*hSystemsLeaseDueDilEventForecast)*(1+Inflation)^3</f>
        <v>104601.03606789251</v>
      </c>
      <c r="I728" s="555">
        <f>(hSystemsTouchRateHourPLG*hSystemsLeaseDueDilLaborHrsPLG*hSystemsLeaseDueDilEventForecast)*(1+Inflation)^4</f>
        <v>160039.58518387555</v>
      </c>
      <c r="J728" s="555">
        <f>(hSystemsTouchRateHourPLG*hSystemsLeaseDueDilLaborHrsPLG*hSystemsLeaseDueDilEventForecast)*(1+Inflation)^5</f>
        <v>108826.91792503536</v>
      </c>
      <c r="K728" s="555">
        <f>(hSystemsTouchRateHourPLG*hSystemsLeaseDueDilLaborHrsPLG*hSystemsLeaseDueDilEventForecast)*(1+Inflation)^6</f>
        <v>166505.18442530412</v>
      </c>
      <c r="L728" s="555">
        <f>(hSystemsTouchRateHourPLG*hSystemsLeaseDueDilLaborHrsPLG*hSystemsLeaseDueDilEventForecast)*(1+Inflation)^7</f>
        <v>113223.52540920678</v>
      </c>
      <c r="M728" s="555">
        <f>(hSystemsTouchRateHourPLG*hSystemsLeaseDueDilLaborHrsPLG*hSystemsLeaseDueDilEventForecast)*(1+Inflation)^8</f>
        <v>173231.99387608637</v>
      </c>
      <c r="N728" s="555">
        <f>(hSystemsTouchRateHourPLG*hSystemsLeaseDueDilLaborHrsPLG*hSystemsLeaseDueDilEventForecast)*(1+Inflation)^9</f>
        <v>117797.75583573875</v>
      </c>
      <c r="O728" s="535" t="s">
        <v>2583</v>
      </c>
    </row>
    <row r="729" spans="1:33" s="142" customFormat="1" ht="18" hidden="1" customHeight="1" outlineLevel="1" x14ac:dyDescent="0.2">
      <c r="A729" s="1025"/>
      <c r="B729" s="138"/>
      <c r="C729" s="235"/>
      <c r="D729" s="726" t="s">
        <v>2584</v>
      </c>
      <c r="E729" s="555">
        <f>(hSystemsTouchRateHourCRT*hSystemsLeaseDueDilLaborHrsCRT*hSystemsLeaseDueDilEventForecast)</f>
        <v>130457.50478409189</v>
      </c>
      <c r="F729" s="555">
        <f>(hSystemsTouchRateHourCRT*hSystemsLeaseDueDilLaborHrsCRT*hSystemsLeaseDueDilEventForecast)*(1+Inflation)</f>
        <v>88711.103253182489</v>
      </c>
      <c r="G729" s="555">
        <f>(hSystemsTouchRateHourCRT*hSystemsLeaseDueDilLaborHrsCRT*hSystemsLeaseDueDilEventForecast)*(1+Inflation)^2</f>
        <v>135727.98797736919</v>
      </c>
      <c r="H729" s="555">
        <f>(hSystemsTouchRateHourCRT*hSystemsLeaseDueDilLaborHrsCRT*hSystemsLeaseDueDilEventForecast)*(1+Inflation)^3</f>
        <v>92295.031824611055</v>
      </c>
      <c r="I729" s="555">
        <f>(hSystemsTouchRateHourCRT*hSystemsLeaseDueDilLaborHrsCRT*hSystemsLeaseDueDilEventForecast)*(1+Inflation)^4</f>
        <v>141211.3986916549</v>
      </c>
      <c r="J729" s="555">
        <f>(hSystemsTouchRateHourCRT*hSystemsLeaseDueDilLaborHrsCRT*hSystemsLeaseDueDilEventForecast)*(1+Inflation)^5</f>
        <v>96023.751110325349</v>
      </c>
      <c r="K729" s="555">
        <f>(hSystemsTouchRateHourCRT*hSystemsLeaseDueDilLaborHrsCRT*hSystemsLeaseDueDilEventForecast)*(1+Inflation)^6</f>
        <v>146916.33919879777</v>
      </c>
      <c r="L729" s="555">
        <f>(hSystemsTouchRateHourCRT*hSystemsLeaseDueDilLaborHrsCRT*hSystemsLeaseDueDilEventForecast)*(1+Inflation)^7</f>
        <v>99903.110655182463</v>
      </c>
      <c r="M729" s="555">
        <f>(hSystemsTouchRateHourCRT*hSystemsLeaseDueDilLaborHrsCRT*hSystemsLeaseDueDilEventForecast)*(1+Inflation)^8</f>
        <v>152851.75930242919</v>
      </c>
      <c r="N729" s="555">
        <f>(hSystemsTouchRateHourCRT*hSystemsLeaseDueDilLaborHrsCRT*hSystemsLeaseDueDilEventForecast)*(1+Inflation)^9</f>
        <v>103939.19632565185</v>
      </c>
      <c r="O729" s="535" t="s">
        <v>2585</v>
      </c>
    </row>
    <row r="730" spans="1:33" s="142" customFormat="1" ht="18" hidden="1" customHeight="1" outlineLevel="1" x14ac:dyDescent="0.2">
      <c r="A730" s="1025"/>
      <c r="B730" s="128"/>
      <c r="C730" s="235"/>
      <c r="D730" s="726" t="s">
        <v>2586</v>
      </c>
      <c r="E730" s="555">
        <f>(hSystemsTouchRateHourSCL*hSystemsLeaseDueDilLaborHrsSCL*hSystemsLeaseDueDilEventForecast)</f>
        <v>0</v>
      </c>
      <c r="F730" s="555">
        <f>(hSystemsTouchRateHourSCL*hSystemsLeaseDueDilLaborHrsSCL*hSystemsLeaseDueDilEventForecast)*(1+Inflation)</f>
        <v>0</v>
      </c>
      <c r="G730" s="555">
        <f>(hSystemsTouchRateHourSCL*hSystemsLeaseDueDilLaborHrsSCL*hSystemsLeaseDueDilEventForecast)*(1+Inflation)^2</f>
        <v>0</v>
      </c>
      <c r="H730" s="555">
        <f>(hSystemsTouchRateHourSCL*hSystemsLeaseDueDilLaborHrsSCL*hSystemsLeaseDueDilEventForecast)*(1+Inflation)^3</f>
        <v>0</v>
      </c>
      <c r="I730" s="555">
        <f>(hSystemsTouchRateHourSCL*hSystemsLeaseDueDilLaborHrsSCL*hSystemsLeaseDueDilEventForecast)*(1+Inflation)^4</f>
        <v>0</v>
      </c>
      <c r="J730" s="555">
        <f>(hSystemsTouchRateHourSCL*hSystemsLeaseDueDilLaborHrsSCL*hSystemsLeaseDueDilEventForecast)*(1+Inflation)^5</f>
        <v>0</v>
      </c>
      <c r="K730" s="555">
        <f>(hSystemsTouchRateHourSCL*hSystemsLeaseDueDilLaborHrsSCL*hSystemsLeaseDueDilEventForecast)*(1+Inflation)^6</f>
        <v>0</v>
      </c>
      <c r="L730" s="555">
        <f>(hSystemsTouchRateHourSCL*hSystemsLeaseDueDilLaborHrsSCL*hSystemsLeaseDueDilEventForecast)*(1+Inflation)^7</f>
        <v>0</v>
      </c>
      <c r="M730" s="555">
        <f>(hSystemsTouchRateHourSCL*hSystemsLeaseDueDilLaborHrsSCL*hSystemsLeaseDueDilEventForecast)*(1+Inflation)^8</f>
        <v>0</v>
      </c>
      <c r="N730" s="555">
        <f>(hSystemsTouchRateHourSCL*hSystemsLeaseDueDilLaborHrsSCL*hSystemsLeaseDueDilEventForecast)*(1+Inflation)^9</f>
        <v>0</v>
      </c>
      <c r="O730" s="535" t="s">
        <v>2587</v>
      </c>
    </row>
    <row r="731" spans="1:33" s="142" customFormat="1" ht="18" hidden="1" customHeight="1" outlineLevel="1" x14ac:dyDescent="0.2">
      <c r="A731" s="1025"/>
      <c r="B731" s="138"/>
      <c r="C731" s="235"/>
      <c r="D731" s="726" t="s">
        <v>2588</v>
      </c>
      <c r="E731" s="555">
        <f>(hSystemsTouchRateHourQSC*hSystemsLeaseDueDilLaborHrsQSC*hSystemsLeaseDueDilEventForecast)</f>
        <v>130457.50478409187</v>
      </c>
      <c r="F731" s="555">
        <f>(hSystemsTouchRateHourQSC*hSystemsLeaseDueDilLaborHrsQSC*hSystemsLeaseDueDilEventForecast)*(1+Inflation)</f>
        <v>88711.103253182475</v>
      </c>
      <c r="G731" s="555">
        <f>(hSystemsTouchRateHourQSC*hSystemsLeaseDueDilLaborHrsQSC*hSystemsLeaseDueDilEventForecast)*(1+Inflation)^2</f>
        <v>135727.98797736919</v>
      </c>
      <c r="H731" s="555">
        <f>(hSystemsTouchRateHourQSC*hSystemsLeaseDueDilLaborHrsQSC*hSystemsLeaseDueDilEventForecast)*(1+Inflation)^3</f>
        <v>92295.031824611026</v>
      </c>
      <c r="I731" s="555">
        <f>(hSystemsTouchRateHourQSC*hSystemsLeaseDueDilLaborHrsQSC*hSystemsLeaseDueDilEventForecast)*(1+Inflation)^4</f>
        <v>141211.3986916549</v>
      </c>
      <c r="J731" s="555">
        <f>(hSystemsTouchRateHourQSC*hSystemsLeaseDueDilLaborHrsQSC*hSystemsLeaseDueDilEventForecast)*(1+Inflation)^5</f>
        <v>96023.75111032532</v>
      </c>
      <c r="K731" s="555">
        <f>(hSystemsTouchRateHourQSC*hSystemsLeaseDueDilLaborHrsQSC*hSystemsLeaseDueDilEventForecast)*(1+Inflation)^6</f>
        <v>146916.33919879777</v>
      </c>
      <c r="L731" s="555">
        <f>(hSystemsTouchRateHourQSC*hSystemsLeaseDueDilLaborHrsQSC*hSystemsLeaseDueDilEventForecast)*(1+Inflation)^7</f>
        <v>99903.110655182449</v>
      </c>
      <c r="M731" s="555">
        <f>(hSystemsTouchRateHourQSC*hSystemsLeaseDueDilLaborHrsQSC*hSystemsLeaseDueDilEventForecast)*(1+Inflation)^8</f>
        <v>152851.75930242919</v>
      </c>
      <c r="N731" s="555">
        <f>(hSystemsTouchRateHourQSC*hSystemsLeaseDueDilLaborHrsQSC*hSystemsLeaseDueDilEventForecast)*(1+Inflation)^9</f>
        <v>103939.19632565184</v>
      </c>
      <c r="O731" s="535" t="s">
        <v>2589</v>
      </c>
    </row>
    <row r="732" spans="1:33" s="142" customFormat="1" ht="18" hidden="1" customHeight="1" outlineLevel="1" x14ac:dyDescent="0.2">
      <c r="A732" s="1025"/>
      <c r="B732" s="138"/>
      <c r="C732" s="235"/>
      <c r="D732" s="726" t="s">
        <v>2590</v>
      </c>
      <c r="E732" s="555">
        <f>(hSystemsTouchRateHourEM*hSystemsLeaseDueDilLaborHrsEM*hSystemsLeaseDueDilEventForecast)</f>
        <v>0</v>
      </c>
      <c r="F732" s="555">
        <f>(hSystemsTouchRateHourEM*hSystemsLeaseDueDilLaborHrsEM*hSystemsLeaseDueDilEventForecast)*(1+Inflation)</f>
        <v>0</v>
      </c>
      <c r="G732" s="555">
        <f>(hSystemsTouchRateHourEM*hSystemsLeaseDueDilLaborHrsEM*hSystemsLeaseDueDilEventForecast)*(1+Inflation)^2</f>
        <v>0</v>
      </c>
      <c r="H732" s="555">
        <f>(hSystemsTouchRateHourEM*hSystemsLeaseDueDilLaborHrsEM*hSystemsLeaseDueDilEventForecast)*(1+Inflation)^3</f>
        <v>0</v>
      </c>
      <c r="I732" s="555">
        <f>(hSystemsTouchRateHourEM*hSystemsLeaseDueDilLaborHrsEM*hSystemsLeaseDueDilEventForecast)*(1+Inflation)^4</f>
        <v>0</v>
      </c>
      <c r="J732" s="555">
        <f>(hSystemsTouchRateHourEM*hSystemsLeaseDueDilLaborHrsEM*hSystemsLeaseDueDilEventForecast)*(1+Inflation)^5</f>
        <v>0</v>
      </c>
      <c r="K732" s="555">
        <f>(hSystemsTouchRateHourEM*hSystemsLeaseDueDilLaborHrsEM*hSystemsLeaseDueDilEventForecast)*(1+Inflation)^6</f>
        <v>0</v>
      </c>
      <c r="L732" s="555">
        <f>(hSystemsTouchRateHourEM*hSystemsLeaseDueDilLaborHrsEM*hSystemsLeaseDueDilEventForecast)*(1+Inflation)^7</f>
        <v>0</v>
      </c>
      <c r="M732" s="555">
        <f>(hSystemsTouchRateHourEM*hSystemsLeaseDueDilLaborHrsEM*hSystemsLeaseDueDilEventForecast)*(1+Inflation)^8</f>
        <v>0</v>
      </c>
      <c r="N732" s="555">
        <f>(hSystemsTouchRateHourEM*hSystemsLeaseDueDilLaborHrsEM*hSystemsLeaseDueDilEventForecast)*(1+Inflation)^9</f>
        <v>0</v>
      </c>
      <c r="O732" s="535" t="s">
        <v>2591</v>
      </c>
    </row>
    <row r="733" spans="1:33" s="142" customFormat="1" ht="18" hidden="1" customHeight="1" outlineLevel="1" x14ac:dyDescent="0.2">
      <c r="A733" s="1025"/>
      <c r="B733" s="138"/>
      <c r="C733" s="235"/>
      <c r="D733" s="726" t="s">
        <v>2592</v>
      </c>
      <c r="E733" s="555">
        <f>(hSystemsTouchRateHourCM*hSystemsLeaseDueDilLaborHrsCM*hSystemsLeaseDueDilEventForecast)</f>
        <v>0</v>
      </c>
      <c r="F733" s="555">
        <f>(hSystemsTouchRateHourCM*hSystemsLeaseDueDilLaborHrsCM*hSystemsLeaseDueDilEventForecast)*(1+Inflation)</f>
        <v>0</v>
      </c>
      <c r="G733" s="555">
        <f>(hSystemsTouchRateHourCM*hSystemsLeaseDueDilLaborHrsCM*hSystemsLeaseDueDilEventForecast)*(1+Inflation)^2</f>
        <v>0</v>
      </c>
      <c r="H733" s="555">
        <f>(hSystemsTouchRateHourCM*hSystemsLeaseDueDilLaborHrsCM*hSystemsLeaseDueDilEventForecast)*(1+Inflation)^3</f>
        <v>0</v>
      </c>
      <c r="I733" s="555">
        <f>(hSystemsTouchRateHourCM*hSystemsLeaseDueDilLaborHrsCM*hSystemsLeaseDueDilEventForecast)*(1+Inflation)^4</f>
        <v>0</v>
      </c>
      <c r="J733" s="555">
        <f>(hSystemsTouchRateHourCM*hSystemsLeaseDueDilLaborHrsCM*hSystemsLeaseDueDilEventForecast)*(1+Inflation)^5</f>
        <v>0</v>
      </c>
      <c r="K733" s="555">
        <f>(hSystemsTouchRateHourCM*hSystemsLeaseDueDilLaborHrsCM*hSystemsLeaseDueDilEventForecast)*(1+Inflation)^6</f>
        <v>0</v>
      </c>
      <c r="L733" s="555">
        <f>(hSystemsTouchRateHourCM*hSystemsLeaseDueDilLaborHrsCM*hSystemsLeaseDueDilEventForecast)*(1+Inflation)^7</f>
        <v>0</v>
      </c>
      <c r="M733" s="555">
        <f>(hSystemsTouchRateHourCM*hSystemsLeaseDueDilLaborHrsCM*hSystemsLeaseDueDilEventForecast)*(1+Inflation)^8</f>
        <v>0</v>
      </c>
      <c r="N733" s="555">
        <f>(hSystemsTouchRateHourCM*hSystemsLeaseDueDilLaborHrsCM*hSystemsLeaseDueDilEventForecast)*(1+Inflation)^9</f>
        <v>0</v>
      </c>
      <c r="O733" s="535" t="s">
        <v>2593</v>
      </c>
    </row>
    <row r="734" spans="1:33" s="142" customFormat="1" ht="18" hidden="1" customHeight="1" outlineLevel="1" x14ac:dyDescent="0.2">
      <c r="A734" s="1025"/>
      <c r="B734" s="138"/>
      <c r="C734" s="235"/>
      <c r="D734" s="726" t="s">
        <v>2594</v>
      </c>
      <c r="E734" s="555">
        <f>(hSystemsTouchRateHourSMCS*hSystemsLeaseDueDilLaborHrsSMCS*hSystemsLeaseDueDilEventForecast)</f>
        <v>0</v>
      </c>
      <c r="F734" s="555">
        <f>(hSystemsTouchRateHourSMCS*hSystemsLeaseDueDilLaborHrsSMCS*hSystemsLeaseDueDilEventForecast)*(1+Inflation)</f>
        <v>0</v>
      </c>
      <c r="G734" s="555">
        <f>(hSystemsTouchRateHourSMCS*hSystemsLeaseDueDilLaborHrsSMCS*hSystemsLeaseDueDilEventForecast)*(1+Inflation)^2</f>
        <v>0</v>
      </c>
      <c r="H734" s="555">
        <f>(hSystemsTouchRateHourSMCS*hSystemsLeaseDueDilLaborHrsSMCS*hSystemsLeaseDueDilEventForecast)*(1+Inflation)^3</f>
        <v>0</v>
      </c>
      <c r="I734" s="555">
        <f>(hSystemsTouchRateHourSMCS*hSystemsLeaseDueDilLaborHrsSMCS*hSystemsLeaseDueDilEventForecast)*(1+Inflation)^4</f>
        <v>0</v>
      </c>
      <c r="J734" s="555">
        <f>(hSystemsTouchRateHourSMCS*hSystemsLeaseDueDilLaborHrsSMCS*hSystemsLeaseDueDilEventForecast)*(1+Inflation)^5</f>
        <v>0</v>
      </c>
      <c r="K734" s="555">
        <f>(hSystemsTouchRateHourSMCS*hSystemsLeaseDueDilLaborHrsSMCS*hSystemsLeaseDueDilEventForecast)*(1+Inflation)^6</f>
        <v>0</v>
      </c>
      <c r="L734" s="555">
        <f>(hSystemsTouchRateHourSMCS*hSystemsLeaseDueDilLaborHrsSMCS*hSystemsLeaseDueDilEventForecast)*(1+Inflation)^7</f>
        <v>0</v>
      </c>
      <c r="M734" s="555">
        <f>(hSystemsTouchRateHourSMCS*hSystemsLeaseDueDilLaborHrsSMCS*hSystemsLeaseDueDilEventForecast)*(1+Inflation)^8</f>
        <v>0</v>
      </c>
      <c r="N734" s="555">
        <f>(hSystemsTouchRateHourSMCS*hSystemsLeaseDueDilLaborHrsSMCS*hSystemsLeaseDueDilEventForecast)*(1+Inflation)^9</f>
        <v>0</v>
      </c>
      <c r="O734" s="535" t="s">
        <v>2595</v>
      </c>
    </row>
    <row r="735" spans="1:33" s="142" customFormat="1" ht="18" hidden="1" customHeight="1" outlineLevel="1" x14ac:dyDescent="0.2">
      <c r="A735" s="1025"/>
      <c r="B735" s="138"/>
      <c r="C735" s="235"/>
      <c r="D735" s="726" t="s">
        <v>2596</v>
      </c>
      <c r="E735" s="555">
        <f>(hSystemsTouchRateHourO1*hSystemsLeaseDueDilLaborHrsO1*hSystemsLeaseDueDilEventForecast)</f>
        <v>0</v>
      </c>
      <c r="F735" s="555">
        <f>(hSystemsTouchRateHourO1*hSystemsLeaseDueDilLaborHrsO1*hSystemsLeaseDueDilEventForecast)*(1+Inflation)</f>
        <v>0</v>
      </c>
      <c r="G735" s="555">
        <f>(hSystemsTouchRateHourO1*hSystemsLeaseDueDilLaborHrsO1*hSystemsLeaseDueDilEventForecast)*(1+Inflation)^2</f>
        <v>0</v>
      </c>
      <c r="H735" s="555">
        <f>(hSystemsTouchRateHourO1*hSystemsLeaseDueDilLaborHrsO1*hSystemsLeaseDueDilEventForecast)*(1+Inflation)^3</f>
        <v>0</v>
      </c>
      <c r="I735" s="555">
        <f>(hSystemsTouchRateHourO1*hSystemsLeaseDueDilLaborHrsO1*hSystemsLeaseDueDilEventForecast)*(1+Inflation)^4</f>
        <v>0</v>
      </c>
      <c r="J735" s="555">
        <f>(hSystemsTouchRateHourO1*hSystemsLeaseDueDilLaborHrsO1*hSystemsLeaseDueDilEventForecast)*(1+Inflation)^5</f>
        <v>0</v>
      </c>
      <c r="K735" s="555">
        <f>(hSystemsTouchRateHourO1*hSystemsLeaseDueDilLaborHrsO1*hSystemsLeaseDueDilEventForecast)*(1+Inflation)^6</f>
        <v>0</v>
      </c>
      <c r="L735" s="555">
        <f>(hSystemsTouchRateHourO1*hSystemsLeaseDueDilLaborHrsO1*hSystemsLeaseDueDilEventForecast)*(1+Inflation)^7</f>
        <v>0</v>
      </c>
      <c r="M735" s="555">
        <f>(hSystemsTouchRateHourO1*hSystemsLeaseDueDilLaborHrsO1*hSystemsLeaseDueDilEventForecast)*(1+Inflation)^8</f>
        <v>0</v>
      </c>
      <c r="N735" s="555">
        <f>(hSystemsTouchRateHourO1*hSystemsLeaseDueDilLaborHrsO1*hSystemsLeaseDueDilEventForecast)*(1+Inflation)^9</f>
        <v>0</v>
      </c>
      <c r="O735" s="535" t="s">
        <v>2597</v>
      </c>
    </row>
    <row r="736" spans="1:33" s="142" customFormat="1" ht="18" hidden="1" customHeight="1" outlineLevel="1" x14ac:dyDescent="0.2">
      <c r="A736" s="1025"/>
      <c r="B736" s="138"/>
      <c r="C736" s="235"/>
      <c r="D736" s="726" t="s">
        <v>2598</v>
      </c>
      <c r="E736" s="555">
        <f>(hSystemsTouchRateHourO2*hSystemsLeaseDueDilLaborHrsO2*hSystemsLeaseDueDilEventForecast)</f>
        <v>0</v>
      </c>
      <c r="F736" s="555">
        <f>(hSystemsTouchRateHourO2*hSystemsLeaseDueDilLaborHrsO2*hSystemsLeaseDueDilEventForecast)*(1+Inflation)</f>
        <v>0</v>
      </c>
      <c r="G736" s="555">
        <f>(hSystemsTouchRateHourO2*hSystemsLeaseDueDilLaborHrsO2*hSystemsLeaseDueDilEventForecast)*(1+Inflation)^2</f>
        <v>0</v>
      </c>
      <c r="H736" s="555">
        <f>(hSystemsTouchRateHourO2*hSystemsLeaseDueDilLaborHrsO2*hSystemsLeaseDueDilEventForecast)*(1+Inflation)^3</f>
        <v>0</v>
      </c>
      <c r="I736" s="555">
        <f>(hSystemsTouchRateHourO2*hSystemsLeaseDueDilLaborHrsO2*hSystemsLeaseDueDilEventForecast)*(1+Inflation)^4</f>
        <v>0</v>
      </c>
      <c r="J736" s="555">
        <f>(hSystemsTouchRateHourO2*hSystemsLeaseDueDilLaborHrsO2*hSystemsLeaseDueDilEventForecast)*(1+Inflation)^5</f>
        <v>0</v>
      </c>
      <c r="K736" s="555">
        <f>(hSystemsTouchRateHourO2*hSystemsLeaseDueDilLaborHrsO2*hSystemsLeaseDueDilEventForecast)*(1+Inflation)^6</f>
        <v>0</v>
      </c>
      <c r="L736" s="555">
        <f>(hSystemsTouchRateHourO2*hSystemsLeaseDueDilLaborHrsO2*hSystemsLeaseDueDilEventForecast)*(1+Inflation)^7</f>
        <v>0</v>
      </c>
      <c r="M736" s="555">
        <f>(hSystemsTouchRateHourO2*hSystemsLeaseDueDilLaborHrsO2*hSystemsLeaseDueDilEventForecast)*(1+Inflation)^8</f>
        <v>0</v>
      </c>
      <c r="N736" s="555">
        <f>(hSystemsTouchRateHourO2*hSystemsLeaseDueDilLaborHrsO2*hSystemsLeaseDueDilEventForecast)*(1+Inflation)^9</f>
        <v>0</v>
      </c>
      <c r="O736" s="535" t="s">
        <v>2599</v>
      </c>
    </row>
    <row r="737" spans="1:33" s="142" customFormat="1" ht="18" hidden="1" customHeight="1" outlineLevel="1" x14ac:dyDescent="0.25">
      <c r="A737" s="1025"/>
      <c r="B737" s="138"/>
      <c r="C737" s="235"/>
      <c r="D737" s="728" t="s">
        <v>2600</v>
      </c>
      <c r="E737" s="556">
        <f>SUM(E725:E736)</f>
        <v>565315.8540643981</v>
      </c>
      <c r="F737" s="556">
        <f t="shared" ref="F737:N737" si="182">SUM(F725:F736)</f>
        <v>384414.78076379071</v>
      </c>
      <c r="G737" s="556">
        <f t="shared" si="182"/>
        <v>588154.61456859985</v>
      </c>
      <c r="H737" s="556">
        <f t="shared" si="182"/>
        <v>399945.13790664781</v>
      </c>
      <c r="I737" s="556">
        <f t="shared" si="182"/>
        <v>611916.06099717121</v>
      </c>
      <c r="J737" s="556">
        <f t="shared" si="182"/>
        <v>416102.92147807643</v>
      </c>
      <c r="K737" s="556">
        <f t="shared" si="182"/>
        <v>636637.46986145701</v>
      </c>
      <c r="L737" s="556">
        <f t="shared" si="182"/>
        <v>432913.47950579063</v>
      </c>
      <c r="M737" s="556">
        <f t="shared" si="182"/>
        <v>662357.62364385976</v>
      </c>
      <c r="N737" s="556">
        <f t="shared" si="182"/>
        <v>450403.18407782464</v>
      </c>
      <c r="O737" s="535" t="s">
        <v>2601</v>
      </c>
    </row>
    <row r="738" spans="1:33" s="203" customFormat="1" ht="13.5" hidden="1" outlineLevel="1" thickBot="1" x14ac:dyDescent="0.25">
      <c r="A738" s="1025"/>
      <c r="B738" s="74"/>
      <c r="C738" s="325"/>
      <c r="D738" s="725"/>
      <c r="E738" s="568"/>
      <c r="F738" s="568"/>
      <c r="G738" s="568"/>
      <c r="H738" s="568"/>
      <c r="I738" s="568"/>
      <c r="J738" s="568"/>
      <c r="K738" s="568"/>
      <c r="L738" s="568"/>
      <c r="M738" s="568"/>
      <c r="N738" s="568"/>
      <c r="O738" s="569"/>
      <c r="P738" s="204"/>
    </row>
    <row r="739" spans="1:33" s="203" customFormat="1" ht="13.5" hidden="1" outlineLevel="1" thickBot="1" x14ac:dyDescent="0.25">
      <c r="A739" s="1025"/>
      <c r="B739" s="74"/>
      <c r="C739" s="211"/>
      <c r="D739" s="214"/>
      <c r="E739" s="210"/>
      <c r="F739" s="210"/>
      <c r="G739" s="210"/>
      <c r="H739" s="210"/>
      <c r="I739" s="210"/>
      <c r="J739" s="210"/>
      <c r="K739" s="210"/>
      <c r="L739" s="210"/>
      <c r="M739" s="210"/>
      <c r="N739" s="210"/>
      <c r="O739" s="204"/>
      <c r="P739" s="204"/>
    </row>
    <row r="740" spans="1:33" customFormat="1" ht="20.25" hidden="1" outlineLevel="1" x14ac:dyDescent="0.2">
      <c r="A740" s="1025"/>
      <c r="B740" s="13"/>
      <c r="C740" s="1010" t="str">
        <f>Scenario2&amp;"  Due Diligence FTEs"</f>
        <v>hSystems (Hybrid)  Due Diligence FTEs</v>
      </c>
      <c r="D740" s="310"/>
      <c r="E740" s="434"/>
      <c r="F740" s="434"/>
      <c r="G740" s="434"/>
      <c r="H740" s="434"/>
      <c r="I740" s="434"/>
      <c r="J740" s="434"/>
      <c r="K740" s="434"/>
      <c r="L740" s="434"/>
      <c r="M740" s="434"/>
      <c r="N740" s="434"/>
      <c r="O740" s="573"/>
      <c r="P740" s="18"/>
      <c r="Q740" s="18"/>
      <c r="R740" s="18"/>
      <c r="S740" s="18"/>
      <c r="T740" s="18"/>
      <c r="U740" s="18"/>
      <c r="V740" s="18"/>
      <c r="W740" s="18"/>
      <c r="X740" s="18"/>
      <c r="Y740" s="18"/>
      <c r="Z740" s="18"/>
      <c r="AA740" s="18"/>
      <c r="AB740" s="18"/>
      <c r="AC740" s="18"/>
      <c r="AD740" s="18"/>
      <c r="AE740" s="18"/>
      <c r="AF740" s="18"/>
      <c r="AG740" s="18"/>
    </row>
    <row r="741" spans="1:33" s="142" customFormat="1" ht="18" hidden="1" customHeight="1" outlineLevel="1" x14ac:dyDescent="0.2">
      <c r="A741" s="1025"/>
      <c r="B741" s="138"/>
      <c r="C741" s="235"/>
      <c r="D741" s="726" t="s">
        <v>2602</v>
      </c>
      <c r="E741" s="557">
        <f t="shared" ref="E741:N741" si="183">(hSystemsLeaseDueDilLaborHrsHM/hSystemsTouchHourspaHM)*hSystemsLeaseDueDilEventForecast</f>
        <v>0</v>
      </c>
      <c r="F741" s="557">
        <f t="shared" si="183"/>
        <v>0</v>
      </c>
      <c r="G741" s="557">
        <f t="shared" si="183"/>
        <v>0</v>
      </c>
      <c r="H741" s="557">
        <f t="shared" si="183"/>
        <v>0</v>
      </c>
      <c r="I741" s="557">
        <f t="shared" si="183"/>
        <v>0</v>
      </c>
      <c r="J741" s="557">
        <f t="shared" si="183"/>
        <v>0</v>
      </c>
      <c r="K741" s="557">
        <f t="shared" si="183"/>
        <v>0</v>
      </c>
      <c r="L741" s="557">
        <f t="shared" si="183"/>
        <v>0</v>
      </c>
      <c r="M741" s="557">
        <f t="shared" si="183"/>
        <v>0</v>
      </c>
      <c r="N741" s="557">
        <f t="shared" si="183"/>
        <v>0</v>
      </c>
      <c r="O741" s="535" t="s">
        <v>2603</v>
      </c>
    </row>
    <row r="742" spans="1:33" s="142" customFormat="1" ht="18" hidden="1" customHeight="1" outlineLevel="1" x14ac:dyDescent="0.2">
      <c r="A742" s="1025"/>
      <c r="B742" s="138"/>
      <c r="C742" s="235"/>
      <c r="D742" s="726" t="s">
        <v>2604</v>
      </c>
      <c r="E742" s="557">
        <f t="shared" ref="E742:N742" si="184">(hSystemsLeaseDueDilLaborHrsLM/hSystemsTouchHourspaLM)*hSystemsLeaseDueDilEventForecast</f>
        <v>0</v>
      </c>
      <c r="F742" s="557">
        <f t="shared" si="184"/>
        <v>0</v>
      </c>
      <c r="G742" s="557">
        <f t="shared" si="184"/>
        <v>0</v>
      </c>
      <c r="H742" s="557">
        <f t="shared" si="184"/>
        <v>0</v>
      </c>
      <c r="I742" s="557">
        <f t="shared" si="184"/>
        <v>0</v>
      </c>
      <c r="J742" s="557">
        <f t="shared" si="184"/>
        <v>0</v>
      </c>
      <c r="K742" s="557">
        <f t="shared" si="184"/>
        <v>0</v>
      </c>
      <c r="L742" s="557">
        <f t="shared" si="184"/>
        <v>0</v>
      </c>
      <c r="M742" s="557">
        <f t="shared" si="184"/>
        <v>0</v>
      </c>
      <c r="N742" s="557">
        <f t="shared" si="184"/>
        <v>0</v>
      </c>
      <c r="O742" s="535" t="s">
        <v>2605</v>
      </c>
    </row>
    <row r="743" spans="1:33" s="142" customFormat="1" ht="18" hidden="1" customHeight="1" outlineLevel="1" x14ac:dyDescent="0.2">
      <c r="A743" s="1025"/>
      <c r="B743" s="138"/>
      <c r="C743" s="235"/>
      <c r="D743" s="727" t="s">
        <v>2606</v>
      </c>
      <c r="E743" s="557">
        <f t="shared" ref="E743:N743" si="185">(hSystemsLeaseDueDilLaborHrsENG/hSystemsTouchHourspaENG)*hSystemsLeaseDueDilEventForecast</f>
        <v>1.2480239620600717</v>
      </c>
      <c r="F743" s="557">
        <f t="shared" si="185"/>
        <v>0.83201597470671451</v>
      </c>
      <c r="G743" s="557">
        <f t="shared" si="185"/>
        <v>1.2480239620600717</v>
      </c>
      <c r="H743" s="557">
        <f t="shared" si="185"/>
        <v>0.83201597470671451</v>
      </c>
      <c r="I743" s="557">
        <f t="shared" si="185"/>
        <v>1.2480239620600717</v>
      </c>
      <c r="J743" s="557">
        <f t="shared" si="185"/>
        <v>0.83201597470671451</v>
      </c>
      <c r="K743" s="557">
        <f t="shared" si="185"/>
        <v>1.2480239620600717</v>
      </c>
      <c r="L743" s="557">
        <f t="shared" si="185"/>
        <v>0.83201597470671451</v>
      </c>
      <c r="M743" s="557">
        <f t="shared" si="185"/>
        <v>1.2480239620600717</v>
      </c>
      <c r="N743" s="557">
        <f t="shared" si="185"/>
        <v>0.83201597470671451</v>
      </c>
      <c r="O743" s="535" t="s">
        <v>2607</v>
      </c>
    </row>
    <row r="744" spans="1:33" s="142" customFormat="1" ht="18" hidden="1" customHeight="1" outlineLevel="1" x14ac:dyDescent="0.2">
      <c r="A744" s="1025"/>
      <c r="B744" s="138"/>
      <c r="C744" s="235"/>
      <c r="D744" s="726" t="s">
        <v>2608</v>
      </c>
      <c r="E744" s="557">
        <f t="shared" ref="E744:N744" si="186">(hSystemsLeaseDueDilLaborHrsPLG/hSystemsTouchHourspaPLG)*hSystemsLeaseDueDilEventForecast</f>
        <v>1.2480239620600717</v>
      </c>
      <c r="F744" s="557">
        <f t="shared" si="186"/>
        <v>0.83201597470671451</v>
      </c>
      <c r="G744" s="557">
        <f t="shared" si="186"/>
        <v>1.2480239620600717</v>
      </c>
      <c r="H744" s="557">
        <f t="shared" si="186"/>
        <v>0.83201597470671451</v>
      </c>
      <c r="I744" s="557">
        <f t="shared" si="186"/>
        <v>1.2480239620600717</v>
      </c>
      <c r="J744" s="557">
        <f t="shared" si="186"/>
        <v>0.83201597470671451</v>
      </c>
      <c r="K744" s="557">
        <f t="shared" si="186"/>
        <v>1.2480239620600717</v>
      </c>
      <c r="L744" s="557">
        <f t="shared" si="186"/>
        <v>0.83201597470671451</v>
      </c>
      <c r="M744" s="557">
        <f t="shared" si="186"/>
        <v>1.2480239620600717</v>
      </c>
      <c r="N744" s="557">
        <f t="shared" si="186"/>
        <v>0.83201597470671451</v>
      </c>
      <c r="O744" s="535" t="s">
        <v>2609</v>
      </c>
    </row>
    <row r="745" spans="1:33" s="142" customFormat="1" ht="18" hidden="1" customHeight="1" outlineLevel="1" x14ac:dyDescent="0.2">
      <c r="A745" s="1025"/>
      <c r="B745" s="138"/>
      <c r="C745" s="235"/>
      <c r="D745" s="726" t="s">
        <v>2610</v>
      </c>
      <c r="E745" s="557">
        <f t="shared" ref="E745:N745" si="187">(hSystemsLeaseDueDilLaborHrsCRT/hSystemsTouchHourspaCRT)*hSystemsLeaseDueDilEventForecast</f>
        <v>1.8720359430901077</v>
      </c>
      <c r="F745" s="557">
        <f t="shared" si="187"/>
        <v>1.2480239620600717</v>
      </c>
      <c r="G745" s="557">
        <f t="shared" si="187"/>
        <v>1.8720359430901077</v>
      </c>
      <c r="H745" s="557">
        <f t="shared" si="187"/>
        <v>1.2480239620600717</v>
      </c>
      <c r="I745" s="557">
        <f t="shared" si="187"/>
        <v>1.8720359430901077</v>
      </c>
      <c r="J745" s="557">
        <f t="shared" si="187"/>
        <v>1.2480239620600717</v>
      </c>
      <c r="K745" s="557">
        <f t="shared" si="187"/>
        <v>1.8720359430901077</v>
      </c>
      <c r="L745" s="557">
        <f t="shared" si="187"/>
        <v>1.2480239620600717</v>
      </c>
      <c r="M745" s="557">
        <f t="shared" si="187"/>
        <v>1.8720359430901077</v>
      </c>
      <c r="N745" s="557">
        <f t="shared" si="187"/>
        <v>1.2480239620600717</v>
      </c>
      <c r="O745" s="535" t="s">
        <v>2611</v>
      </c>
    </row>
    <row r="746" spans="1:33" s="142" customFormat="1" ht="18" hidden="1" customHeight="1" outlineLevel="1" x14ac:dyDescent="0.2">
      <c r="A746" s="1025"/>
      <c r="B746" s="138"/>
      <c r="C746" s="235"/>
      <c r="D746" s="726" t="s">
        <v>2612</v>
      </c>
      <c r="E746" s="557">
        <f t="shared" ref="E746:N746" si="188">(hSystemsLeaseDueDilLaborHrsSCL/hSystemsTouchHourspaSCL)*hSystemsLeaseDueDilEventForecast</f>
        <v>0</v>
      </c>
      <c r="F746" s="557">
        <f t="shared" si="188"/>
        <v>0</v>
      </c>
      <c r="G746" s="557">
        <f t="shared" si="188"/>
        <v>0</v>
      </c>
      <c r="H746" s="557">
        <f t="shared" si="188"/>
        <v>0</v>
      </c>
      <c r="I746" s="557">
        <f t="shared" si="188"/>
        <v>0</v>
      </c>
      <c r="J746" s="557">
        <f t="shared" si="188"/>
        <v>0</v>
      </c>
      <c r="K746" s="557">
        <f t="shared" si="188"/>
        <v>0</v>
      </c>
      <c r="L746" s="557">
        <f t="shared" si="188"/>
        <v>0</v>
      </c>
      <c r="M746" s="557">
        <f t="shared" si="188"/>
        <v>0</v>
      </c>
      <c r="N746" s="557">
        <f t="shared" si="188"/>
        <v>0</v>
      </c>
      <c r="O746" s="535" t="s">
        <v>2613</v>
      </c>
    </row>
    <row r="747" spans="1:33" s="142" customFormat="1" ht="18" hidden="1" customHeight="1" outlineLevel="1" x14ac:dyDescent="0.2">
      <c r="A747" s="1025"/>
      <c r="B747" s="138"/>
      <c r="C747" s="235"/>
      <c r="D747" s="726" t="s">
        <v>2614</v>
      </c>
      <c r="E747" s="557">
        <f t="shared" ref="E747:N747" si="189">(hSystemsLeaseDueDilLaborHrsQSC/hSystemsTouchHourspaQSC)*hSystemsLeaseDueDilEventForecast</f>
        <v>1.2480239620600717</v>
      </c>
      <c r="F747" s="557">
        <f t="shared" si="189"/>
        <v>0.83201597470671451</v>
      </c>
      <c r="G747" s="557">
        <f t="shared" si="189"/>
        <v>1.2480239620600717</v>
      </c>
      <c r="H747" s="557">
        <f t="shared" si="189"/>
        <v>0.83201597470671451</v>
      </c>
      <c r="I747" s="557">
        <f t="shared" si="189"/>
        <v>1.2480239620600717</v>
      </c>
      <c r="J747" s="557">
        <f t="shared" si="189"/>
        <v>0.83201597470671451</v>
      </c>
      <c r="K747" s="557">
        <f t="shared" si="189"/>
        <v>1.2480239620600717</v>
      </c>
      <c r="L747" s="557">
        <f t="shared" si="189"/>
        <v>0.83201597470671451</v>
      </c>
      <c r="M747" s="557">
        <f t="shared" si="189"/>
        <v>1.2480239620600717</v>
      </c>
      <c r="N747" s="557">
        <f t="shared" si="189"/>
        <v>0.83201597470671451</v>
      </c>
      <c r="O747" s="535" t="s">
        <v>2615</v>
      </c>
    </row>
    <row r="748" spans="1:33" s="142" customFormat="1" ht="18" hidden="1" customHeight="1" outlineLevel="1" x14ac:dyDescent="0.2">
      <c r="A748" s="1025"/>
      <c r="B748" s="138"/>
      <c r="C748" s="235"/>
      <c r="D748" s="726" t="s">
        <v>2616</v>
      </c>
      <c r="E748" s="557">
        <f t="shared" ref="E748:N748" si="190">(hSystemsLeaseDueDilLaborHrsEM/hSystemsTouchHourspaEM)*hSystemsLeaseDueDilEventForecast</f>
        <v>0</v>
      </c>
      <c r="F748" s="557">
        <f t="shared" si="190"/>
        <v>0</v>
      </c>
      <c r="G748" s="557">
        <f t="shared" si="190"/>
        <v>0</v>
      </c>
      <c r="H748" s="557">
        <f t="shared" si="190"/>
        <v>0</v>
      </c>
      <c r="I748" s="557">
        <f t="shared" si="190"/>
        <v>0</v>
      </c>
      <c r="J748" s="557">
        <f t="shared" si="190"/>
        <v>0</v>
      </c>
      <c r="K748" s="557">
        <f t="shared" si="190"/>
        <v>0</v>
      </c>
      <c r="L748" s="557">
        <f t="shared" si="190"/>
        <v>0</v>
      </c>
      <c r="M748" s="557">
        <f t="shared" si="190"/>
        <v>0</v>
      </c>
      <c r="N748" s="557">
        <f t="shared" si="190"/>
        <v>0</v>
      </c>
      <c r="O748" s="535" t="s">
        <v>2617</v>
      </c>
    </row>
    <row r="749" spans="1:33" s="142" customFormat="1" ht="18" hidden="1" customHeight="1" outlineLevel="1" x14ac:dyDescent="0.2">
      <c r="A749" s="1025"/>
      <c r="B749" s="138"/>
      <c r="C749" s="235"/>
      <c r="D749" s="726" t="s">
        <v>2618</v>
      </c>
      <c r="E749" s="557">
        <f t="shared" ref="E749:N749" si="191">(hSystemsLeaseDueDilLaborHrsCM/hSystemsTouchHourspaCM)*hSystemsLeaseDueDilEventForecast</f>
        <v>0</v>
      </c>
      <c r="F749" s="557">
        <f t="shared" si="191"/>
        <v>0</v>
      </c>
      <c r="G749" s="557">
        <f t="shared" si="191"/>
        <v>0</v>
      </c>
      <c r="H749" s="557">
        <f t="shared" si="191"/>
        <v>0</v>
      </c>
      <c r="I749" s="557">
        <f t="shared" si="191"/>
        <v>0</v>
      </c>
      <c r="J749" s="557">
        <f t="shared" si="191"/>
        <v>0</v>
      </c>
      <c r="K749" s="557">
        <f t="shared" si="191"/>
        <v>0</v>
      </c>
      <c r="L749" s="557">
        <f t="shared" si="191"/>
        <v>0</v>
      </c>
      <c r="M749" s="557">
        <f t="shared" si="191"/>
        <v>0</v>
      </c>
      <c r="N749" s="557">
        <f t="shared" si="191"/>
        <v>0</v>
      </c>
      <c r="O749" s="535" t="s">
        <v>2619</v>
      </c>
    </row>
    <row r="750" spans="1:33" s="142" customFormat="1" ht="18" hidden="1" customHeight="1" outlineLevel="1" x14ac:dyDescent="0.2">
      <c r="A750" s="1025"/>
      <c r="B750" s="138"/>
      <c r="C750" s="235"/>
      <c r="D750" s="726" t="s">
        <v>2620</v>
      </c>
      <c r="E750" s="557">
        <f t="shared" ref="E750:N750" si="192">(hSystemsLeaseDueDilLaborHrsSMCS/hSystemsTouchHourspaSMCS)*hSystemsLeaseDueDilEventForecast</f>
        <v>0</v>
      </c>
      <c r="F750" s="557">
        <f t="shared" si="192"/>
        <v>0</v>
      </c>
      <c r="G750" s="557">
        <f t="shared" si="192"/>
        <v>0</v>
      </c>
      <c r="H750" s="557">
        <f t="shared" si="192"/>
        <v>0</v>
      </c>
      <c r="I750" s="557">
        <f t="shared" si="192"/>
        <v>0</v>
      </c>
      <c r="J750" s="557">
        <f t="shared" si="192"/>
        <v>0</v>
      </c>
      <c r="K750" s="557">
        <f t="shared" si="192"/>
        <v>0</v>
      </c>
      <c r="L750" s="557">
        <f t="shared" si="192"/>
        <v>0</v>
      </c>
      <c r="M750" s="557">
        <f t="shared" si="192"/>
        <v>0</v>
      </c>
      <c r="N750" s="557">
        <f t="shared" si="192"/>
        <v>0</v>
      </c>
      <c r="O750" s="535" t="s">
        <v>2621</v>
      </c>
    </row>
    <row r="751" spans="1:33" s="142" customFormat="1" ht="18" hidden="1" customHeight="1" outlineLevel="1" x14ac:dyDescent="0.2">
      <c r="A751" s="1025"/>
      <c r="B751" s="138"/>
      <c r="C751" s="235"/>
      <c r="D751" s="726" t="s">
        <v>2622</v>
      </c>
      <c r="E751" s="557">
        <f t="shared" ref="E751:N751" si="193">(hSystemsLeaseDueDilLaborHrsO1/hSystemsTouchHourspaO1)*hSystemsLeaseDueDilEventForecast</f>
        <v>0</v>
      </c>
      <c r="F751" s="557">
        <f t="shared" si="193"/>
        <v>0</v>
      </c>
      <c r="G751" s="557">
        <f t="shared" si="193"/>
        <v>0</v>
      </c>
      <c r="H751" s="557">
        <f t="shared" si="193"/>
        <v>0</v>
      </c>
      <c r="I751" s="557">
        <f t="shared" si="193"/>
        <v>0</v>
      </c>
      <c r="J751" s="557">
        <f t="shared" si="193"/>
        <v>0</v>
      </c>
      <c r="K751" s="557">
        <f t="shared" si="193"/>
        <v>0</v>
      </c>
      <c r="L751" s="557">
        <f t="shared" si="193"/>
        <v>0</v>
      </c>
      <c r="M751" s="557">
        <f t="shared" si="193"/>
        <v>0</v>
      </c>
      <c r="N751" s="557">
        <f t="shared" si="193"/>
        <v>0</v>
      </c>
      <c r="O751" s="535" t="s">
        <v>2623</v>
      </c>
    </row>
    <row r="752" spans="1:33" s="142" customFormat="1" ht="18" hidden="1" customHeight="1" outlineLevel="1" x14ac:dyDescent="0.2">
      <c r="A752" s="1025"/>
      <c r="B752" s="138"/>
      <c r="C752" s="235"/>
      <c r="D752" s="726" t="s">
        <v>2624</v>
      </c>
      <c r="E752" s="557">
        <f t="shared" ref="E752:N752" si="194">(hSystemsLeaseDueDilLaborHrsO2/hSystemsTouchHourspaO2)*hSystemsLeaseDueDilEventForecast</f>
        <v>0</v>
      </c>
      <c r="F752" s="557">
        <f t="shared" si="194"/>
        <v>0</v>
      </c>
      <c r="G752" s="557">
        <f t="shared" si="194"/>
        <v>0</v>
      </c>
      <c r="H752" s="557">
        <f t="shared" si="194"/>
        <v>0</v>
      </c>
      <c r="I752" s="557">
        <f t="shared" si="194"/>
        <v>0</v>
      </c>
      <c r="J752" s="557">
        <f t="shared" si="194"/>
        <v>0</v>
      </c>
      <c r="K752" s="557">
        <f t="shared" si="194"/>
        <v>0</v>
      </c>
      <c r="L752" s="557">
        <f t="shared" si="194"/>
        <v>0</v>
      </c>
      <c r="M752" s="557">
        <f t="shared" si="194"/>
        <v>0</v>
      </c>
      <c r="N752" s="557">
        <f t="shared" si="194"/>
        <v>0</v>
      </c>
      <c r="O752" s="535" t="s">
        <v>2625</v>
      </c>
    </row>
    <row r="753" spans="1:33" s="142" customFormat="1" ht="18" hidden="1" customHeight="1" outlineLevel="1" x14ac:dyDescent="0.25">
      <c r="A753" s="1025"/>
      <c r="B753" s="138"/>
      <c r="C753" s="235"/>
      <c r="D753" s="728" t="s">
        <v>2626</v>
      </c>
      <c r="E753" s="562">
        <f>SUM(E741:E752)</f>
        <v>5.6161078292703221</v>
      </c>
      <c r="F753" s="562">
        <f t="shared" ref="F753:N753" si="195">SUM(F741:F752)</f>
        <v>3.7440718861802154</v>
      </c>
      <c r="G753" s="562">
        <f t="shared" si="195"/>
        <v>5.6161078292703221</v>
      </c>
      <c r="H753" s="562">
        <f t="shared" si="195"/>
        <v>3.7440718861802154</v>
      </c>
      <c r="I753" s="562">
        <f t="shared" si="195"/>
        <v>5.6161078292703221</v>
      </c>
      <c r="J753" s="562">
        <f t="shared" si="195"/>
        <v>3.7440718861802154</v>
      </c>
      <c r="K753" s="562">
        <f t="shared" si="195"/>
        <v>5.6161078292703221</v>
      </c>
      <c r="L753" s="562">
        <f t="shared" si="195"/>
        <v>3.7440718861802154</v>
      </c>
      <c r="M753" s="562">
        <f t="shared" si="195"/>
        <v>5.6161078292703221</v>
      </c>
      <c r="N753" s="562">
        <f t="shared" si="195"/>
        <v>3.7440718861802154</v>
      </c>
      <c r="O753" s="535" t="s">
        <v>2627</v>
      </c>
    </row>
    <row r="754" spans="1:33" s="203" customFormat="1" ht="13.5" hidden="1" outlineLevel="1" thickBot="1" x14ac:dyDescent="0.25">
      <c r="A754" s="1025"/>
      <c r="B754" s="74"/>
      <c r="C754" s="325"/>
      <c r="D754" s="725"/>
      <c r="E754" s="568"/>
      <c r="F754" s="568"/>
      <c r="G754" s="568"/>
      <c r="H754" s="568"/>
      <c r="I754" s="568"/>
      <c r="J754" s="568"/>
      <c r="K754" s="568"/>
      <c r="L754" s="568"/>
      <c r="M754" s="568"/>
      <c r="N754" s="568"/>
      <c r="O754" s="569"/>
      <c r="P754" s="204"/>
    </row>
    <row r="755" spans="1:33" s="203" customFormat="1" ht="13.5" hidden="1" outlineLevel="1" thickBot="1" x14ac:dyDescent="0.25">
      <c r="A755" s="1025"/>
      <c r="B755" s="74"/>
      <c r="C755" s="211"/>
      <c r="D755" s="214"/>
      <c r="E755" s="210"/>
      <c r="F755" s="210"/>
      <c r="G755" s="210"/>
      <c r="H755" s="210"/>
      <c r="I755" s="210"/>
      <c r="J755" s="210"/>
      <c r="K755" s="210"/>
      <c r="L755" s="210"/>
      <c r="M755" s="210"/>
      <c r="N755" s="210"/>
      <c r="O755" s="204"/>
      <c r="P755" s="204"/>
    </row>
    <row r="756" spans="1:33" s="203" customFormat="1" ht="15.75" hidden="1" outlineLevel="1" x14ac:dyDescent="0.2">
      <c r="A756" s="1025"/>
      <c r="B756" s="211"/>
      <c r="C756" s="1011" t="str">
        <f>Scenario3&amp;" Lease Due Diligence Labor Cost"</f>
        <v>eSystems (Paperless) Lease Due Diligence Labor Cost</v>
      </c>
      <c r="D756" s="729"/>
      <c r="E756" s="322"/>
      <c r="F756" s="322"/>
      <c r="G756" s="322"/>
      <c r="H756" s="322"/>
      <c r="I756" s="322"/>
      <c r="J756" s="322"/>
      <c r="K756" s="322"/>
      <c r="L756" s="322"/>
      <c r="M756" s="322"/>
      <c r="N756" s="322"/>
      <c r="O756" s="579"/>
      <c r="P756" s="204"/>
    </row>
    <row r="757" spans="1:33" s="203" customFormat="1" hidden="1" outlineLevel="1" x14ac:dyDescent="0.2">
      <c r="A757" s="1025"/>
      <c r="B757" s="211"/>
      <c r="C757" s="331"/>
      <c r="D757" s="730" t="s">
        <v>226</v>
      </c>
      <c r="E757" s="570">
        <v>3</v>
      </c>
      <c r="F757" s="570">
        <v>2</v>
      </c>
      <c r="G757" s="570">
        <v>3</v>
      </c>
      <c r="H757" s="570">
        <v>2</v>
      </c>
      <c r="I757" s="570">
        <v>3</v>
      </c>
      <c r="J757" s="570">
        <v>2</v>
      </c>
      <c r="K757" s="570">
        <v>3</v>
      </c>
      <c r="L757" s="570">
        <v>2</v>
      </c>
      <c r="M757" s="570">
        <v>3</v>
      </c>
      <c r="N757" s="570">
        <v>2</v>
      </c>
      <c r="O757" s="324" t="s">
        <v>229</v>
      </c>
      <c r="P757" s="204"/>
    </row>
    <row r="758" spans="1:33" s="206" customFormat="1" ht="13.5" hidden="1" outlineLevel="1" thickBot="1" x14ac:dyDescent="0.25">
      <c r="A758" s="1025"/>
      <c r="B758" s="211"/>
      <c r="C758" s="564"/>
      <c r="D758" s="725"/>
      <c r="E758" s="568"/>
      <c r="F758" s="568"/>
      <c r="G758" s="568"/>
      <c r="H758" s="568"/>
      <c r="I758" s="568"/>
      <c r="J758" s="568"/>
      <c r="K758" s="568"/>
      <c r="L758" s="568"/>
      <c r="M758" s="568"/>
      <c r="N758" s="568"/>
      <c r="O758" s="580"/>
      <c r="P758" s="210"/>
    </row>
    <row r="759" spans="1:33" s="206" customFormat="1" ht="13.5" hidden="1" outlineLevel="1" thickBot="1" x14ac:dyDescent="0.25">
      <c r="A759" s="1025"/>
      <c r="B759" s="211"/>
      <c r="C759" s="568"/>
      <c r="D759" s="214"/>
      <c r="E759" s="210"/>
      <c r="F759" s="210"/>
      <c r="G759" s="210"/>
      <c r="H759" s="210"/>
      <c r="I759" s="210"/>
      <c r="J759" s="210"/>
      <c r="K759" s="210"/>
      <c r="L759" s="210"/>
      <c r="M759" s="210"/>
      <c r="N759" s="210"/>
      <c r="O759" s="210"/>
      <c r="P759" s="210"/>
    </row>
    <row r="760" spans="1:33" s="8" customFormat="1" ht="20.25" hidden="1" outlineLevel="1" x14ac:dyDescent="0.25">
      <c r="A760" s="1025"/>
      <c r="B760" s="194"/>
      <c r="C760" s="1011" t="str">
        <f>Scenario3&amp;" Lessee Labor Hours per Due Diligence Event"</f>
        <v>eSystems (Paperless) Lessee Labor Hours per Due Diligence Event</v>
      </c>
      <c r="D760" s="310"/>
      <c r="E760" s="240"/>
      <c r="F760" s="240"/>
      <c r="G760" s="240"/>
      <c r="H760" s="240"/>
      <c r="I760" s="240"/>
      <c r="J760" s="240"/>
      <c r="K760" s="240"/>
      <c r="L760" s="240"/>
      <c r="M760" s="240"/>
      <c r="N760" s="240"/>
      <c r="O760" s="435"/>
      <c r="P760" s="17"/>
      <c r="Q760" s="17"/>
      <c r="R760" s="17"/>
      <c r="S760" s="17"/>
      <c r="T760" s="17"/>
      <c r="U760" s="17"/>
      <c r="V760" s="17"/>
      <c r="W760" s="17"/>
      <c r="X760" s="17"/>
      <c r="Y760" s="17"/>
      <c r="Z760" s="17"/>
      <c r="AA760" s="17"/>
      <c r="AB760" s="17"/>
      <c r="AC760" s="17"/>
      <c r="AD760" s="17"/>
      <c r="AE760" s="17"/>
      <c r="AF760" s="17"/>
      <c r="AG760" s="17"/>
    </row>
    <row r="761" spans="1:33" s="142" customFormat="1" ht="18" hidden="1" customHeight="1" outlineLevel="1" x14ac:dyDescent="0.2">
      <c r="A761" s="1025"/>
      <c r="B761" s="138"/>
      <c r="C761" s="235"/>
      <c r="D761" s="726" t="s">
        <v>2628</v>
      </c>
      <c r="E761" s="577">
        <v>0</v>
      </c>
      <c r="F761" s="577">
        <v>0</v>
      </c>
      <c r="G761" s="577">
        <v>0</v>
      </c>
      <c r="H761" s="577">
        <v>0</v>
      </c>
      <c r="I761" s="577">
        <v>0</v>
      </c>
      <c r="J761" s="577">
        <v>0</v>
      </c>
      <c r="K761" s="577">
        <v>0</v>
      </c>
      <c r="L761" s="577">
        <v>0</v>
      </c>
      <c r="M761" s="577">
        <v>0</v>
      </c>
      <c r="N761" s="577">
        <v>0</v>
      </c>
      <c r="O761" s="535" t="s">
        <v>2629</v>
      </c>
    </row>
    <row r="762" spans="1:33" s="142" customFormat="1" ht="18" hidden="1" customHeight="1" outlineLevel="1" x14ac:dyDescent="0.2">
      <c r="A762" s="1025"/>
      <c r="B762" s="138"/>
      <c r="C762" s="235"/>
      <c r="D762" s="726" t="s">
        <v>2630</v>
      </c>
      <c r="E762" s="577">
        <v>0</v>
      </c>
      <c r="F762" s="577">
        <v>0</v>
      </c>
      <c r="G762" s="577">
        <v>0</v>
      </c>
      <c r="H762" s="577">
        <v>0</v>
      </c>
      <c r="I762" s="577">
        <v>0</v>
      </c>
      <c r="J762" s="577">
        <v>0</v>
      </c>
      <c r="K762" s="577">
        <v>0</v>
      </c>
      <c r="L762" s="577">
        <v>0</v>
      </c>
      <c r="M762" s="577">
        <v>0</v>
      </c>
      <c r="N762" s="577">
        <v>0</v>
      </c>
      <c r="O762" s="535" t="s">
        <v>2631</v>
      </c>
    </row>
    <row r="763" spans="1:33" s="142" customFormat="1" ht="18" hidden="1" customHeight="1" outlineLevel="1" x14ac:dyDescent="0.2">
      <c r="A763" s="1025"/>
      <c r="B763" s="138"/>
      <c r="C763" s="235"/>
      <c r="D763" s="726" t="s">
        <v>2632</v>
      </c>
      <c r="E763" s="577">
        <v>500</v>
      </c>
      <c r="F763" s="577">
        <v>80</v>
      </c>
      <c r="G763" s="577">
        <v>80</v>
      </c>
      <c r="H763" s="577">
        <v>80</v>
      </c>
      <c r="I763" s="577">
        <v>80</v>
      </c>
      <c r="J763" s="577">
        <v>80</v>
      </c>
      <c r="K763" s="577">
        <v>80</v>
      </c>
      <c r="L763" s="577">
        <v>80</v>
      </c>
      <c r="M763" s="577">
        <v>80</v>
      </c>
      <c r="N763" s="577">
        <v>80</v>
      </c>
      <c r="O763" s="535" t="s">
        <v>2633</v>
      </c>
    </row>
    <row r="764" spans="1:33" s="142" customFormat="1" ht="18" hidden="1" customHeight="1" outlineLevel="1" thickBot="1" x14ac:dyDescent="0.25">
      <c r="A764" s="1025"/>
      <c r="B764" s="138"/>
      <c r="C764" s="235"/>
      <c r="D764" s="726" t="s">
        <v>2634</v>
      </c>
      <c r="E764" s="577">
        <v>500</v>
      </c>
      <c r="F764" s="577">
        <v>80</v>
      </c>
      <c r="G764" s="577">
        <v>80</v>
      </c>
      <c r="H764" s="577">
        <v>80</v>
      </c>
      <c r="I764" s="577">
        <v>80</v>
      </c>
      <c r="J764" s="577">
        <v>80</v>
      </c>
      <c r="K764" s="577">
        <v>80</v>
      </c>
      <c r="L764" s="577">
        <v>80</v>
      </c>
      <c r="M764" s="577">
        <v>80</v>
      </c>
      <c r="N764" s="577">
        <v>80</v>
      </c>
      <c r="O764" s="535" t="s">
        <v>2635</v>
      </c>
    </row>
    <row r="765" spans="1:33" s="142" customFormat="1" ht="18" hidden="1" customHeight="1" outlineLevel="1" thickBot="1" x14ac:dyDescent="0.25">
      <c r="A765" s="1025"/>
      <c r="B765" s="138"/>
      <c r="C765" s="1020"/>
      <c r="D765" s="726" t="s">
        <v>2636</v>
      </c>
      <c r="E765" s="577">
        <v>500</v>
      </c>
      <c r="F765" s="577">
        <v>100</v>
      </c>
      <c r="G765" s="577">
        <v>100</v>
      </c>
      <c r="H765" s="577">
        <v>100</v>
      </c>
      <c r="I765" s="577">
        <v>100</v>
      </c>
      <c r="J765" s="577">
        <v>100</v>
      </c>
      <c r="K765" s="577">
        <v>100</v>
      </c>
      <c r="L765" s="577">
        <v>100</v>
      </c>
      <c r="M765" s="577">
        <v>100</v>
      </c>
      <c r="N765" s="577">
        <v>100</v>
      </c>
      <c r="O765" s="535" t="s">
        <v>2637</v>
      </c>
    </row>
    <row r="766" spans="1:33" s="142" customFormat="1" ht="18" hidden="1" customHeight="1" outlineLevel="1" x14ac:dyDescent="0.2">
      <c r="A766" s="1025"/>
      <c r="B766" s="138"/>
      <c r="C766" s="235"/>
      <c r="D766" s="726" t="s">
        <v>2638</v>
      </c>
      <c r="E766" s="577">
        <v>0</v>
      </c>
      <c r="F766" s="577">
        <v>0</v>
      </c>
      <c r="G766" s="577">
        <v>0</v>
      </c>
      <c r="H766" s="577">
        <v>0</v>
      </c>
      <c r="I766" s="577">
        <v>0</v>
      </c>
      <c r="J766" s="577">
        <v>0</v>
      </c>
      <c r="K766" s="577">
        <v>0</v>
      </c>
      <c r="L766" s="577">
        <v>0</v>
      </c>
      <c r="M766" s="577">
        <v>0</v>
      </c>
      <c r="N766" s="577">
        <v>0</v>
      </c>
      <c r="O766" s="535" t="s">
        <v>2639</v>
      </c>
    </row>
    <row r="767" spans="1:33" s="142" customFormat="1" ht="18" hidden="1" customHeight="1" outlineLevel="1" x14ac:dyDescent="0.2">
      <c r="A767" s="1025"/>
      <c r="B767" s="138"/>
      <c r="C767" s="235"/>
      <c r="D767" s="726" t="s">
        <v>2640</v>
      </c>
      <c r="E767" s="577">
        <v>500</v>
      </c>
      <c r="F767" s="577">
        <v>80</v>
      </c>
      <c r="G767" s="577">
        <v>80</v>
      </c>
      <c r="H767" s="577">
        <v>80</v>
      </c>
      <c r="I767" s="577">
        <v>80</v>
      </c>
      <c r="J767" s="577">
        <v>80</v>
      </c>
      <c r="K767" s="577">
        <v>80</v>
      </c>
      <c r="L767" s="577">
        <v>80</v>
      </c>
      <c r="M767" s="577">
        <v>80</v>
      </c>
      <c r="N767" s="577">
        <v>80</v>
      </c>
      <c r="O767" s="535" t="s">
        <v>2641</v>
      </c>
    </row>
    <row r="768" spans="1:33" s="142" customFormat="1" ht="18" hidden="1" customHeight="1" outlineLevel="1" x14ac:dyDescent="0.2">
      <c r="A768" s="1025"/>
      <c r="B768" s="138"/>
      <c r="C768" s="235"/>
      <c r="D768" s="726" t="s">
        <v>2642</v>
      </c>
      <c r="E768" s="577">
        <v>0</v>
      </c>
      <c r="F768" s="577">
        <v>0</v>
      </c>
      <c r="G768" s="577">
        <v>0</v>
      </c>
      <c r="H768" s="577">
        <v>0</v>
      </c>
      <c r="I768" s="577">
        <v>0</v>
      </c>
      <c r="J768" s="577">
        <v>0</v>
      </c>
      <c r="K768" s="577">
        <v>0</v>
      </c>
      <c r="L768" s="577">
        <v>0</v>
      </c>
      <c r="M768" s="577">
        <v>0</v>
      </c>
      <c r="N768" s="577">
        <v>0</v>
      </c>
      <c r="O768" s="535" t="s">
        <v>2643</v>
      </c>
    </row>
    <row r="769" spans="1:33" s="142" customFormat="1" ht="18" hidden="1" customHeight="1" outlineLevel="1" x14ac:dyDescent="0.2">
      <c r="A769" s="1025"/>
      <c r="B769" s="565"/>
      <c r="C769" s="235"/>
      <c r="D769" s="726" t="s">
        <v>2644</v>
      </c>
      <c r="E769" s="577">
        <v>0</v>
      </c>
      <c r="F769" s="577">
        <v>0</v>
      </c>
      <c r="G769" s="577">
        <v>0</v>
      </c>
      <c r="H769" s="577">
        <v>0</v>
      </c>
      <c r="I769" s="577">
        <v>0</v>
      </c>
      <c r="J769" s="577">
        <v>0</v>
      </c>
      <c r="K769" s="577">
        <v>0</v>
      </c>
      <c r="L769" s="577">
        <v>0</v>
      </c>
      <c r="M769" s="577">
        <v>0</v>
      </c>
      <c r="N769" s="577">
        <v>0</v>
      </c>
      <c r="O769" s="535" t="s">
        <v>2645</v>
      </c>
    </row>
    <row r="770" spans="1:33" s="142" customFormat="1" ht="18" hidden="1" customHeight="1" outlineLevel="1" x14ac:dyDescent="0.2">
      <c r="A770" s="1025"/>
      <c r="B770" s="565"/>
      <c r="C770" s="235"/>
      <c r="D770" s="726" t="s">
        <v>2646</v>
      </c>
      <c r="E770" s="577">
        <v>0</v>
      </c>
      <c r="F770" s="577">
        <v>0</v>
      </c>
      <c r="G770" s="577">
        <v>0</v>
      </c>
      <c r="H770" s="577">
        <v>0</v>
      </c>
      <c r="I770" s="577">
        <v>0</v>
      </c>
      <c r="J770" s="577">
        <v>0</v>
      </c>
      <c r="K770" s="577">
        <v>0</v>
      </c>
      <c r="L770" s="577">
        <v>0</v>
      </c>
      <c r="M770" s="577">
        <v>0</v>
      </c>
      <c r="N770" s="577">
        <v>0</v>
      </c>
      <c r="O770" s="535" t="s">
        <v>2647</v>
      </c>
    </row>
    <row r="771" spans="1:33" s="142" customFormat="1" ht="18" hidden="1" customHeight="1" outlineLevel="1" x14ac:dyDescent="0.2">
      <c r="A771" s="1025"/>
      <c r="B771" s="138"/>
      <c r="C771" s="235"/>
      <c r="D771" s="726" t="s">
        <v>2648</v>
      </c>
      <c r="E771" s="577">
        <v>0</v>
      </c>
      <c r="F771" s="577">
        <v>0</v>
      </c>
      <c r="G771" s="577">
        <v>0</v>
      </c>
      <c r="H771" s="577">
        <v>0</v>
      </c>
      <c r="I771" s="577">
        <v>0</v>
      </c>
      <c r="J771" s="577">
        <v>0</v>
      </c>
      <c r="K771" s="577">
        <v>0</v>
      </c>
      <c r="L771" s="577">
        <v>0</v>
      </c>
      <c r="M771" s="577">
        <v>0</v>
      </c>
      <c r="N771" s="577">
        <v>0</v>
      </c>
      <c r="O771" s="535" t="s">
        <v>2649</v>
      </c>
    </row>
    <row r="772" spans="1:33" s="142" customFormat="1" ht="18" hidden="1" customHeight="1" outlineLevel="1" x14ac:dyDescent="0.2">
      <c r="A772" s="1025"/>
      <c r="B772" s="138"/>
      <c r="C772" s="235"/>
      <c r="D772" s="726" t="s">
        <v>2650</v>
      </c>
      <c r="E772" s="577">
        <v>0</v>
      </c>
      <c r="F772" s="577">
        <v>0</v>
      </c>
      <c r="G772" s="577">
        <v>0</v>
      </c>
      <c r="H772" s="577">
        <v>0</v>
      </c>
      <c r="I772" s="577">
        <v>0</v>
      </c>
      <c r="J772" s="577">
        <v>0</v>
      </c>
      <c r="K772" s="577">
        <v>0</v>
      </c>
      <c r="L772" s="577">
        <v>0</v>
      </c>
      <c r="M772" s="577">
        <v>0</v>
      </c>
      <c r="N772" s="577">
        <v>0</v>
      </c>
      <c r="O772" s="535" t="s">
        <v>2651</v>
      </c>
    </row>
    <row r="773" spans="1:33" s="206" customFormat="1" ht="15.75" hidden="1" outlineLevel="1" thickBot="1" x14ac:dyDescent="0.3">
      <c r="A773" s="1025"/>
      <c r="B773" s="563"/>
      <c r="C773" s="564"/>
      <c r="D773" s="724"/>
      <c r="E773" s="571"/>
      <c r="F773" s="571"/>
      <c r="G773" s="571"/>
      <c r="H773" s="571"/>
      <c r="I773" s="571"/>
      <c r="J773" s="571"/>
      <c r="K773" s="571"/>
      <c r="L773" s="571"/>
      <c r="M773" s="571"/>
      <c r="N773" s="571"/>
      <c r="O773" s="572"/>
      <c r="P773" s="210"/>
    </row>
    <row r="774" spans="1:33" s="206" customFormat="1" ht="15.75" hidden="1" outlineLevel="1" thickBot="1" x14ac:dyDescent="0.3">
      <c r="A774" s="1025"/>
      <c r="B774" s="563"/>
      <c r="C774" s="322"/>
      <c r="D774" s="732"/>
      <c r="E774" s="581"/>
      <c r="F774" s="581"/>
      <c r="G774" s="581"/>
      <c r="H774" s="581"/>
      <c r="I774" s="581"/>
      <c r="J774" s="581"/>
      <c r="K774" s="581"/>
      <c r="L774" s="581"/>
      <c r="M774" s="581"/>
      <c r="N774" s="581"/>
      <c r="O774" s="558"/>
      <c r="P774" s="210"/>
    </row>
    <row r="775" spans="1:33" s="8" customFormat="1" ht="20.25" hidden="1" outlineLevel="1" x14ac:dyDescent="0.2">
      <c r="A775" s="1025"/>
      <c r="B775" s="102"/>
      <c r="C775" s="1012" t="str">
        <f>Scenario3&amp;" Due Diligence Labor Cost pa (based on Touch Hour Rate)"</f>
        <v>eSystems (Paperless) Due Diligence Labor Cost pa (based on Touch Hour Rate)</v>
      </c>
      <c r="D775" s="310"/>
      <c r="E775" s="316"/>
      <c r="F775" s="316"/>
      <c r="G775" s="316"/>
      <c r="H775" s="316"/>
      <c r="I775" s="316"/>
      <c r="J775" s="316"/>
      <c r="K775" s="316"/>
      <c r="L775" s="316"/>
      <c r="M775" s="316"/>
      <c r="N775" s="316"/>
      <c r="O775" s="583"/>
      <c r="P775" s="17"/>
      <c r="Q775" s="17"/>
      <c r="R775" s="17"/>
      <c r="S775" s="17"/>
      <c r="T775" s="17"/>
      <c r="U775" s="17"/>
      <c r="V775" s="17"/>
      <c r="W775" s="17"/>
      <c r="X775" s="17"/>
      <c r="Y775" s="17"/>
      <c r="Z775" s="17"/>
      <c r="AA775" s="17"/>
      <c r="AB775" s="17"/>
      <c r="AC775" s="17"/>
      <c r="AD775" s="17"/>
      <c r="AE775" s="17"/>
      <c r="AF775" s="17"/>
      <c r="AG775" s="17"/>
    </row>
    <row r="776" spans="1:33" s="142" customFormat="1" ht="18" hidden="1" customHeight="1" outlineLevel="1" x14ac:dyDescent="0.2">
      <c r="A776" s="1025"/>
      <c r="B776" s="138"/>
      <c r="C776" s="235"/>
      <c r="D776" s="726" t="s">
        <v>2652</v>
      </c>
      <c r="E776" s="555">
        <f>(eSystemsTouchRateHourHM*eSystemsLeaseDueDilLaborHrsHM*eSystemsLeaseDueDilEventForecast)</f>
        <v>0</v>
      </c>
      <c r="F776" s="555">
        <f>(eSystemsTouchRateHourHM*eSystemsLeaseDueDilLaborHrsHM*eSystemsLeaseDueDilEventForecast)*(1+Inflation)</f>
        <v>0</v>
      </c>
      <c r="G776" s="555">
        <f>(eSystemsTouchRateHourHM*eSystemsLeaseDueDilLaborHrsHM*eSystemsLeaseDueDilEventForecast)*(1+Inflation)^2</f>
        <v>0</v>
      </c>
      <c r="H776" s="555">
        <f>(eSystemsTouchRateHourHM*eSystemsLeaseDueDilLaborHrsHM*eSystemsLeaseDueDilEventForecast)*(1+Inflation)^3</f>
        <v>0</v>
      </c>
      <c r="I776" s="555">
        <f>(eSystemsTouchRateHourHM*eSystemsLeaseDueDilLaborHrsHM*eSystemsLeaseDueDilEventForecast)*(1+Inflation)^4</f>
        <v>0</v>
      </c>
      <c r="J776" s="555">
        <f>(eSystemsTouchRateHourHM*eSystemsLeaseDueDilLaborHrsHM*eSystemsLeaseDueDilEventForecast)*(1+Inflation)^5</f>
        <v>0</v>
      </c>
      <c r="K776" s="555">
        <f>(eSystemsTouchRateHourHM*eSystemsLeaseDueDilLaborHrsHM*eSystemsLeaseDueDilEventForecast)*(1+Inflation)^6</f>
        <v>0</v>
      </c>
      <c r="L776" s="555">
        <f>(eSystemsTouchRateHourHM*eSystemsLeaseDueDilLaborHrsHM*eSystemsLeaseDueDilEventForecast)*(1+Inflation)^7</f>
        <v>0</v>
      </c>
      <c r="M776" s="555">
        <f>(eSystemsTouchRateHourHM*eSystemsLeaseDueDilLaborHrsHM*eSystemsLeaseDueDilEventForecast)*(1+Inflation)^8</f>
        <v>0</v>
      </c>
      <c r="N776" s="555">
        <f>(eSystemsTouchRateHourHM*eSystemsLeaseDueDilLaborHrsHM*eSystemsLeaseDueDilEventForecast)*(1+Inflation)^9</f>
        <v>0</v>
      </c>
      <c r="O776" s="535" t="s">
        <v>2653</v>
      </c>
    </row>
    <row r="777" spans="1:33" s="142" customFormat="1" ht="18" hidden="1" customHeight="1" outlineLevel="1" x14ac:dyDescent="0.2">
      <c r="A777" s="1025"/>
      <c r="B777" s="128"/>
      <c r="C777" s="235"/>
      <c r="D777" s="726" t="s">
        <v>2654</v>
      </c>
      <c r="E777" s="555">
        <f>(eSystemsTouchRateHourLM*eSystemsLeaseDueDilLaborHrsLM*eSystemsLeaseDueDilEventForecast)</f>
        <v>0</v>
      </c>
      <c r="F777" s="555">
        <f>(eSystemsTouchRateHourLM*eSystemsLeaseDueDilLaborHrsLM*eSystemsLeaseDueDilEventForecast)*(1+Inflation)</f>
        <v>0</v>
      </c>
      <c r="G777" s="555">
        <f>(eSystemsTouchRateHourLM*eSystemsLeaseDueDilLaborHrsLM*eSystemsLeaseDueDilEventForecast)*(1+Inflation)^2</f>
        <v>0</v>
      </c>
      <c r="H777" s="555">
        <f>(eSystemsTouchRateHourLM*eSystemsLeaseDueDilLaborHrsLM*eSystemsLeaseDueDilEventForecast)*(1+Inflation)^3</f>
        <v>0</v>
      </c>
      <c r="I777" s="555">
        <f>(eSystemsTouchRateHourLM*eSystemsLeaseDueDilLaborHrsLM*eSystemsLeaseDueDilEventForecast)*(1+Inflation)^4</f>
        <v>0</v>
      </c>
      <c r="J777" s="555">
        <f>(eSystemsTouchRateHourLM*eSystemsLeaseDueDilLaborHrsLM*eSystemsLeaseDueDilEventForecast)*(1+Inflation)^5</f>
        <v>0</v>
      </c>
      <c r="K777" s="555">
        <f>(eSystemsTouchRateHourLM*eSystemsLeaseDueDilLaborHrsLM*eSystemsLeaseDueDilEventForecast)*(1+Inflation)^6</f>
        <v>0</v>
      </c>
      <c r="L777" s="555">
        <f>(eSystemsTouchRateHourLM*eSystemsLeaseDueDilLaborHrsLM*eSystemsLeaseDueDilEventForecast)*(1+Inflation)^7</f>
        <v>0</v>
      </c>
      <c r="M777" s="555">
        <f>(eSystemsTouchRateHourLM*eSystemsLeaseDueDilLaborHrsLM*eSystemsLeaseDueDilEventForecast)*(1+Inflation)^8</f>
        <v>0</v>
      </c>
      <c r="N777" s="555">
        <f>(eSystemsTouchRateHourLM*eSystemsLeaseDueDilLaborHrsLM*eSystemsLeaseDueDilEventForecast)*(1+Inflation)^9</f>
        <v>0</v>
      </c>
      <c r="O777" s="535" t="s">
        <v>2655</v>
      </c>
    </row>
    <row r="778" spans="1:33" s="142" customFormat="1" ht="18" hidden="1" customHeight="1" outlineLevel="1" x14ac:dyDescent="0.2">
      <c r="A778" s="1025"/>
      <c r="B778" s="128"/>
      <c r="C778" s="235"/>
      <c r="D778" s="727" t="s">
        <v>2656</v>
      </c>
      <c r="E778" s="555">
        <f>(eSystemsTouchRateHourENG*eSystemsLeaseDueDilLaborHrsENG*eSystemsLeaseDueDilEventForecast)</f>
        <v>136980.38002329643</v>
      </c>
      <c r="F778" s="555">
        <f>(eSystemsTouchRateHourENG*eSystemsLeaseDueDilLaborHrsENG*eSystemsLeaseDueDilEventForecast)*(1+Inflation)</f>
        <v>14903.465346534653</v>
      </c>
      <c r="G778" s="555">
        <f>(eSystemsTouchRateHourENG*eSystemsLeaseDueDilLaborHrsENG*eSystemsLeaseDueDilEventForecast)*(1+Inflation)^2</f>
        <v>22802.301980198015</v>
      </c>
      <c r="H778" s="555">
        <f>(eSystemsTouchRateHourENG*eSystemsLeaseDueDilLaborHrsENG*eSystemsLeaseDueDilEventForecast)*(1+Inflation)^3</f>
        <v>15505.565346534651</v>
      </c>
      <c r="I778" s="555">
        <f>(eSystemsTouchRateHourENG*eSystemsLeaseDueDilLaborHrsENG*eSystemsLeaseDueDilEventForecast)*(1+Inflation)^4</f>
        <v>23723.514980198015</v>
      </c>
      <c r="J778" s="555">
        <f>(eSystemsTouchRateHourENG*eSystemsLeaseDueDilLaborHrsENG*eSystemsLeaseDueDilEventForecast)*(1+Inflation)^5</f>
        <v>16131.990186534651</v>
      </c>
      <c r="K778" s="555">
        <f>(eSystemsTouchRateHourENG*eSystemsLeaseDueDilLaborHrsENG*eSystemsLeaseDueDilEventForecast)*(1+Inflation)^6</f>
        <v>24681.944985398019</v>
      </c>
      <c r="L778" s="555">
        <f>(eSystemsTouchRateHourENG*eSystemsLeaseDueDilLaborHrsENG*eSystemsLeaseDueDilEventForecast)*(1+Inflation)^7</f>
        <v>16783.722590070647</v>
      </c>
      <c r="M778" s="555">
        <f>(eSystemsTouchRateHourENG*eSystemsLeaseDueDilLaborHrsENG*eSystemsLeaseDueDilEventForecast)*(1+Inflation)^8</f>
        <v>25679.095562808096</v>
      </c>
      <c r="N778" s="555">
        <f>(eSystemsTouchRateHourENG*eSystemsLeaseDueDilLaborHrsENG*eSystemsLeaseDueDilEventForecast)*(1+Inflation)^9</f>
        <v>17461.784982709505</v>
      </c>
      <c r="O778" s="535" t="s">
        <v>2657</v>
      </c>
    </row>
    <row r="779" spans="1:33" s="142" customFormat="1" ht="18" hidden="1" customHeight="1" outlineLevel="1" x14ac:dyDescent="0.2">
      <c r="A779" s="1025"/>
      <c r="B779" s="138"/>
      <c r="C779" s="235"/>
      <c r="D779" s="726" t="s">
        <v>2658</v>
      </c>
      <c r="E779" s="555">
        <f>(eSystemsTouchRateHourPLG*eSystemsLeaseDueDilLaborHrsPLG*eSystemsLeaseDueDilEventForecast)</f>
        <v>129370.35891089108</v>
      </c>
      <c r="F779" s="555">
        <f>(eSystemsTouchRateHourPLG*eSystemsLeaseDueDilLaborHrsPLG*eSystemsLeaseDueDilEventForecast)*(1+Inflation)</f>
        <v>14075.495049504949</v>
      </c>
      <c r="G779" s="555">
        <f>(eSystemsTouchRateHourPLG*eSystemsLeaseDueDilLaborHrsPLG*eSystemsLeaseDueDilEventForecast)*(1+Inflation)^2</f>
        <v>21535.507425742573</v>
      </c>
      <c r="H779" s="555">
        <f>(eSystemsTouchRateHourPLG*eSystemsLeaseDueDilLaborHrsPLG*eSystemsLeaseDueDilEventForecast)*(1+Inflation)^3</f>
        <v>14644.145049504947</v>
      </c>
      <c r="I779" s="555">
        <f>(eSystemsTouchRateHourPLG*eSystemsLeaseDueDilLaborHrsPLG*eSystemsLeaseDueDilEventForecast)*(1+Inflation)^4</f>
        <v>22405.541925742571</v>
      </c>
      <c r="J779" s="555">
        <f>(eSystemsTouchRateHourPLG*eSystemsLeaseDueDilLaborHrsPLG*eSystemsLeaseDueDilEventForecast)*(1+Inflation)^5</f>
        <v>15235.768509504949</v>
      </c>
      <c r="K779" s="555">
        <f>(eSystemsTouchRateHourPLG*eSystemsLeaseDueDilLaborHrsPLG*eSystemsLeaseDueDilEventForecast)*(1+Inflation)^6</f>
        <v>23310.725819542575</v>
      </c>
      <c r="L779" s="555">
        <f>(eSystemsTouchRateHourPLG*eSystemsLeaseDueDilLaborHrsPLG*eSystemsLeaseDueDilEventForecast)*(1+Inflation)^7</f>
        <v>15851.293557288946</v>
      </c>
      <c r="M779" s="555">
        <f>(eSystemsTouchRateHourPLG*eSystemsLeaseDueDilLaborHrsPLG*eSystemsLeaseDueDilEventForecast)*(1+Inflation)^8</f>
        <v>24252.47914265209</v>
      </c>
      <c r="N779" s="555">
        <f>(eSystemsTouchRateHourPLG*eSystemsLeaseDueDilLaborHrsPLG*eSystemsLeaseDueDilEventForecast)*(1+Inflation)^9</f>
        <v>16491.685817003421</v>
      </c>
      <c r="O779" s="535" t="s">
        <v>2659</v>
      </c>
    </row>
    <row r="780" spans="1:33" s="142" customFormat="1" ht="18" hidden="1" customHeight="1" outlineLevel="1" x14ac:dyDescent="0.2">
      <c r="A780" s="1025"/>
      <c r="B780" s="138"/>
      <c r="C780" s="235"/>
      <c r="D780" s="726" t="s">
        <v>2660</v>
      </c>
      <c r="E780" s="555">
        <f>(eSystemsTouchRateHourCRT*eSystemsLeaseDueDilLaborHrsCRT*eSystemsLeaseDueDilEventForecast)</f>
        <v>76100.211124053574</v>
      </c>
      <c r="F780" s="555">
        <f>(eSystemsTouchRateHourCRT*eSystemsLeaseDueDilLaborHrsCRT*eSystemsLeaseDueDilEventForecast)*(1+Inflation)</f>
        <v>10349.628712871285</v>
      </c>
      <c r="G780" s="555">
        <f>(eSystemsTouchRateHourCRT*eSystemsLeaseDueDilLaborHrsCRT*eSystemsLeaseDueDilEventForecast)*(1+Inflation)^2</f>
        <v>15834.931930693067</v>
      </c>
      <c r="H780" s="555">
        <f>(eSystemsTouchRateHourCRT*eSystemsLeaseDueDilLaborHrsCRT*eSystemsLeaseDueDilEventForecast)*(1+Inflation)^3</f>
        <v>10767.753712871285</v>
      </c>
      <c r="I780" s="555">
        <f>(eSystemsTouchRateHourCRT*eSystemsLeaseDueDilLaborHrsCRT*eSystemsLeaseDueDilEventForecast)*(1+Inflation)^4</f>
        <v>16474.663180693067</v>
      </c>
      <c r="J780" s="555">
        <f>(eSystemsTouchRateHourCRT*eSystemsLeaseDueDilLaborHrsCRT*eSystemsLeaseDueDilEventForecast)*(1+Inflation)^5</f>
        <v>11202.770962871286</v>
      </c>
      <c r="K780" s="555">
        <f>(eSystemsTouchRateHourCRT*eSystemsLeaseDueDilLaborHrsCRT*eSystemsLeaseDueDilEventForecast)*(1+Inflation)^6</f>
        <v>17140.239573193066</v>
      </c>
      <c r="L780" s="555">
        <f>(eSystemsTouchRateHourCRT*eSystemsLeaseDueDilLaborHrsCRT*eSystemsLeaseDueDilEventForecast)*(1+Inflation)^7</f>
        <v>11655.362909771284</v>
      </c>
      <c r="M780" s="555">
        <f>(eSystemsTouchRateHourCRT*eSystemsLeaseDueDilLaborHrsCRT*eSystemsLeaseDueDilEventForecast)*(1+Inflation)^8</f>
        <v>17832.705251950065</v>
      </c>
      <c r="N780" s="555">
        <f>(eSystemsTouchRateHourCRT*eSystemsLeaseDueDilLaborHrsCRT*eSystemsLeaseDueDilEventForecast)*(1+Inflation)^9</f>
        <v>12126.239571326045</v>
      </c>
      <c r="O780" s="535" t="s">
        <v>2661</v>
      </c>
    </row>
    <row r="781" spans="1:33" s="142" customFormat="1" ht="18" hidden="1" customHeight="1" outlineLevel="1" x14ac:dyDescent="0.2">
      <c r="A781" s="1025"/>
      <c r="B781" s="128"/>
      <c r="C781" s="235"/>
      <c r="D781" s="726" t="s">
        <v>2662</v>
      </c>
      <c r="E781" s="555">
        <f>(eSystemsTouchRateHourSCL*eSystemsLeaseDueDilLaborHrsSCL*eSystemsLeaseDueDilEventForecast)</f>
        <v>0</v>
      </c>
      <c r="F781" s="555">
        <f>(eSystemsTouchRateHourSCL*eSystemsLeaseDueDilLaborHrsSCL*eSystemsLeaseDueDilEventForecast)*(1+Inflation)</f>
        <v>0</v>
      </c>
      <c r="G781" s="555">
        <f>(eSystemsTouchRateHourSCL*eSystemsLeaseDueDilLaborHrsSCL*eSystemsLeaseDueDilEventForecast)*(1+Inflation)^2</f>
        <v>0</v>
      </c>
      <c r="H781" s="555">
        <f>(eSystemsTouchRateHourSCL*eSystemsLeaseDueDilLaborHrsSCL*eSystemsLeaseDueDilEventForecast)*(1+Inflation)^3</f>
        <v>0</v>
      </c>
      <c r="I781" s="555">
        <f>(eSystemsTouchRateHourSCL*eSystemsLeaseDueDilLaborHrsSCL*eSystemsLeaseDueDilEventForecast)*(1+Inflation)^4</f>
        <v>0</v>
      </c>
      <c r="J781" s="555">
        <f>(eSystemsTouchRateHourSCL*eSystemsLeaseDueDilLaborHrsSCL*eSystemsLeaseDueDilEventForecast)*(1+Inflation)^5</f>
        <v>0</v>
      </c>
      <c r="K781" s="555">
        <f>(eSystemsTouchRateHourSCL*eSystemsLeaseDueDilLaborHrsSCL*eSystemsLeaseDueDilEventForecast)*(1+Inflation)^6</f>
        <v>0</v>
      </c>
      <c r="L781" s="555">
        <f>(eSystemsTouchRateHourSCL*eSystemsLeaseDueDilLaborHrsSCL*eSystemsLeaseDueDilEventForecast)*(1+Inflation)^7</f>
        <v>0</v>
      </c>
      <c r="M781" s="555">
        <f>(eSystemsTouchRateHourSCL*eSystemsLeaseDueDilLaborHrsSCL*eSystemsLeaseDueDilEventForecast)*(1+Inflation)^8</f>
        <v>0</v>
      </c>
      <c r="N781" s="555">
        <f>(eSystemsTouchRateHourSCL*eSystemsLeaseDueDilLaborHrsSCL*eSystemsLeaseDueDilEventForecast)*(1+Inflation)^9</f>
        <v>0</v>
      </c>
      <c r="O781" s="535" t="s">
        <v>2663</v>
      </c>
    </row>
    <row r="782" spans="1:33" s="142" customFormat="1" ht="18" hidden="1" customHeight="1" outlineLevel="1" x14ac:dyDescent="0.2">
      <c r="A782" s="1025"/>
      <c r="B782" s="138"/>
      <c r="C782" s="235"/>
      <c r="D782" s="726" t="s">
        <v>2664</v>
      </c>
      <c r="E782" s="555">
        <f>(eSystemsTouchRateHourQSC*eSystemsLeaseDueDilLaborHrsQSC*eSystemsLeaseDueDilEventForecast)</f>
        <v>114150.31668608036</v>
      </c>
      <c r="F782" s="555">
        <f>(eSystemsTouchRateHourQSC*eSystemsLeaseDueDilLaborHrsQSC*eSystemsLeaseDueDilEventForecast)*(1+Inflation)</f>
        <v>12419.554455445543</v>
      </c>
      <c r="G782" s="555">
        <f>(eSystemsTouchRateHourQSC*eSystemsLeaseDueDilLaborHrsQSC*eSystemsLeaseDueDilEventForecast)*(1+Inflation)^2</f>
        <v>19001.918316831678</v>
      </c>
      <c r="H782" s="555">
        <f>(eSystemsTouchRateHourQSC*eSystemsLeaseDueDilLaborHrsQSC*eSystemsLeaseDueDilEventForecast)*(1+Inflation)^3</f>
        <v>12921.304455445541</v>
      </c>
      <c r="I782" s="555">
        <f>(eSystemsTouchRateHourQSC*eSystemsLeaseDueDilLaborHrsQSC*eSystemsLeaseDueDilEventForecast)*(1+Inflation)^4</f>
        <v>19769.595816831679</v>
      </c>
      <c r="J782" s="555">
        <f>(eSystemsTouchRateHourQSC*eSystemsLeaseDueDilLaborHrsQSC*eSystemsLeaseDueDilEventForecast)*(1+Inflation)^5</f>
        <v>13443.325155445542</v>
      </c>
      <c r="K782" s="555">
        <f>(eSystemsTouchRateHourQSC*eSystemsLeaseDueDilLaborHrsQSC*eSystemsLeaseDueDilEventForecast)*(1+Inflation)^6</f>
        <v>20568.28748783168</v>
      </c>
      <c r="L782" s="555">
        <f>(eSystemsTouchRateHourQSC*eSystemsLeaseDueDilLaborHrsQSC*eSystemsLeaseDueDilEventForecast)*(1+Inflation)^7</f>
        <v>13986.43549172554</v>
      </c>
      <c r="M782" s="555">
        <f>(eSystemsTouchRateHourQSC*eSystemsLeaseDueDilLaborHrsQSC*eSystemsLeaseDueDilEventForecast)*(1+Inflation)^8</f>
        <v>21399.246302340078</v>
      </c>
      <c r="N782" s="555">
        <f>(eSystemsTouchRateHourQSC*eSystemsLeaseDueDilLaborHrsQSC*eSystemsLeaseDueDilEventForecast)*(1+Inflation)^9</f>
        <v>14551.487485591253</v>
      </c>
      <c r="O782" s="535" t="s">
        <v>2665</v>
      </c>
    </row>
    <row r="783" spans="1:33" s="142" customFormat="1" ht="18" hidden="1" customHeight="1" outlineLevel="1" x14ac:dyDescent="0.2">
      <c r="A783" s="1025"/>
      <c r="B783" s="138"/>
      <c r="C783" s="235"/>
      <c r="D783" s="726" t="s">
        <v>2666</v>
      </c>
      <c r="E783" s="555">
        <f>(eSystemsTouchRateHourEM*eSystemsLeaseDueDilLaborHrsEM*eSystemsLeaseDueDilEventForecast)</f>
        <v>0</v>
      </c>
      <c r="F783" s="555">
        <f>(eSystemsTouchRateHourEM*eSystemsLeaseDueDilLaborHrsEM*eSystemsLeaseDueDilEventForecast)*(1+Inflation)</f>
        <v>0</v>
      </c>
      <c r="G783" s="555">
        <f>(eSystemsTouchRateHourEM*eSystemsLeaseDueDilLaborHrsEM*eSystemsLeaseDueDilEventForecast)*(1+Inflation)^2</f>
        <v>0</v>
      </c>
      <c r="H783" s="555">
        <f>(eSystemsTouchRateHourEM*eSystemsLeaseDueDilLaborHrsEM*eSystemsLeaseDueDilEventForecast)*(1+Inflation)^3</f>
        <v>0</v>
      </c>
      <c r="I783" s="555">
        <f>(eSystemsTouchRateHourEM*eSystemsLeaseDueDilLaborHrsEM*eSystemsLeaseDueDilEventForecast)*(1+Inflation)^4</f>
        <v>0</v>
      </c>
      <c r="J783" s="555">
        <f>(eSystemsTouchRateHourEM*eSystemsLeaseDueDilLaborHrsEM*eSystemsLeaseDueDilEventForecast)*(1+Inflation)^5</f>
        <v>0</v>
      </c>
      <c r="K783" s="555">
        <f>(eSystemsTouchRateHourEM*eSystemsLeaseDueDilLaborHrsEM*eSystemsLeaseDueDilEventForecast)*(1+Inflation)^6</f>
        <v>0</v>
      </c>
      <c r="L783" s="555">
        <f>(eSystemsTouchRateHourEM*eSystemsLeaseDueDilLaborHrsEM*eSystemsLeaseDueDilEventForecast)*(1+Inflation)^7</f>
        <v>0</v>
      </c>
      <c r="M783" s="555">
        <f>(eSystemsTouchRateHourEM*eSystemsLeaseDueDilLaborHrsEM*eSystemsLeaseDueDilEventForecast)*(1+Inflation)^8</f>
        <v>0</v>
      </c>
      <c r="N783" s="555">
        <f>(eSystemsTouchRateHourEM*eSystemsLeaseDueDilLaborHrsEM*eSystemsLeaseDueDilEventForecast)*(1+Inflation)^9</f>
        <v>0</v>
      </c>
      <c r="O783" s="535" t="s">
        <v>2667</v>
      </c>
    </row>
    <row r="784" spans="1:33" s="142" customFormat="1" ht="18" hidden="1" customHeight="1" outlineLevel="1" x14ac:dyDescent="0.2">
      <c r="A784" s="1025"/>
      <c r="B784" s="138"/>
      <c r="C784" s="235"/>
      <c r="D784" s="726" t="s">
        <v>2668</v>
      </c>
      <c r="E784" s="555">
        <f>(eSystemsTouchRateHourCM*eSystemsLeaseDueDilLaborHrsCM*eSystemsLeaseDueDilEventForecast)</f>
        <v>0</v>
      </c>
      <c r="F784" s="555">
        <f>(eSystemsTouchRateHourCM*eSystemsLeaseDueDilLaborHrsCM*eSystemsLeaseDueDilEventForecast)*(1+Inflation)</f>
        <v>0</v>
      </c>
      <c r="G784" s="555">
        <f>(eSystemsTouchRateHourCM*eSystemsLeaseDueDilLaborHrsCM*eSystemsLeaseDueDilEventForecast)*(1+Inflation)^2</f>
        <v>0</v>
      </c>
      <c r="H784" s="555">
        <f>(eSystemsTouchRateHourCM*eSystemsLeaseDueDilLaborHrsCM*eSystemsLeaseDueDilEventForecast)*(1+Inflation)^3</f>
        <v>0</v>
      </c>
      <c r="I784" s="555">
        <f>(eSystemsTouchRateHourCM*eSystemsLeaseDueDilLaborHrsCM*eSystemsLeaseDueDilEventForecast)*(1+Inflation)^4</f>
        <v>0</v>
      </c>
      <c r="J784" s="555">
        <f>(eSystemsTouchRateHourCM*eSystemsLeaseDueDilLaborHrsCM*eSystemsLeaseDueDilEventForecast)*(1+Inflation)^5</f>
        <v>0</v>
      </c>
      <c r="K784" s="555">
        <f>(eSystemsTouchRateHourCM*eSystemsLeaseDueDilLaborHrsCM*eSystemsLeaseDueDilEventForecast)*(1+Inflation)^6</f>
        <v>0</v>
      </c>
      <c r="L784" s="555">
        <f>(eSystemsTouchRateHourCM*eSystemsLeaseDueDilLaborHrsCM*eSystemsLeaseDueDilEventForecast)*(1+Inflation)^7</f>
        <v>0</v>
      </c>
      <c r="M784" s="555">
        <f>(eSystemsTouchRateHourCM*eSystemsLeaseDueDilLaborHrsCM*eSystemsLeaseDueDilEventForecast)*(1+Inflation)^8</f>
        <v>0</v>
      </c>
      <c r="N784" s="555">
        <f>(eSystemsTouchRateHourCM*eSystemsLeaseDueDilLaborHrsCM*eSystemsLeaseDueDilEventForecast)*(1+Inflation)^9</f>
        <v>0</v>
      </c>
      <c r="O784" s="535" t="s">
        <v>2669</v>
      </c>
    </row>
    <row r="785" spans="1:33" s="142" customFormat="1" ht="18" hidden="1" customHeight="1" outlineLevel="1" x14ac:dyDescent="0.2">
      <c r="A785" s="1025"/>
      <c r="B785" s="138"/>
      <c r="C785" s="235"/>
      <c r="D785" s="726" t="s">
        <v>2670</v>
      </c>
      <c r="E785" s="555">
        <f>(eSystemsTouchRateHourSMCS*eSystemsLeaseDueDilLaborHrsSMCS*eSystemsLeaseDueDilEventForecast)</f>
        <v>0</v>
      </c>
      <c r="F785" s="555">
        <f>(eSystemsTouchRateHourSMCS*eSystemsLeaseDueDilLaborHrsSMCS*eSystemsLeaseDueDilEventForecast)*(1+Inflation)</f>
        <v>0</v>
      </c>
      <c r="G785" s="555">
        <f>(eSystemsTouchRateHourSMCS*eSystemsLeaseDueDilLaborHrsSMCS*eSystemsLeaseDueDilEventForecast)*(1+Inflation)^2</f>
        <v>0</v>
      </c>
      <c r="H785" s="555">
        <f>(eSystemsTouchRateHourSMCS*eSystemsLeaseDueDilLaborHrsSMCS*eSystemsLeaseDueDilEventForecast)*(1+Inflation)^3</f>
        <v>0</v>
      </c>
      <c r="I785" s="555">
        <f>(eSystemsTouchRateHourSMCS*eSystemsLeaseDueDilLaborHrsSMCS*eSystemsLeaseDueDilEventForecast)*(1+Inflation)^4</f>
        <v>0</v>
      </c>
      <c r="J785" s="555">
        <f>(eSystemsTouchRateHourSMCS*eSystemsLeaseDueDilLaborHrsSMCS*eSystemsLeaseDueDilEventForecast)*(1+Inflation)^5</f>
        <v>0</v>
      </c>
      <c r="K785" s="555">
        <f>(eSystemsTouchRateHourSMCS*eSystemsLeaseDueDilLaborHrsSMCS*eSystemsLeaseDueDilEventForecast)*(1+Inflation)^6</f>
        <v>0</v>
      </c>
      <c r="L785" s="555">
        <f>(eSystemsTouchRateHourSMCS*eSystemsLeaseDueDilLaborHrsSMCS*eSystemsLeaseDueDilEventForecast)*(1+Inflation)^7</f>
        <v>0</v>
      </c>
      <c r="M785" s="555">
        <f>(eSystemsTouchRateHourSMCS*eSystemsLeaseDueDilLaborHrsSMCS*eSystemsLeaseDueDilEventForecast)*(1+Inflation)^8</f>
        <v>0</v>
      </c>
      <c r="N785" s="555">
        <f>(eSystemsTouchRateHourSMCS*eSystemsLeaseDueDilLaborHrsSMCS*eSystemsLeaseDueDilEventForecast)*(1+Inflation)^9</f>
        <v>0</v>
      </c>
      <c r="O785" s="535" t="s">
        <v>2671</v>
      </c>
    </row>
    <row r="786" spans="1:33" s="142" customFormat="1" ht="18" hidden="1" customHeight="1" outlineLevel="1" x14ac:dyDescent="0.2">
      <c r="A786" s="1025"/>
      <c r="B786" s="138"/>
      <c r="C786" s="235"/>
      <c r="D786" s="726" t="s">
        <v>2672</v>
      </c>
      <c r="E786" s="555">
        <f>(eSystemsTouchRateHourO1*eSystemsLeaseDueDilLaborHrsO1*eSystemsLeaseDueDilEventForecast)</f>
        <v>0</v>
      </c>
      <c r="F786" s="555">
        <f>(eSystemsTouchRateHourO1*eSystemsLeaseDueDilLaborHrsO1*eSystemsLeaseDueDilEventForecast)*(1+Inflation)</f>
        <v>0</v>
      </c>
      <c r="G786" s="555">
        <f>(eSystemsTouchRateHourO1*eSystemsLeaseDueDilLaborHrsO1*eSystemsLeaseDueDilEventForecast)*(1+Inflation)^2</f>
        <v>0</v>
      </c>
      <c r="H786" s="555">
        <f>(eSystemsTouchRateHourO1*eSystemsLeaseDueDilLaborHrsO1*eSystemsLeaseDueDilEventForecast)*(1+Inflation)^3</f>
        <v>0</v>
      </c>
      <c r="I786" s="555">
        <f>(eSystemsTouchRateHourO1*eSystemsLeaseDueDilLaborHrsO1*eSystemsLeaseDueDilEventForecast)*(1+Inflation)^4</f>
        <v>0</v>
      </c>
      <c r="J786" s="555">
        <f>(eSystemsTouchRateHourO1*eSystemsLeaseDueDilLaborHrsO1*eSystemsLeaseDueDilEventForecast)*(1+Inflation)^5</f>
        <v>0</v>
      </c>
      <c r="K786" s="555">
        <f>(eSystemsTouchRateHourO1*eSystemsLeaseDueDilLaborHrsO1*eSystemsLeaseDueDilEventForecast)*(1+Inflation)^6</f>
        <v>0</v>
      </c>
      <c r="L786" s="555">
        <f>(eSystemsTouchRateHourO1*eSystemsLeaseDueDilLaborHrsO1*eSystemsLeaseDueDilEventForecast)*(1+Inflation)^7</f>
        <v>0</v>
      </c>
      <c r="M786" s="555">
        <f>(eSystemsTouchRateHourO1*eSystemsLeaseDueDilLaborHrsO1*eSystemsLeaseDueDilEventForecast)*(1+Inflation)^8</f>
        <v>0</v>
      </c>
      <c r="N786" s="555">
        <f>(eSystemsTouchRateHourO1*eSystemsLeaseDueDilLaborHrsO1*eSystemsLeaseDueDilEventForecast)*(1+Inflation)^9</f>
        <v>0</v>
      </c>
      <c r="O786" s="535" t="s">
        <v>2673</v>
      </c>
    </row>
    <row r="787" spans="1:33" s="142" customFormat="1" ht="18" hidden="1" customHeight="1" outlineLevel="1" x14ac:dyDescent="0.2">
      <c r="A787" s="1025"/>
      <c r="B787" s="138"/>
      <c r="C787" s="235"/>
      <c r="D787" s="726" t="s">
        <v>2674</v>
      </c>
      <c r="E787" s="555">
        <f>(eSystemsTouchRateHourO2*eSystemsLeaseDueDilLaborHrsO2*eSystemsLeaseDueDilEventForecast)</f>
        <v>0</v>
      </c>
      <c r="F787" s="555">
        <f>(eSystemsTouchRateHourO2*eSystemsLeaseDueDilLaborHrsO2*eSystemsLeaseDueDilEventForecast)*(1+Inflation)</f>
        <v>0</v>
      </c>
      <c r="G787" s="555">
        <f>(eSystemsTouchRateHourO2*eSystemsLeaseDueDilLaborHrsO2*eSystemsLeaseDueDilEventForecast)*(1+Inflation)^2</f>
        <v>0</v>
      </c>
      <c r="H787" s="555">
        <f>(eSystemsTouchRateHourO2*eSystemsLeaseDueDilLaborHrsO2*eSystemsLeaseDueDilEventForecast)*(1+Inflation)^3</f>
        <v>0</v>
      </c>
      <c r="I787" s="555">
        <f>(eSystemsTouchRateHourO2*eSystemsLeaseDueDilLaborHrsO2*eSystemsLeaseDueDilEventForecast)*(1+Inflation)^4</f>
        <v>0</v>
      </c>
      <c r="J787" s="555">
        <f>(eSystemsTouchRateHourO2*eSystemsLeaseDueDilLaborHrsO2*eSystemsLeaseDueDilEventForecast)*(1+Inflation)^5</f>
        <v>0</v>
      </c>
      <c r="K787" s="555">
        <f>(eSystemsTouchRateHourO2*eSystemsLeaseDueDilLaborHrsO2*eSystemsLeaseDueDilEventForecast)*(1+Inflation)^6</f>
        <v>0</v>
      </c>
      <c r="L787" s="555">
        <f>(eSystemsTouchRateHourO2*eSystemsLeaseDueDilLaborHrsO2*eSystemsLeaseDueDilEventForecast)*(1+Inflation)^7</f>
        <v>0</v>
      </c>
      <c r="M787" s="555">
        <f>(eSystemsTouchRateHourO2*eSystemsLeaseDueDilLaborHrsO2*eSystemsLeaseDueDilEventForecast)*(1+Inflation)^8</f>
        <v>0</v>
      </c>
      <c r="N787" s="555">
        <f>(eSystemsTouchRateHourO2*eSystemsLeaseDueDilLaborHrsO2*eSystemsLeaseDueDilEventForecast)*(1+Inflation)^9</f>
        <v>0</v>
      </c>
      <c r="O787" s="535" t="s">
        <v>2675</v>
      </c>
    </row>
    <row r="788" spans="1:33" s="142" customFormat="1" ht="18" hidden="1" customHeight="1" outlineLevel="1" x14ac:dyDescent="0.25">
      <c r="A788" s="1025"/>
      <c r="B788" s="138"/>
      <c r="C788" s="235"/>
      <c r="D788" s="728" t="s">
        <v>2676</v>
      </c>
      <c r="E788" s="556">
        <f>SUM(E776:E787)</f>
        <v>456601.26674432145</v>
      </c>
      <c r="F788" s="556">
        <f t="shared" ref="F788:N788" si="196">SUM(F776:F787)</f>
        <v>51748.143564356425</v>
      </c>
      <c r="G788" s="556">
        <f t="shared" si="196"/>
        <v>79174.659653465336</v>
      </c>
      <c r="H788" s="556">
        <f t="shared" si="196"/>
        <v>53838.768564356425</v>
      </c>
      <c r="I788" s="556">
        <f t="shared" si="196"/>
        <v>82373.315903465322</v>
      </c>
      <c r="J788" s="556">
        <f t="shared" si="196"/>
        <v>56013.854814356426</v>
      </c>
      <c r="K788" s="556">
        <f t="shared" si="196"/>
        <v>85701.19786596534</v>
      </c>
      <c r="L788" s="556">
        <f t="shared" si="196"/>
        <v>58276.814548856419</v>
      </c>
      <c r="M788" s="556">
        <f t="shared" si="196"/>
        <v>89163.526259750317</v>
      </c>
      <c r="N788" s="556">
        <f t="shared" si="196"/>
        <v>60631.197856630228</v>
      </c>
      <c r="O788" s="535" t="s">
        <v>2677</v>
      </c>
    </row>
    <row r="789" spans="1:33" s="203" customFormat="1" ht="13.5" hidden="1" outlineLevel="1" thickBot="1" x14ac:dyDescent="0.25">
      <c r="A789" s="1025"/>
      <c r="B789" s="74"/>
      <c r="C789" s="325"/>
      <c r="D789" s="725"/>
      <c r="E789" s="568"/>
      <c r="F789" s="568"/>
      <c r="G789" s="568"/>
      <c r="H789" s="568"/>
      <c r="I789" s="568"/>
      <c r="J789" s="568"/>
      <c r="K789" s="568"/>
      <c r="L789" s="568"/>
      <c r="M789" s="568"/>
      <c r="N789" s="568"/>
      <c r="O789" s="569"/>
      <c r="P789" s="204"/>
    </row>
    <row r="790" spans="1:33" s="203" customFormat="1" ht="13.5" hidden="1" outlineLevel="1" thickBot="1" x14ac:dyDescent="0.25">
      <c r="A790" s="1025"/>
      <c r="B790" s="74"/>
      <c r="C790" s="211"/>
      <c r="D790" s="214"/>
      <c r="E790" s="210"/>
      <c r="F790" s="210"/>
      <c r="G790" s="210"/>
      <c r="H790" s="210"/>
      <c r="I790" s="210"/>
      <c r="J790" s="210"/>
      <c r="K790" s="210"/>
      <c r="L790" s="210"/>
      <c r="M790" s="210"/>
      <c r="N790" s="210"/>
      <c r="O790" s="204"/>
      <c r="P790" s="204"/>
    </row>
    <row r="791" spans="1:33" customFormat="1" ht="20.25" hidden="1" outlineLevel="1" x14ac:dyDescent="0.2">
      <c r="A791" s="1025"/>
      <c r="B791" s="13"/>
      <c r="C791" s="1012" t="str">
        <f>Scenario3&amp;"  Due Diligence FTEs"</f>
        <v>eSystems (Paperless)  Due Diligence FTEs</v>
      </c>
      <c r="D791" s="310"/>
      <c r="E791" s="434"/>
      <c r="F791" s="434"/>
      <c r="G791" s="434"/>
      <c r="H791" s="434"/>
      <c r="I791" s="434"/>
      <c r="J791" s="434"/>
      <c r="K791" s="434"/>
      <c r="L791" s="434"/>
      <c r="M791" s="434"/>
      <c r="N791" s="434"/>
      <c r="O791" s="573"/>
      <c r="P791" s="18"/>
      <c r="Q791" s="18"/>
      <c r="R791" s="18"/>
      <c r="S791" s="18"/>
      <c r="T791" s="18"/>
      <c r="U791" s="18"/>
      <c r="V791" s="18"/>
      <c r="W791" s="18"/>
      <c r="X791" s="18"/>
      <c r="Y791" s="18"/>
      <c r="Z791" s="18"/>
      <c r="AA791" s="18"/>
      <c r="AB791" s="18"/>
      <c r="AC791" s="18"/>
      <c r="AD791" s="18"/>
      <c r="AE791" s="18"/>
      <c r="AF791" s="18"/>
      <c r="AG791" s="18"/>
    </row>
    <row r="792" spans="1:33" s="142" customFormat="1" ht="18" hidden="1" customHeight="1" outlineLevel="1" x14ac:dyDescent="0.2">
      <c r="A792" s="1025"/>
      <c r="B792" s="138"/>
      <c r="C792" s="235"/>
      <c r="D792" s="726" t="s">
        <v>2678</v>
      </c>
      <c r="E792" s="557">
        <f t="shared" ref="E792:N792" si="197">(eSystemsLeaseDueDilLaborHrsHM/eSystemsTouchHourspaHM)*eSystemsLeaseDueDilEventForecast</f>
        <v>0</v>
      </c>
      <c r="F792" s="557">
        <f t="shared" si="197"/>
        <v>0</v>
      </c>
      <c r="G792" s="557">
        <f t="shared" si="197"/>
        <v>0</v>
      </c>
      <c r="H792" s="557">
        <f t="shared" si="197"/>
        <v>0</v>
      </c>
      <c r="I792" s="557">
        <f t="shared" si="197"/>
        <v>0</v>
      </c>
      <c r="J792" s="557">
        <f t="shared" si="197"/>
        <v>0</v>
      </c>
      <c r="K792" s="557">
        <f t="shared" si="197"/>
        <v>0</v>
      </c>
      <c r="L792" s="557">
        <f t="shared" si="197"/>
        <v>0</v>
      </c>
      <c r="M792" s="557">
        <f t="shared" si="197"/>
        <v>0</v>
      </c>
      <c r="N792" s="557">
        <f t="shared" si="197"/>
        <v>0</v>
      </c>
      <c r="O792" s="535" t="s">
        <v>2679</v>
      </c>
    </row>
    <row r="793" spans="1:33" s="142" customFormat="1" ht="18" hidden="1" customHeight="1" outlineLevel="1" x14ac:dyDescent="0.2">
      <c r="A793" s="1025"/>
      <c r="B793" s="138"/>
      <c r="C793" s="235"/>
      <c r="D793" s="726" t="s">
        <v>2680</v>
      </c>
      <c r="E793" s="557">
        <f t="shared" ref="E793:N793" si="198">(eSystemsLeaseDueDilLaborHrsLM/eSystemsTouchHourspaLM)*eSystemsLeaseDueDilEventForecast</f>
        <v>0</v>
      </c>
      <c r="F793" s="557">
        <f t="shared" si="198"/>
        <v>0</v>
      </c>
      <c r="G793" s="557">
        <f t="shared" si="198"/>
        <v>0</v>
      </c>
      <c r="H793" s="557">
        <f t="shared" si="198"/>
        <v>0</v>
      </c>
      <c r="I793" s="557">
        <f t="shared" si="198"/>
        <v>0</v>
      </c>
      <c r="J793" s="557">
        <f t="shared" si="198"/>
        <v>0</v>
      </c>
      <c r="K793" s="557">
        <f t="shared" si="198"/>
        <v>0</v>
      </c>
      <c r="L793" s="557">
        <f t="shared" si="198"/>
        <v>0</v>
      </c>
      <c r="M793" s="557">
        <f t="shared" si="198"/>
        <v>0</v>
      </c>
      <c r="N793" s="557">
        <f t="shared" si="198"/>
        <v>0</v>
      </c>
      <c r="O793" s="535" t="s">
        <v>2681</v>
      </c>
    </row>
    <row r="794" spans="1:33" s="142" customFormat="1" ht="18" hidden="1" customHeight="1" outlineLevel="1" x14ac:dyDescent="0.2">
      <c r="A794" s="1025"/>
      <c r="B794" s="138"/>
      <c r="C794" s="235"/>
      <c r="D794" s="727" t="s">
        <v>2682</v>
      </c>
      <c r="E794" s="557">
        <f t="shared" ref="E794:N794" si="199">(eSystemsLeaseDueDilLaborHrsENG/eSystemsTouchHourspaENG)*eSystemsLeaseDueDilEventForecast</f>
        <v>1.0920209668025624</v>
      </c>
      <c r="F794" s="557">
        <f t="shared" si="199"/>
        <v>0.11648223645894</v>
      </c>
      <c r="G794" s="557">
        <f t="shared" si="199"/>
        <v>0.17472335468840999</v>
      </c>
      <c r="H794" s="557">
        <f t="shared" si="199"/>
        <v>0.11648223645894</v>
      </c>
      <c r="I794" s="557">
        <f t="shared" si="199"/>
        <v>0.17472335468840999</v>
      </c>
      <c r="J794" s="557">
        <f t="shared" si="199"/>
        <v>0.11648223645894</v>
      </c>
      <c r="K794" s="557">
        <f t="shared" si="199"/>
        <v>0.17472335468840999</v>
      </c>
      <c r="L794" s="557">
        <f t="shared" si="199"/>
        <v>0.11648223645894</v>
      </c>
      <c r="M794" s="557">
        <f t="shared" si="199"/>
        <v>0.17472335468840999</v>
      </c>
      <c r="N794" s="557">
        <f t="shared" si="199"/>
        <v>0.11648223645894</v>
      </c>
      <c r="O794" s="535" t="s">
        <v>2683</v>
      </c>
    </row>
    <row r="795" spans="1:33" s="142" customFormat="1" ht="18" hidden="1" customHeight="1" outlineLevel="1" x14ac:dyDescent="0.2">
      <c r="A795" s="1025"/>
      <c r="B795" s="138"/>
      <c r="C795" s="235"/>
      <c r="D795" s="726" t="s">
        <v>2684</v>
      </c>
      <c r="E795" s="557">
        <f t="shared" ref="E795:N795" si="200">(eSystemsLeaseDueDilLaborHrsPLG/eSystemsTouchHourspaPLG)*eSystemsLeaseDueDilEventForecast</f>
        <v>1.0920209668025624</v>
      </c>
      <c r="F795" s="557">
        <f t="shared" si="200"/>
        <v>0.11648223645894</v>
      </c>
      <c r="G795" s="557">
        <f t="shared" si="200"/>
        <v>0.17472335468840999</v>
      </c>
      <c r="H795" s="557">
        <f t="shared" si="200"/>
        <v>0.11648223645894</v>
      </c>
      <c r="I795" s="557">
        <f t="shared" si="200"/>
        <v>0.17472335468840999</v>
      </c>
      <c r="J795" s="557">
        <f t="shared" si="200"/>
        <v>0.11648223645894</v>
      </c>
      <c r="K795" s="557">
        <f t="shared" si="200"/>
        <v>0.17472335468840999</v>
      </c>
      <c r="L795" s="557">
        <f t="shared" si="200"/>
        <v>0.11648223645894</v>
      </c>
      <c r="M795" s="557">
        <f t="shared" si="200"/>
        <v>0.17472335468840999</v>
      </c>
      <c r="N795" s="557">
        <f t="shared" si="200"/>
        <v>0.11648223645894</v>
      </c>
      <c r="O795" s="535" t="s">
        <v>2685</v>
      </c>
    </row>
    <row r="796" spans="1:33" s="142" customFormat="1" ht="18" hidden="1" customHeight="1" outlineLevel="1" x14ac:dyDescent="0.2">
      <c r="A796" s="1025"/>
      <c r="B796" s="138"/>
      <c r="C796" s="235"/>
      <c r="D796" s="726" t="s">
        <v>2686</v>
      </c>
      <c r="E796" s="557">
        <f t="shared" ref="E796:N796" si="201">(eSystemsLeaseDueDilLaborHrsCRT/eSystemsTouchHourspaCRT)*eSystemsLeaseDueDilEventForecast</f>
        <v>1.0920209668025624</v>
      </c>
      <c r="F796" s="557">
        <f t="shared" si="201"/>
        <v>0.145602795573675</v>
      </c>
      <c r="G796" s="557">
        <f t="shared" si="201"/>
        <v>0.21840419336051251</v>
      </c>
      <c r="H796" s="557">
        <f t="shared" si="201"/>
        <v>0.145602795573675</v>
      </c>
      <c r="I796" s="557">
        <f t="shared" si="201"/>
        <v>0.21840419336051251</v>
      </c>
      <c r="J796" s="557">
        <f t="shared" si="201"/>
        <v>0.145602795573675</v>
      </c>
      <c r="K796" s="557">
        <f t="shared" si="201"/>
        <v>0.21840419336051251</v>
      </c>
      <c r="L796" s="557">
        <f t="shared" si="201"/>
        <v>0.145602795573675</v>
      </c>
      <c r="M796" s="557">
        <f t="shared" si="201"/>
        <v>0.21840419336051251</v>
      </c>
      <c r="N796" s="557">
        <f t="shared" si="201"/>
        <v>0.145602795573675</v>
      </c>
      <c r="O796" s="535" t="s">
        <v>2687</v>
      </c>
    </row>
    <row r="797" spans="1:33" s="142" customFormat="1" ht="18" hidden="1" customHeight="1" outlineLevel="1" x14ac:dyDescent="0.2">
      <c r="A797" s="1025"/>
      <c r="B797" s="138"/>
      <c r="C797" s="235"/>
      <c r="D797" s="726" t="s">
        <v>2688</v>
      </c>
      <c r="E797" s="557">
        <f t="shared" ref="E797:N797" si="202">(eSystemsLeaseDueDilLaborHrsSCL/eSystemsTouchHourspaSCL)*eSystemsLeaseDueDilEventForecast</f>
        <v>0</v>
      </c>
      <c r="F797" s="557">
        <f t="shared" si="202"/>
        <v>0</v>
      </c>
      <c r="G797" s="557">
        <f t="shared" si="202"/>
        <v>0</v>
      </c>
      <c r="H797" s="557">
        <f t="shared" si="202"/>
        <v>0</v>
      </c>
      <c r="I797" s="557">
        <f t="shared" si="202"/>
        <v>0</v>
      </c>
      <c r="J797" s="557">
        <f t="shared" si="202"/>
        <v>0</v>
      </c>
      <c r="K797" s="557">
        <f t="shared" si="202"/>
        <v>0</v>
      </c>
      <c r="L797" s="557">
        <f t="shared" si="202"/>
        <v>0</v>
      </c>
      <c r="M797" s="557">
        <f t="shared" si="202"/>
        <v>0</v>
      </c>
      <c r="N797" s="557">
        <f t="shared" si="202"/>
        <v>0</v>
      </c>
      <c r="O797" s="535" t="s">
        <v>2689</v>
      </c>
    </row>
    <row r="798" spans="1:33" s="142" customFormat="1" ht="18" hidden="1" customHeight="1" outlineLevel="1" x14ac:dyDescent="0.2">
      <c r="A798" s="1025"/>
      <c r="B798" s="138"/>
      <c r="C798" s="235"/>
      <c r="D798" s="726" t="s">
        <v>2690</v>
      </c>
      <c r="E798" s="557">
        <f t="shared" ref="E798:N798" si="203">(eSystemsLeaseDueDilLaborHrsQSC/eSystemsTouchHourspaQSC)*eSystemsLeaseDueDilEventForecast</f>
        <v>1.0920209668025624</v>
      </c>
      <c r="F798" s="557">
        <f t="shared" si="203"/>
        <v>0.11648223645894</v>
      </c>
      <c r="G798" s="557">
        <f t="shared" si="203"/>
        <v>0.17472335468840999</v>
      </c>
      <c r="H798" s="557">
        <f t="shared" si="203"/>
        <v>0.11648223645894</v>
      </c>
      <c r="I798" s="557">
        <f t="shared" si="203"/>
        <v>0.17472335468840999</v>
      </c>
      <c r="J798" s="557">
        <f t="shared" si="203"/>
        <v>0.11648223645894</v>
      </c>
      <c r="K798" s="557">
        <f t="shared" si="203"/>
        <v>0.17472335468840999</v>
      </c>
      <c r="L798" s="557">
        <f t="shared" si="203"/>
        <v>0.11648223645894</v>
      </c>
      <c r="M798" s="557">
        <f t="shared" si="203"/>
        <v>0.17472335468840999</v>
      </c>
      <c r="N798" s="557">
        <f t="shared" si="203"/>
        <v>0.11648223645894</v>
      </c>
      <c r="O798" s="535" t="s">
        <v>2691</v>
      </c>
    </row>
    <row r="799" spans="1:33" s="142" customFormat="1" ht="18" hidden="1" customHeight="1" outlineLevel="1" x14ac:dyDescent="0.2">
      <c r="A799" s="1025"/>
      <c r="B799" s="138"/>
      <c r="C799" s="235"/>
      <c r="D799" s="726" t="s">
        <v>2692</v>
      </c>
      <c r="E799" s="557">
        <f t="shared" ref="E799:N799" si="204">(eSystemsLeaseDueDilLaborHrsEM/eSystemsTouchHourspaEM)*eSystemsLeaseDueDilEventForecast</f>
        <v>0</v>
      </c>
      <c r="F799" s="557">
        <f t="shared" si="204"/>
        <v>0</v>
      </c>
      <c r="G799" s="557">
        <f t="shared" si="204"/>
        <v>0</v>
      </c>
      <c r="H799" s="557">
        <f t="shared" si="204"/>
        <v>0</v>
      </c>
      <c r="I799" s="557">
        <f t="shared" si="204"/>
        <v>0</v>
      </c>
      <c r="J799" s="557">
        <f t="shared" si="204"/>
        <v>0</v>
      </c>
      <c r="K799" s="557">
        <f t="shared" si="204"/>
        <v>0</v>
      </c>
      <c r="L799" s="557">
        <f t="shared" si="204"/>
        <v>0</v>
      </c>
      <c r="M799" s="557">
        <f t="shared" si="204"/>
        <v>0</v>
      </c>
      <c r="N799" s="557">
        <f t="shared" si="204"/>
        <v>0</v>
      </c>
      <c r="O799" s="535" t="s">
        <v>2693</v>
      </c>
    </row>
    <row r="800" spans="1:33" s="142" customFormat="1" ht="18" hidden="1" customHeight="1" outlineLevel="1" x14ac:dyDescent="0.2">
      <c r="A800" s="1025"/>
      <c r="B800" s="138"/>
      <c r="C800" s="235"/>
      <c r="D800" s="726" t="s">
        <v>2694</v>
      </c>
      <c r="E800" s="557">
        <f t="shared" ref="E800:N800" si="205">(eSystemsLeaseDueDilLaborHrsCM/eSystemsTouchHourspaCM)*eSystemsLeaseDueDilEventForecast</f>
        <v>0</v>
      </c>
      <c r="F800" s="557">
        <f t="shared" si="205"/>
        <v>0</v>
      </c>
      <c r="G800" s="557">
        <f t="shared" si="205"/>
        <v>0</v>
      </c>
      <c r="H800" s="557">
        <f t="shared" si="205"/>
        <v>0</v>
      </c>
      <c r="I800" s="557">
        <f t="shared" si="205"/>
        <v>0</v>
      </c>
      <c r="J800" s="557">
        <f t="shared" si="205"/>
        <v>0</v>
      </c>
      <c r="K800" s="557">
        <f t="shared" si="205"/>
        <v>0</v>
      </c>
      <c r="L800" s="557">
        <f t="shared" si="205"/>
        <v>0</v>
      </c>
      <c r="M800" s="557">
        <f t="shared" si="205"/>
        <v>0</v>
      </c>
      <c r="N800" s="557">
        <f t="shared" si="205"/>
        <v>0</v>
      </c>
      <c r="O800" s="535" t="s">
        <v>2695</v>
      </c>
    </row>
    <row r="801" spans="1:32" s="142" customFormat="1" ht="18" hidden="1" customHeight="1" outlineLevel="1" x14ac:dyDescent="0.2">
      <c r="A801" s="1025"/>
      <c r="B801" s="138"/>
      <c r="C801" s="235"/>
      <c r="D801" s="726" t="s">
        <v>2696</v>
      </c>
      <c r="E801" s="557">
        <f t="shared" ref="E801:N801" si="206">(eSystemsLeaseDueDilLaborHrsSMCS/eSystemsTouchHourspaSMCS)*eSystemsLeaseDueDilEventForecast</f>
        <v>0</v>
      </c>
      <c r="F801" s="557">
        <f t="shared" si="206"/>
        <v>0</v>
      </c>
      <c r="G801" s="557">
        <f t="shared" si="206"/>
        <v>0</v>
      </c>
      <c r="H801" s="557">
        <f t="shared" si="206"/>
        <v>0</v>
      </c>
      <c r="I801" s="557">
        <f t="shared" si="206"/>
        <v>0</v>
      </c>
      <c r="J801" s="557">
        <f t="shared" si="206"/>
        <v>0</v>
      </c>
      <c r="K801" s="557">
        <f t="shared" si="206"/>
        <v>0</v>
      </c>
      <c r="L801" s="557">
        <f t="shared" si="206"/>
        <v>0</v>
      </c>
      <c r="M801" s="557">
        <f t="shared" si="206"/>
        <v>0</v>
      </c>
      <c r="N801" s="557">
        <f t="shared" si="206"/>
        <v>0</v>
      </c>
      <c r="O801" s="535" t="s">
        <v>2697</v>
      </c>
    </row>
    <row r="802" spans="1:32" s="142" customFormat="1" ht="18" hidden="1" customHeight="1" outlineLevel="1" x14ac:dyDescent="0.2">
      <c r="A802" s="1025"/>
      <c r="B802" s="138"/>
      <c r="C802" s="235"/>
      <c r="D802" s="726" t="s">
        <v>2698</v>
      </c>
      <c r="E802" s="557">
        <f t="shared" ref="E802:N802" si="207">(eSystemsLeaseDueDilLaborHrsO1/eSystemsTouchHourspaO1)*eSystemsLeaseDueDilEventForecast</f>
        <v>0</v>
      </c>
      <c r="F802" s="557">
        <f t="shared" si="207"/>
        <v>0</v>
      </c>
      <c r="G802" s="557">
        <f t="shared" si="207"/>
        <v>0</v>
      </c>
      <c r="H802" s="557">
        <f t="shared" si="207"/>
        <v>0</v>
      </c>
      <c r="I802" s="557">
        <f t="shared" si="207"/>
        <v>0</v>
      </c>
      <c r="J802" s="557">
        <f t="shared" si="207"/>
        <v>0</v>
      </c>
      <c r="K802" s="557">
        <f t="shared" si="207"/>
        <v>0</v>
      </c>
      <c r="L802" s="557">
        <f t="shared" si="207"/>
        <v>0</v>
      </c>
      <c r="M802" s="557">
        <f t="shared" si="207"/>
        <v>0</v>
      </c>
      <c r="N802" s="557">
        <f t="shared" si="207"/>
        <v>0</v>
      </c>
      <c r="O802" s="535" t="s">
        <v>2699</v>
      </c>
    </row>
    <row r="803" spans="1:32" s="142" customFormat="1" ht="18" hidden="1" customHeight="1" outlineLevel="1" x14ac:dyDescent="0.2">
      <c r="A803" s="1025"/>
      <c r="B803" s="138"/>
      <c r="C803" s="235"/>
      <c r="D803" s="726" t="s">
        <v>2700</v>
      </c>
      <c r="E803" s="557">
        <f t="shared" ref="E803:N803" si="208">(eSystemsLeaseDueDilLaborHrsO2/eSystemsTouchHourspaO2)*eSystemsLeaseDueDilEventForecast</f>
        <v>0</v>
      </c>
      <c r="F803" s="557">
        <f t="shared" si="208"/>
        <v>0</v>
      </c>
      <c r="G803" s="557">
        <f t="shared" si="208"/>
        <v>0</v>
      </c>
      <c r="H803" s="557">
        <f t="shared" si="208"/>
        <v>0</v>
      </c>
      <c r="I803" s="557">
        <f t="shared" si="208"/>
        <v>0</v>
      </c>
      <c r="J803" s="557">
        <f t="shared" si="208"/>
        <v>0</v>
      </c>
      <c r="K803" s="557">
        <f t="shared" si="208"/>
        <v>0</v>
      </c>
      <c r="L803" s="557">
        <f t="shared" si="208"/>
        <v>0</v>
      </c>
      <c r="M803" s="557">
        <f t="shared" si="208"/>
        <v>0</v>
      </c>
      <c r="N803" s="557">
        <f t="shared" si="208"/>
        <v>0</v>
      </c>
      <c r="O803" s="535" t="s">
        <v>2701</v>
      </c>
    </row>
    <row r="804" spans="1:32" s="142" customFormat="1" ht="18" hidden="1" customHeight="1" outlineLevel="1" x14ac:dyDescent="0.25">
      <c r="A804" s="1025"/>
      <c r="B804" s="138"/>
      <c r="C804" s="235"/>
      <c r="D804" s="728" t="s">
        <v>2702</v>
      </c>
      <c r="E804" s="562">
        <f>SUM(E792:E803)</f>
        <v>4.3680838672102498</v>
      </c>
      <c r="F804" s="562">
        <f t="shared" ref="F804:N804" si="209">SUM(F792:F803)</f>
        <v>0.49504950495049499</v>
      </c>
      <c r="G804" s="562">
        <f t="shared" si="209"/>
        <v>0.74257425742574257</v>
      </c>
      <c r="H804" s="562">
        <f t="shared" si="209"/>
        <v>0.49504950495049499</v>
      </c>
      <c r="I804" s="562">
        <f t="shared" si="209"/>
        <v>0.74257425742574257</v>
      </c>
      <c r="J804" s="562">
        <f t="shared" si="209"/>
        <v>0.49504950495049499</v>
      </c>
      <c r="K804" s="562">
        <f t="shared" si="209"/>
        <v>0.74257425742574257</v>
      </c>
      <c r="L804" s="562">
        <f t="shared" si="209"/>
        <v>0.49504950495049499</v>
      </c>
      <c r="M804" s="562">
        <f t="shared" si="209"/>
        <v>0.74257425742574257</v>
      </c>
      <c r="N804" s="562">
        <f t="shared" si="209"/>
        <v>0.49504950495049499</v>
      </c>
      <c r="O804" s="535" t="s">
        <v>2703</v>
      </c>
    </row>
    <row r="805" spans="1:32" s="203" customFormat="1" ht="13.5" hidden="1" outlineLevel="1" thickBot="1" x14ac:dyDescent="0.25">
      <c r="A805" s="1025"/>
      <c r="B805" s="74"/>
      <c r="C805" s="325"/>
      <c r="D805" s="725"/>
      <c r="E805" s="568"/>
      <c r="F805" s="568"/>
      <c r="G805" s="568"/>
      <c r="H805" s="568"/>
      <c r="I805" s="568"/>
      <c r="J805" s="568"/>
      <c r="K805" s="568"/>
      <c r="L805" s="568"/>
      <c r="M805" s="568"/>
      <c r="N805" s="568"/>
      <c r="O805" s="569"/>
      <c r="P805" s="204"/>
    </row>
    <row r="806" spans="1:32" s="203" customFormat="1" hidden="1" outlineLevel="1" x14ac:dyDescent="0.2">
      <c r="A806" s="206"/>
      <c r="B806" s="74"/>
      <c r="C806" s="211"/>
      <c r="D806" s="214"/>
      <c r="E806" s="210"/>
      <c r="F806" s="210"/>
      <c r="G806" s="210"/>
      <c r="H806" s="210"/>
      <c r="I806" s="210"/>
      <c r="J806" s="210"/>
      <c r="K806" s="210"/>
      <c r="L806" s="210"/>
      <c r="M806" s="210"/>
      <c r="N806" s="210"/>
      <c r="O806" s="204"/>
      <c r="P806" s="204"/>
    </row>
    <row r="807" spans="1:32" s="122" customFormat="1" ht="15.75" collapsed="1" x14ac:dyDescent="0.2">
      <c r="A807" s="1043">
        <v>6</v>
      </c>
      <c r="B807" s="1039"/>
      <c r="C807" s="1039"/>
      <c r="D807" s="1039"/>
      <c r="E807" s="1039"/>
      <c r="F807" s="1039"/>
      <c r="G807" s="1039"/>
      <c r="H807" s="1039"/>
      <c r="I807" s="1039"/>
      <c r="J807" s="1039"/>
      <c r="K807" s="1039"/>
      <c r="L807" s="1039"/>
      <c r="M807" s="1039"/>
      <c r="N807" s="1039"/>
      <c r="O807" s="1039"/>
      <c r="P807" s="206"/>
      <c r="Q807" s="206"/>
      <c r="R807" s="206"/>
      <c r="S807" s="206"/>
      <c r="T807" s="206"/>
      <c r="U807" s="206"/>
      <c r="V807" s="206"/>
      <c r="W807" s="206"/>
      <c r="X807" s="206"/>
      <c r="Y807" s="206"/>
      <c r="Z807" s="206"/>
      <c r="AA807" s="206"/>
      <c r="AB807" s="206"/>
      <c r="AC807" s="206"/>
      <c r="AD807" s="206"/>
      <c r="AE807" s="206"/>
      <c r="AF807" s="206"/>
    </row>
    <row r="808" spans="1:32" s="203" customFormat="1" ht="13.5" thickBot="1" x14ac:dyDescent="0.25">
      <c r="A808" s="206"/>
      <c r="B808" s="74"/>
      <c r="C808" s="211"/>
      <c r="D808" s="214"/>
      <c r="E808" s="210"/>
      <c r="F808" s="210"/>
      <c r="G808" s="210"/>
      <c r="H808" s="210"/>
      <c r="I808" s="210"/>
      <c r="J808" s="210"/>
      <c r="K808" s="210"/>
      <c r="L808" s="210"/>
      <c r="M808" s="210"/>
      <c r="N808" s="210"/>
      <c r="O808" s="204"/>
      <c r="P808" s="204"/>
    </row>
    <row r="809" spans="1:32" s="203" customFormat="1" ht="20.100000000000001" customHeight="1" x14ac:dyDescent="0.2">
      <c r="A809" s="1397" t="s">
        <v>4200</v>
      </c>
      <c r="C809" s="1413" t="s">
        <v>4175</v>
      </c>
      <c r="D809" s="1414"/>
      <c r="E809" s="210"/>
      <c r="F809" s="210"/>
      <c r="G809" s="210"/>
      <c r="H809" s="210"/>
      <c r="I809" s="210"/>
      <c r="J809" s="210"/>
      <c r="K809" s="210"/>
      <c r="L809" s="210"/>
      <c r="M809" s="210"/>
      <c r="N809" s="210"/>
      <c r="O809" s="210"/>
      <c r="P809" s="204"/>
    </row>
    <row r="810" spans="1:32" s="203" customFormat="1" x14ac:dyDescent="0.2">
      <c r="A810" s="1398"/>
      <c r="B810" s="74"/>
      <c r="C810" s="211"/>
      <c r="D810" s="214"/>
      <c r="E810" s="210"/>
      <c r="F810" s="210"/>
      <c r="G810" s="210"/>
      <c r="H810" s="210"/>
      <c r="I810" s="210"/>
      <c r="J810" s="210"/>
      <c r="K810" s="210"/>
      <c r="L810" s="210"/>
      <c r="M810" s="210"/>
      <c r="N810" s="210"/>
      <c r="O810" s="204"/>
      <c r="P810" s="204"/>
    </row>
    <row r="811" spans="1:32" s="203" customFormat="1" x14ac:dyDescent="0.2">
      <c r="A811" s="1399"/>
      <c r="B811" s="74"/>
      <c r="C811" s="211"/>
      <c r="D811" s="214"/>
      <c r="E811" s="210"/>
      <c r="F811" s="210"/>
      <c r="G811" s="210"/>
      <c r="H811" s="210"/>
      <c r="I811" s="210"/>
      <c r="J811" s="210"/>
      <c r="K811" s="210"/>
      <c r="L811" s="210"/>
      <c r="M811" s="210"/>
      <c r="N811" s="210"/>
      <c r="O811" s="204"/>
      <c r="P811" s="204"/>
    </row>
    <row r="812" spans="1:32" s="203" customFormat="1" x14ac:dyDescent="0.2">
      <c r="A812" s="1024"/>
      <c r="B812" s="74"/>
      <c r="C812" s="211"/>
      <c r="D812" s="214"/>
      <c r="E812" s="210"/>
      <c r="F812" s="210"/>
      <c r="G812" s="210"/>
      <c r="H812" s="210"/>
      <c r="I812" s="210"/>
      <c r="J812" s="210"/>
      <c r="K812" s="210"/>
      <c r="L812" s="210"/>
      <c r="M812" s="210"/>
      <c r="N812" s="210"/>
      <c r="O812" s="204"/>
      <c r="P812" s="204"/>
    </row>
    <row r="813" spans="1:32" s="203" customFormat="1" ht="13.5" hidden="1" outlineLevel="1" thickBot="1" x14ac:dyDescent="0.25">
      <c r="A813" s="1024"/>
      <c r="B813" s="74"/>
      <c r="C813" s="211"/>
      <c r="D813" s="214"/>
      <c r="E813" s="210"/>
      <c r="F813" s="210"/>
      <c r="G813" s="210"/>
      <c r="H813" s="210"/>
      <c r="I813" s="210"/>
      <c r="J813" s="210"/>
      <c r="K813" s="210"/>
      <c r="L813" s="210"/>
      <c r="M813" s="210"/>
      <c r="N813" s="210"/>
      <c r="O813" s="204"/>
      <c r="P813" s="204"/>
    </row>
    <row r="814" spans="1:32" s="203" customFormat="1" ht="20.100000000000001" hidden="1" customHeight="1" outlineLevel="1" x14ac:dyDescent="0.2">
      <c r="A814" s="1420" t="s">
        <v>4201</v>
      </c>
      <c r="B814" s="74"/>
      <c r="C814" s="1413" t="s">
        <v>233</v>
      </c>
      <c r="D814" s="1414"/>
      <c r="E814" s="322"/>
      <c r="F814" s="322"/>
      <c r="G814" s="322"/>
      <c r="H814" s="322"/>
      <c r="I814" s="322"/>
      <c r="J814" s="322"/>
      <c r="K814" s="322"/>
      <c r="L814" s="322"/>
      <c r="M814" s="322"/>
      <c r="N814" s="322"/>
      <c r="O814" s="584"/>
      <c r="P814" s="204"/>
    </row>
    <row r="815" spans="1:32" s="203" customFormat="1" hidden="1" outlineLevel="1" x14ac:dyDescent="0.2">
      <c r="A815" s="1421"/>
      <c r="B815" s="74"/>
      <c r="C815" s="333"/>
      <c r="D815" s="589" t="s">
        <v>234</v>
      </c>
      <c r="E815" s="210"/>
      <c r="F815" s="210"/>
      <c r="G815" s="210"/>
      <c r="H815" s="210"/>
      <c r="I815" s="210"/>
      <c r="J815" s="210"/>
      <c r="K815" s="210"/>
      <c r="L815" s="210"/>
      <c r="M815" s="210"/>
      <c r="N815" s="210"/>
      <c r="O815" s="334"/>
      <c r="P815" s="204"/>
    </row>
    <row r="816" spans="1:32" s="203" customFormat="1" ht="15.75" hidden="1" outlineLevel="1" x14ac:dyDescent="0.25">
      <c r="A816" s="1421"/>
      <c r="B816" s="74"/>
      <c r="C816" s="342" t="s">
        <v>237</v>
      </c>
      <c r="D816" s="1021">
        <v>500000</v>
      </c>
      <c r="E816" s="1022">
        <f t="shared" ref="E816:N816" si="210">LeaseReturnForecast*pSystemsLeasePaperPrint</f>
        <v>1000000</v>
      </c>
      <c r="F816" s="1022">
        <f t="shared" si="210"/>
        <v>1500000</v>
      </c>
      <c r="G816" s="1022">
        <f t="shared" si="210"/>
        <v>1500000</v>
      </c>
      <c r="H816" s="1022">
        <f t="shared" si="210"/>
        <v>1000000</v>
      </c>
      <c r="I816" s="1022">
        <f t="shared" si="210"/>
        <v>1000000</v>
      </c>
      <c r="J816" s="1022">
        <f t="shared" si="210"/>
        <v>1500000</v>
      </c>
      <c r="K816" s="1022">
        <f t="shared" si="210"/>
        <v>1500000</v>
      </c>
      <c r="L816" s="1022">
        <f t="shared" si="210"/>
        <v>1000000</v>
      </c>
      <c r="M816" s="1022">
        <f t="shared" si="210"/>
        <v>1000000</v>
      </c>
      <c r="N816" s="1022">
        <f t="shared" si="210"/>
        <v>1500000</v>
      </c>
      <c r="O816" s="1023" t="s">
        <v>2778</v>
      </c>
      <c r="P816" s="204"/>
    </row>
    <row r="817" spans="1:16" s="203" customFormat="1" hidden="1" outlineLevel="1" x14ac:dyDescent="0.2">
      <c r="A817" s="1421"/>
      <c r="B817" s="74"/>
      <c r="C817" s="333"/>
      <c r="D817" s="214"/>
      <c r="E817" s="210"/>
      <c r="F817" s="210"/>
      <c r="G817" s="210"/>
      <c r="H817" s="210"/>
      <c r="I817" s="210"/>
      <c r="J817" s="210"/>
      <c r="K817" s="210"/>
      <c r="L817" s="210"/>
      <c r="M817" s="210"/>
      <c r="N817" s="210"/>
      <c r="O817" s="334"/>
      <c r="P817" s="204"/>
    </row>
    <row r="818" spans="1:16" s="203" customFormat="1" hidden="1" outlineLevel="1" x14ac:dyDescent="0.2">
      <c r="A818" s="1421"/>
      <c r="B818" s="74"/>
      <c r="C818" s="333"/>
      <c r="D818" s="589" t="s">
        <v>235</v>
      </c>
      <c r="E818" s="210"/>
      <c r="F818" s="210"/>
      <c r="G818" s="210"/>
      <c r="H818" s="210"/>
      <c r="I818" s="210"/>
      <c r="J818" s="210"/>
      <c r="K818" s="210"/>
      <c r="L818" s="210"/>
      <c r="M818" s="210"/>
      <c r="N818" s="210"/>
      <c r="O818" s="334"/>
      <c r="P818" s="204"/>
    </row>
    <row r="819" spans="1:16" s="203" customFormat="1" ht="15.75" hidden="1" outlineLevel="1" x14ac:dyDescent="0.25">
      <c r="A819" s="1421"/>
      <c r="B819" s="74"/>
      <c r="C819" s="343" t="s">
        <v>238</v>
      </c>
      <c r="D819" s="1021">
        <v>100000</v>
      </c>
      <c r="E819" s="1022">
        <f t="shared" ref="E819:N819" si="211">LeaseReturnForecast*hSystemsLeasePaperPrint</f>
        <v>200000</v>
      </c>
      <c r="F819" s="1022">
        <f t="shared" si="211"/>
        <v>300000</v>
      </c>
      <c r="G819" s="1022">
        <f t="shared" si="211"/>
        <v>300000</v>
      </c>
      <c r="H819" s="1022">
        <f t="shared" si="211"/>
        <v>200000</v>
      </c>
      <c r="I819" s="1022">
        <f t="shared" si="211"/>
        <v>200000</v>
      </c>
      <c r="J819" s="1022">
        <f t="shared" si="211"/>
        <v>300000</v>
      </c>
      <c r="K819" s="1022">
        <f t="shared" si="211"/>
        <v>300000</v>
      </c>
      <c r="L819" s="1022">
        <f t="shared" si="211"/>
        <v>200000</v>
      </c>
      <c r="M819" s="1022">
        <f t="shared" si="211"/>
        <v>200000</v>
      </c>
      <c r="N819" s="1022">
        <f t="shared" si="211"/>
        <v>300000</v>
      </c>
      <c r="O819" s="1023" t="s">
        <v>2779</v>
      </c>
      <c r="P819" s="204"/>
    </row>
    <row r="820" spans="1:16" s="203" customFormat="1" hidden="1" outlineLevel="1" x14ac:dyDescent="0.2">
      <c r="A820" s="1421"/>
      <c r="B820" s="74"/>
      <c r="C820" s="333"/>
      <c r="D820" s="214"/>
      <c r="E820" s="210"/>
      <c r="F820" s="210"/>
      <c r="G820" s="210"/>
      <c r="H820" s="210"/>
      <c r="I820" s="210"/>
      <c r="J820" s="210"/>
      <c r="K820" s="210"/>
      <c r="L820" s="210"/>
      <c r="M820" s="210"/>
      <c r="N820" s="210"/>
      <c r="O820" s="334"/>
      <c r="P820" s="204"/>
    </row>
    <row r="821" spans="1:16" s="203" customFormat="1" hidden="1" outlineLevel="1" x14ac:dyDescent="0.2">
      <c r="A821" s="1421"/>
      <c r="B821" s="74"/>
      <c r="C821" s="333"/>
      <c r="D821" s="589" t="s">
        <v>236</v>
      </c>
      <c r="E821" s="210"/>
      <c r="F821" s="210"/>
      <c r="G821" s="210"/>
      <c r="H821" s="210"/>
      <c r="I821" s="210"/>
      <c r="J821" s="210"/>
      <c r="K821" s="210"/>
      <c r="L821" s="210"/>
      <c r="M821" s="210"/>
      <c r="N821" s="210"/>
      <c r="O821" s="334"/>
      <c r="P821" s="204"/>
    </row>
    <row r="822" spans="1:16" s="203" customFormat="1" ht="15.75" hidden="1" outlineLevel="1" x14ac:dyDescent="0.25">
      <c r="A822" s="1421"/>
      <c r="B822" s="74"/>
      <c r="C822" s="344" t="s">
        <v>239</v>
      </c>
      <c r="D822" s="1021">
        <v>1000</v>
      </c>
      <c r="E822" s="1022">
        <f t="shared" ref="E822:N822" si="212">LeaseReturnForecast*eSystemsLeasePaperPrint</f>
        <v>2000</v>
      </c>
      <c r="F822" s="1022">
        <f t="shared" si="212"/>
        <v>3000</v>
      </c>
      <c r="G822" s="1022">
        <f t="shared" si="212"/>
        <v>3000</v>
      </c>
      <c r="H822" s="1022">
        <f t="shared" si="212"/>
        <v>2000</v>
      </c>
      <c r="I822" s="1022">
        <f t="shared" si="212"/>
        <v>2000</v>
      </c>
      <c r="J822" s="1022">
        <f t="shared" si="212"/>
        <v>3000</v>
      </c>
      <c r="K822" s="1022">
        <f t="shared" si="212"/>
        <v>3000</v>
      </c>
      <c r="L822" s="1022">
        <f t="shared" si="212"/>
        <v>2000</v>
      </c>
      <c r="M822" s="1022">
        <f t="shared" si="212"/>
        <v>2000</v>
      </c>
      <c r="N822" s="1022">
        <f t="shared" si="212"/>
        <v>3000</v>
      </c>
      <c r="O822" s="1023" t="s">
        <v>2780</v>
      </c>
      <c r="P822" s="204"/>
    </row>
    <row r="823" spans="1:16" s="203" customFormat="1" ht="13.5" hidden="1" outlineLevel="1" thickBot="1" x14ac:dyDescent="0.25">
      <c r="A823" s="1422"/>
      <c r="B823" s="74"/>
      <c r="C823" s="325"/>
      <c r="D823" s="725"/>
      <c r="E823" s="568"/>
      <c r="F823" s="568"/>
      <c r="G823" s="568"/>
      <c r="H823" s="568"/>
      <c r="I823" s="568"/>
      <c r="J823" s="568"/>
      <c r="K823" s="568"/>
      <c r="L823" s="568"/>
      <c r="M823" s="568"/>
      <c r="N823" s="568"/>
      <c r="O823" s="580"/>
      <c r="P823" s="204"/>
    </row>
    <row r="824" spans="1:16" s="203" customFormat="1" ht="13.5" hidden="1" outlineLevel="1" thickBot="1" x14ac:dyDescent="0.25">
      <c r="A824" s="1024"/>
      <c r="B824" s="74"/>
      <c r="C824" s="207"/>
      <c r="D824" s="214"/>
      <c r="E824" s="210"/>
      <c r="F824" s="210"/>
      <c r="G824" s="210"/>
      <c r="H824" s="210"/>
      <c r="I824" s="210"/>
      <c r="J824" s="210"/>
      <c r="K824" s="210"/>
      <c r="L824" s="210"/>
      <c r="M824" s="210"/>
      <c r="N824" s="210"/>
      <c r="O824" s="210"/>
      <c r="P824" s="204"/>
    </row>
    <row r="825" spans="1:16" s="203" customFormat="1" ht="20.100000000000001" hidden="1" customHeight="1" outlineLevel="1" x14ac:dyDescent="0.2">
      <c r="A825" s="1397" t="s">
        <v>4202</v>
      </c>
      <c r="B825" s="74"/>
      <c r="C825" s="1413" t="s">
        <v>243</v>
      </c>
      <c r="D825" s="1414"/>
      <c r="E825" s="322"/>
      <c r="F825" s="322"/>
      <c r="G825" s="322"/>
      <c r="H825" s="322"/>
      <c r="I825" s="322"/>
      <c r="J825" s="322"/>
      <c r="K825" s="322"/>
      <c r="L825" s="322"/>
      <c r="M825" s="322"/>
      <c r="N825" s="322"/>
      <c r="O825" s="338"/>
      <c r="P825" s="204"/>
    </row>
    <row r="826" spans="1:16" s="203" customFormat="1" ht="15" hidden="1" outlineLevel="1" x14ac:dyDescent="0.25">
      <c r="A826" s="1398"/>
      <c r="B826" s="1027"/>
      <c r="C826" s="333"/>
      <c r="D826" s="214"/>
      <c r="E826" s="210"/>
      <c r="F826" s="210"/>
      <c r="G826" s="210"/>
      <c r="H826" s="210"/>
      <c r="I826" s="210"/>
      <c r="J826" s="210"/>
      <c r="K826" s="210"/>
      <c r="L826" s="210"/>
      <c r="M826" s="210"/>
      <c r="N826" s="210"/>
      <c r="O826" s="334"/>
      <c r="P826" s="204"/>
    </row>
    <row r="827" spans="1:16" s="203" customFormat="1" hidden="1" outlineLevel="1" x14ac:dyDescent="0.2">
      <c r="A827" s="1398"/>
      <c r="B827" s="74"/>
      <c r="C827" s="333" t="s">
        <v>73</v>
      </c>
      <c r="D827" s="733">
        <f>CostperCopy</f>
        <v>4.8899999999999999E-2</v>
      </c>
      <c r="E827" s="210"/>
      <c r="F827" s="210"/>
      <c r="G827" s="210"/>
      <c r="H827" s="210"/>
      <c r="I827" s="210"/>
      <c r="J827" s="210"/>
      <c r="K827" s="210"/>
      <c r="L827" s="210"/>
      <c r="M827" s="210"/>
      <c r="N827" s="210"/>
      <c r="O827" s="334"/>
      <c r="P827" s="204"/>
    </row>
    <row r="828" spans="1:16" s="203" customFormat="1" hidden="1" outlineLevel="1" x14ac:dyDescent="0.2">
      <c r="A828" s="1398"/>
      <c r="B828" s="74"/>
      <c r="C828" s="333"/>
      <c r="D828" s="214"/>
      <c r="E828" s="210"/>
      <c r="F828" s="210"/>
      <c r="G828" s="210"/>
      <c r="H828" s="210"/>
      <c r="I828" s="210"/>
      <c r="J828" s="210"/>
      <c r="K828" s="210"/>
      <c r="L828" s="210"/>
      <c r="M828" s="210"/>
      <c r="N828" s="210"/>
      <c r="O828" s="334"/>
      <c r="P828" s="204"/>
    </row>
    <row r="829" spans="1:16" s="203" customFormat="1" ht="15.75" hidden="1" outlineLevel="1" x14ac:dyDescent="0.25">
      <c r="A829" s="1398"/>
      <c r="B829" s="74"/>
      <c r="C829" s="331"/>
      <c r="D829" s="734" t="s">
        <v>240</v>
      </c>
      <c r="E829" s="345">
        <f>SUM(CostperCopy*pSystemsLeasePaperPrintPA)</f>
        <v>48900</v>
      </c>
      <c r="F829" s="345">
        <f>SUM(CostperCopy*pSystemsLeasePaperPrintPA)*(1+Inflation)</f>
        <v>74817</v>
      </c>
      <c r="G829" s="345">
        <f>SUM(CostperCopy*pSystemsLeasePaperPrintPA)*(1+Inflation)^2</f>
        <v>76313.34</v>
      </c>
      <c r="H829" s="345">
        <f>SUM(CostperCopy*pSystemsLeasePaperPrintPA)*(1+Inflation)^3</f>
        <v>51893.071199999998</v>
      </c>
      <c r="I829" s="345">
        <f>SUM(CostperCopy*pSystemsLeasePaperPrintPA)*(1+Inflation)^4</f>
        <v>52930.932624000001</v>
      </c>
      <c r="J829" s="345">
        <f>SUM(CostperCopy*pSystemsLeasePaperPrintPA)*(1+Inflation)^5</f>
        <v>80984.326914720004</v>
      </c>
      <c r="K829" s="345">
        <f>SUM(CostperCopy*pSystemsLeasePaperPrintPA)*(1+Inflation)^6</f>
        <v>82604.013453014399</v>
      </c>
      <c r="L829" s="345">
        <f>SUM(CostperCopy*pSystemsLeasePaperPrintPA)*(1+Inflation)^7</f>
        <v>56170.729148049781</v>
      </c>
      <c r="M829" s="345">
        <f>SUM(CostperCopy*pSystemsLeasePaperPrintPA)*(1+Inflation)^8</f>
        <v>57294.143731010787</v>
      </c>
      <c r="N829" s="345">
        <f>SUM(CostperCopy*pSystemsLeasePaperPrintPA)*(1+Inflation)^9</f>
        <v>87660.039908446503</v>
      </c>
      <c r="O829" s="324" t="s">
        <v>248</v>
      </c>
      <c r="P829" s="204"/>
    </row>
    <row r="830" spans="1:16" s="203" customFormat="1" hidden="1" outlineLevel="1" x14ac:dyDescent="0.2">
      <c r="A830" s="1398"/>
      <c r="B830" s="74"/>
      <c r="C830" s="331"/>
      <c r="D830" s="214"/>
      <c r="E830" s="210"/>
      <c r="F830" s="210"/>
      <c r="G830" s="210"/>
      <c r="H830" s="210"/>
      <c r="I830" s="210"/>
      <c r="J830" s="210"/>
      <c r="K830" s="210"/>
      <c r="L830" s="210"/>
      <c r="M830" s="210"/>
      <c r="N830" s="210"/>
      <c r="O830" s="334"/>
      <c r="P830" s="204"/>
    </row>
    <row r="831" spans="1:16" s="203" customFormat="1" ht="15.75" hidden="1" outlineLevel="1" x14ac:dyDescent="0.25">
      <c r="A831" s="1398"/>
      <c r="B831" s="74"/>
      <c r="C831" s="331"/>
      <c r="D831" s="735" t="s">
        <v>241</v>
      </c>
      <c r="E831" s="345">
        <f>SUM(CostperCopy*hSystemsLeasePaperPrintPA)</f>
        <v>9780</v>
      </c>
      <c r="F831" s="345">
        <f>SUM(CostperCopy*hSystemsLeasePaperPrintPA)*(1+Inflation)</f>
        <v>14963.4</v>
      </c>
      <c r="G831" s="345">
        <f>SUM(CostperCopy*hSystemsLeasePaperPrintPA)*(1+Inflation)^2</f>
        <v>15262.668</v>
      </c>
      <c r="H831" s="345">
        <f>SUM(CostperCopy*hSystemsLeasePaperPrintPA)*(1+Inflation)^3</f>
        <v>10378.614239999999</v>
      </c>
      <c r="I831" s="345">
        <f>SUM(CostperCopy*hSystemsLeasePaperPrintPA)*(1+Inflation)^4</f>
        <v>10586.186524799999</v>
      </c>
      <c r="J831" s="345">
        <f>SUM(CostperCopy*hSystemsLeasePaperPrintPA)*(1+Inflation)^5</f>
        <v>16196.865382944001</v>
      </c>
      <c r="K831" s="345">
        <f>SUM(CostperCopy*hSystemsLeasePaperPrintPA)*(1+Inflation)^6</f>
        <v>16520.802690602883</v>
      </c>
      <c r="L831" s="345">
        <f>SUM(CostperCopy*hSystemsLeasePaperPrintPA)*(1+Inflation)^7</f>
        <v>11234.145829609957</v>
      </c>
      <c r="M831" s="345">
        <f>SUM(CostperCopy*hSystemsLeasePaperPrintPA)*(1+Inflation)^8</f>
        <v>11458.828746202156</v>
      </c>
      <c r="N831" s="345">
        <f>SUM(CostperCopy*hSystemsLeasePaperPrintPA)*(1+Inflation)^9</f>
        <v>17532.007981689301</v>
      </c>
      <c r="O831" s="324" t="s">
        <v>249</v>
      </c>
      <c r="P831" s="204"/>
    </row>
    <row r="832" spans="1:16" s="203" customFormat="1" hidden="1" outlineLevel="1" x14ac:dyDescent="0.2">
      <c r="A832" s="1398"/>
      <c r="B832" s="74"/>
      <c r="C832" s="331"/>
      <c r="D832" s="214"/>
      <c r="E832" s="210"/>
      <c r="F832" s="210"/>
      <c r="G832" s="210"/>
      <c r="H832" s="210"/>
      <c r="I832" s="210"/>
      <c r="J832" s="210"/>
      <c r="K832" s="210"/>
      <c r="L832" s="210"/>
      <c r="M832" s="210"/>
      <c r="N832" s="210"/>
      <c r="O832" s="334"/>
      <c r="P832" s="204"/>
    </row>
    <row r="833" spans="1:16" s="203" customFormat="1" ht="15.75" hidden="1" outlineLevel="1" x14ac:dyDescent="0.25">
      <c r="A833" s="1398"/>
      <c r="B833" s="74"/>
      <c r="C833" s="331"/>
      <c r="D833" s="736" t="s">
        <v>242</v>
      </c>
      <c r="E833" s="345">
        <f>SUM(CostperCopy*eSystemsLeasePaperPrintPA)</f>
        <v>97.8</v>
      </c>
      <c r="F833" s="345">
        <f>SUM(CostperCopy*eSystemsLeasePaperPrintPA)*(1+Inflation)</f>
        <v>149.63399999999999</v>
      </c>
      <c r="G833" s="345">
        <f>SUM(CostperCopy*eSystemsLeasePaperPrintPA)*(1+Inflation)^2</f>
        <v>152.62667999999999</v>
      </c>
      <c r="H833" s="345">
        <f>SUM(CostperCopy*eSystemsLeasePaperPrintPA)*(1+Inflation)^3</f>
        <v>103.78614239999999</v>
      </c>
      <c r="I833" s="345">
        <f>SUM(CostperCopy*eSystemsLeasePaperPrintPA)*(1+Inflation)^4</f>
        <v>105.861865248</v>
      </c>
      <c r="J833" s="345">
        <f>SUM(CostperCopy*eSystemsLeasePaperPrintPA)*(1+Inflation)^5</f>
        <v>161.96865382944</v>
      </c>
      <c r="K833" s="345">
        <f>SUM(CostperCopy*eSystemsLeasePaperPrintPA)*(1+Inflation)^6</f>
        <v>165.20802690602881</v>
      </c>
      <c r="L833" s="345">
        <f>SUM(CostperCopy*eSystemsLeasePaperPrintPA)*(1+Inflation)^7</f>
        <v>112.34145829609956</v>
      </c>
      <c r="M833" s="345">
        <f>SUM(CostperCopy*eSystemsLeasePaperPrintPA)*(1+Inflation)^8</f>
        <v>114.58828746202157</v>
      </c>
      <c r="N833" s="345">
        <f>SUM(CostperCopy*eSystemsLeasePaperPrintPA)*(1+Inflation)^9</f>
        <v>175.32007981689299</v>
      </c>
      <c r="O833" s="324" t="s">
        <v>247</v>
      </c>
      <c r="P833" s="204"/>
    </row>
    <row r="834" spans="1:16" s="203" customFormat="1" ht="13.5" hidden="1" outlineLevel="1" thickBot="1" x14ac:dyDescent="0.25">
      <c r="A834" s="1399"/>
      <c r="B834" s="74"/>
      <c r="C834" s="325"/>
      <c r="D834" s="722"/>
      <c r="E834" s="326"/>
      <c r="F834" s="326"/>
      <c r="G834" s="326"/>
      <c r="H834" s="326"/>
      <c r="I834" s="326"/>
      <c r="J834" s="326"/>
      <c r="K834" s="326"/>
      <c r="L834" s="326"/>
      <c r="M834" s="326"/>
      <c r="N834" s="326"/>
      <c r="O834" s="335"/>
      <c r="P834" s="204"/>
    </row>
    <row r="835" spans="1:16" s="203" customFormat="1" ht="13.5" hidden="1" outlineLevel="1" thickBot="1" x14ac:dyDescent="0.25">
      <c r="A835" s="1024"/>
      <c r="B835" s="74"/>
      <c r="C835" s="211"/>
      <c r="D835" s="214"/>
      <c r="E835" s="210"/>
      <c r="F835" s="210"/>
      <c r="G835" s="210"/>
      <c r="H835" s="210"/>
      <c r="I835" s="210"/>
      <c r="J835" s="210"/>
      <c r="K835" s="210"/>
      <c r="L835" s="210"/>
      <c r="M835" s="210"/>
      <c r="N835" s="210"/>
      <c r="O835" s="210"/>
      <c r="P835" s="204"/>
    </row>
    <row r="836" spans="1:16" s="203" customFormat="1" ht="20.100000000000001" hidden="1" customHeight="1" outlineLevel="1" x14ac:dyDescent="0.2">
      <c r="A836" s="1397" t="s">
        <v>4203</v>
      </c>
      <c r="B836" s="211"/>
      <c r="C836" s="1013" t="str">
        <f>Scenario1&amp;" Record Printing &amp; Collation Labor Hours"</f>
        <v>pSystems (Paper) Record Printing &amp; Collation Labor Hours</v>
      </c>
      <c r="D836" s="729"/>
      <c r="E836" s="322"/>
      <c r="F836" s="322"/>
      <c r="G836" s="322"/>
      <c r="H836" s="322"/>
      <c r="I836" s="322"/>
      <c r="J836" s="322"/>
      <c r="K836" s="322"/>
      <c r="L836" s="322"/>
      <c r="M836" s="322"/>
      <c r="N836" s="322"/>
      <c r="O836" s="341"/>
      <c r="P836" s="204"/>
    </row>
    <row r="837" spans="1:16" s="203" customFormat="1" ht="12.95" hidden="1" customHeight="1" outlineLevel="1" x14ac:dyDescent="0.2">
      <c r="A837" s="1398"/>
      <c r="B837" s="211"/>
      <c r="C837" s="328"/>
      <c r="D837" s="214"/>
      <c r="E837" s="210"/>
      <c r="F837" s="210"/>
      <c r="G837" s="210"/>
      <c r="H837" s="210"/>
      <c r="I837" s="210"/>
      <c r="J837" s="210"/>
      <c r="K837" s="210"/>
      <c r="L837" s="210"/>
      <c r="M837" s="210"/>
      <c r="N837" s="210"/>
      <c r="O837" s="324"/>
      <c r="P837" s="204"/>
    </row>
    <row r="838" spans="1:16" s="142" customFormat="1" ht="18" hidden="1" customHeight="1" outlineLevel="1" x14ac:dyDescent="0.2">
      <c r="A838" s="1398"/>
      <c r="B838" s="138"/>
      <c r="C838" s="235"/>
      <c r="D838" s="726" t="s">
        <v>2704</v>
      </c>
      <c r="E838" s="577">
        <v>0</v>
      </c>
      <c r="F838" s="577">
        <v>0</v>
      </c>
      <c r="G838" s="577">
        <v>0</v>
      </c>
      <c r="H838" s="577">
        <v>0</v>
      </c>
      <c r="I838" s="577">
        <v>0</v>
      </c>
      <c r="J838" s="577">
        <v>0</v>
      </c>
      <c r="K838" s="577">
        <v>0</v>
      </c>
      <c r="L838" s="577">
        <v>0</v>
      </c>
      <c r="M838" s="577">
        <v>0</v>
      </c>
      <c r="N838" s="577">
        <v>0</v>
      </c>
      <c r="O838" s="535" t="s">
        <v>2767</v>
      </c>
    </row>
    <row r="839" spans="1:16" s="142" customFormat="1" ht="18" hidden="1" customHeight="1" outlineLevel="1" x14ac:dyDescent="0.2">
      <c r="A839" s="1398"/>
      <c r="B839" s="138"/>
      <c r="C839" s="235"/>
      <c r="D839" s="726" t="s">
        <v>2705</v>
      </c>
      <c r="E839" s="577">
        <v>0</v>
      </c>
      <c r="F839" s="577">
        <v>0</v>
      </c>
      <c r="G839" s="577">
        <v>0</v>
      </c>
      <c r="H839" s="577">
        <v>0</v>
      </c>
      <c r="I839" s="577">
        <v>0</v>
      </c>
      <c r="J839" s="577">
        <v>0</v>
      </c>
      <c r="K839" s="577">
        <v>0</v>
      </c>
      <c r="L839" s="577">
        <v>0</v>
      </c>
      <c r="M839" s="577">
        <v>0</v>
      </c>
      <c r="N839" s="577">
        <v>0</v>
      </c>
      <c r="O839" s="535" t="s">
        <v>2768</v>
      </c>
    </row>
    <row r="840" spans="1:16" s="142" customFormat="1" ht="18" hidden="1" customHeight="1" outlineLevel="1" x14ac:dyDescent="0.2">
      <c r="A840" s="1398"/>
      <c r="C840" s="235"/>
      <c r="D840" s="726" t="s">
        <v>2706</v>
      </c>
      <c r="E840" s="577">
        <v>0</v>
      </c>
      <c r="F840" s="577">
        <v>0</v>
      </c>
      <c r="G840" s="577">
        <v>0</v>
      </c>
      <c r="H840" s="577">
        <v>0</v>
      </c>
      <c r="I840" s="577">
        <v>0</v>
      </c>
      <c r="J840" s="577">
        <v>0</v>
      </c>
      <c r="K840" s="577">
        <v>0</v>
      </c>
      <c r="L840" s="577">
        <v>0</v>
      </c>
      <c r="M840" s="577">
        <v>0</v>
      </c>
      <c r="N840" s="577">
        <v>0</v>
      </c>
      <c r="O840" s="535" t="s">
        <v>2769</v>
      </c>
    </row>
    <row r="841" spans="1:16" s="142" customFormat="1" ht="18" hidden="1" customHeight="1" outlineLevel="1" x14ac:dyDescent="0.2">
      <c r="A841" s="1398"/>
      <c r="B841" s="138"/>
      <c r="C841" s="235"/>
      <c r="D841" s="726" t="s">
        <v>2707</v>
      </c>
      <c r="E841" s="577">
        <v>0</v>
      </c>
      <c r="F841" s="577">
        <v>0</v>
      </c>
      <c r="G841" s="577">
        <v>0</v>
      </c>
      <c r="H841" s="577">
        <v>0</v>
      </c>
      <c r="I841" s="577">
        <v>0</v>
      </c>
      <c r="J841" s="577">
        <v>0</v>
      </c>
      <c r="K841" s="577">
        <v>0</v>
      </c>
      <c r="L841" s="577">
        <v>0</v>
      </c>
      <c r="M841" s="577">
        <v>0</v>
      </c>
      <c r="N841" s="577">
        <v>0</v>
      </c>
      <c r="O841" s="535" t="s">
        <v>2770</v>
      </c>
    </row>
    <row r="842" spans="1:16" s="142" customFormat="1" ht="18" hidden="1" customHeight="1" outlineLevel="1" x14ac:dyDescent="0.2">
      <c r="A842" s="1398"/>
      <c r="B842" s="138"/>
      <c r="C842" s="235"/>
      <c r="D842" s="726" t="s">
        <v>2708</v>
      </c>
      <c r="E842" s="577">
        <v>1000</v>
      </c>
      <c r="F842" s="577">
        <v>1000</v>
      </c>
      <c r="G842" s="577">
        <v>1000</v>
      </c>
      <c r="H842" s="577">
        <v>1000</v>
      </c>
      <c r="I842" s="577">
        <v>1000</v>
      </c>
      <c r="J842" s="577">
        <v>1000</v>
      </c>
      <c r="K842" s="577">
        <v>1000</v>
      </c>
      <c r="L842" s="577">
        <v>1000</v>
      </c>
      <c r="M842" s="577">
        <v>1000</v>
      </c>
      <c r="N842" s="577">
        <v>1000</v>
      </c>
      <c r="O842" s="535" t="s">
        <v>2771</v>
      </c>
    </row>
    <row r="843" spans="1:16" s="142" customFormat="1" ht="18" hidden="1" customHeight="1" outlineLevel="1" x14ac:dyDescent="0.2">
      <c r="A843" s="1398"/>
      <c r="B843" s="138"/>
      <c r="C843" s="235"/>
      <c r="D843" s="726" t="s">
        <v>2709</v>
      </c>
      <c r="E843" s="577">
        <v>0</v>
      </c>
      <c r="F843" s="577">
        <v>0</v>
      </c>
      <c r="G843" s="577">
        <v>0</v>
      </c>
      <c r="H843" s="577">
        <v>0</v>
      </c>
      <c r="I843" s="577">
        <v>0</v>
      </c>
      <c r="J843" s="577">
        <v>0</v>
      </c>
      <c r="K843" s="577">
        <v>0</v>
      </c>
      <c r="L843" s="577">
        <v>0</v>
      </c>
      <c r="M843" s="577">
        <v>0</v>
      </c>
      <c r="N843" s="577">
        <v>0</v>
      </c>
      <c r="O843" s="535" t="s">
        <v>230</v>
      </c>
    </row>
    <row r="844" spans="1:16" s="142" customFormat="1" ht="18" hidden="1" customHeight="1" outlineLevel="1" x14ac:dyDescent="0.2">
      <c r="A844" s="1398"/>
      <c r="B844" s="138"/>
      <c r="C844" s="235"/>
      <c r="D844" s="726" t="s">
        <v>2710</v>
      </c>
      <c r="E844" s="577">
        <v>0</v>
      </c>
      <c r="F844" s="577">
        <v>0</v>
      </c>
      <c r="G844" s="577">
        <v>0</v>
      </c>
      <c r="H844" s="577">
        <v>0</v>
      </c>
      <c r="I844" s="577">
        <v>0</v>
      </c>
      <c r="J844" s="577">
        <v>0</v>
      </c>
      <c r="K844" s="577">
        <v>0</v>
      </c>
      <c r="L844" s="577">
        <v>0</v>
      </c>
      <c r="M844" s="577">
        <v>0</v>
      </c>
      <c r="N844" s="577">
        <v>0</v>
      </c>
      <c r="O844" s="535" t="s">
        <v>2772</v>
      </c>
    </row>
    <row r="845" spans="1:16" s="142" customFormat="1" ht="18" hidden="1" customHeight="1" outlineLevel="1" x14ac:dyDescent="0.2">
      <c r="A845" s="1398"/>
      <c r="B845" s="138"/>
      <c r="C845" s="235"/>
      <c r="D845" s="726" t="s">
        <v>2711</v>
      </c>
      <c r="E845" s="577">
        <v>0</v>
      </c>
      <c r="F845" s="577">
        <v>0</v>
      </c>
      <c r="G845" s="577">
        <v>0</v>
      </c>
      <c r="H845" s="577">
        <v>0</v>
      </c>
      <c r="I845" s="577">
        <v>0</v>
      </c>
      <c r="J845" s="577">
        <v>0</v>
      </c>
      <c r="K845" s="577">
        <v>0</v>
      </c>
      <c r="L845" s="577">
        <v>0</v>
      </c>
      <c r="M845" s="577">
        <v>0</v>
      </c>
      <c r="N845" s="577">
        <v>0</v>
      </c>
      <c r="O845" s="535" t="s">
        <v>2773</v>
      </c>
    </row>
    <row r="846" spans="1:16" s="142" customFormat="1" ht="18" hidden="1" customHeight="1" outlineLevel="1" x14ac:dyDescent="0.2">
      <c r="A846" s="1398"/>
      <c r="B846" s="565"/>
      <c r="C846" s="235"/>
      <c r="D846" s="726" t="s">
        <v>2712</v>
      </c>
      <c r="E846" s="577">
        <v>0</v>
      </c>
      <c r="F846" s="577">
        <v>0</v>
      </c>
      <c r="G846" s="577">
        <v>0</v>
      </c>
      <c r="H846" s="577">
        <v>0</v>
      </c>
      <c r="I846" s="577">
        <v>0</v>
      </c>
      <c r="J846" s="577">
        <v>0</v>
      </c>
      <c r="K846" s="577">
        <v>0</v>
      </c>
      <c r="L846" s="577">
        <v>0</v>
      </c>
      <c r="M846" s="577">
        <v>0</v>
      </c>
      <c r="N846" s="577">
        <v>0</v>
      </c>
      <c r="O846" s="535" t="s">
        <v>2774</v>
      </c>
    </row>
    <row r="847" spans="1:16" s="142" customFormat="1" ht="18" hidden="1" customHeight="1" outlineLevel="1" x14ac:dyDescent="0.2">
      <c r="A847" s="1398"/>
      <c r="B847" s="565"/>
      <c r="C847" s="235"/>
      <c r="D847" s="726" t="s">
        <v>2713</v>
      </c>
      <c r="E847" s="577">
        <v>0</v>
      </c>
      <c r="F847" s="577">
        <v>0</v>
      </c>
      <c r="G847" s="577">
        <v>0</v>
      </c>
      <c r="H847" s="577">
        <v>0</v>
      </c>
      <c r="I847" s="577">
        <v>0</v>
      </c>
      <c r="J847" s="577">
        <v>0</v>
      </c>
      <c r="K847" s="577">
        <v>0</v>
      </c>
      <c r="L847" s="577">
        <v>0</v>
      </c>
      <c r="M847" s="577">
        <v>0</v>
      </c>
      <c r="N847" s="577">
        <v>0</v>
      </c>
      <c r="O847" s="535" t="s">
        <v>2775</v>
      </c>
    </row>
    <row r="848" spans="1:16" s="142" customFormat="1" ht="18" hidden="1" customHeight="1" outlineLevel="1" x14ac:dyDescent="0.2">
      <c r="A848" s="1398"/>
      <c r="B848" s="138"/>
      <c r="C848" s="235"/>
      <c r="D848" s="726" t="s">
        <v>2714</v>
      </c>
      <c r="E848" s="577">
        <v>0</v>
      </c>
      <c r="F848" s="577">
        <v>0</v>
      </c>
      <c r="G848" s="577">
        <v>0</v>
      </c>
      <c r="H848" s="577">
        <v>0</v>
      </c>
      <c r="I848" s="577">
        <v>0</v>
      </c>
      <c r="J848" s="577">
        <v>0</v>
      </c>
      <c r="K848" s="577">
        <v>0</v>
      </c>
      <c r="L848" s="577">
        <v>0</v>
      </c>
      <c r="M848" s="577">
        <v>0</v>
      </c>
      <c r="N848" s="577">
        <v>0</v>
      </c>
      <c r="O848" s="535" t="s">
        <v>2776</v>
      </c>
    </row>
    <row r="849" spans="1:33" s="142" customFormat="1" ht="18" hidden="1" customHeight="1" outlineLevel="1" x14ac:dyDescent="0.2">
      <c r="A849" s="1398"/>
      <c r="B849" s="138"/>
      <c r="C849" s="235"/>
      <c r="D849" s="726" t="s">
        <v>2715</v>
      </c>
      <c r="E849" s="577">
        <v>0</v>
      </c>
      <c r="F849" s="577">
        <v>0</v>
      </c>
      <c r="G849" s="577">
        <v>0</v>
      </c>
      <c r="H849" s="577">
        <v>0</v>
      </c>
      <c r="I849" s="577">
        <v>0</v>
      </c>
      <c r="J849" s="577">
        <v>0</v>
      </c>
      <c r="K849" s="577">
        <v>0</v>
      </c>
      <c r="L849" s="577">
        <v>0</v>
      </c>
      <c r="M849" s="577">
        <v>0</v>
      </c>
      <c r="N849" s="577">
        <v>0</v>
      </c>
      <c r="O849" s="535" t="s">
        <v>2777</v>
      </c>
    </row>
    <row r="850" spans="1:33" s="206" customFormat="1" ht="15.75" hidden="1" outlineLevel="1" thickBot="1" x14ac:dyDescent="0.3">
      <c r="A850" s="1399"/>
      <c r="B850" s="563"/>
      <c r="C850" s="564"/>
      <c r="D850" s="724"/>
      <c r="E850" s="571"/>
      <c r="F850" s="571"/>
      <c r="G850" s="571"/>
      <c r="H850" s="571"/>
      <c r="I850" s="571"/>
      <c r="J850" s="571"/>
      <c r="K850" s="571"/>
      <c r="L850" s="571"/>
      <c r="M850" s="571"/>
      <c r="N850" s="571"/>
      <c r="O850" s="572"/>
      <c r="P850" s="210"/>
    </row>
    <row r="851" spans="1:33" s="206" customFormat="1" ht="15.75" hidden="1" outlineLevel="1" thickBot="1" x14ac:dyDescent="0.3">
      <c r="A851" s="1024"/>
      <c r="B851" s="563"/>
      <c r="C851" s="322"/>
      <c r="D851" s="732"/>
      <c r="E851" s="581"/>
      <c r="F851" s="581"/>
      <c r="G851" s="581"/>
      <c r="H851" s="581"/>
      <c r="I851" s="581"/>
      <c r="J851" s="581"/>
      <c r="K851" s="581"/>
      <c r="L851" s="581"/>
      <c r="M851" s="581"/>
      <c r="N851" s="581"/>
      <c r="O851" s="558"/>
      <c r="P851" s="210"/>
    </row>
    <row r="852" spans="1:33" s="8" customFormat="1" ht="20.25" hidden="1" outlineLevel="1" x14ac:dyDescent="0.2">
      <c r="A852" s="1397" t="s">
        <v>4204</v>
      </c>
      <c r="B852" s="102"/>
      <c r="C852" s="1014" t="str">
        <f>Scenario1&amp;" Lease Printing &amp; Collation Labor Cost pa (based on Touch Hour Rate)"</f>
        <v>pSystems (Paper) Lease Printing &amp; Collation Labor Cost pa (based on Touch Hour Rate)</v>
      </c>
      <c r="D852" s="310"/>
      <c r="E852" s="316"/>
      <c r="F852" s="316"/>
      <c r="G852" s="316"/>
      <c r="H852" s="316"/>
      <c r="I852" s="316"/>
      <c r="J852" s="316"/>
      <c r="K852" s="316"/>
      <c r="L852" s="316"/>
      <c r="M852" s="316"/>
      <c r="N852" s="316"/>
      <c r="O852" s="583"/>
      <c r="P852" s="17"/>
      <c r="Q852" s="17"/>
      <c r="R852" s="17"/>
      <c r="S852" s="17"/>
      <c r="T852" s="17"/>
      <c r="U852" s="17"/>
      <c r="V852" s="17"/>
      <c r="W852" s="17"/>
      <c r="X852" s="17"/>
      <c r="Y852" s="17"/>
      <c r="Z852" s="17"/>
      <c r="AA852" s="17"/>
      <c r="AB852" s="17"/>
      <c r="AC852" s="17"/>
      <c r="AD852" s="17"/>
      <c r="AE852" s="17"/>
      <c r="AF852" s="17"/>
      <c r="AG852" s="17"/>
    </row>
    <row r="853" spans="1:33" s="142" customFormat="1" ht="18" hidden="1" customHeight="1" outlineLevel="1" x14ac:dyDescent="0.2">
      <c r="A853" s="1398"/>
      <c r="B853" s="138"/>
      <c r="C853" s="235"/>
      <c r="D853" s="726" t="s">
        <v>2716</v>
      </c>
      <c r="E853" s="555">
        <f>(pSystemsTouchRateHourHM*pSystemsLeaseReturnPrintCollLaborHrsHM*LeaseReturnForecast)</f>
        <v>0</v>
      </c>
      <c r="F853" s="555">
        <f>(pSystemsTouchRateHourHM*pSystemsLeaseReturnPrintCollLaborHrsHM*LeaseReturnForecast)*(1+Inflation)</f>
        <v>0</v>
      </c>
      <c r="G853" s="555">
        <f>(pSystemsTouchRateHourHM*pSystemsLeaseReturnPrintCollLaborHrsHM*LeaseReturnForecast)*(1+Inflation)^2</f>
        <v>0</v>
      </c>
      <c r="H853" s="555">
        <f>(pSystemsTouchRateHourHM*pSystemsLeaseReturnPrintCollLaborHrsHM*LeaseReturnForecast)*(1+Inflation)^3</f>
        <v>0</v>
      </c>
      <c r="I853" s="555">
        <f>(pSystemsTouchRateHourHM*pSystemsLeaseReturnPrintCollLaborHrsHM*LeaseReturnForecast)*(1+Inflation)^4</f>
        <v>0</v>
      </c>
      <c r="J853" s="555">
        <f>(pSystemsTouchRateHourHM*pSystemsLeaseReturnPrintCollLaborHrsHM*LeaseReturnForecast)*(1+Inflation)^5</f>
        <v>0</v>
      </c>
      <c r="K853" s="555">
        <f>(pSystemsTouchRateHourHM*pSystemsLeaseReturnPrintCollLaborHrsHM*LeaseReturnForecast)*(1+Inflation)^6</f>
        <v>0</v>
      </c>
      <c r="L853" s="555">
        <f>(pSystemsTouchRateHourHM*pSystemsLeaseReturnPrintCollLaborHrsHM*LeaseReturnForecast)*(1+Inflation)^7</f>
        <v>0</v>
      </c>
      <c r="M853" s="555">
        <f>(pSystemsTouchRateHourHM*pSystemsLeaseReturnPrintCollLaborHrsHM*LeaseReturnForecast)*(1+Inflation)^8</f>
        <v>0</v>
      </c>
      <c r="N853" s="555">
        <f>(pSystemsTouchRateHourHM*pSystemsLeaseReturnPrintCollLaborHrsHM*LeaseReturnForecast)*(1+Inflation)^9</f>
        <v>0</v>
      </c>
      <c r="O853" s="535" t="s">
        <v>2742</v>
      </c>
    </row>
    <row r="854" spans="1:33" s="142" customFormat="1" ht="18" hidden="1" customHeight="1" outlineLevel="1" x14ac:dyDescent="0.2">
      <c r="A854" s="1398"/>
      <c r="B854" s="128"/>
      <c r="C854" s="235"/>
      <c r="D854" s="726" t="s">
        <v>2717</v>
      </c>
      <c r="E854" s="555">
        <f>(pSystemsTouchRateHourLM*pSystemsLeaseReturnPrintCollLaborHrsLM*LeaseReturnForecast)</f>
        <v>0</v>
      </c>
      <c r="F854" s="555">
        <f>(pSystemsTouchRateHourLM*pSystemsLeaseReturnPrintCollLaborHrsLM*LeaseReturnForecast)*(1+Inflation)</f>
        <v>0</v>
      </c>
      <c r="G854" s="555">
        <f>(pSystemsTouchRateHourLM*pSystemsLeaseReturnPrintCollLaborHrsLM*LeaseReturnForecast)*(1+Inflation)^2</f>
        <v>0</v>
      </c>
      <c r="H854" s="555">
        <f>(pSystemsTouchRateHourLM*pSystemsLeaseReturnPrintCollLaborHrsLM*LeaseReturnForecast)*(1+Inflation)^3</f>
        <v>0</v>
      </c>
      <c r="I854" s="555">
        <f>(pSystemsTouchRateHourLM*pSystemsLeaseReturnPrintCollLaborHrsLM*LeaseReturnForecast)*(1+Inflation)^4</f>
        <v>0</v>
      </c>
      <c r="J854" s="555">
        <f>(pSystemsTouchRateHourLM*pSystemsLeaseReturnPrintCollLaborHrsLM*LeaseReturnForecast)*(1+Inflation)^5</f>
        <v>0</v>
      </c>
      <c r="K854" s="555">
        <f>(pSystemsTouchRateHourLM*pSystemsLeaseReturnPrintCollLaborHrsLM*LeaseReturnForecast)*(1+Inflation)^6</f>
        <v>0</v>
      </c>
      <c r="L854" s="555">
        <f>(pSystemsTouchRateHourLM*pSystemsLeaseReturnPrintCollLaborHrsLM*LeaseReturnForecast)*(1+Inflation)^7</f>
        <v>0</v>
      </c>
      <c r="M854" s="555">
        <f>(pSystemsTouchRateHourLM*pSystemsLeaseReturnPrintCollLaborHrsLM*LeaseReturnForecast)*(1+Inflation)^8</f>
        <v>0</v>
      </c>
      <c r="N854" s="555">
        <f>(pSystemsTouchRateHourLM*pSystemsLeaseReturnPrintCollLaborHrsLM*LeaseReturnForecast)*(1+Inflation)^9</f>
        <v>0</v>
      </c>
      <c r="O854" s="535" t="s">
        <v>2743</v>
      </c>
    </row>
    <row r="855" spans="1:33" s="142" customFormat="1" ht="18" hidden="1" customHeight="1" outlineLevel="1" x14ac:dyDescent="0.2">
      <c r="A855" s="1398"/>
      <c r="B855" s="128"/>
      <c r="C855" s="235"/>
      <c r="D855" s="727" t="s">
        <v>2718</v>
      </c>
      <c r="E855" s="555">
        <f>(pSystemsTouchRateHourENG*pSystemsLeaseReturnPrintCollLaborHrsENG*LeaseReturnForecast)</f>
        <v>0</v>
      </c>
      <c r="F855" s="555">
        <f>(pSystemsTouchRateHourENG*pSystemsLeaseReturnPrintCollLaborHrsENG*LeaseReturnForecast)*(1+Inflation)</f>
        <v>0</v>
      </c>
      <c r="G855" s="555">
        <f>(pSystemsTouchRateHourENG*pSystemsLeaseReturnPrintCollLaborHrsENG*LeaseReturnForecast)*(1+Inflation)^2</f>
        <v>0</v>
      </c>
      <c r="H855" s="555">
        <f>(pSystemsTouchRateHourENG*pSystemsLeaseReturnPrintCollLaborHrsENG*LeaseReturnForecast)*(1+Inflation)^3</f>
        <v>0</v>
      </c>
      <c r="I855" s="555">
        <f>(pSystemsTouchRateHourENG*pSystemsLeaseReturnPrintCollLaborHrsENG*LeaseReturnForecast)*(1+Inflation)^4</f>
        <v>0</v>
      </c>
      <c r="J855" s="555">
        <f>(pSystemsTouchRateHourENG*pSystemsLeaseReturnPrintCollLaborHrsENG*LeaseReturnForecast)*(1+Inflation)^5</f>
        <v>0</v>
      </c>
      <c r="K855" s="555">
        <f>(pSystemsTouchRateHourENG*pSystemsLeaseReturnPrintCollLaborHrsENG*LeaseReturnForecast)*(1+Inflation)^6</f>
        <v>0</v>
      </c>
      <c r="L855" s="555">
        <f>(pSystemsTouchRateHourENG*pSystemsLeaseReturnPrintCollLaborHrsENG*LeaseReturnForecast)*(1+Inflation)^7</f>
        <v>0</v>
      </c>
      <c r="M855" s="555">
        <f>(pSystemsTouchRateHourENG*pSystemsLeaseReturnPrintCollLaborHrsENG*LeaseReturnForecast)*(1+Inflation)^8</f>
        <v>0</v>
      </c>
      <c r="N855" s="555">
        <f>(pSystemsTouchRateHourENG*pSystemsLeaseReturnPrintCollLaborHrsENG*LeaseReturnForecast)*(1+Inflation)^9</f>
        <v>0</v>
      </c>
      <c r="O855" s="535" t="s">
        <v>2744</v>
      </c>
    </row>
    <row r="856" spans="1:33" s="142" customFormat="1" ht="18" hidden="1" customHeight="1" outlineLevel="1" x14ac:dyDescent="0.2">
      <c r="A856" s="1398"/>
      <c r="B856" s="138"/>
      <c r="C856" s="235"/>
      <c r="D856" s="726" t="s">
        <v>2719</v>
      </c>
      <c r="E856" s="555">
        <f>(pSystemsTouchRateHourPLG*pSystemsLeaseReturnPrintCollLaborHrsPLG*LeaseReturnForecast)</f>
        <v>0</v>
      </c>
      <c r="F856" s="555">
        <f>(pSystemsTouchRateHourPLG*pSystemsLeaseReturnPrintCollLaborHrsPLG*LeaseReturnForecast)*(1+Inflation)</f>
        <v>0</v>
      </c>
      <c r="G856" s="555">
        <f>(pSystemsTouchRateHourPLG*pSystemsLeaseReturnPrintCollLaborHrsPLG*LeaseReturnForecast)*(1+Inflation)^2</f>
        <v>0</v>
      </c>
      <c r="H856" s="555">
        <f>(pSystemsTouchRateHourPLG*pSystemsLeaseReturnPrintCollLaborHrsPLG*LeaseReturnForecast)*(1+Inflation)^3</f>
        <v>0</v>
      </c>
      <c r="I856" s="555">
        <f>(pSystemsTouchRateHourPLG*pSystemsLeaseReturnPrintCollLaborHrsPLG*LeaseReturnForecast)*(1+Inflation)^4</f>
        <v>0</v>
      </c>
      <c r="J856" s="555">
        <f>(pSystemsTouchRateHourPLG*pSystemsLeaseReturnPrintCollLaborHrsPLG*LeaseReturnForecast)*(1+Inflation)^5</f>
        <v>0</v>
      </c>
      <c r="K856" s="555">
        <f>(pSystemsTouchRateHourPLG*pSystemsLeaseReturnPrintCollLaborHrsPLG*LeaseReturnForecast)*(1+Inflation)^6</f>
        <v>0</v>
      </c>
      <c r="L856" s="555">
        <f>(pSystemsTouchRateHourPLG*pSystemsLeaseReturnPrintCollLaborHrsPLG*LeaseReturnForecast)*(1+Inflation)^7</f>
        <v>0</v>
      </c>
      <c r="M856" s="555">
        <f>(pSystemsTouchRateHourPLG*pSystemsLeaseReturnPrintCollLaborHrsPLG*LeaseReturnForecast)*(1+Inflation)^8</f>
        <v>0</v>
      </c>
      <c r="N856" s="555">
        <f>(pSystemsTouchRateHourPLG*pSystemsLeaseReturnPrintCollLaborHrsPLG*LeaseReturnForecast)*(1+Inflation)^9</f>
        <v>0</v>
      </c>
      <c r="O856" s="535" t="s">
        <v>2745</v>
      </c>
    </row>
    <row r="857" spans="1:33" s="142" customFormat="1" ht="18" hidden="1" customHeight="1" outlineLevel="1" x14ac:dyDescent="0.2">
      <c r="A857" s="1398"/>
      <c r="B857" s="138"/>
      <c r="C857" s="235"/>
      <c r="D857" s="726" t="s">
        <v>2720</v>
      </c>
      <c r="E857" s="555">
        <f>(pSystemsTouchRateHourCRT*pSystemsLeaseReturnPrintCollLaborHrsCRT*LeaseReturnForecast)</f>
        <v>135289.26422053971</v>
      </c>
      <c r="F857" s="555">
        <f>(pSystemsTouchRateHourCRT*pSystemsLeaseReturnPrintCollLaborHrsCRT*LeaseReturnForecast)*(1+Inflation)</f>
        <v>206992.57425742576</v>
      </c>
      <c r="G857" s="555">
        <f>(pSystemsTouchRateHourCRT*pSystemsLeaseReturnPrintCollLaborHrsCRT*LeaseReturnForecast)*(1+Inflation)^2</f>
        <v>211132.42574257427</v>
      </c>
      <c r="H857" s="555">
        <f>(pSystemsTouchRateHourCRT*pSystemsLeaseReturnPrintCollLaborHrsCRT*LeaseReturnForecast)*(1+Inflation)^3</f>
        <v>143570.0495049505</v>
      </c>
      <c r="I857" s="555">
        <f>(pSystemsTouchRateHourCRT*pSystemsLeaseReturnPrintCollLaborHrsCRT*LeaseReturnForecast)*(1+Inflation)^4</f>
        <v>146441.4504950495</v>
      </c>
      <c r="J857" s="555">
        <f>(pSystemsTouchRateHourCRT*pSystemsLeaseReturnPrintCollLaborHrsCRT*LeaseReturnForecast)*(1+Inflation)^5</f>
        <v>224055.41925742576</v>
      </c>
      <c r="K857" s="555">
        <f>(pSystemsTouchRateHourCRT*pSystemsLeaseReturnPrintCollLaborHrsCRT*LeaseReturnForecast)*(1+Inflation)^6</f>
        <v>228536.52764257428</v>
      </c>
      <c r="L857" s="555">
        <f>(pSystemsTouchRateHourCRT*pSystemsLeaseReturnPrintCollLaborHrsCRT*LeaseReturnForecast)*(1+Inflation)^7</f>
        <v>155404.8387969505</v>
      </c>
      <c r="M857" s="555">
        <f>(pSystemsTouchRateHourCRT*pSystemsLeaseReturnPrintCollLaborHrsCRT*LeaseReturnForecast)*(1+Inflation)^8</f>
        <v>158512.93557288952</v>
      </c>
      <c r="N857" s="555">
        <f>(pSystemsTouchRateHourCRT*pSystemsLeaseReturnPrintCollLaborHrsCRT*LeaseReturnForecast)*(1+Inflation)^9</f>
        <v>242524.79142652094</v>
      </c>
      <c r="O857" s="535" t="s">
        <v>2746</v>
      </c>
    </row>
    <row r="858" spans="1:33" s="142" customFormat="1" ht="18" hidden="1" customHeight="1" outlineLevel="1" x14ac:dyDescent="0.2">
      <c r="A858" s="1398"/>
      <c r="B858" s="128"/>
      <c r="C858" s="235"/>
      <c r="D858" s="726" t="s">
        <v>2721</v>
      </c>
      <c r="E858" s="555">
        <f>(pSystemsTouchRateHourSCL*pSystemsLeaseReturnPrintCollLaborHrsSCL*LeaseReturnForecast)</f>
        <v>0</v>
      </c>
      <c r="F858" s="555">
        <f>(pSystemsTouchRateHourSCL*pSystemsLeaseReturnPrintCollLaborHrsSCL*LeaseReturnForecast)*(1+Inflation)</f>
        <v>0</v>
      </c>
      <c r="G858" s="555">
        <f>(pSystemsTouchRateHourSCL*pSystemsLeaseReturnPrintCollLaborHrsSCL*LeaseReturnForecast)*(1+Inflation)^2</f>
        <v>0</v>
      </c>
      <c r="H858" s="555">
        <f>(pSystemsTouchRateHourSCL*pSystemsLeaseReturnPrintCollLaborHrsSCL*LeaseReturnForecast)*(1+Inflation)^3</f>
        <v>0</v>
      </c>
      <c r="I858" s="555">
        <f>(pSystemsTouchRateHourSCL*pSystemsLeaseReturnPrintCollLaborHrsSCL*LeaseReturnForecast)*(1+Inflation)^4</f>
        <v>0</v>
      </c>
      <c r="J858" s="555">
        <f>(pSystemsTouchRateHourSCL*pSystemsLeaseReturnPrintCollLaborHrsSCL*LeaseReturnForecast)*(1+Inflation)^5</f>
        <v>0</v>
      </c>
      <c r="K858" s="555">
        <f>(pSystemsTouchRateHourSCL*pSystemsLeaseReturnPrintCollLaborHrsSCL*LeaseReturnForecast)*(1+Inflation)^6</f>
        <v>0</v>
      </c>
      <c r="L858" s="555">
        <f>(pSystemsTouchRateHourSCL*pSystemsLeaseReturnPrintCollLaborHrsSCL*LeaseReturnForecast)*(1+Inflation)^7</f>
        <v>0</v>
      </c>
      <c r="M858" s="555">
        <f>(pSystemsTouchRateHourSCL*pSystemsLeaseReturnPrintCollLaborHrsSCL*LeaseReturnForecast)*(1+Inflation)^8</f>
        <v>0</v>
      </c>
      <c r="N858" s="555">
        <f>(pSystemsTouchRateHourSCL*pSystemsLeaseReturnPrintCollLaborHrsSCL*LeaseReturnForecast)*(1+Inflation)^9</f>
        <v>0</v>
      </c>
      <c r="O858" s="535" t="s">
        <v>2747</v>
      </c>
    </row>
    <row r="859" spans="1:33" s="142" customFormat="1" ht="18" hidden="1" customHeight="1" outlineLevel="1" x14ac:dyDescent="0.2">
      <c r="A859" s="1398"/>
      <c r="B859" s="138"/>
      <c r="C859" s="235"/>
      <c r="D859" s="726" t="s">
        <v>2722</v>
      </c>
      <c r="E859" s="555">
        <f>(pSystemsTouchRateHourQSC*pSystemsLeaseReturnPrintCollLaborHrsQSC*LeaseReturnForecast)</f>
        <v>0</v>
      </c>
      <c r="F859" s="555">
        <f>(pSystemsTouchRateHourQSC*pSystemsLeaseReturnPrintCollLaborHrsQSC*LeaseReturnForecast)*(1+Inflation)</f>
        <v>0</v>
      </c>
      <c r="G859" s="555">
        <f>(pSystemsTouchRateHourQSC*pSystemsLeaseReturnPrintCollLaborHrsQSC*LeaseReturnForecast)*(1+Inflation)^2</f>
        <v>0</v>
      </c>
      <c r="H859" s="555">
        <f>(pSystemsTouchRateHourQSC*pSystemsLeaseReturnPrintCollLaborHrsQSC*LeaseReturnForecast)*(1+Inflation)^3</f>
        <v>0</v>
      </c>
      <c r="I859" s="555">
        <f>(pSystemsTouchRateHourQSC*pSystemsLeaseReturnPrintCollLaborHrsQSC*LeaseReturnForecast)*(1+Inflation)^4</f>
        <v>0</v>
      </c>
      <c r="J859" s="555">
        <f>(pSystemsTouchRateHourQSC*pSystemsLeaseReturnPrintCollLaborHrsQSC*LeaseReturnForecast)*(1+Inflation)^5</f>
        <v>0</v>
      </c>
      <c r="K859" s="555">
        <f>(pSystemsTouchRateHourQSC*pSystemsLeaseReturnPrintCollLaborHrsQSC*LeaseReturnForecast)*(1+Inflation)^6</f>
        <v>0</v>
      </c>
      <c r="L859" s="555">
        <f>(pSystemsTouchRateHourQSC*pSystemsLeaseReturnPrintCollLaborHrsQSC*LeaseReturnForecast)*(1+Inflation)^7</f>
        <v>0</v>
      </c>
      <c r="M859" s="555">
        <f>(pSystemsTouchRateHourQSC*pSystemsLeaseReturnPrintCollLaborHrsQSC*LeaseReturnForecast)*(1+Inflation)^8</f>
        <v>0</v>
      </c>
      <c r="N859" s="555">
        <f>(pSystemsTouchRateHourQSC*pSystemsLeaseReturnPrintCollLaborHrsQSC*LeaseReturnForecast)*(1+Inflation)^9</f>
        <v>0</v>
      </c>
      <c r="O859" s="535" t="s">
        <v>2748</v>
      </c>
    </row>
    <row r="860" spans="1:33" s="142" customFormat="1" ht="18" hidden="1" customHeight="1" outlineLevel="1" x14ac:dyDescent="0.2">
      <c r="A860" s="1398"/>
      <c r="B860" s="138"/>
      <c r="C860" s="235"/>
      <c r="D860" s="726" t="s">
        <v>2723</v>
      </c>
      <c r="E860" s="555">
        <f>(pSystemsTouchRateHourEM*pSystemsLeaseReturnPrintCollLaborHrsEM*LeaseReturnForecast)</f>
        <v>0</v>
      </c>
      <c r="F860" s="555">
        <f>(pSystemsTouchRateHourEM*pSystemsLeaseReturnPrintCollLaborHrsEM*LeaseReturnForecast)*(1+Inflation)</f>
        <v>0</v>
      </c>
      <c r="G860" s="555">
        <f>(pSystemsTouchRateHourEM*pSystemsLeaseReturnPrintCollLaborHrsEM*LeaseReturnForecast)*(1+Inflation)^2</f>
        <v>0</v>
      </c>
      <c r="H860" s="555">
        <f>(pSystemsTouchRateHourEM*pSystemsLeaseReturnPrintCollLaborHrsEM*LeaseReturnForecast)*(1+Inflation)^3</f>
        <v>0</v>
      </c>
      <c r="I860" s="555">
        <f>(pSystemsTouchRateHourEM*pSystemsLeaseReturnPrintCollLaborHrsEM*LeaseReturnForecast)*(1+Inflation)^4</f>
        <v>0</v>
      </c>
      <c r="J860" s="555">
        <f>(pSystemsTouchRateHourEM*pSystemsLeaseReturnPrintCollLaborHrsEM*LeaseReturnForecast)*(1+Inflation)^5</f>
        <v>0</v>
      </c>
      <c r="K860" s="555">
        <f>(pSystemsTouchRateHourEM*pSystemsLeaseReturnPrintCollLaborHrsEM*LeaseReturnForecast)*(1+Inflation)^6</f>
        <v>0</v>
      </c>
      <c r="L860" s="555">
        <f>(pSystemsTouchRateHourEM*pSystemsLeaseReturnPrintCollLaborHrsEM*LeaseReturnForecast)*(1+Inflation)^7</f>
        <v>0</v>
      </c>
      <c r="M860" s="555">
        <f>(pSystemsTouchRateHourEM*pSystemsLeaseReturnPrintCollLaborHrsEM*LeaseReturnForecast)*(1+Inflation)^8</f>
        <v>0</v>
      </c>
      <c r="N860" s="555">
        <f>(pSystemsTouchRateHourEM*pSystemsLeaseReturnPrintCollLaborHrsEM*LeaseReturnForecast)*(1+Inflation)^9</f>
        <v>0</v>
      </c>
      <c r="O860" s="535" t="s">
        <v>2749</v>
      </c>
    </row>
    <row r="861" spans="1:33" s="142" customFormat="1" ht="18" hidden="1" customHeight="1" outlineLevel="1" x14ac:dyDescent="0.2">
      <c r="A861" s="1398"/>
      <c r="B861" s="138"/>
      <c r="C861" s="235"/>
      <c r="D861" s="726" t="s">
        <v>2724</v>
      </c>
      <c r="E861" s="555">
        <f>(pSystemsTouchRateHourCM*pSystemsLeaseReturnPrintCollLaborHrsCM*LeaseReturnForecast)</f>
        <v>0</v>
      </c>
      <c r="F861" s="555">
        <f>(pSystemsTouchRateHourCM*pSystemsLeaseReturnPrintCollLaborHrsCM*LeaseReturnForecast)*(1+Inflation)</f>
        <v>0</v>
      </c>
      <c r="G861" s="555">
        <f>(pSystemsTouchRateHourCM*pSystemsLeaseReturnPrintCollLaborHrsCM*LeaseReturnForecast)*(1+Inflation)^2</f>
        <v>0</v>
      </c>
      <c r="H861" s="555">
        <f>(pSystemsTouchRateHourCM*pSystemsLeaseReturnPrintCollLaborHrsCM*LeaseReturnForecast)*(1+Inflation)^3</f>
        <v>0</v>
      </c>
      <c r="I861" s="555">
        <f>(pSystemsTouchRateHourCM*pSystemsLeaseReturnPrintCollLaborHrsCM*LeaseReturnForecast)*(1+Inflation)^4</f>
        <v>0</v>
      </c>
      <c r="J861" s="555">
        <f>(pSystemsTouchRateHourCM*pSystemsLeaseReturnPrintCollLaborHrsCM*LeaseReturnForecast)*(1+Inflation)^5</f>
        <v>0</v>
      </c>
      <c r="K861" s="555">
        <f>(pSystemsTouchRateHourCM*pSystemsLeaseReturnPrintCollLaborHrsCM*LeaseReturnForecast)*(1+Inflation)^6</f>
        <v>0</v>
      </c>
      <c r="L861" s="555">
        <f>(pSystemsTouchRateHourCM*pSystemsLeaseReturnPrintCollLaborHrsCM*LeaseReturnForecast)*(1+Inflation)^7</f>
        <v>0</v>
      </c>
      <c r="M861" s="555">
        <f>(pSystemsTouchRateHourCM*pSystemsLeaseReturnPrintCollLaborHrsCM*LeaseReturnForecast)*(1+Inflation)^8</f>
        <v>0</v>
      </c>
      <c r="N861" s="555">
        <f>(pSystemsTouchRateHourCM*pSystemsLeaseReturnPrintCollLaborHrsCM*LeaseReturnForecast)*(1+Inflation)^9</f>
        <v>0</v>
      </c>
      <c r="O861" s="535" t="s">
        <v>2750</v>
      </c>
    </row>
    <row r="862" spans="1:33" s="142" customFormat="1" ht="18" hidden="1" customHeight="1" outlineLevel="1" x14ac:dyDescent="0.2">
      <c r="A862" s="1398"/>
      <c r="B862" s="138"/>
      <c r="C862" s="235"/>
      <c r="D862" s="726" t="s">
        <v>2725</v>
      </c>
      <c r="E862" s="555">
        <f>(pSystemsTouchRateHourSMCS*pSystemsLeaseReturnPrintCollLaborHrsSMCS*LeaseReturnForecast)</f>
        <v>0</v>
      </c>
      <c r="F862" s="555">
        <f>(pSystemsTouchRateHourSMCS*pSystemsLeaseReturnPrintCollLaborHrsSMCS*LeaseReturnForecast)*(1+Inflation)</f>
        <v>0</v>
      </c>
      <c r="G862" s="555">
        <f>(pSystemsTouchRateHourSMCS*pSystemsLeaseReturnPrintCollLaborHrsSMCS*LeaseReturnForecast)*(1+Inflation)^2</f>
        <v>0</v>
      </c>
      <c r="H862" s="555">
        <f>(pSystemsTouchRateHourSMCS*pSystemsLeaseReturnPrintCollLaborHrsSMCS*LeaseReturnForecast)*(1+Inflation)^3</f>
        <v>0</v>
      </c>
      <c r="I862" s="555">
        <f>(pSystemsTouchRateHourSMCS*pSystemsLeaseReturnPrintCollLaborHrsSMCS*LeaseReturnForecast)*(1+Inflation)^4</f>
        <v>0</v>
      </c>
      <c r="J862" s="555">
        <f>(pSystemsTouchRateHourSMCS*pSystemsLeaseReturnPrintCollLaborHrsSMCS*LeaseReturnForecast)*(1+Inflation)^5</f>
        <v>0</v>
      </c>
      <c r="K862" s="555">
        <f>(pSystemsTouchRateHourSMCS*pSystemsLeaseReturnPrintCollLaborHrsSMCS*LeaseReturnForecast)*(1+Inflation)^6</f>
        <v>0</v>
      </c>
      <c r="L862" s="555">
        <f>(pSystemsTouchRateHourSMCS*pSystemsLeaseReturnPrintCollLaborHrsSMCS*LeaseReturnForecast)*(1+Inflation)^7</f>
        <v>0</v>
      </c>
      <c r="M862" s="555">
        <f>(pSystemsTouchRateHourSMCS*pSystemsLeaseReturnPrintCollLaborHrsSMCS*LeaseReturnForecast)*(1+Inflation)^8</f>
        <v>0</v>
      </c>
      <c r="N862" s="555">
        <f>(pSystemsTouchRateHourSMCS*pSystemsLeaseReturnPrintCollLaborHrsSMCS*LeaseReturnForecast)*(1+Inflation)^9</f>
        <v>0</v>
      </c>
      <c r="O862" s="535" t="s">
        <v>2751</v>
      </c>
    </row>
    <row r="863" spans="1:33" s="142" customFormat="1" ht="18" hidden="1" customHeight="1" outlineLevel="1" x14ac:dyDescent="0.2">
      <c r="A863" s="1398"/>
      <c r="B863" s="138"/>
      <c r="C863" s="235"/>
      <c r="D863" s="726" t="s">
        <v>2726</v>
      </c>
      <c r="E863" s="555">
        <f>(pSystemsTouchRateHourO1*pSystemsLeaseReturnPrintCollLaborHrsO1*LeaseReturnForecast)</f>
        <v>0</v>
      </c>
      <c r="F863" s="555">
        <f>(pSystemsTouchRateHourO1*pSystemsLeaseReturnPrintCollLaborHrsO1*LeaseReturnForecast)*(1+Inflation)</f>
        <v>0</v>
      </c>
      <c r="G863" s="555">
        <f>(pSystemsTouchRateHourO1*pSystemsLeaseReturnPrintCollLaborHrsO1*LeaseReturnForecast)*(1+Inflation)^2</f>
        <v>0</v>
      </c>
      <c r="H863" s="555">
        <f>(pSystemsTouchRateHourO1*pSystemsLeaseReturnPrintCollLaborHrsO1*LeaseReturnForecast)*(1+Inflation)^3</f>
        <v>0</v>
      </c>
      <c r="I863" s="555">
        <f>(pSystemsTouchRateHourO1*pSystemsLeaseReturnPrintCollLaborHrsO1*LeaseReturnForecast)*(1+Inflation)^4</f>
        <v>0</v>
      </c>
      <c r="J863" s="555">
        <f>(pSystemsTouchRateHourO1*pSystemsLeaseReturnPrintCollLaborHrsO1*LeaseReturnForecast)*(1+Inflation)^5</f>
        <v>0</v>
      </c>
      <c r="K863" s="555">
        <f>(pSystemsTouchRateHourO1*pSystemsLeaseReturnPrintCollLaborHrsO1*LeaseReturnForecast)*(1+Inflation)^6</f>
        <v>0</v>
      </c>
      <c r="L863" s="555">
        <f>(pSystemsTouchRateHourO1*pSystemsLeaseReturnPrintCollLaborHrsO1*LeaseReturnForecast)*(1+Inflation)^7</f>
        <v>0</v>
      </c>
      <c r="M863" s="555">
        <f>(pSystemsTouchRateHourO1*pSystemsLeaseReturnPrintCollLaborHrsO1*LeaseReturnForecast)*(1+Inflation)^8</f>
        <v>0</v>
      </c>
      <c r="N863" s="555">
        <f>(pSystemsTouchRateHourO1*pSystemsLeaseReturnPrintCollLaborHrsO1*LeaseReturnForecast)*(1+Inflation)^9</f>
        <v>0</v>
      </c>
      <c r="O863" s="535" t="s">
        <v>2752</v>
      </c>
    </row>
    <row r="864" spans="1:33" s="142" customFormat="1" ht="18" hidden="1" customHeight="1" outlineLevel="1" x14ac:dyDescent="0.2">
      <c r="A864" s="1398"/>
      <c r="B864" s="138"/>
      <c r="C864" s="235"/>
      <c r="D864" s="726" t="s">
        <v>2727</v>
      </c>
      <c r="E864" s="555">
        <f>(pSystemsTouchRateHourO2*pSystemsLeaseReturnPrintCollLaborHrsO2*LeaseReturnForecast)</f>
        <v>0</v>
      </c>
      <c r="F864" s="555">
        <f>(pSystemsTouchRateHourO2*pSystemsLeaseReturnPrintCollLaborHrsO2*LeaseReturnForecast)*(1+Inflation)</f>
        <v>0</v>
      </c>
      <c r="G864" s="555">
        <f>(pSystemsTouchRateHourO2*pSystemsLeaseReturnPrintCollLaborHrsO2*LeaseReturnForecast)*(1+Inflation)^2</f>
        <v>0</v>
      </c>
      <c r="H864" s="555">
        <f>(pSystemsTouchRateHourO2*pSystemsLeaseReturnPrintCollLaborHrsO2*LeaseReturnForecast)*(1+Inflation)^3</f>
        <v>0</v>
      </c>
      <c r="I864" s="555">
        <f>(pSystemsTouchRateHourO2*pSystemsLeaseReturnPrintCollLaborHrsO2*LeaseReturnForecast)*(1+Inflation)^4</f>
        <v>0</v>
      </c>
      <c r="J864" s="555">
        <f>(pSystemsTouchRateHourO2*pSystemsLeaseReturnPrintCollLaborHrsO2*LeaseReturnForecast)*(1+Inflation)^5</f>
        <v>0</v>
      </c>
      <c r="K864" s="555">
        <f>(pSystemsTouchRateHourO2*pSystemsLeaseReturnPrintCollLaborHrsO2*LeaseReturnForecast)*(1+Inflation)^6</f>
        <v>0</v>
      </c>
      <c r="L864" s="555">
        <f>(pSystemsTouchRateHourO2*pSystemsLeaseReturnPrintCollLaborHrsO2*LeaseReturnForecast)*(1+Inflation)^7</f>
        <v>0</v>
      </c>
      <c r="M864" s="555">
        <f>(pSystemsTouchRateHourO2*pSystemsLeaseReturnPrintCollLaborHrsO2*LeaseReturnForecast)*(1+Inflation)^8</f>
        <v>0</v>
      </c>
      <c r="N864" s="555">
        <f>(pSystemsTouchRateHourO2*pSystemsLeaseReturnPrintCollLaborHrsO2*LeaseReturnForecast)*(1+Inflation)^9</f>
        <v>0</v>
      </c>
      <c r="O864" s="535" t="s">
        <v>2753</v>
      </c>
    </row>
    <row r="865" spans="1:33" s="142" customFormat="1" ht="18" hidden="1" customHeight="1" outlineLevel="1" x14ac:dyDescent="0.25">
      <c r="A865" s="1398"/>
      <c r="B865" s="138"/>
      <c r="C865" s="235"/>
      <c r="D865" s="728" t="s">
        <v>2728</v>
      </c>
      <c r="E865" s="556">
        <f>SUM(E853:E864)</f>
        <v>135289.26422053971</v>
      </c>
      <c r="F865" s="556">
        <f t="shared" ref="F865:N865" si="213">SUM(F853:F864)</f>
        <v>206992.57425742576</v>
      </c>
      <c r="G865" s="556">
        <f t="shared" si="213"/>
        <v>211132.42574257427</v>
      </c>
      <c r="H865" s="556">
        <f t="shared" si="213"/>
        <v>143570.0495049505</v>
      </c>
      <c r="I865" s="556">
        <f t="shared" si="213"/>
        <v>146441.4504950495</v>
      </c>
      <c r="J865" s="556">
        <f t="shared" si="213"/>
        <v>224055.41925742576</v>
      </c>
      <c r="K865" s="556">
        <f t="shared" si="213"/>
        <v>228536.52764257428</v>
      </c>
      <c r="L865" s="556">
        <f t="shared" si="213"/>
        <v>155404.8387969505</v>
      </c>
      <c r="M865" s="556">
        <f t="shared" si="213"/>
        <v>158512.93557288952</v>
      </c>
      <c r="N865" s="556">
        <f t="shared" si="213"/>
        <v>242524.79142652094</v>
      </c>
      <c r="O865" s="535" t="s">
        <v>244</v>
      </c>
    </row>
    <row r="866" spans="1:33" s="203" customFormat="1" ht="13.5" hidden="1" outlineLevel="1" thickBot="1" x14ac:dyDescent="0.25">
      <c r="A866" s="1399"/>
      <c r="B866" s="74"/>
      <c r="C866" s="325"/>
      <c r="D866" s="725"/>
      <c r="E866" s="568"/>
      <c r="F866" s="568"/>
      <c r="G866" s="568"/>
      <c r="H866" s="568"/>
      <c r="I866" s="568"/>
      <c r="J866" s="568"/>
      <c r="K866" s="568"/>
      <c r="L866" s="568"/>
      <c r="M866" s="568"/>
      <c r="N866" s="568"/>
      <c r="O866" s="569"/>
      <c r="P866" s="204"/>
    </row>
    <row r="867" spans="1:33" s="203" customFormat="1" ht="13.5" hidden="1" outlineLevel="1" thickBot="1" x14ac:dyDescent="0.25">
      <c r="A867" s="1024"/>
      <c r="B867" s="74"/>
      <c r="C867" s="211"/>
      <c r="D867" s="214"/>
      <c r="E867" s="210"/>
      <c r="F867" s="210"/>
      <c r="G867" s="210"/>
      <c r="H867" s="210"/>
      <c r="I867" s="210"/>
      <c r="J867" s="210"/>
      <c r="K867" s="210"/>
      <c r="L867" s="210"/>
      <c r="M867" s="210"/>
      <c r="N867" s="210"/>
      <c r="O867" s="204"/>
      <c r="P867" s="204"/>
    </row>
    <row r="868" spans="1:33" customFormat="1" ht="20.25" hidden="1" outlineLevel="1" x14ac:dyDescent="0.2">
      <c r="A868" s="1397" t="s">
        <v>4205</v>
      </c>
      <c r="B868" s="13"/>
      <c r="C868" s="1014" t="str">
        <f>Scenario1&amp;"  Lease Printing &amp; Collation FTEs"</f>
        <v>pSystems (Paper)  Lease Printing &amp; Collation FTEs</v>
      </c>
      <c r="D868" s="268"/>
      <c r="E868" s="434"/>
      <c r="F868" s="434"/>
      <c r="G868" s="434"/>
      <c r="H868" s="434"/>
      <c r="I868" s="434"/>
      <c r="J868" s="434"/>
      <c r="K868" s="434"/>
      <c r="L868" s="434"/>
      <c r="M868" s="434"/>
      <c r="N868" s="434"/>
      <c r="O868" s="573"/>
      <c r="P868" s="18"/>
      <c r="Q868" s="18"/>
      <c r="R868" s="18"/>
      <c r="S868" s="18"/>
      <c r="T868" s="18"/>
      <c r="U868" s="18"/>
      <c r="V868" s="18"/>
      <c r="W868" s="18"/>
      <c r="X868" s="18"/>
      <c r="Y868" s="18"/>
      <c r="Z868" s="18"/>
      <c r="AA868" s="18"/>
      <c r="AB868" s="18"/>
      <c r="AC868" s="18"/>
      <c r="AD868" s="18"/>
      <c r="AE868" s="18"/>
      <c r="AF868" s="18"/>
      <c r="AG868" s="18"/>
    </row>
    <row r="869" spans="1:33" s="142" customFormat="1" ht="18" hidden="1" customHeight="1" outlineLevel="1" x14ac:dyDescent="0.2">
      <c r="A869" s="1398"/>
      <c r="B869" s="138"/>
      <c r="C869" s="235"/>
      <c r="D869" s="726" t="s">
        <v>2729</v>
      </c>
      <c r="E869" s="557">
        <f t="shared" ref="E869:N869" si="214">(pSystemsLeaseReturnPrintCollLaborHrsHM/pSystemsTouchHourspaHM)*LeaseReturnForecast</f>
        <v>0</v>
      </c>
      <c r="F869" s="557">
        <f t="shared" si="214"/>
        <v>0</v>
      </c>
      <c r="G869" s="557">
        <f t="shared" si="214"/>
        <v>0</v>
      </c>
      <c r="H869" s="557">
        <f t="shared" si="214"/>
        <v>0</v>
      </c>
      <c r="I869" s="557">
        <f t="shared" si="214"/>
        <v>0</v>
      </c>
      <c r="J869" s="557">
        <f t="shared" si="214"/>
        <v>0</v>
      </c>
      <c r="K869" s="557">
        <f t="shared" si="214"/>
        <v>0</v>
      </c>
      <c r="L869" s="557">
        <f t="shared" si="214"/>
        <v>0</v>
      </c>
      <c r="M869" s="557">
        <f t="shared" si="214"/>
        <v>0</v>
      </c>
      <c r="N869" s="557">
        <f t="shared" si="214"/>
        <v>0</v>
      </c>
      <c r="O869" s="535" t="s">
        <v>2754</v>
      </c>
    </row>
    <row r="870" spans="1:33" s="142" customFormat="1" ht="18" hidden="1" customHeight="1" outlineLevel="1" x14ac:dyDescent="0.2">
      <c r="A870" s="1398"/>
      <c r="B870" s="138"/>
      <c r="C870" s="235"/>
      <c r="D870" s="726" t="s">
        <v>2730</v>
      </c>
      <c r="E870" s="557">
        <f t="shared" ref="E870:N870" si="215">(pSystemsLeaseReturnPrintCollLaborHrsLM/pSystemsTouchHourspaLM)*LeaseReturnForecast</f>
        <v>0</v>
      </c>
      <c r="F870" s="557">
        <f t="shared" si="215"/>
        <v>0</v>
      </c>
      <c r="G870" s="557">
        <f t="shared" si="215"/>
        <v>0</v>
      </c>
      <c r="H870" s="557">
        <f t="shared" si="215"/>
        <v>0</v>
      </c>
      <c r="I870" s="557">
        <f t="shared" si="215"/>
        <v>0</v>
      </c>
      <c r="J870" s="557">
        <f t="shared" si="215"/>
        <v>0</v>
      </c>
      <c r="K870" s="557">
        <f t="shared" si="215"/>
        <v>0</v>
      </c>
      <c r="L870" s="557">
        <f t="shared" si="215"/>
        <v>0</v>
      </c>
      <c r="M870" s="557">
        <f t="shared" si="215"/>
        <v>0</v>
      </c>
      <c r="N870" s="557">
        <f t="shared" si="215"/>
        <v>0</v>
      </c>
      <c r="O870" s="535" t="s">
        <v>2755</v>
      </c>
    </row>
    <row r="871" spans="1:33" s="142" customFormat="1" ht="18" hidden="1" customHeight="1" outlineLevel="1" x14ac:dyDescent="0.2">
      <c r="A871" s="1398"/>
      <c r="B871" s="138"/>
      <c r="C871" s="235"/>
      <c r="D871" s="727" t="s">
        <v>2731</v>
      </c>
      <c r="E871" s="557">
        <f t="shared" ref="E871:N871" si="216">(pSystemsLeaseReturnPrintCollLaborHrsENG/pSystemsTouchHourspaENG)*LeaseReturnForecast</f>
        <v>0</v>
      </c>
      <c r="F871" s="557">
        <f t="shared" si="216"/>
        <v>0</v>
      </c>
      <c r="G871" s="557">
        <f t="shared" si="216"/>
        <v>0</v>
      </c>
      <c r="H871" s="557">
        <f t="shared" si="216"/>
        <v>0</v>
      </c>
      <c r="I871" s="557">
        <f t="shared" si="216"/>
        <v>0</v>
      </c>
      <c r="J871" s="557">
        <f t="shared" si="216"/>
        <v>0</v>
      </c>
      <c r="K871" s="557">
        <f t="shared" si="216"/>
        <v>0</v>
      </c>
      <c r="L871" s="557">
        <f t="shared" si="216"/>
        <v>0</v>
      </c>
      <c r="M871" s="557">
        <f t="shared" si="216"/>
        <v>0</v>
      </c>
      <c r="N871" s="557">
        <f t="shared" si="216"/>
        <v>0</v>
      </c>
      <c r="O871" s="535" t="s">
        <v>2756</v>
      </c>
    </row>
    <row r="872" spans="1:33" s="142" customFormat="1" ht="18" hidden="1" customHeight="1" outlineLevel="1" x14ac:dyDescent="0.2">
      <c r="A872" s="1398"/>
      <c r="B872" s="138"/>
      <c r="C872" s="235"/>
      <c r="D872" s="726" t="s">
        <v>2732</v>
      </c>
      <c r="E872" s="557">
        <f t="shared" ref="E872:N872" si="217">(pSystemsLeaseReturnPrintCollLaborHrsPLG/pSystemsTouchHourspaPLG)*LeaseReturnForecast</f>
        <v>0</v>
      </c>
      <c r="F872" s="557">
        <f t="shared" si="217"/>
        <v>0</v>
      </c>
      <c r="G872" s="557">
        <f t="shared" si="217"/>
        <v>0</v>
      </c>
      <c r="H872" s="557">
        <f t="shared" si="217"/>
        <v>0</v>
      </c>
      <c r="I872" s="557">
        <f t="shared" si="217"/>
        <v>0</v>
      </c>
      <c r="J872" s="557">
        <f t="shared" si="217"/>
        <v>0</v>
      </c>
      <c r="K872" s="557">
        <f t="shared" si="217"/>
        <v>0</v>
      </c>
      <c r="L872" s="557">
        <f t="shared" si="217"/>
        <v>0</v>
      </c>
      <c r="M872" s="557">
        <f t="shared" si="217"/>
        <v>0</v>
      </c>
      <c r="N872" s="557">
        <f t="shared" si="217"/>
        <v>0</v>
      </c>
      <c r="O872" s="535" t="s">
        <v>2757</v>
      </c>
    </row>
    <row r="873" spans="1:33" s="142" customFormat="1" ht="18" hidden="1" customHeight="1" outlineLevel="1" x14ac:dyDescent="0.2">
      <c r="A873" s="1398"/>
      <c r="B873" s="138"/>
      <c r="C873" s="235"/>
      <c r="D873" s="726" t="s">
        <v>2733</v>
      </c>
      <c r="E873" s="557">
        <f t="shared" ref="E873:N873" si="218">(pSystemsLeaseReturnPrintCollLaborHrsCRT/pSystemsTouchHourspaCRT)*LeaseReturnForecast</f>
        <v>1.941370607649</v>
      </c>
      <c r="F873" s="557">
        <f t="shared" si="218"/>
        <v>2.9120559114734998</v>
      </c>
      <c r="G873" s="557">
        <f t="shared" si="218"/>
        <v>2.9120559114734998</v>
      </c>
      <c r="H873" s="557">
        <f t="shared" si="218"/>
        <v>1.941370607649</v>
      </c>
      <c r="I873" s="557">
        <f t="shared" si="218"/>
        <v>1.941370607649</v>
      </c>
      <c r="J873" s="557">
        <f t="shared" si="218"/>
        <v>2.9120559114734998</v>
      </c>
      <c r="K873" s="557">
        <f t="shared" si="218"/>
        <v>2.9120559114734998</v>
      </c>
      <c r="L873" s="557">
        <f t="shared" si="218"/>
        <v>1.941370607649</v>
      </c>
      <c r="M873" s="557">
        <f t="shared" si="218"/>
        <v>1.941370607649</v>
      </c>
      <c r="N873" s="557">
        <f t="shared" si="218"/>
        <v>2.9120559114734998</v>
      </c>
      <c r="O873" s="535" t="s">
        <v>2758</v>
      </c>
    </row>
    <row r="874" spans="1:33" s="142" customFormat="1" ht="18" hidden="1" customHeight="1" outlineLevel="1" x14ac:dyDescent="0.2">
      <c r="A874" s="1398"/>
      <c r="B874" s="138"/>
      <c r="C874" s="235"/>
      <c r="D874" s="726" t="s">
        <v>2734</v>
      </c>
      <c r="E874" s="557">
        <f t="shared" ref="E874:N874" si="219">(pSystemsLeaseReturnPrintCollLaborHrsSCL/pSystemsTouchHourspaSCL)*LeaseReturnForecast</f>
        <v>0</v>
      </c>
      <c r="F874" s="557">
        <f t="shared" si="219"/>
        <v>0</v>
      </c>
      <c r="G874" s="557">
        <f t="shared" si="219"/>
        <v>0</v>
      </c>
      <c r="H874" s="557">
        <f t="shared" si="219"/>
        <v>0</v>
      </c>
      <c r="I874" s="557">
        <f t="shared" si="219"/>
        <v>0</v>
      </c>
      <c r="J874" s="557">
        <f t="shared" si="219"/>
        <v>0</v>
      </c>
      <c r="K874" s="557">
        <f t="shared" si="219"/>
        <v>0</v>
      </c>
      <c r="L874" s="557">
        <f t="shared" si="219"/>
        <v>0</v>
      </c>
      <c r="M874" s="557">
        <f t="shared" si="219"/>
        <v>0</v>
      </c>
      <c r="N874" s="557">
        <f t="shared" si="219"/>
        <v>0</v>
      </c>
      <c r="O874" s="535" t="s">
        <v>2759</v>
      </c>
    </row>
    <row r="875" spans="1:33" s="142" customFormat="1" ht="18" hidden="1" customHeight="1" outlineLevel="1" x14ac:dyDescent="0.2">
      <c r="A875" s="1398"/>
      <c r="B875" s="138"/>
      <c r="C875" s="235"/>
      <c r="D875" s="726" t="s">
        <v>2735</v>
      </c>
      <c r="E875" s="557">
        <f t="shared" ref="E875:N875" si="220">(pSystemsLeaseReturnPrintCollLaborHrsQSC/pSystemsTouchHourspaQSC)*LeaseReturnForecast</f>
        <v>0</v>
      </c>
      <c r="F875" s="557">
        <f t="shared" si="220"/>
        <v>0</v>
      </c>
      <c r="G875" s="557">
        <f t="shared" si="220"/>
        <v>0</v>
      </c>
      <c r="H875" s="557">
        <f t="shared" si="220"/>
        <v>0</v>
      </c>
      <c r="I875" s="557">
        <f t="shared" si="220"/>
        <v>0</v>
      </c>
      <c r="J875" s="557">
        <f t="shared" si="220"/>
        <v>0</v>
      </c>
      <c r="K875" s="557">
        <f t="shared" si="220"/>
        <v>0</v>
      </c>
      <c r="L875" s="557">
        <f t="shared" si="220"/>
        <v>0</v>
      </c>
      <c r="M875" s="557">
        <f t="shared" si="220"/>
        <v>0</v>
      </c>
      <c r="N875" s="557">
        <f t="shared" si="220"/>
        <v>0</v>
      </c>
      <c r="O875" s="535" t="s">
        <v>2760</v>
      </c>
    </row>
    <row r="876" spans="1:33" s="142" customFormat="1" ht="18" hidden="1" customHeight="1" outlineLevel="1" x14ac:dyDescent="0.2">
      <c r="A876" s="1398"/>
      <c r="B876" s="138"/>
      <c r="C876" s="235"/>
      <c r="D876" s="726" t="s">
        <v>2736</v>
      </c>
      <c r="E876" s="557">
        <f t="shared" ref="E876:N876" si="221">(pSystemsLeaseReturnPrintCollLaborHrsEM/pSystemsTouchHourspaEM)*LeaseReturnForecast</f>
        <v>0</v>
      </c>
      <c r="F876" s="557">
        <f t="shared" si="221"/>
        <v>0</v>
      </c>
      <c r="G876" s="557">
        <f t="shared" si="221"/>
        <v>0</v>
      </c>
      <c r="H876" s="557">
        <f t="shared" si="221"/>
        <v>0</v>
      </c>
      <c r="I876" s="557">
        <f t="shared" si="221"/>
        <v>0</v>
      </c>
      <c r="J876" s="557">
        <f t="shared" si="221"/>
        <v>0</v>
      </c>
      <c r="K876" s="557">
        <f t="shared" si="221"/>
        <v>0</v>
      </c>
      <c r="L876" s="557">
        <f t="shared" si="221"/>
        <v>0</v>
      </c>
      <c r="M876" s="557">
        <f t="shared" si="221"/>
        <v>0</v>
      </c>
      <c r="N876" s="557">
        <f t="shared" si="221"/>
        <v>0</v>
      </c>
      <c r="O876" s="535" t="s">
        <v>2761</v>
      </c>
    </row>
    <row r="877" spans="1:33" s="142" customFormat="1" ht="18" hidden="1" customHeight="1" outlineLevel="1" x14ac:dyDescent="0.2">
      <c r="A877" s="1398"/>
      <c r="B877" s="138"/>
      <c r="C877" s="235"/>
      <c r="D877" s="726" t="s">
        <v>2737</v>
      </c>
      <c r="E877" s="557">
        <f t="shared" ref="E877:N877" si="222">(pSystemsLeaseReturnPrintCollLaborHrsCM/pSystemsTouchHourspaCM)*LeaseReturnForecast</f>
        <v>0</v>
      </c>
      <c r="F877" s="557">
        <f t="shared" si="222"/>
        <v>0</v>
      </c>
      <c r="G877" s="557">
        <f t="shared" si="222"/>
        <v>0</v>
      </c>
      <c r="H877" s="557">
        <f t="shared" si="222"/>
        <v>0</v>
      </c>
      <c r="I877" s="557">
        <f t="shared" si="222"/>
        <v>0</v>
      </c>
      <c r="J877" s="557">
        <f t="shared" si="222"/>
        <v>0</v>
      </c>
      <c r="K877" s="557">
        <f t="shared" si="222"/>
        <v>0</v>
      </c>
      <c r="L877" s="557">
        <f t="shared" si="222"/>
        <v>0</v>
      </c>
      <c r="M877" s="557">
        <f t="shared" si="222"/>
        <v>0</v>
      </c>
      <c r="N877" s="557">
        <f t="shared" si="222"/>
        <v>0</v>
      </c>
      <c r="O877" s="535" t="s">
        <v>2762</v>
      </c>
    </row>
    <row r="878" spans="1:33" s="142" customFormat="1" ht="18" hidden="1" customHeight="1" outlineLevel="1" x14ac:dyDescent="0.2">
      <c r="A878" s="1398"/>
      <c r="B878" s="138"/>
      <c r="C878" s="235"/>
      <c r="D878" s="726" t="s">
        <v>2738</v>
      </c>
      <c r="E878" s="557">
        <f t="shared" ref="E878:N878" si="223">(pSystemsLeaseReturnPrintCollLaborHrsSMCS/pSystemsTouchHourspaSMCS)*LeaseReturnForecast</f>
        <v>0</v>
      </c>
      <c r="F878" s="557">
        <f t="shared" si="223"/>
        <v>0</v>
      </c>
      <c r="G878" s="557">
        <f t="shared" si="223"/>
        <v>0</v>
      </c>
      <c r="H878" s="557">
        <f t="shared" si="223"/>
        <v>0</v>
      </c>
      <c r="I878" s="557">
        <f t="shared" si="223"/>
        <v>0</v>
      </c>
      <c r="J878" s="557">
        <f t="shared" si="223"/>
        <v>0</v>
      </c>
      <c r="K878" s="557">
        <f t="shared" si="223"/>
        <v>0</v>
      </c>
      <c r="L878" s="557">
        <f t="shared" si="223"/>
        <v>0</v>
      </c>
      <c r="M878" s="557">
        <f t="shared" si="223"/>
        <v>0</v>
      </c>
      <c r="N878" s="557">
        <f t="shared" si="223"/>
        <v>0</v>
      </c>
      <c r="O878" s="535" t="s">
        <v>2763</v>
      </c>
    </row>
    <row r="879" spans="1:33" s="142" customFormat="1" ht="18" hidden="1" customHeight="1" outlineLevel="1" x14ac:dyDescent="0.2">
      <c r="A879" s="1398"/>
      <c r="B879" s="138"/>
      <c r="C879" s="235"/>
      <c r="D879" s="726" t="s">
        <v>2739</v>
      </c>
      <c r="E879" s="557">
        <f t="shared" ref="E879:N879" si="224">(pSystemsLeaseReturnPrintCollLaborHrsO1/pSystemsTouchHourspaO1)*LeaseReturnForecast</f>
        <v>0</v>
      </c>
      <c r="F879" s="557">
        <f t="shared" si="224"/>
        <v>0</v>
      </c>
      <c r="G879" s="557">
        <f t="shared" si="224"/>
        <v>0</v>
      </c>
      <c r="H879" s="557">
        <f t="shared" si="224"/>
        <v>0</v>
      </c>
      <c r="I879" s="557">
        <f t="shared" si="224"/>
        <v>0</v>
      </c>
      <c r="J879" s="557">
        <f t="shared" si="224"/>
        <v>0</v>
      </c>
      <c r="K879" s="557">
        <f t="shared" si="224"/>
        <v>0</v>
      </c>
      <c r="L879" s="557">
        <f t="shared" si="224"/>
        <v>0</v>
      </c>
      <c r="M879" s="557">
        <f t="shared" si="224"/>
        <v>0</v>
      </c>
      <c r="N879" s="557">
        <f t="shared" si="224"/>
        <v>0</v>
      </c>
      <c r="O879" s="535" t="s">
        <v>2764</v>
      </c>
    </row>
    <row r="880" spans="1:33" s="142" customFormat="1" ht="18" hidden="1" customHeight="1" outlineLevel="1" x14ac:dyDescent="0.2">
      <c r="A880" s="1398"/>
      <c r="B880" s="138"/>
      <c r="C880" s="235"/>
      <c r="D880" s="726" t="s">
        <v>2740</v>
      </c>
      <c r="E880" s="557">
        <f t="shared" ref="E880:N880" si="225">(pSystemsLeaseReturnPrintCollLaborHrsO2/pSystemsTouchHourspaO2)*LeaseReturnForecast</f>
        <v>0</v>
      </c>
      <c r="F880" s="557">
        <f t="shared" si="225"/>
        <v>0</v>
      </c>
      <c r="G880" s="557">
        <f t="shared" si="225"/>
        <v>0</v>
      </c>
      <c r="H880" s="557">
        <f t="shared" si="225"/>
        <v>0</v>
      </c>
      <c r="I880" s="557">
        <f t="shared" si="225"/>
        <v>0</v>
      </c>
      <c r="J880" s="557">
        <f t="shared" si="225"/>
        <v>0</v>
      </c>
      <c r="K880" s="557">
        <f t="shared" si="225"/>
        <v>0</v>
      </c>
      <c r="L880" s="557">
        <f t="shared" si="225"/>
        <v>0</v>
      </c>
      <c r="M880" s="557">
        <f t="shared" si="225"/>
        <v>0</v>
      </c>
      <c r="N880" s="557">
        <f t="shared" si="225"/>
        <v>0</v>
      </c>
      <c r="O880" s="535" t="s">
        <v>2765</v>
      </c>
    </row>
    <row r="881" spans="1:16" s="142" customFormat="1" ht="18" hidden="1" customHeight="1" outlineLevel="1" x14ac:dyDescent="0.25">
      <c r="A881" s="1398"/>
      <c r="B881" s="138"/>
      <c r="C881" s="235"/>
      <c r="D881" s="728" t="s">
        <v>2741</v>
      </c>
      <c r="E881" s="562">
        <f>SUM(E869:E880)</f>
        <v>1.941370607649</v>
      </c>
      <c r="F881" s="562">
        <f t="shared" ref="F881:N881" si="226">SUM(F869:F880)</f>
        <v>2.9120559114734998</v>
      </c>
      <c r="G881" s="562">
        <f t="shared" si="226"/>
        <v>2.9120559114734998</v>
      </c>
      <c r="H881" s="562">
        <f t="shared" si="226"/>
        <v>1.941370607649</v>
      </c>
      <c r="I881" s="562">
        <f t="shared" si="226"/>
        <v>1.941370607649</v>
      </c>
      <c r="J881" s="562">
        <f t="shared" si="226"/>
        <v>2.9120559114734998</v>
      </c>
      <c r="K881" s="562">
        <f t="shared" si="226"/>
        <v>2.9120559114734998</v>
      </c>
      <c r="L881" s="562">
        <f t="shared" si="226"/>
        <v>1.941370607649</v>
      </c>
      <c r="M881" s="562">
        <f t="shared" si="226"/>
        <v>1.941370607649</v>
      </c>
      <c r="N881" s="562">
        <f t="shared" si="226"/>
        <v>2.9120559114734998</v>
      </c>
      <c r="O881" s="535" t="s">
        <v>2766</v>
      </c>
    </row>
    <row r="882" spans="1:16" s="203" customFormat="1" ht="13.5" hidden="1" outlineLevel="1" thickBot="1" x14ac:dyDescent="0.25">
      <c r="A882" s="1399"/>
      <c r="B882" s="74"/>
      <c r="C882" s="325"/>
      <c r="D882" s="725"/>
      <c r="E882" s="568"/>
      <c r="F882" s="568"/>
      <c r="G882" s="568"/>
      <c r="H882" s="568"/>
      <c r="I882" s="568"/>
      <c r="J882" s="568"/>
      <c r="K882" s="568"/>
      <c r="L882" s="568"/>
      <c r="M882" s="568"/>
      <c r="N882" s="568"/>
      <c r="O882" s="569"/>
      <c r="P882" s="204"/>
    </row>
    <row r="883" spans="1:16" s="203" customFormat="1" ht="13.5" hidden="1" outlineLevel="1" thickBot="1" x14ac:dyDescent="0.25">
      <c r="A883" s="1025"/>
      <c r="B883" s="74"/>
      <c r="C883" s="339"/>
      <c r="D883" s="214"/>
      <c r="E883" s="210"/>
      <c r="F883" s="210"/>
      <c r="G883" s="210"/>
      <c r="H883" s="210"/>
      <c r="I883" s="210"/>
      <c r="J883" s="210"/>
      <c r="K883" s="210"/>
      <c r="L883" s="210"/>
      <c r="M883" s="210"/>
      <c r="N883" s="210"/>
      <c r="O883" s="332"/>
      <c r="P883" s="204"/>
    </row>
    <row r="884" spans="1:16" s="203" customFormat="1" ht="20.100000000000001" hidden="1" customHeight="1" outlineLevel="1" x14ac:dyDescent="0.2">
      <c r="A884" s="1025"/>
      <c r="B884" s="211"/>
      <c r="C884" s="1015" t="str">
        <f>Scenario2&amp;" Record Printing &amp; Collation Labor Hours"</f>
        <v>hSystems (Hybrid) Record Printing &amp; Collation Labor Hours</v>
      </c>
      <c r="D884" s="729"/>
      <c r="E884" s="322"/>
      <c r="F884" s="322"/>
      <c r="G884" s="322"/>
      <c r="H884" s="322"/>
      <c r="I884" s="322"/>
      <c r="J884" s="322"/>
      <c r="K884" s="322"/>
      <c r="L884" s="322"/>
      <c r="M884" s="322"/>
      <c r="N884" s="322"/>
      <c r="O884" s="341"/>
      <c r="P884" s="204"/>
    </row>
    <row r="885" spans="1:16" s="203" customFormat="1" ht="12.95" hidden="1" customHeight="1" outlineLevel="1" x14ac:dyDescent="0.2">
      <c r="A885" s="1025"/>
      <c r="B885" s="211"/>
      <c r="C885" s="328"/>
      <c r="D885" s="214"/>
      <c r="E885" s="210"/>
      <c r="F885" s="210"/>
      <c r="G885" s="210"/>
      <c r="H885" s="210"/>
      <c r="I885" s="210"/>
      <c r="J885" s="210"/>
      <c r="K885" s="210"/>
      <c r="L885" s="210"/>
      <c r="M885" s="210"/>
      <c r="N885" s="210"/>
      <c r="O885" s="324"/>
      <c r="P885" s="204"/>
    </row>
    <row r="886" spans="1:16" s="142" customFormat="1" ht="18" hidden="1" customHeight="1" outlineLevel="1" x14ac:dyDescent="0.2">
      <c r="A886" s="1025"/>
      <c r="B886" s="138"/>
      <c r="C886" s="235"/>
      <c r="D886" s="726" t="s">
        <v>2781</v>
      </c>
      <c r="E886" s="577">
        <v>0</v>
      </c>
      <c r="F886" s="577">
        <v>0</v>
      </c>
      <c r="G886" s="577">
        <v>0</v>
      </c>
      <c r="H886" s="577">
        <v>0</v>
      </c>
      <c r="I886" s="577">
        <v>0</v>
      </c>
      <c r="J886" s="577">
        <v>0</v>
      </c>
      <c r="K886" s="577">
        <v>0</v>
      </c>
      <c r="L886" s="577">
        <v>0</v>
      </c>
      <c r="M886" s="577">
        <v>0</v>
      </c>
      <c r="N886" s="577">
        <v>0</v>
      </c>
      <c r="O886" s="535" t="s">
        <v>2782</v>
      </c>
    </row>
    <row r="887" spans="1:16" s="142" customFormat="1" ht="18" hidden="1" customHeight="1" outlineLevel="1" x14ac:dyDescent="0.2">
      <c r="A887" s="1025"/>
      <c r="B887" s="138"/>
      <c r="C887" s="235"/>
      <c r="D887" s="726" t="s">
        <v>2783</v>
      </c>
      <c r="E887" s="577">
        <v>0</v>
      </c>
      <c r="F887" s="577">
        <v>0</v>
      </c>
      <c r="G887" s="577">
        <v>0</v>
      </c>
      <c r="H887" s="577">
        <v>0</v>
      </c>
      <c r="I887" s="577">
        <v>0</v>
      </c>
      <c r="J887" s="577">
        <v>0</v>
      </c>
      <c r="K887" s="577">
        <v>0</v>
      </c>
      <c r="L887" s="577">
        <v>0</v>
      </c>
      <c r="M887" s="577">
        <v>0</v>
      </c>
      <c r="N887" s="577">
        <v>0</v>
      </c>
      <c r="O887" s="535" t="s">
        <v>2784</v>
      </c>
    </row>
    <row r="888" spans="1:16" s="142" customFormat="1" ht="18" hidden="1" customHeight="1" outlineLevel="1" x14ac:dyDescent="0.2">
      <c r="A888" s="1025"/>
      <c r="B888" s="138"/>
      <c r="C888" s="235"/>
      <c r="D888" s="726" t="s">
        <v>2785</v>
      </c>
      <c r="E888" s="577">
        <v>0</v>
      </c>
      <c r="F888" s="577">
        <v>0</v>
      </c>
      <c r="G888" s="577">
        <v>0</v>
      </c>
      <c r="H888" s="577">
        <v>0</v>
      </c>
      <c r="I888" s="577">
        <v>0</v>
      </c>
      <c r="J888" s="577">
        <v>0</v>
      </c>
      <c r="K888" s="577">
        <v>0</v>
      </c>
      <c r="L888" s="577">
        <v>0</v>
      </c>
      <c r="M888" s="577">
        <v>0</v>
      </c>
      <c r="N888" s="577">
        <v>0</v>
      </c>
      <c r="O888" s="535" t="s">
        <v>2786</v>
      </c>
    </row>
    <row r="889" spans="1:16" s="142" customFormat="1" ht="18" hidden="1" customHeight="1" outlineLevel="1" x14ac:dyDescent="0.2">
      <c r="A889" s="1025"/>
      <c r="B889" s="138"/>
      <c r="C889" s="235"/>
      <c r="D889" s="726" t="s">
        <v>2787</v>
      </c>
      <c r="E889" s="577">
        <v>0</v>
      </c>
      <c r="F889" s="577">
        <v>0</v>
      </c>
      <c r="G889" s="577">
        <v>0</v>
      </c>
      <c r="H889" s="577">
        <v>0</v>
      </c>
      <c r="I889" s="577">
        <v>0</v>
      </c>
      <c r="J889" s="577">
        <v>0</v>
      </c>
      <c r="K889" s="577">
        <v>0</v>
      </c>
      <c r="L889" s="577">
        <v>0</v>
      </c>
      <c r="M889" s="577">
        <v>0</v>
      </c>
      <c r="N889" s="577">
        <v>0</v>
      </c>
      <c r="O889" s="535" t="s">
        <v>2788</v>
      </c>
    </row>
    <row r="890" spans="1:16" s="142" customFormat="1" ht="18" hidden="1" customHeight="1" outlineLevel="1" x14ac:dyDescent="0.2">
      <c r="A890" s="1025"/>
      <c r="B890" s="138"/>
      <c r="C890" s="235"/>
      <c r="D890" s="726" t="s">
        <v>2789</v>
      </c>
      <c r="E890" s="577">
        <v>1000</v>
      </c>
      <c r="F890" s="577">
        <v>900</v>
      </c>
      <c r="G890" s="577">
        <v>800</v>
      </c>
      <c r="H890" s="577">
        <v>700</v>
      </c>
      <c r="I890" s="577">
        <v>600</v>
      </c>
      <c r="J890" s="577">
        <v>500</v>
      </c>
      <c r="K890" s="577">
        <v>400</v>
      </c>
      <c r="L890" s="577">
        <v>300</v>
      </c>
      <c r="M890" s="577">
        <v>200</v>
      </c>
      <c r="N890" s="577">
        <v>100</v>
      </c>
      <c r="O890" s="535" t="s">
        <v>2790</v>
      </c>
    </row>
    <row r="891" spans="1:16" s="142" customFormat="1" ht="18" hidden="1" customHeight="1" outlineLevel="1" x14ac:dyDescent="0.2">
      <c r="A891" s="1025"/>
      <c r="B891" s="138"/>
      <c r="C891" s="235"/>
      <c r="D891" s="726" t="s">
        <v>2791</v>
      </c>
      <c r="E891" s="577">
        <v>0</v>
      </c>
      <c r="F891" s="577">
        <v>0</v>
      </c>
      <c r="G891" s="577">
        <v>0</v>
      </c>
      <c r="H891" s="577">
        <v>0</v>
      </c>
      <c r="I891" s="577">
        <v>0</v>
      </c>
      <c r="J891" s="577">
        <v>0</v>
      </c>
      <c r="K891" s="577">
        <v>0</v>
      </c>
      <c r="L891" s="577">
        <v>0</v>
      </c>
      <c r="M891" s="577">
        <v>0</v>
      </c>
      <c r="N891" s="577">
        <v>0</v>
      </c>
      <c r="O891" s="535" t="s">
        <v>231</v>
      </c>
    </row>
    <row r="892" spans="1:16" s="142" customFormat="1" ht="18" hidden="1" customHeight="1" outlineLevel="1" x14ac:dyDescent="0.2">
      <c r="A892" s="1025"/>
      <c r="B892" s="138"/>
      <c r="C892" s="235"/>
      <c r="D892" s="726" t="s">
        <v>2792</v>
      </c>
      <c r="E892" s="577">
        <v>0</v>
      </c>
      <c r="F892" s="577">
        <v>0</v>
      </c>
      <c r="G892" s="577">
        <v>0</v>
      </c>
      <c r="H892" s="577">
        <v>0</v>
      </c>
      <c r="I892" s="577">
        <v>0</v>
      </c>
      <c r="J892" s="577">
        <v>0</v>
      </c>
      <c r="K892" s="577">
        <v>0</v>
      </c>
      <c r="L892" s="577">
        <v>0</v>
      </c>
      <c r="M892" s="577">
        <v>0</v>
      </c>
      <c r="N892" s="577">
        <v>0</v>
      </c>
      <c r="O892" s="535" t="s">
        <v>2793</v>
      </c>
    </row>
    <row r="893" spans="1:16" s="142" customFormat="1" ht="18" hidden="1" customHeight="1" outlineLevel="1" x14ac:dyDescent="0.2">
      <c r="A893" s="1025"/>
      <c r="B893" s="138"/>
      <c r="C893" s="235"/>
      <c r="D893" s="726" t="s">
        <v>2794</v>
      </c>
      <c r="E893" s="577">
        <v>0</v>
      </c>
      <c r="F893" s="577">
        <v>0</v>
      </c>
      <c r="G893" s="577">
        <v>0</v>
      </c>
      <c r="H893" s="577">
        <v>0</v>
      </c>
      <c r="I893" s="577">
        <v>0</v>
      </c>
      <c r="J893" s="577">
        <v>0</v>
      </c>
      <c r="K893" s="577">
        <v>0</v>
      </c>
      <c r="L893" s="577">
        <v>0</v>
      </c>
      <c r="M893" s="577">
        <v>0</v>
      </c>
      <c r="N893" s="577">
        <v>0</v>
      </c>
      <c r="O893" s="535" t="s">
        <v>2795</v>
      </c>
    </row>
    <row r="894" spans="1:16" s="142" customFormat="1" ht="18" hidden="1" customHeight="1" outlineLevel="1" x14ac:dyDescent="0.2">
      <c r="A894" s="1025"/>
      <c r="B894" s="565"/>
      <c r="C894" s="235"/>
      <c r="D894" s="726" t="s">
        <v>2796</v>
      </c>
      <c r="E894" s="577">
        <v>0</v>
      </c>
      <c r="F894" s="577">
        <v>0</v>
      </c>
      <c r="G894" s="577">
        <v>0</v>
      </c>
      <c r="H894" s="577">
        <v>0</v>
      </c>
      <c r="I894" s="577">
        <v>0</v>
      </c>
      <c r="J894" s="577">
        <v>0</v>
      </c>
      <c r="K894" s="577">
        <v>0</v>
      </c>
      <c r="L894" s="577">
        <v>0</v>
      </c>
      <c r="M894" s="577">
        <v>0</v>
      </c>
      <c r="N894" s="577">
        <v>0</v>
      </c>
      <c r="O894" s="535" t="s">
        <v>2797</v>
      </c>
    </row>
    <row r="895" spans="1:16" s="142" customFormat="1" ht="18" hidden="1" customHeight="1" outlineLevel="1" x14ac:dyDescent="0.2">
      <c r="A895" s="1025"/>
      <c r="B895" s="565"/>
      <c r="C895" s="235"/>
      <c r="D895" s="726" t="s">
        <v>2798</v>
      </c>
      <c r="E895" s="577">
        <v>0</v>
      </c>
      <c r="F895" s="577">
        <v>0</v>
      </c>
      <c r="G895" s="577">
        <v>0</v>
      </c>
      <c r="H895" s="577">
        <v>0</v>
      </c>
      <c r="I895" s="577">
        <v>0</v>
      </c>
      <c r="J895" s="577">
        <v>0</v>
      </c>
      <c r="K895" s="577">
        <v>0</v>
      </c>
      <c r="L895" s="577">
        <v>0</v>
      </c>
      <c r="M895" s="577">
        <v>0</v>
      </c>
      <c r="N895" s="577">
        <v>0</v>
      </c>
      <c r="O895" s="535" t="s">
        <v>2799</v>
      </c>
    </row>
    <row r="896" spans="1:16" s="142" customFormat="1" ht="18" hidden="1" customHeight="1" outlineLevel="1" x14ac:dyDescent="0.2">
      <c r="A896" s="1025"/>
      <c r="B896" s="138"/>
      <c r="C896" s="235"/>
      <c r="D896" s="726" t="s">
        <v>2800</v>
      </c>
      <c r="E896" s="577">
        <v>0</v>
      </c>
      <c r="F896" s="577">
        <v>0</v>
      </c>
      <c r="G896" s="577">
        <v>0</v>
      </c>
      <c r="H896" s="577">
        <v>0</v>
      </c>
      <c r="I896" s="577">
        <v>0</v>
      </c>
      <c r="J896" s="577">
        <v>0</v>
      </c>
      <c r="K896" s="577">
        <v>0</v>
      </c>
      <c r="L896" s="577">
        <v>0</v>
      </c>
      <c r="M896" s="577">
        <v>0</v>
      </c>
      <c r="N896" s="577">
        <v>0</v>
      </c>
      <c r="O896" s="535" t="s">
        <v>2801</v>
      </c>
    </row>
    <row r="897" spans="1:33" s="142" customFormat="1" ht="18" hidden="1" customHeight="1" outlineLevel="1" x14ac:dyDescent="0.2">
      <c r="A897" s="1025"/>
      <c r="B897" s="138"/>
      <c r="C897" s="235"/>
      <c r="D897" s="726" t="s">
        <v>2802</v>
      </c>
      <c r="E897" s="577">
        <v>0</v>
      </c>
      <c r="F897" s="577">
        <v>0</v>
      </c>
      <c r="G897" s="577">
        <v>0</v>
      </c>
      <c r="H897" s="577">
        <v>0</v>
      </c>
      <c r="I897" s="577">
        <v>0</v>
      </c>
      <c r="J897" s="577">
        <v>0</v>
      </c>
      <c r="K897" s="577">
        <v>0</v>
      </c>
      <c r="L897" s="577">
        <v>0</v>
      </c>
      <c r="M897" s="577">
        <v>0</v>
      </c>
      <c r="N897" s="577">
        <v>0</v>
      </c>
      <c r="O897" s="535" t="s">
        <v>2803</v>
      </c>
    </row>
    <row r="898" spans="1:33" s="206" customFormat="1" ht="15.75" hidden="1" outlineLevel="1" thickBot="1" x14ac:dyDescent="0.3">
      <c r="A898" s="1025"/>
      <c r="B898" s="563"/>
      <c r="C898" s="564"/>
      <c r="D898" s="724"/>
      <c r="E898" s="571"/>
      <c r="F898" s="571"/>
      <c r="G898" s="571"/>
      <c r="H898" s="571"/>
      <c r="I898" s="571"/>
      <c r="J898" s="571"/>
      <c r="K898" s="571"/>
      <c r="L898" s="571"/>
      <c r="M898" s="571"/>
      <c r="N898" s="571"/>
      <c r="O898" s="572"/>
      <c r="P898" s="210"/>
    </row>
    <row r="899" spans="1:33" s="206" customFormat="1" ht="15.75" hidden="1" outlineLevel="1" thickBot="1" x14ac:dyDescent="0.3">
      <c r="A899" s="1025"/>
      <c r="B899" s="563"/>
      <c r="C899" s="322"/>
      <c r="D899" s="732"/>
      <c r="E899" s="581"/>
      <c r="F899" s="581"/>
      <c r="G899" s="581"/>
      <c r="H899" s="581"/>
      <c r="I899" s="581"/>
      <c r="J899" s="581"/>
      <c r="K899" s="581"/>
      <c r="L899" s="581"/>
      <c r="M899" s="581"/>
      <c r="N899" s="581"/>
      <c r="O899" s="558"/>
      <c r="P899" s="210"/>
    </row>
    <row r="900" spans="1:33" s="8" customFormat="1" ht="20.25" hidden="1" outlineLevel="1" x14ac:dyDescent="0.2">
      <c r="A900" s="1025"/>
      <c r="B900" s="102"/>
      <c r="C900" s="1016" t="str">
        <f>Scenario2&amp;" Lease Printing &amp; Collation Labor Cost pa (based on Touch Hour Rate)"</f>
        <v>hSystems (Hybrid) Lease Printing &amp; Collation Labor Cost pa (based on Touch Hour Rate)</v>
      </c>
      <c r="D900" s="310"/>
      <c r="E900" s="316"/>
      <c r="F900" s="316"/>
      <c r="G900" s="316"/>
      <c r="H900" s="316"/>
      <c r="I900" s="316"/>
      <c r="J900" s="316"/>
      <c r="K900" s="316"/>
      <c r="L900" s="316"/>
      <c r="M900" s="316"/>
      <c r="N900" s="316"/>
      <c r="O900" s="583"/>
      <c r="P900" s="17"/>
      <c r="Q900" s="17"/>
      <c r="R900" s="17"/>
      <c r="S900" s="17"/>
      <c r="T900" s="17"/>
      <c r="U900" s="17"/>
      <c r="V900" s="17"/>
      <c r="W900" s="17"/>
      <c r="X900" s="17"/>
      <c r="Y900" s="17"/>
      <c r="Z900" s="17"/>
      <c r="AA900" s="17"/>
      <c r="AB900" s="17"/>
      <c r="AC900" s="17"/>
      <c r="AD900" s="17"/>
      <c r="AE900" s="17"/>
      <c r="AF900" s="17"/>
      <c r="AG900" s="17"/>
    </row>
    <row r="901" spans="1:33" s="142" customFormat="1" ht="18" hidden="1" customHeight="1" outlineLevel="1" x14ac:dyDescent="0.2">
      <c r="A901" s="1025"/>
      <c r="B901" s="138"/>
      <c r="C901" s="235"/>
      <c r="D901" s="726" t="s">
        <v>2804</v>
      </c>
      <c r="E901" s="555">
        <f>(hSystemsTouchRateHourHM*hSystemsLeaseReturnPrintCollLaborHrsHM*LeaseReturnForecast)</f>
        <v>0</v>
      </c>
      <c r="F901" s="555">
        <f>(hSystemsTouchRateHourHM*hSystemsLeaseReturnPrintCollLaborHrsHM*LeaseReturnForecast)*(1+Inflation)</f>
        <v>0</v>
      </c>
      <c r="G901" s="555">
        <f>(hSystemsTouchRateHourHM*hSystemsLeaseReturnPrintCollLaborHrsHM*LeaseReturnForecast)*(1+Inflation)^2</f>
        <v>0</v>
      </c>
      <c r="H901" s="555">
        <f>(hSystemsTouchRateHourHM*hSystemsLeaseReturnPrintCollLaborHrsHM*LeaseReturnForecast)*(1+Inflation)^3</f>
        <v>0</v>
      </c>
      <c r="I901" s="555">
        <f>(hSystemsTouchRateHourHM*hSystemsLeaseReturnPrintCollLaborHrsHM*LeaseReturnForecast)*(1+Inflation)^4</f>
        <v>0</v>
      </c>
      <c r="J901" s="555">
        <f>(hSystemsTouchRateHourHM*hSystemsLeaseReturnPrintCollLaborHrsHM*LeaseReturnForecast)*(1+Inflation)^5</f>
        <v>0</v>
      </c>
      <c r="K901" s="555">
        <f>(hSystemsTouchRateHourHM*hSystemsLeaseReturnPrintCollLaborHrsHM*LeaseReturnForecast)*(1+Inflation)^6</f>
        <v>0</v>
      </c>
      <c r="L901" s="555">
        <f>(hSystemsTouchRateHourHM*hSystemsLeaseReturnPrintCollLaborHrsHM*LeaseReturnForecast)*(1+Inflation)^7</f>
        <v>0</v>
      </c>
      <c r="M901" s="555">
        <f>(hSystemsTouchRateHourHM*hSystemsLeaseReturnPrintCollLaborHrsHM*LeaseReturnForecast)*(1+Inflation)^8</f>
        <v>0</v>
      </c>
      <c r="N901" s="555">
        <f>(hSystemsTouchRateHourHM*hSystemsLeaseReturnPrintCollLaborHrsHM*LeaseReturnForecast)*(1+Inflation)^9</f>
        <v>0</v>
      </c>
      <c r="O901" s="535" t="s">
        <v>2805</v>
      </c>
    </row>
    <row r="902" spans="1:33" s="142" customFormat="1" ht="18" hidden="1" customHeight="1" outlineLevel="1" x14ac:dyDescent="0.2">
      <c r="A902" s="1025"/>
      <c r="B902" s="128"/>
      <c r="C902" s="235"/>
      <c r="D902" s="726" t="s">
        <v>2806</v>
      </c>
      <c r="E902" s="555">
        <f>(hSystemsTouchRateHourLM*hSystemsLeaseReturnPrintCollLaborHrsLM*LeaseReturnForecast)</f>
        <v>0</v>
      </c>
      <c r="F902" s="555">
        <f>(hSystemsTouchRateHourLM*hSystemsLeaseReturnPrintCollLaborHrsLM*LeaseReturnForecast)*(1+Inflation)</f>
        <v>0</v>
      </c>
      <c r="G902" s="555">
        <f>(hSystemsTouchRateHourLM*hSystemsLeaseReturnPrintCollLaborHrsLM*LeaseReturnForecast)*(1+Inflation)^2</f>
        <v>0</v>
      </c>
      <c r="H902" s="555">
        <f>(hSystemsTouchRateHourLM*hSystemsLeaseReturnPrintCollLaborHrsLM*LeaseReturnForecast)*(1+Inflation)^3</f>
        <v>0</v>
      </c>
      <c r="I902" s="555">
        <f>(hSystemsTouchRateHourLM*hSystemsLeaseReturnPrintCollLaborHrsLM*LeaseReturnForecast)*(1+Inflation)^4</f>
        <v>0</v>
      </c>
      <c r="J902" s="555">
        <f>(hSystemsTouchRateHourLM*hSystemsLeaseReturnPrintCollLaborHrsLM*LeaseReturnForecast)*(1+Inflation)^5</f>
        <v>0</v>
      </c>
      <c r="K902" s="555">
        <f>(hSystemsTouchRateHourLM*hSystemsLeaseReturnPrintCollLaborHrsLM*LeaseReturnForecast)*(1+Inflation)^6</f>
        <v>0</v>
      </c>
      <c r="L902" s="555">
        <f>(hSystemsTouchRateHourLM*hSystemsLeaseReturnPrintCollLaborHrsLM*LeaseReturnForecast)*(1+Inflation)^7</f>
        <v>0</v>
      </c>
      <c r="M902" s="555">
        <f>(hSystemsTouchRateHourLM*hSystemsLeaseReturnPrintCollLaborHrsLM*LeaseReturnForecast)*(1+Inflation)^8</f>
        <v>0</v>
      </c>
      <c r="N902" s="555">
        <f>(hSystemsTouchRateHourLM*hSystemsLeaseReturnPrintCollLaborHrsLM*LeaseReturnForecast)*(1+Inflation)^9</f>
        <v>0</v>
      </c>
      <c r="O902" s="535" t="s">
        <v>2807</v>
      </c>
    </row>
    <row r="903" spans="1:33" s="142" customFormat="1" ht="18" hidden="1" customHeight="1" outlineLevel="1" x14ac:dyDescent="0.2">
      <c r="A903" s="1025"/>
      <c r="B903" s="128"/>
      <c r="C903" s="235"/>
      <c r="D903" s="727" t="s">
        <v>2808</v>
      </c>
      <c r="E903" s="555">
        <f>(hSystemsTouchRateHourENG*hSystemsLeaseReturnPrintCollLaborHrsENG*LeaseReturnForecast)</f>
        <v>0</v>
      </c>
      <c r="F903" s="555">
        <f>(hSystemsTouchRateHourENG*hSystemsLeaseReturnPrintCollLaborHrsENG*LeaseReturnForecast)*(1+Inflation)</f>
        <v>0</v>
      </c>
      <c r="G903" s="555">
        <f>(hSystemsTouchRateHourENG*hSystemsLeaseReturnPrintCollLaborHrsENG*LeaseReturnForecast)*(1+Inflation)^2</f>
        <v>0</v>
      </c>
      <c r="H903" s="555">
        <f>(hSystemsTouchRateHourENG*hSystemsLeaseReturnPrintCollLaborHrsENG*LeaseReturnForecast)*(1+Inflation)^3</f>
        <v>0</v>
      </c>
      <c r="I903" s="555">
        <f>(hSystemsTouchRateHourENG*hSystemsLeaseReturnPrintCollLaborHrsENG*LeaseReturnForecast)*(1+Inflation)^4</f>
        <v>0</v>
      </c>
      <c r="J903" s="555">
        <f>(hSystemsTouchRateHourENG*hSystemsLeaseReturnPrintCollLaborHrsENG*LeaseReturnForecast)*(1+Inflation)^5</f>
        <v>0</v>
      </c>
      <c r="K903" s="555">
        <f>(hSystemsTouchRateHourENG*hSystemsLeaseReturnPrintCollLaborHrsENG*LeaseReturnForecast)*(1+Inflation)^6</f>
        <v>0</v>
      </c>
      <c r="L903" s="555">
        <f>(hSystemsTouchRateHourENG*hSystemsLeaseReturnPrintCollLaborHrsENG*LeaseReturnForecast)*(1+Inflation)^7</f>
        <v>0</v>
      </c>
      <c r="M903" s="555">
        <f>(hSystemsTouchRateHourENG*hSystemsLeaseReturnPrintCollLaborHrsENG*LeaseReturnForecast)*(1+Inflation)^8</f>
        <v>0</v>
      </c>
      <c r="N903" s="555">
        <f>(hSystemsTouchRateHourENG*hSystemsLeaseReturnPrintCollLaborHrsENG*LeaseReturnForecast)*(1+Inflation)^9</f>
        <v>0</v>
      </c>
      <c r="O903" s="535" t="s">
        <v>2809</v>
      </c>
    </row>
    <row r="904" spans="1:33" s="142" customFormat="1" ht="18" hidden="1" customHeight="1" outlineLevel="1" x14ac:dyDescent="0.2">
      <c r="A904" s="1025"/>
      <c r="B904" s="138"/>
      <c r="C904" s="235"/>
      <c r="D904" s="726" t="s">
        <v>2810</v>
      </c>
      <c r="E904" s="555">
        <f>(hSystemsTouchRateHourPLG*hSystemsLeaseReturnPrintCollLaborHrsPLG*LeaseReturnForecast)</f>
        <v>0</v>
      </c>
      <c r="F904" s="555">
        <f>(hSystemsTouchRateHourPLG*hSystemsLeaseReturnPrintCollLaborHrsPLG*LeaseReturnForecast)*(1+Inflation)</f>
        <v>0</v>
      </c>
      <c r="G904" s="555">
        <f>(hSystemsTouchRateHourPLG*hSystemsLeaseReturnPrintCollLaborHrsPLG*LeaseReturnForecast)*(1+Inflation)^2</f>
        <v>0</v>
      </c>
      <c r="H904" s="555">
        <f>(hSystemsTouchRateHourPLG*hSystemsLeaseReturnPrintCollLaborHrsPLG*LeaseReturnForecast)*(1+Inflation)^3</f>
        <v>0</v>
      </c>
      <c r="I904" s="555">
        <f>(hSystemsTouchRateHourPLG*hSystemsLeaseReturnPrintCollLaborHrsPLG*LeaseReturnForecast)*(1+Inflation)^4</f>
        <v>0</v>
      </c>
      <c r="J904" s="555">
        <f>(hSystemsTouchRateHourPLG*hSystemsLeaseReturnPrintCollLaborHrsPLG*LeaseReturnForecast)*(1+Inflation)^5</f>
        <v>0</v>
      </c>
      <c r="K904" s="555">
        <f>(hSystemsTouchRateHourPLG*hSystemsLeaseReturnPrintCollLaborHrsPLG*LeaseReturnForecast)*(1+Inflation)^6</f>
        <v>0</v>
      </c>
      <c r="L904" s="555">
        <f>(hSystemsTouchRateHourPLG*hSystemsLeaseReturnPrintCollLaborHrsPLG*LeaseReturnForecast)*(1+Inflation)^7</f>
        <v>0</v>
      </c>
      <c r="M904" s="555">
        <f>(hSystemsTouchRateHourPLG*hSystemsLeaseReturnPrintCollLaborHrsPLG*LeaseReturnForecast)*(1+Inflation)^8</f>
        <v>0</v>
      </c>
      <c r="N904" s="555">
        <f>(hSystemsTouchRateHourPLG*hSystemsLeaseReturnPrintCollLaborHrsPLG*LeaseReturnForecast)*(1+Inflation)^9</f>
        <v>0</v>
      </c>
      <c r="O904" s="535" t="s">
        <v>2811</v>
      </c>
    </row>
    <row r="905" spans="1:33" s="142" customFormat="1" ht="18" hidden="1" customHeight="1" outlineLevel="1" x14ac:dyDescent="0.2">
      <c r="A905" s="1025"/>
      <c r="B905" s="138"/>
      <c r="C905" s="235"/>
      <c r="D905" s="726" t="s">
        <v>2812</v>
      </c>
      <c r="E905" s="555">
        <f>(hSystemsTouchRateHourCRT*hSystemsLeaseReturnPrintCollLaborHrsCRT*LeaseReturnForecast)</f>
        <v>115962.22647474833</v>
      </c>
      <c r="F905" s="555">
        <f>(hSystemsTouchRateHourCRT*hSystemsLeaseReturnPrintCollLaborHrsCRT*LeaseReturnForecast)*(1+Inflation)</f>
        <v>159679.98585572845</v>
      </c>
      <c r="G905" s="555">
        <f>(hSystemsTouchRateHourCRT*hSystemsLeaseReturnPrintCollLaborHrsCRT*LeaseReturnForecast)*(1+Inflation)^2</f>
        <v>144776.5205091938</v>
      </c>
      <c r="H905" s="555">
        <f>(hSystemsTouchRateHourCRT*hSystemsLeaseReturnPrintCollLaborHrsCRT*LeaseReturnForecast)*(1+Inflation)^3</f>
        <v>86142.029702970307</v>
      </c>
      <c r="I905" s="555">
        <f>(hSystemsTouchRateHourCRT*hSystemsLeaseReturnPrintCollLaborHrsCRT*LeaseReturnForecast)*(1+Inflation)^4</f>
        <v>75312.74596888262</v>
      </c>
      <c r="J905" s="555">
        <f>(hSystemsTouchRateHourCRT*hSystemsLeaseReturnPrintCollLaborHrsCRT*LeaseReturnForecast)*(1+Inflation)^5</f>
        <v>96023.75111032532</v>
      </c>
      <c r="K905" s="555">
        <f>(hSystemsTouchRateHourCRT*hSystemsLeaseReturnPrintCollLaborHrsCRT*LeaseReturnForecast)*(1+Inflation)^6</f>
        <v>78355.380906025486</v>
      </c>
      <c r="L905" s="555">
        <f>(hSystemsTouchRateHourCRT*hSystemsLeaseReturnPrintCollLaborHrsCRT*LeaseReturnForecast)*(1+Inflation)^7</f>
        <v>39961.244262072985</v>
      </c>
      <c r="M905" s="555">
        <f>(hSystemsTouchRateHourCRT*hSystemsLeaseReturnPrintCollLaborHrsCRT*LeaseReturnForecast)*(1+Inflation)^8</f>
        <v>27173.646098209632</v>
      </c>
      <c r="N905" s="555">
        <f>(hSystemsTouchRateHourCRT*hSystemsLeaseReturnPrintCollLaborHrsCRT*LeaseReturnForecast)*(1+Inflation)^9</f>
        <v>20787.839265130369</v>
      </c>
      <c r="O905" s="535" t="s">
        <v>2813</v>
      </c>
    </row>
    <row r="906" spans="1:33" s="142" customFormat="1" ht="18" hidden="1" customHeight="1" outlineLevel="1" x14ac:dyDescent="0.2">
      <c r="A906" s="1025"/>
      <c r="B906" s="128"/>
      <c r="C906" s="235"/>
      <c r="D906" s="726" t="s">
        <v>2814</v>
      </c>
      <c r="E906" s="555">
        <f>(hSystemsTouchRateHourSCL*hSystemsLeaseReturnPrintCollLaborHrsSCL*LeaseReturnForecast)</f>
        <v>0</v>
      </c>
      <c r="F906" s="555">
        <f>(hSystemsTouchRateHourSCL*hSystemsLeaseReturnPrintCollLaborHrsSCL*LeaseReturnForecast)*(1+Inflation)</f>
        <v>0</v>
      </c>
      <c r="G906" s="555">
        <f>(hSystemsTouchRateHourSCL*hSystemsLeaseReturnPrintCollLaborHrsSCL*LeaseReturnForecast)*(1+Inflation)^2</f>
        <v>0</v>
      </c>
      <c r="H906" s="555">
        <f>(hSystemsTouchRateHourSCL*hSystemsLeaseReturnPrintCollLaborHrsSCL*LeaseReturnForecast)*(1+Inflation)^3</f>
        <v>0</v>
      </c>
      <c r="I906" s="555">
        <f>(hSystemsTouchRateHourSCL*hSystemsLeaseReturnPrintCollLaborHrsSCL*LeaseReturnForecast)*(1+Inflation)^4</f>
        <v>0</v>
      </c>
      <c r="J906" s="555">
        <f>(hSystemsTouchRateHourSCL*hSystemsLeaseReturnPrintCollLaborHrsSCL*LeaseReturnForecast)*(1+Inflation)^5</f>
        <v>0</v>
      </c>
      <c r="K906" s="555">
        <f>(hSystemsTouchRateHourSCL*hSystemsLeaseReturnPrintCollLaborHrsSCL*LeaseReturnForecast)*(1+Inflation)^6</f>
        <v>0</v>
      </c>
      <c r="L906" s="555">
        <f>(hSystemsTouchRateHourSCL*hSystemsLeaseReturnPrintCollLaborHrsSCL*LeaseReturnForecast)*(1+Inflation)^7</f>
        <v>0</v>
      </c>
      <c r="M906" s="555">
        <f>(hSystemsTouchRateHourSCL*hSystemsLeaseReturnPrintCollLaborHrsSCL*LeaseReturnForecast)*(1+Inflation)^8</f>
        <v>0</v>
      </c>
      <c r="N906" s="555">
        <f>(hSystemsTouchRateHourSCL*hSystemsLeaseReturnPrintCollLaborHrsSCL*LeaseReturnForecast)*(1+Inflation)^9</f>
        <v>0</v>
      </c>
      <c r="O906" s="535" t="s">
        <v>2815</v>
      </c>
    </row>
    <row r="907" spans="1:33" s="142" customFormat="1" ht="18" hidden="1" customHeight="1" outlineLevel="1" x14ac:dyDescent="0.2">
      <c r="A907" s="1025"/>
      <c r="B907" s="138"/>
      <c r="C907" s="235"/>
      <c r="D907" s="726" t="s">
        <v>2816</v>
      </c>
      <c r="E907" s="555">
        <f>(hSystemsTouchRateHourQSC*hSystemsLeaseReturnPrintCollLaborHrsQSC*LeaseReturnForecast)</f>
        <v>0</v>
      </c>
      <c r="F907" s="555">
        <f>(hSystemsTouchRateHourQSC*hSystemsLeaseReturnPrintCollLaborHrsQSC*LeaseReturnForecast)*(1+Inflation)</f>
        <v>0</v>
      </c>
      <c r="G907" s="555">
        <f>(hSystemsTouchRateHourQSC*hSystemsLeaseReturnPrintCollLaborHrsQSC*LeaseReturnForecast)*(1+Inflation)^2</f>
        <v>0</v>
      </c>
      <c r="H907" s="555">
        <f>(hSystemsTouchRateHourQSC*hSystemsLeaseReturnPrintCollLaborHrsQSC*LeaseReturnForecast)*(1+Inflation)^3</f>
        <v>0</v>
      </c>
      <c r="I907" s="555">
        <f>(hSystemsTouchRateHourQSC*hSystemsLeaseReturnPrintCollLaborHrsQSC*LeaseReturnForecast)*(1+Inflation)^4</f>
        <v>0</v>
      </c>
      <c r="J907" s="555">
        <f>(hSystemsTouchRateHourQSC*hSystemsLeaseReturnPrintCollLaborHrsQSC*LeaseReturnForecast)*(1+Inflation)^5</f>
        <v>0</v>
      </c>
      <c r="K907" s="555">
        <f>(hSystemsTouchRateHourQSC*hSystemsLeaseReturnPrintCollLaborHrsQSC*LeaseReturnForecast)*(1+Inflation)^6</f>
        <v>0</v>
      </c>
      <c r="L907" s="555">
        <f>(hSystemsTouchRateHourQSC*hSystemsLeaseReturnPrintCollLaborHrsQSC*LeaseReturnForecast)*(1+Inflation)^7</f>
        <v>0</v>
      </c>
      <c r="M907" s="555">
        <f>(hSystemsTouchRateHourQSC*hSystemsLeaseReturnPrintCollLaborHrsQSC*LeaseReturnForecast)*(1+Inflation)^8</f>
        <v>0</v>
      </c>
      <c r="N907" s="555">
        <f>(hSystemsTouchRateHourQSC*hSystemsLeaseReturnPrintCollLaborHrsQSC*LeaseReturnForecast)*(1+Inflation)^9</f>
        <v>0</v>
      </c>
      <c r="O907" s="535" t="s">
        <v>2817</v>
      </c>
    </row>
    <row r="908" spans="1:33" s="142" customFormat="1" ht="18" hidden="1" customHeight="1" outlineLevel="1" x14ac:dyDescent="0.2">
      <c r="A908" s="1025"/>
      <c r="B908" s="138"/>
      <c r="C908" s="235"/>
      <c r="D908" s="726" t="s">
        <v>2818</v>
      </c>
      <c r="E908" s="555">
        <f>(hSystemsTouchRateHourEM*hSystemsLeaseReturnPrintCollLaborHrsEM*LeaseReturnForecast)</f>
        <v>0</v>
      </c>
      <c r="F908" s="555">
        <f>(hSystemsTouchRateHourEM*hSystemsLeaseReturnPrintCollLaborHrsEM*LeaseReturnForecast)*(1+Inflation)</f>
        <v>0</v>
      </c>
      <c r="G908" s="555">
        <f>(hSystemsTouchRateHourEM*hSystemsLeaseReturnPrintCollLaborHrsEM*LeaseReturnForecast)*(1+Inflation)^2</f>
        <v>0</v>
      </c>
      <c r="H908" s="555">
        <f>(hSystemsTouchRateHourEM*hSystemsLeaseReturnPrintCollLaborHrsEM*LeaseReturnForecast)*(1+Inflation)^3</f>
        <v>0</v>
      </c>
      <c r="I908" s="555">
        <f>(hSystemsTouchRateHourEM*hSystemsLeaseReturnPrintCollLaborHrsEM*LeaseReturnForecast)*(1+Inflation)^4</f>
        <v>0</v>
      </c>
      <c r="J908" s="555">
        <f>(hSystemsTouchRateHourEM*hSystemsLeaseReturnPrintCollLaborHrsEM*LeaseReturnForecast)*(1+Inflation)^5</f>
        <v>0</v>
      </c>
      <c r="K908" s="555">
        <f>(hSystemsTouchRateHourEM*hSystemsLeaseReturnPrintCollLaborHrsEM*LeaseReturnForecast)*(1+Inflation)^6</f>
        <v>0</v>
      </c>
      <c r="L908" s="555">
        <f>(hSystemsTouchRateHourEM*hSystemsLeaseReturnPrintCollLaborHrsEM*LeaseReturnForecast)*(1+Inflation)^7</f>
        <v>0</v>
      </c>
      <c r="M908" s="555">
        <f>(hSystemsTouchRateHourEM*hSystemsLeaseReturnPrintCollLaborHrsEM*LeaseReturnForecast)*(1+Inflation)^8</f>
        <v>0</v>
      </c>
      <c r="N908" s="555">
        <f>(hSystemsTouchRateHourEM*hSystemsLeaseReturnPrintCollLaborHrsEM*LeaseReturnForecast)*(1+Inflation)^9</f>
        <v>0</v>
      </c>
      <c r="O908" s="535" t="s">
        <v>2819</v>
      </c>
    </row>
    <row r="909" spans="1:33" s="142" customFormat="1" ht="18" hidden="1" customHeight="1" outlineLevel="1" x14ac:dyDescent="0.2">
      <c r="A909" s="1025"/>
      <c r="B909" s="138"/>
      <c r="C909" s="235"/>
      <c r="D909" s="726" t="s">
        <v>2820</v>
      </c>
      <c r="E909" s="555">
        <f>(hSystemsTouchRateHourCM*hSystemsLeaseReturnPrintCollLaborHrsCM*LeaseReturnForecast)</f>
        <v>0</v>
      </c>
      <c r="F909" s="555">
        <f>(hSystemsTouchRateHourCM*hSystemsLeaseReturnPrintCollLaborHrsCM*LeaseReturnForecast)*(1+Inflation)</f>
        <v>0</v>
      </c>
      <c r="G909" s="555">
        <f>(hSystemsTouchRateHourCM*hSystemsLeaseReturnPrintCollLaborHrsCM*LeaseReturnForecast)*(1+Inflation)^2</f>
        <v>0</v>
      </c>
      <c r="H909" s="555">
        <f>(hSystemsTouchRateHourCM*hSystemsLeaseReturnPrintCollLaborHrsCM*LeaseReturnForecast)*(1+Inflation)^3</f>
        <v>0</v>
      </c>
      <c r="I909" s="555">
        <f>(hSystemsTouchRateHourCM*hSystemsLeaseReturnPrintCollLaborHrsCM*LeaseReturnForecast)*(1+Inflation)^4</f>
        <v>0</v>
      </c>
      <c r="J909" s="555">
        <f>(hSystemsTouchRateHourCM*hSystemsLeaseReturnPrintCollLaborHrsCM*LeaseReturnForecast)*(1+Inflation)^5</f>
        <v>0</v>
      </c>
      <c r="K909" s="555">
        <f>(hSystemsTouchRateHourCM*hSystemsLeaseReturnPrintCollLaborHrsCM*LeaseReturnForecast)*(1+Inflation)^6</f>
        <v>0</v>
      </c>
      <c r="L909" s="555">
        <f>(hSystemsTouchRateHourCM*hSystemsLeaseReturnPrintCollLaborHrsCM*LeaseReturnForecast)*(1+Inflation)^7</f>
        <v>0</v>
      </c>
      <c r="M909" s="555">
        <f>(hSystemsTouchRateHourCM*hSystemsLeaseReturnPrintCollLaborHrsCM*LeaseReturnForecast)*(1+Inflation)^8</f>
        <v>0</v>
      </c>
      <c r="N909" s="555">
        <f>(hSystemsTouchRateHourCM*hSystemsLeaseReturnPrintCollLaborHrsCM*LeaseReturnForecast)*(1+Inflation)^9</f>
        <v>0</v>
      </c>
      <c r="O909" s="535" t="s">
        <v>2821</v>
      </c>
    </row>
    <row r="910" spans="1:33" s="142" customFormat="1" ht="18" hidden="1" customHeight="1" outlineLevel="1" x14ac:dyDescent="0.2">
      <c r="A910" s="1025"/>
      <c r="B910" s="138"/>
      <c r="C910" s="235"/>
      <c r="D910" s="726" t="s">
        <v>2822</v>
      </c>
      <c r="E910" s="555">
        <f>(hSystemsTouchRateHourSMCS*hSystemsLeaseReturnPrintCollLaborHrsSMCS*LeaseReturnForecast)</f>
        <v>0</v>
      </c>
      <c r="F910" s="555">
        <f>(hSystemsTouchRateHourSMCS*hSystemsLeaseReturnPrintCollLaborHrsSMCS*LeaseReturnForecast)*(1+Inflation)</f>
        <v>0</v>
      </c>
      <c r="G910" s="555">
        <f>(hSystemsTouchRateHourSMCS*hSystemsLeaseReturnPrintCollLaborHrsSMCS*LeaseReturnForecast)*(1+Inflation)^2</f>
        <v>0</v>
      </c>
      <c r="H910" s="555">
        <f>(hSystemsTouchRateHourSMCS*hSystemsLeaseReturnPrintCollLaborHrsSMCS*LeaseReturnForecast)*(1+Inflation)^3</f>
        <v>0</v>
      </c>
      <c r="I910" s="555">
        <f>(hSystemsTouchRateHourSMCS*hSystemsLeaseReturnPrintCollLaborHrsSMCS*LeaseReturnForecast)*(1+Inflation)^4</f>
        <v>0</v>
      </c>
      <c r="J910" s="555">
        <f>(hSystemsTouchRateHourSMCS*hSystemsLeaseReturnPrintCollLaborHrsSMCS*LeaseReturnForecast)*(1+Inflation)^5</f>
        <v>0</v>
      </c>
      <c r="K910" s="555">
        <f>(hSystemsTouchRateHourSMCS*hSystemsLeaseReturnPrintCollLaborHrsSMCS*LeaseReturnForecast)*(1+Inflation)^6</f>
        <v>0</v>
      </c>
      <c r="L910" s="555">
        <f>(hSystemsTouchRateHourSMCS*hSystemsLeaseReturnPrintCollLaborHrsSMCS*LeaseReturnForecast)*(1+Inflation)^7</f>
        <v>0</v>
      </c>
      <c r="M910" s="555">
        <f>(hSystemsTouchRateHourSMCS*hSystemsLeaseReturnPrintCollLaborHrsSMCS*LeaseReturnForecast)*(1+Inflation)^8</f>
        <v>0</v>
      </c>
      <c r="N910" s="555">
        <f>(hSystemsTouchRateHourSMCS*hSystemsLeaseReturnPrintCollLaborHrsSMCS*LeaseReturnForecast)*(1+Inflation)^9</f>
        <v>0</v>
      </c>
      <c r="O910" s="535" t="s">
        <v>2823</v>
      </c>
    </row>
    <row r="911" spans="1:33" s="142" customFormat="1" ht="18" hidden="1" customHeight="1" outlineLevel="1" x14ac:dyDescent="0.2">
      <c r="A911" s="1025"/>
      <c r="B911" s="138"/>
      <c r="C911" s="235"/>
      <c r="D911" s="726" t="s">
        <v>2824</v>
      </c>
      <c r="E911" s="555">
        <f>(hSystemsTouchRateHourO1*hSystemsLeaseReturnPrintCollLaborHrsO1*LeaseReturnForecast)</f>
        <v>0</v>
      </c>
      <c r="F911" s="555">
        <f>(hSystemsTouchRateHourO1*hSystemsLeaseReturnPrintCollLaborHrsO1*LeaseReturnForecast)*(1+Inflation)</f>
        <v>0</v>
      </c>
      <c r="G911" s="555">
        <f>(hSystemsTouchRateHourO1*hSystemsLeaseReturnPrintCollLaborHrsO1*LeaseReturnForecast)*(1+Inflation)^2</f>
        <v>0</v>
      </c>
      <c r="H911" s="555">
        <f>(hSystemsTouchRateHourO1*hSystemsLeaseReturnPrintCollLaborHrsO1*LeaseReturnForecast)*(1+Inflation)^3</f>
        <v>0</v>
      </c>
      <c r="I911" s="555">
        <f>(hSystemsTouchRateHourO1*hSystemsLeaseReturnPrintCollLaborHrsO1*LeaseReturnForecast)*(1+Inflation)^4</f>
        <v>0</v>
      </c>
      <c r="J911" s="555">
        <f>(hSystemsTouchRateHourO1*hSystemsLeaseReturnPrintCollLaborHrsO1*LeaseReturnForecast)*(1+Inflation)^5</f>
        <v>0</v>
      </c>
      <c r="K911" s="555">
        <f>(hSystemsTouchRateHourO1*hSystemsLeaseReturnPrintCollLaborHrsO1*LeaseReturnForecast)*(1+Inflation)^6</f>
        <v>0</v>
      </c>
      <c r="L911" s="555">
        <f>(hSystemsTouchRateHourO1*hSystemsLeaseReturnPrintCollLaborHrsO1*LeaseReturnForecast)*(1+Inflation)^7</f>
        <v>0</v>
      </c>
      <c r="M911" s="555">
        <f>(hSystemsTouchRateHourO1*hSystemsLeaseReturnPrintCollLaborHrsO1*LeaseReturnForecast)*(1+Inflation)^8</f>
        <v>0</v>
      </c>
      <c r="N911" s="555">
        <f>(hSystemsTouchRateHourO1*hSystemsLeaseReturnPrintCollLaborHrsO1*LeaseReturnForecast)*(1+Inflation)^9</f>
        <v>0</v>
      </c>
      <c r="O911" s="535" t="s">
        <v>2825</v>
      </c>
    </row>
    <row r="912" spans="1:33" s="142" customFormat="1" ht="18" hidden="1" customHeight="1" outlineLevel="1" x14ac:dyDescent="0.2">
      <c r="A912" s="1025"/>
      <c r="B912" s="138"/>
      <c r="C912" s="235"/>
      <c r="D912" s="726" t="s">
        <v>2826</v>
      </c>
      <c r="E912" s="555">
        <f>(hSystemsTouchRateHourO2*hSystemsLeaseReturnPrintCollLaborHrsO2*LeaseReturnForecast)</f>
        <v>0</v>
      </c>
      <c r="F912" s="555">
        <f>(hSystemsTouchRateHourO2*hSystemsLeaseReturnPrintCollLaborHrsO2*LeaseReturnForecast)*(1+Inflation)</f>
        <v>0</v>
      </c>
      <c r="G912" s="555">
        <f>(hSystemsTouchRateHourO2*hSystemsLeaseReturnPrintCollLaborHrsO2*LeaseReturnForecast)*(1+Inflation)^2</f>
        <v>0</v>
      </c>
      <c r="H912" s="555">
        <f>(hSystemsTouchRateHourO2*hSystemsLeaseReturnPrintCollLaborHrsO2*LeaseReturnForecast)*(1+Inflation)^3</f>
        <v>0</v>
      </c>
      <c r="I912" s="555">
        <f>(hSystemsTouchRateHourO2*hSystemsLeaseReturnPrintCollLaborHrsO2*LeaseReturnForecast)*(1+Inflation)^4</f>
        <v>0</v>
      </c>
      <c r="J912" s="555">
        <f>(hSystemsTouchRateHourO2*hSystemsLeaseReturnPrintCollLaborHrsO2*LeaseReturnForecast)*(1+Inflation)^5</f>
        <v>0</v>
      </c>
      <c r="K912" s="555">
        <f>(hSystemsTouchRateHourO2*hSystemsLeaseReturnPrintCollLaborHrsO2*LeaseReturnForecast)*(1+Inflation)^6</f>
        <v>0</v>
      </c>
      <c r="L912" s="555">
        <f>(hSystemsTouchRateHourO2*hSystemsLeaseReturnPrintCollLaborHrsO2*LeaseReturnForecast)*(1+Inflation)^7</f>
        <v>0</v>
      </c>
      <c r="M912" s="555">
        <f>(hSystemsTouchRateHourO2*hSystemsLeaseReturnPrintCollLaborHrsO2*LeaseReturnForecast)*(1+Inflation)^8</f>
        <v>0</v>
      </c>
      <c r="N912" s="555">
        <f>(hSystemsTouchRateHourO2*hSystemsLeaseReturnPrintCollLaborHrsO2*LeaseReturnForecast)*(1+Inflation)^9</f>
        <v>0</v>
      </c>
      <c r="O912" s="535" t="s">
        <v>2827</v>
      </c>
    </row>
    <row r="913" spans="1:33" s="142" customFormat="1" ht="18" hidden="1" customHeight="1" outlineLevel="1" x14ac:dyDescent="0.25">
      <c r="A913" s="1025"/>
      <c r="B913" s="138"/>
      <c r="C913" s="235"/>
      <c r="D913" s="728" t="s">
        <v>2828</v>
      </c>
      <c r="E913" s="556">
        <f>SUM(E901:E912)</f>
        <v>115962.22647474833</v>
      </c>
      <c r="F913" s="556">
        <f t="shared" ref="F913:N913" si="227">SUM(F901:F912)</f>
        <v>159679.98585572845</v>
      </c>
      <c r="G913" s="556">
        <f t="shared" si="227"/>
        <v>144776.5205091938</v>
      </c>
      <c r="H913" s="556">
        <f t="shared" si="227"/>
        <v>86142.029702970307</v>
      </c>
      <c r="I913" s="556">
        <f t="shared" si="227"/>
        <v>75312.74596888262</v>
      </c>
      <c r="J913" s="556">
        <f t="shared" si="227"/>
        <v>96023.75111032532</v>
      </c>
      <c r="K913" s="556">
        <f t="shared" si="227"/>
        <v>78355.380906025486</v>
      </c>
      <c r="L913" s="556">
        <f t="shared" si="227"/>
        <v>39961.244262072985</v>
      </c>
      <c r="M913" s="556">
        <f t="shared" si="227"/>
        <v>27173.646098209632</v>
      </c>
      <c r="N913" s="556">
        <f t="shared" si="227"/>
        <v>20787.839265130369</v>
      </c>
      <c r="O913" s="535" t="s">
        <v>245</v>
      </c>
    </row>
    <row r="914" spans="1:33" s="203" customFormat="1" ht="13.5" hidden="1" outlineLevel="1" thickBot="1" x14ac:dyDescent="0.25">
      <c r="A914" s="1025"/>
      <c r="B914" s="74"/>
      <c r="C914" s="325"/>
      <c r="D914" s="725"/>
      <c r="E914" s="568"/>
      <c r="F914" s="568"/>
      <c r="G914" s="568"/>
      <c r="H914" s="568"/>
      <c r="I914" s="568"/>
      <c r="J914" s="568"/>
      <c r="K914" s="568"/>
      <c r="L914" s="568"/>
      <c r="M914" s="568"/>
      <c r="N914" s="568"/>
      <c r="O914" s="569"/>
      <c r="P914" s="204"/>
    </row>
    <row r="915" spans="1:33" s="203" customFormat="1" ht="13.5" hidden="1" outlineLevel="1" thickBot="1" x14ac:dyDescent="0.25">
      <c r="A915" s="1025"/>
      <c r="B915" s="74"/>
      <c r="C915" s="211"/>
      <c r="D915" s="214"/>
      <c r="E915" s="210"/>
      <c r="F915" s="210"/>
      <c r="G915" s="210"/>
      <c r="H915" s="210"/>
      <c r="I915" s="210"/>
      <c r="J915" s="210"/>
      <c r="K915" s="210"/>
      <c r="L915" s="210"/>
      <c r="M915" s="210"/>
      <c r="N915" s="210"/>
      <c r="O915" s="204"/>
      <c r="P915" s="204"/>
    </row>
    <row r="916" spans="1:33" customFormat="1" ht="20.25" hidden="1" outlineLevel="1" x14ac:dyDescent="0.2">
      <c r="A916" s="1025"/>
      <c r="B916" s="13"/>
      <c r="C916" s="1016" t="str">
        <f>Scenario2&amp;"  Lease Printing &amp; Collation FTEs"</f>
        <v>hSystems (Hybrid)  Lease Printing &amp; Collation FTEs</v>
      </c>
      <c r="D916" s="268"/>
      <c r="E916" s="434"/>
      <c r="F916" s="434"/>
      <c r="G916" s="434"/>
      <c r="H916" s="434"/>
      <c r="I916" s="434"/>
      <c r="J916" s="434"/>
      <c r="K916" s="434"/>
      <c r="L916" s="434"/>
      <c r="M916" s="434"/>
      <c r="N916" s="434"/>
      <c r="O916" s="573"/>
      <c r="P916" s="18"/>
      <c r="Q916" s="18"/>
      <c r="R916" s="18"/>
      <c r="S916" s="18"/>
      <c r="T916" s="18"/>
      <c r="U916" s="18"/>
      <c r="V916" s="18"/>
      <c r="W916" s="18"/>
      <c r="X916" s="18"/>
      <c r="Y916" s="18"/>
      <c r="Z916" s="18"/>
      <c r="AA916" s="18"/>
      <c r="AB916" s="18"/>
      <c r="AC916" s="18"/>
      <c r="AD916" s="18"/>
      <c r="AE916" s="18"/>
      <c r="AF916" s="18"/>
      <c r="AG916" s="18"/>
    </row>
    <row r="917" spans="1:33" s="142" customFormat="1" ht="18" hidden="1" customHeight="1" outlineLevel="1" x14ac:dyDescent="0.2">
      <c r="A917" s="1025"/>
      <c r="B917" s="138"/>
      <c r="C917" s="235"/>
      <c r="D917" s="726" t="s">
        <v>2829</v>
      </c>
      <c r="E917" s="557">
        <f t="shared" ref="E917:N917" si="228">(hSystemsLeaseReturnPrintCollLaborHrsHM/hSystemsTouchHourspaHM)*LeaseReturnForecast</f>
        <v>0</v>
      </c>
      <c r="F917" s="557">
        <f t="shared" si="228"/>
        <v>0</v>
      </c>
      <c r="G917" s="557">
        <f t="shared" si="228"/>
        <v>0</v>
      </c>
      <c r="H917" s="557">
        <f t="shared" si="228"/>
        <v>0</v>
      </c>
      <c r="I917" s="557">
        <f t="shared" si="228"/>
        <v>0</v>
      </c>
      <c r="J917" s="557">
        <f t="shared" si="228"/>
        <v>0</v>
      </c>
      <c r="K917" s="557">
        <f t="shared" si="228"/>
        <v>0</v>
      </c>
      <c r="L917" s="557">
        <f t="shared" si="228"/>
        <v>0</v>
      </c>
      <c r="M917" s="557">
        <f t="shared" si="228"/>
        <v>0</v>
      </c>
      <c r="N917" s="557">
        <f t="shared" si="228"/>
        <v>0</v>
      </c>
      <c r="O917" s="535" t="s">
        <v>2830</v>
      </c>
    </row>
    <row r="918" spans="1:33" s="142" customFormat="1" ht="18" hidden="1" customHeight="1" outlineLevel="1" x14ac:dyDescent="0.2">
      <c r="A918" s="1025"/>
      <c r="B918" s="138"/>
      <c r="C918" s="235"/>
      <c r="D918" s="726" t="s">
        <v>2831</v>
      </c>
      <c r="E918" s="557">
        <f t="shared" ref="E918:N918" si="229">(hSystemsLeaseReturnPrintCollLaborHrsLM/hSystemsTouchHourspaLM)*LeaseReturnForecast</f>
        <v>0</v>
      </c>
      <c r="F918" s="557">
        <f t="shared" si="229"/>
        <v>0</v>
      </c>
      <c r="G918" s="557">
        <f t="shared" si="229"/>
        <v>0</v>
      </c>
      <c r="H918" s="557">
        <f t="shared" si="229"/>
        <v>0</v>
      </c>
      <c r="I918" s="557">
        <f t="shared" si="229"/>
        <v>0</v>
      </c>
      <c r="J918" s="557">
        <f t="shared" si="229"/>
        <v>0</v>
      </c>
      <c r="K918" s="557">
        <f t="shared" si="229"/>
        <v>0</v>
      </c>
      <c r="L918" s="557">
        <f t="shared" si="229"/>
        <v>0</v>
      </c>
      <c r="M918" s="557">
        <f t="shared" si="229"/>
        <v>0</v>
      </c>
      <c r="N918" s="557">
        <f t="shared" si="229"/>
        <v>0</v>
      </c>
      <c r="O918" s="535" t="s">
        <v>2832</v>
      </c>
    </row>
    <row r="919" spans="1:33" s="142" customFormat="1" ht="18" hidden="1" customHeight="1" outlineLevel="1" x14ac:dyDescent="0.2">
      <c r="A919" s="1025"/>
      <c r="B919" s="138"/>
      <c r="C919" s="235"/>
      <c r="D919" s="727" t="s">
        <v>2833</v>
      </c>
      <c r="E919" s="557">
        <f t="shared" ref="E919:N919" si="230">(hSystemsLeaseReturnPrintCollLaborHrsENG/hSystemsTouchHourspaENG)*LeaseReturnForecast</f>
        <v>0</v>
      </c>
      <c r="F919" s="557">
        <f t="shared" si="230"/>
        <v>0</v>
      </c>
      <c r="G919" s="557">
        <f t="shared" si="230"/>
        <v>0</v>
      </c>
      <c r="H919" s="557">
        <f t="shared" si="230"/>
        <v>0</v>
      </c>
      <c r="I919" s="557">
        <f t="shared" si="230"/>
        <v>0</v>
      </c>
      <c r="J919" s="557">
        <f t="shared" si="230"/>
        <v>0</v>
      </c>
      <c r="K919" s="557">
        <f t="shared" si="230"/>
        <v>0</v>
      </c>
      <c r="L919" s="557">
        <f t="shared" si="230"/>
        <v>0</v>
      </c>
      <c r="M919" s="557">
        <f t="shared" si="230"/>
        <v>0</v>
      </c>
      <c r="N919" s="557">
        <f t="shared" si="230"/>
        <v>0</v>
      </c>
      <c r="O919" s="535" t="s">
        <v>2834</v>
      </c>
    </row>
    <row r="920" spans="1:33" s="142" customFormat="1" ht="18" hidden="1" customHeight="1" outlineLevel="1" x14ac:dyDescent="0.2">
      <c r="A920" s="1025"/>
      <c r="B920" s="138"/>
      <c r="C920" s="235"/>
      <c r="D920" s="726" t="s">
        <v>2835</v>
      </c>
      <c r="E920" s="557">
        <f t="shared" ref="E920:N920" si="231">(hSystemsLeaseReturnPrintCollLaborHrsPLG/hSystemsTouchHourspaPLG)*LeaseReturnForecast</f>
        <v>0</v>
      </c>
      <c r="F920" s="557">
        <f t="shared" si="231"/>
        <v>0</v>
      </c>
      <c r="G920" s="557">
        <f t="shared" si="231"/>
        <v>0</v>
      </c>
      <c r="H920" s="557">
        <f t="shared" si="231"/>
        <v>0</v>
      </c>
      <c r="I920" s="557">
        <f t="shared" si="231"/>
        <v>0</v>
      </c>
      <c r="J920" s="557">
        <f t="shared" si="231"/>
        <v>0</v>
      </c>
      <c r="K920" s="557">
        <f t="shared" si="231"/>
        <v>0</v>
      </c>
      <c r="L920" s="557">
        <f t="shared" si="231"/>
        <v>0</v>
      </c>
      <c r="M920" s="557">
        <f t="shared" si="231"/>
        <v>0</v>
      </c>
      <c r="N920" s="557">
        <f t="shared" si="231"/>
        <v>0</v>
      </c>
      <c r="O920" s="535" t="s">
        <v>2836</v>
      </c>
    </row>
    <row r="921" spans="1:33" s="142" customFormat="1" ht="18" hidden="1" customHeight="1" outlineLevel="1" x14ac:dyDescent="0.2">
      <c r="A921" s="1025"/>
      <c r="B921" s="138"/>
      <c r="C921" s="235"/>
      <c r="D921" s="726" t="s">
        <v>2837</v>
      </c>
      <c r="E921" s="557">
        <f t="shared" ref="E921:N921" si="232">(hSystemsLeaseReturnPrintCollLaborHrsCRT/hSystemsTouchHourspaCRT)*LeaseReturnForecast</f>
        <v>1.664031949413429</v>
      </c>
      <c r="F921" s="557">
        <f t="shared" si="232"/>
        <v>2.246443131708129</v>
      </c>
      <c r="G921" s="557">
        <f t="shared" si="232"/>
        <v>1.9968383392961147</v>
      </c>
      <c r="H921" s="557">
        <f t="shared" si="232"/>
        <v>1.1648223645894002</v>
      </c>
      <c r="I921" s="557">
        <f t="shared" si="232"/>
        <v>0.99841916964805733</v>
      </c>
      <c r="J921" s="557">
        <f t="shared" si="232"/>
        <v>1.2480239620600717</v>
      </c>
      <c r="K921" s="557">
        <f t="shared" si="232"/>
        <v>0.99841916964805733</v>
      </c>
      <c r="L921" s="557">
        <f t="shared" si="232"/>
        <v>0.49920958482402866</v>
      </c>
      <c r="M921" s="557">
        <f t="shared" si="232"/>
        <v>0.33280638988268579</v>
      </c>
      <c r="N921" s="557">
        <f t="shared" si="232"/>
        <v>0.24960479241201433</v>
      </c>
      <c r="O921" s="535" t="s">
        <v>2838</v>
      </c>
    </row>
    <row r="922" spans="1:33" s="142" customFormat="1" ht="18" hidden="1" customHeight="1" outlineLevel="1" x14ac:dyDescent="0.2">
      <c r="A922" s="1025"/>
      <c r="B922" s="138"/>
      <c r="C922" s="235"/>
      <c r="D922" s="726" t="s">
        <v>2839</v>
      </c>
      <c r="E922" s="557">
        <f t="shared" ref="E922:N922" si="233">(hSystemsLeaseReturnPrintCollLaborHrsSCL/hSystemsTouchHourspaSCL)*LeaseReturnForecast</f>
        <v>0</v>
      </c>
      <c r="F922" s="557">
        <f t="shared" si="233"/>
        <v>0</v>
      </c>
      <c r="G922" s="557">
        <f t="shared" si="233"/>
        <v>0</v>
      </c>
      <c r="H922" s="557">
        <f t="shared" si="233"/>
        <v>0</v>
      </c>
      <c r="I922" s="557">
        <f t="shared" si="233"/>
        <v>0</v>
      </c>
      <c r="J922" s="557">
        <f t="shared" si="233"/>
        <v>0</v>
      </c>
      <c r="K922" s="557">
        <f t="shared" si="233"/>
        <v>0</v>
      </c>
      <c r="L922" s="557">
        <f t="shared" si="233"/>
        <v>0</v>
      </c>
      <c r="M922" s="557">
        <f t="shared" si="233"/>
        <v>0</v>
      </c>
      <c r="N922" s="557">
        <f t="shared" si="233"/>
        <v>0</v>
      </c>
      <c r="O922" s="535" t="s">
        <v>2840</v>
      </c>
    </row>
    <row r="923" spans="1:33" s="142" customFormat="1" ht="18" hidden="1" customHeight="1" outlineLevel="1" x14ac:dyDescent="0.2">
      <c r="A923" s="1025"/>
      <c r="B923" s="138"/>
      <c r="C923" s="235"/>
      <c r="D923" s="726" t="s">
        <v>2841</v>
      </c>
      <c r="E923" s="557">
        <f t="shared" ref="E923:N923" si="234">(hSystemsLeaseReturnPrintCollLaborHrsQSC/hSystemsTouchHourspaQSC)*LeaseReturnForecast</f>
        <v>0</v>
      </c>
      <c r="F923" s="557">
        <f t="shared" si="234"/>
        <v>0</v>
      </c>
      <c r="G923" s="557">
        <f t="shared" si="234"/>
        <v>0</v>
      </c>
      <c r="H923" s="557">
        <f t="shared" si="234"/>
        <v>0</v>
      </c>
      <c r="I923" s="557">
        <f t="shared" si="234"/>
        <v>0</v>
      </c>
      <c r="J923" s="557">
        <f t="shared" si="234"/>
        <v>0</v>
      </c>
      <c r="K923" s="557">
        <f t="shared" si="234"/>
        <v>0</v>
      </c>
      <c r="L923" s="557">
        <f t="shared" si="234"/>
        <v>0</v>
      </c>
      <c r="M923" s="557">
        <f t="shared" si="234"/>
        <v>0</v>
      </c>
      <c r="N923" s="557">
        <f t="shared" si="234"/>
        <v>0</v>
      </c>
      <c r="O923" s="535" t="s">
        <v>2842</v>
      </c>
    </row>
    <row r="924" spans="1:33" s="142" customFormat="1" ht="18" hidden="1" customHeight="1" outlineLevel="1" x14ac:dyDescent="0.2">
      <c r="A924" s="1025"/>
      <c r="B924" s="138"/>
      <c r="C924" s="235"/>
      <c r="D924" s="726" t="s">
        <v>2843</v>
      </c>
      <c r="E924" s="557">
        <f t="shared" ref="E924:N924" si="235">(hSystemsLeaseReturnPrintCollLaborHrsEM/hSystemsTouchHourspaEM)*LeaseReturnForecast</f>
        <v>0</v>
      </c>
      <c r="F924" s="557">
        <f t="shared" si="235"/>
        <v>0</v>
      </c>
      <c r="G924" s="557">
        <f t="shared" si="235"/>
        <v>0</v>
      </c>
      <c r="H924" s="557">
        <f t="shared" si="235"/>
        <v>0</v>
      </c>
      <c r="I924" s="557">
        <f t="shared" si="235"/>
        <v>0</v>
      </c>
      <c r="J924" s="557">
        <f t="shared" si="235"/>
        <v>0</v>
      </c>
      <c r="K924" s="557">
        <f t="shared" si="235"/>
        <v>0</v>
      </c>
      <c r="L924" s="557">
        <f t="shared" si="235"/>
        <v>0</v>
      </c>
      <c r="M924" s="557">
        <f t="shared" si="235"/>
        <v>0</v>
      </c>
      <c r="N924" s="557">
        <f t="shared" si="235"/>
        <v>0</v>
      </c>
      <c r="O924" s="535" t="s">
        <v>2844</v>
      </c>
    </row>
    <row r="925" spans="1:33" s="142" customFormat="1" ht="18" hidden="1" customHeight="1" outlineLevel="1" x14ac:dyDescent="0.2">
      <c r="A925" s="1025"/>
      <c r="B925" s="138"/>
      <c r="C925" s="235"/>
      <c r="D925" s="726" t="s">
        <v>2845</v>
      </c>
      <c r="E925" s="557">
        <f t="shared" ref="E925:N925" si="236">(hSystemsLeaseReturnPrintCollLaborHrsCM/hSystemsTouchHourspaCM)*LeaseReturnForecast</f>
        <v>0</v>
      </c>
      <c r="F925" s="557">
        <f t="shared" si="236"/>
        <v>0</v>
      </c>
      <c r="G925" s="557">
        <f t="shared" si="236"/>
        <v>0</v>
      </c>
      <c r="H925" s="557">
        <f t="shared" si="236"/>
        <v>0</v>
      </c>
      <c r="I925" s="557">
        <f t="shared" si="236"/>
        <v>0</v>
      </c>
      <c r="J925" s="557">
        <f t="shared" si="236"/>
        <v>0</v>
      </c>
      <c r="K925" s="557">
        <f t="shared" si="236"/>
        <v>0</v>
      </c>
      <c r="L925" s="557">
        <f t="shared" si="236"/>
        <v>0</v>
      </c>
      <c r="M925" s="557">
        <f t="shared" si="236"/>
        <v>0</v>
      </c>
      <c r="N925" s="557">
        <f t="shared" si="236"/>
        <v>0</v>
      </c>
      <c r="O925" s="535" t="s">
        <v>2846</v>
      </c>
    </row>
    <row r="926" spans="1:33" s="142" customFormat="1" ht="18" hidden="1" customHeight="1" outlineLevel="1" x14ac:dyDescent="0.2">
      <c r="A926" s="1025"/>
      <c r="B926" s="138"/>
      <c r="C926" s="235"/>
      <c r="D926" s="726" t="s">
        <v>2847</v>
      </c>
      <c r="E926" s="557">
        <f t="shared" ref="E926:N926" si="237">(hSystemsLeaseReturnPrintCollLaborHrsSMCS/hSystemsTouchHourspaSMCS)*LeaseReturnForecast</f>
        <v>0</v>
      </c>
      <c r="F926" s="557">
        <f t="shared" si="237"/>
        <v>0</v>
      </c>
      <c r="G926" s="557">
        <f t="shared" si="237"/>
        <v>0</v>
      </c>
      <c r="H926" s="557">
        <f t="shared" si="237"/>
        <v>0</v>
      </c>
      <c r="I926" s="557">
        <f t="shared" si="237"/>
        <v>0</v>
      </c>
      <c r="J926" s="557">
        <f t="shared" si="237"/>
        <v>0</v>
      </c>
      <c r="K926" s="557">
        <f t="shared" si="237"/>
        <v>0</v>
      </c>
      <c r="L926" s="557">
        <f t="shared" si="237"/>
        <v>0</v>
      </c>
      <c r="M926" s="557">
        <f t="shared" si="237"/>
        <v>0</v>
      </c>
      <c r="N926" s="557">
        <f t="shared" si="237"/>
        <v>0</v>
      </c>
      <c r="O926" s="535" t="s">
        <v>2848</v>
      </c>
    </row>
    <row r="927" spans="1:33" s="142" customFormat="1" ht="18" hidden="1" customHeight="1" outlineLevel="1" x14ac:dyDescent="0.2">
      <c r="A927" s="1025"/>
      <c r="B927" s="138"/>
      <c r="C927" s="235"/>
      <c r="D927" s="726" t="s">
        <v>2849</v>
      </c>
      <c r="E927" s="557">
        <f t="shared" ref="E927:N927" si="238">(hSystemsLeaseReturnPrintCollLaborHrsO1/hSystemsTouchHourspaO1)*LeaseReturnForecast</f>
        <v>0</v>
      </c>
      <c r="F927" s="557">
        <f t="shared" si="238"/>
        <v>0</v>
      </c>
      <c r="G927" s="557">
        <f t="shared" si="238"/>
        <v>0</v>
      </c>
      <c r="H927" s="557">
        <f t="shared" si="238"/>
        <v>0</v>
      </c>
      <c r="I927" s="557">
        <f t="shared" si="238"/>
        <v>0</v>
      </c>
      <c r="J927" s="557">
        <f t="shared" si="238"/>
        <v>0</v>
      </c>
      <c r="K927" s="557">
        <f t="shared" si="238"/>
        <v>0</v>
      </c>
      <c r="L927" s="557">
        <f t="shared" si="238"/>
        <v>0</v>
      </c>
      <c r="M927" s="557">
        <f t="shared" si="238"/>
        <v>0</v>
      </c>
      <c r="N927" s="557">
        <f t="shared" si="238"/>
        <v>0</v>
      </c>
      <c r="O927" s="535" t="s">
        <v>2850</v>
      </c>
    </row>
    <row r="928" spans="1:33" s="142" customFormat="1" ht="18" hidden="1" customHeight="1" outlineLevel="1" x14ac:dyDescent="0.2">
      <c r="A928" s="1025"/>
      <c r="B928" s="138"/>
      <c r="C928" s="235"/>
      <c r="D928" s="726" t="s">
        <v>2851</v>
      </c>
      <c r="E928" s="557">
        <f t="shared" ref="E928:N928" si="239">(hSystemsLeaseReturnPrintCollLaborHrsO2/hSystemsTouchHourspaO2)*LeaseReturnForecast</f>
        <v>0</v>
      </c>
      <c r="F928" s="557">
        <f t="shared" si="239"/>
        <v>0</v>
      </c>
      <c r="G928" s="557">
        <f t="shared" si="239"/>
        <v>0</v>
      </c>
      <c r="H928" s="557">
        <f t="shared" si="239"/>
        <v>0</v>
      </c>
      <c r="I928" s="557">
        <f t="shared" si="239"/>
        <v>0</v>
      </c>
      <c r="J928" s="557">
        <f t="shared" si="239"/>
        <v>0</v>
      </c>
      <c r="K928" s="557">
        <f t="shared" si="239"/>
        <v>0</v>
      </c>
      <c r="L928" s="557">
        <f t="shared" si="239"/>
        <v>0</v>
      </c>
      <c r="M928" s="557">
        <f t="shared" si="239"/>
        <v>0</v>
      </c>
      <c r="N928" s="557">
        <f t="shared" si="239"/>
        <v>0</v>
      </c>
      <c r="O928" s="535" t="s">
        <v>2852</v>
      </c>
    </row>
    <row r="929" spans="1:16" s="142" customFormat="1" ht="18" hidden="1" customHeight="1" outlineLevel="1" x14ac:dyDescent="0.25">
      <c r="A929" s="1025"/>
      <c r="B929" s="138"/>
      <c r="C929" s="235"/>
      <c r="D929" s="728" t="s">
        <v>2853</v>
      </c>
      <c r="E929" s="562">
        <f>SUM(E917:E928)</f>
        <v>1.664031949413429</v>
      </c>
      <c r="F929" s="562">
        <f t="shared" ref="F929:N929" si="240">SUM(F917:F928)</f>
        <v>2.246443131708129</v>
      </c>
      <c r="G929" s="562">
        <f t="shared" si="240"/>
        <v>1.9968383392961147</v>
      </c>
      <c r="H929" s="562">
        <f t="shared" si="240"/>
        <v>1.1648223645894002</v>
      </c>
      <c r="I929" s="562">
        <f t="shared" si="240"/>
        <v>0.99841916964805733</v>
      </c>
      <c r="J929" s="562">
        <f t="shared" si="240"/>
        <v>1.2480239620600717</v>
      </c>
      <c r="K929" s="562">
        <f t="shared" si="240"/>
        <v>0.99841916964805733</v>
      </c>
      <c r="L929" s="562">
        <f t="shared" si="240"/>
        <v>0.49920958482402866</v>
      </c>
      <c r="M929" s="562">
        <f t="shared" si="240"/>
        <v>0.33280638988268579</v>
      </c>
      <c r="N929" s="562">
        <f t="shared" si="240"/>
        <v>0.24960479241201433</v>
      </c>
      <c r="O929" s="535" t="s">
        <v>2854</v>
      </c>
    </row>
    <row r="930" spans="1:16" s="203" customFormat="1" ht="13.5" hidden="1" outlineLevel="1" thickBot="1" x14ac:dyDescent="0.25">
      <c r="A930" s="1025"/>
      <c r="B930" s="74"/>
      <c r="C930" s="325"/>
      <c r="D930" s="725"/>
      <c r="E930" s="568"/>
      <c r="F930" s="568"/>
      <c r="G930" s="568"/>
      <c r="H930" s="568"/>
      <c r="I930" s="568"/>
      <c r="J930" s="568"/>
      <c r="K930" s="568"/>
      <c r="L930" s="568"/>
      <c r="M930" s="568"/>
      <c r="N930" s="568"/>
      <c r="O930" s="569"/>
      <c r="P930" s="204"/>
    </row>
    <row r="931" spans="1:16" s="203" customFormat="1" ht="13.5" hidden="1" customHeight="1" outlineLevel="1" thickBot="1" x14ac:dyDescent="0.25">
      <c r="A931" s="1025"/>
      <c r="B931" s="211"/>
      <c r="C931" s="328"/>
      <c r="D931" s="214"/>
      <c r="E931" s="210"/>
      <c r="F931" s="210"/>
      <c r="G931" s="210"/>
      <c r="H931" s="210"/>
      <c r="I931" s="210"/>
      <c r="J931" s="210"/>
      <c r="K931" s="210"/>
      <c r="L931" s="210"/>
      <c r="M931" s="210"/>
      <c r="N931" s="210"/>
      <c r="O931" s="588"/>
      <c r="P931" s="204"/>
    </row>
    <row r="932" spans="1:16" s="203" customFormat="1" ht="20.100000000000001" hidden="1" customHeight="1" outlineLevel="1" x14ac:dyDescent="0.2">
      <c r="A932" s="1025"/>
      <c r="B932" s="211"/>
      <c r="C932" s="1017" t="str">
        <f>Scenario3&amp;" Record Printing &amp; Collation Labor Hours"</f>
        <v>eSystems (Paperless) Record Printing &amp; Collation Labor Hours</v>
      </c>
      <c r="D932" s="729"/>
      <c r="E932" s="322"/>
      <c r="F932" s="322"/>
      <c r="G932" s="322"/>
      <c r="H932" s="322"/>
      <c r="I932" s="322"/>
      <c r="J932" s="322"/>
      <c r="K932" s="322"/>
      <c r="L932" s="322"/>
      <c r="M932" s="322"/>
      <c r="N932" s="322"/>
      <c r="O932" s="341"/>
      <c r="P932" s="204"/>
    </row>
    <row r="933" spans="1:16" s="203" customFormat="1" ht="12.95" hidden="1" customHeight="1" outlineLevel="1" x14ac:dyDescent="0.2">
      <c r="A933" s="1025"/>
      <c r="B933" s="211"/>
      <c r="C933" s="328"/>
      <c r="D933" s="214"/>
      <c r="E933" s="210"/>
      <c r="F933" s="210"/>
      <c r="G933" s="210"/>
      <c r="H933" s="210"/>
      <c r="I933" s="210"/>
      <c r="J933" s="210"/>
      <c r="K933" s="210"/>
      <c r="L933" s="210"/>
      <c r="M933" s="210"/>
      <c r="N933" s="210"/>
      <c r="O933" s="324"/>
      <c r="P933" s="204"/>
    </row>
    <row r="934" spans="1:16" s="142" customFormat="1" ht="18" hidden="1" customHeight="1" outlineLevel="1" x14ac:dyDescent="0.2">
      <c r="A934" s="1025"/>
      <c r="B934" s="138"/>
      <c r="C934" s="235"/>
      <c r="D934" s="726" t="s">
        <v>2855</v>
      </c>
      <c r="E934" s="577">
        <v>0</v>
      </c>
      <c r="F934" s="577">
        <v>0</v>
      </c>
      <c r="G934" s="577">
        <v>0</v>
      </c>
      <c r="H934" s="577">
        <v>0</v>
      </c>
      <c r="I934" s="577">
        <v>0</v>
      </c>
      <c r="J934" s="577">
        <v>0</v>
      </c>
      <c r="K934" s="577">
        <v>0</v>
      </c>
      <c r="L934" s="577">
        <v>0</v>
      </c>
      <c r="M934" s="577">
        <v>0</v>
      </c>
      <c r="N934" s="577">
        <v>0</v>
      </c>
      <c r="O934" s="535" t="s">
        <v>2856</v>
      </c>
    </row>
    <row r="935" spans="1:16" s="142" customFormat="1" ht="18" hidden="1" customHeight="1" outlineLevel="1" x14ac:dyDescent="0.2">
      <c r="A935" s="1025"/>
      <c r="B935" s="138"/>
      <c r="C935" s="235"/>
      <c r="D935" s="726" t="s">
        <v>2857</v>
      </c>
      <c r="E935" s="577">
        <v>0</v>
      </c>
      <c r="F935" s="577">
        <v>0</v>
      </c>
      <c r="G935" s="577">
        <v>0</v>
      </c>
      <c r="H935" s="577">
        <v>0</v>
      </c>
      <c r="I935" s="577">
        <v>0</v>
      </c>
      <c r="J935" s="577">
        <v>0</v>
      </c>
      <c r="K935" s="577">
        <v>0</v>
      </c>
      <c r="L935" s="577">
        <v>0</v>
      </c>
      <c r="M935" s="577">
        <v>0</v>
      </c>
      <c r="N935" s="577">
        <v>0</v>
      </c>
      <c r="O935" s="535" t="s">
        <v>2858</v>
      </c>
    </row>
    <row r="936" spans="1:16" s="142" customFormat="1" ht="18" hidden="1" customHeight="1" outlineLevel="1" x14ac:dyDescent="0.2">
      <c r="A936" s="1025"/>
      <c r="B936" s="138"/>
      <c r="C936" s="235"/>
      <c r="D936" s="726" t="s">
        <v>2859</v>
      </c>
      <c r="E936" s="577">
        <v>0</v>
      </c>
      <c r="F936" s="577">
        <v>0</v>
      </c>
      <c r="G936" s="577">
        <v>0</v>
      </c>
      <c r="H936" s="577">
        <v>0</v>
      </c>
      <c r="I936" s="577">
        <v>0</v>
      </c>
      <c r="J936" s="577">
        <v>0</v>
      </c>
      <c r="K936" s="577">
        <v>0</v>
      </c>
      <c r="L936" s="577">
        <v>0</v>
      </c>
      <c r="M936" s="577">
        <v>0</v>
      </c>
      <c r="N936" s="577">
        <v>0</v>
      </c>
      <c r="O936" s="535" t="s">
        <v>2860</v>
      </c>
    </row>
    <row r="937" spans="1:16" s="142" customFormat="1" ht="18" hidden="1" customHeight="1" outlineLevel="1" x14ac:dyDescent="0.2">
      <c r="A937" s="1025"/>
      <c r="B937" s="138"/>
      <c r="C937" s="235"/>
      <c r="D937" s="726" t="s">
        <v>2861</v>
      </c>
      <c r="E937" s="577">
        <v>0</v>
      </c>
      <c r="F937" s="577">
        <v>0</v>
      </c>
      <c r="G937" s="577">
        <v>0</v>
      </c>
      <c r="H937" s="577">
        <v>0</v>
      </c>
      <c r="I937" s="577">
        <v>0</v>
      </c>
      <c r="J937" s="577">
        <v>0</v>
      </c>
      <c r="K937" s="577">
        <v>0</v>
      </c>
      <c r="L937" s="577">
        <v>0</v>
      </c>
      <c r="M937" s="577">
        <v>0</v>
      </c>
      <c r="N937" s="577">
        <v>0</v>
      </c>
      <c r="O937" s="535" t="s">
        <v>2862</v>
      </c>
    </row>
    <row r="938" spans="1:16" s="142" customFormat="1" ht="18" hidden="1" customHeight="1" outlineLevel="1" x14ac:dyDescent="0.2">
      <c r="A938" s="1025"/>
      <c r="B938" s="138"/>
      <c r="C938" s="235"/>
      <c r="D938" s="726" t="s">
        <v>2863</v>
      </c>
      <c r="E938" s="577">
        <v>1000</v>
      </c>
      <c r="F938" s="577">
        <v>80</v>
      </c>
      <c r="G938" s="577">
        <v>70</v>
      </c>
      <c r="H938" s="577">
        <v>60</v>
      </c>
      <c r="I938" s="577">
        <v>50</v>
      </c>
      <c r="J938" s="577">
        <v>40</v>
      </c>
      <c r="K938" s="577">
        <v>30</v>
      </c>
      <c r="L938" s="577">
        <v>20</v>
      </c>
      <c r="M938" s="577">
        <v>10</v>
      </c>
      <c r="N938" s="577">
        <v>0</v>
      </c>
      <c r="O938" s="535" t="s">
        <v>2864</v>
      </c>
    </row>
    <row r="939" spans="1:16" s="142" customFormat="1" ht="18" hidden="1" customHeight="1" outlineLevel="1" x14ac:dyDescent="0.2">
      <c r="A939" s="1025"/>
      <c r="B939" s="138"/>
      <c r="C939" s="235"/>
      <c r="D939" s="726" t="s">
        <v>2865</v>
      </c>
      <c r="E939" s="577">
        <v>0</v>
      </c>
      <c r="F939" s="577">
        <v>0</v>
      </c>
      <c r="G939" s="577">
        <v>0</v>
      </c>
      <c r="H939" s="577">
        <v>0</v>
      </c>
      <c r="I939" s="577">
        <v>0</v>
      </c>
      <c r="J939" s="577">
        <v>0</v>
      </c>
      <c r="K939" s="577">
        <v>0</v>
      </c>
      <c r="L939" s="577">
        <v>0</v>
      </c>
      <c r="M939" s="577">
        <v>0</v>
      </c>
      <c r="N939" s="577">
        <v>0</v>
      </c>
      <c r="O939" s="535" t="s">
        <v>232</v>
      </c>
    </row>
    <row r="940" spans="1:16" s="142" customFormat="1" ht="18" hidden="1" customHeight="1" outlineLevel="1" x14ac:dyDescent="0.2">
      <c r="A940" s="1025"/>
      <c r="B940" s="138"/>
      <c r="C940" s="235"/>
      <c r="D940" s="726" t="s">
        <v>2866</v>
      </c>
      <c r="E940" s="577">
        <v>0</v>
      </c>
      <c r="F940" s="577">
        <v>0</v>
      </c>
      <c r="G940" s="577">
        <v>0</v>
      </c>
      <c r="H940" s="577">
        <v>0</v>
      </c>
      <c r="I940" s="577">
        <v>0</v>
      </c>
      <c r="J940" s="577">
        <v>0</v>
      </c>
      <c r="K940" s="577">
        <v>0</v>
      </c>
      <c r="L940" s="577">
        <v>0</v>
      </c>
      <c r="M940" s="577">
        <v>0</v>
      </c>
      <c r="N940" s="577">
        <v>0</v>
      </c>
      <c r="O940" s="535" t="s">
        <v>2867</v>
      </c>
    </row>
    <row r="941" spans="1:16" s="142" customFormat="1" ht="18" hidden="1" customHeight="1" outlineLevel="1" x14ac:dyDescent="0.2">
      <c r="A941" s="1025"/>
      <c r="B941" s="138"/>
      <c r="C941" s="235"/>
      <c r="D941" s="726" t="s">
        <v>2868</v>
      </c>
      <c r="E941" s="577">
        <v>0</v>
      </c>
      <c r="F941" s="577">
        <v>0</v>
      </c>
      <c r="G941" s="577">
        <v>0</v>
      </c>
      <c r="H941" s="577">
        <v>0</v>
      </c>
      <c r="I941" s="577">
        <v>0</v>
      </c>
      <c r="J941" s="577">
        <v>0</v>
      </c>
      <c r="K941" s="577">
        <v>0</v>
      </c>
      <c r="L941" s="577">
        <v>0</v>
      </c>
      <c r="M941" s="577">
        <v>0</v>
      </c>
      <c r="N941" s="577">
        <v>0</v>
      </c>
      <c r="O941" s="535" t="s">
        <v>2869</v>
      </c>
    </row>
    <row r="942" spans="1:16" s="142" customFormat="1" ht="18" hidden="1" customHeight="1" outlineLevel="1" x14ac:dyDescent="0.2">
      <c r="A942" s="1025"/>
      <c r="B942" s="565"/>
      <c r="C942" s="235"/>
      <c r="D942" s="726" t="s">
        <v>2870</v>
      </c>
      <c r="E942" s="577">
        <v>0</v>
      </c>
      <c r="F942" s="577">
        <v>0</v>
      </c>
      <c r="G942" s="577">
        <v>0</v>
      </c>
      <c r="H942" s="577">
        <v>0</v>
      </c>
      <c r="I942" s="577">
        <v>0</v>
      </c>
      <c r="J942" s="577">
        <v>0</v>
      </c>
      <c r="K942" s="577">
        <v>0</v>
      </c>
      <c r="L942" s="577">
        <v>0</v>
      </c>
      <c r="M942" s="577">
        <v>0</v>
      </c>
      <c r="N942" s="577">
        <v>0</v>
      </c>
      <c r="O942" s="535" t="s">
        <v>2871</v>
      </c>
    </row>
    <row r="943" spans="1:16" s="142" customFormat="1" ht="18" hidden="1" customHeight="1" outlineLevel="1" x14ac:dyDescent="0.2">
      <c r="A943" s="1025"/>
      <c r="B943" s="565"/>
      <c r="C943" s="235"/>
      <c r="D943" s="726" t="s">
        <v>2872</v>
      </c>
      <c r="E943" s="577">
        <v>0</v>
      </c>
      <c r="F943" s="577">
        <v>0</v>
      </c>
      <c r="G943" s="577">
        <v>0</v>
      </c>
      <c r="H943" s="577">
        <v>0</v>
      </c>
      <c r="I943" s="577">
        <v>0</v>
      </c>
      <c r="J943" s="577">
        <v>0</v>
      </c>
      <c r="K943" s="577">
        <v>0</v>
      </c>
      <c r="L943" s="577">
        <v>0</v>
      </c>
      <c r="M943" s="577">
        <v>0</v>
      </c>
      <c r="N943" s="577">
        <v>0</v>
      </c>
      <c r="O943" s="535" t="s">
        <v>2873</v>
      </c>
    </row>
    <row r="944" spans="1:16" s="142" customFormat="1" ht="18" hidden="1" customHeight="1" outlineLevel="1" x14ac:dyDescent="0.2">
      <c r="A944" s="1025"/>
      <c r="B944" s="138"/>
      <c r="C944" s="235"/>
      <c r="D944" s="726" t="s">
        <v>2874</v>
      </c>
      <c r="E944" s="577">
        <v>0</v>
      </c>
      <c r="F944" s="577">
        <v>0</v>
      </c>
      <c r="G944" s="577">
        <v>0</v>
      </c>
      <c r="H944" s="577">
        <v>0</v>
      </c>
      <c r="I944" s="577">
        <v>0</v>
      </c>
      <c r="J944" s="577">
        <v>0</v>
      </c>
      <c r="K944" s="577">
        <v>0</v>
      </c>
      <c r="L944" s="577">
        <v>0</v>
      </c>
      <c r="M944" s="577">
        <v>0</v>
      </c>
      <c r="N944" s="577">
        <v>0</v>
      </c>
      <c r="O944" s="535" t="s">
        <v>2875</v>
      </c>
    </row>
    <row r="945" spans="1:33" s="142" customFormat="1" ht="18" hidden="1" customHeight="1" outlineLevel="1" x14ac:dyDescent="0.2">
      <c r="A945" s="1025"/>
      <c r="B945" s="138"/>
      <c r="C945" s="235"/>
      <c r="D945" s="726" t="s">
        <v>2876</v>
      </c>
      <c r="E945" s="577">
        <v>0</v>
      </c>
      <c r="F945" s="577">
        <v>0</v>
      </c>
      <c r="G945" s="577">
        <v>0</v>
      </c>
      <c r="H945" s="577">
        <v>0</v>
      </c>
      <c r="I945" s="577">
        <v>0</v>
      </c>
      <c r="J945" s="577">
        <v>0</v>
      </c>
      <c r="K945" s="577">
        <v>0</v>
      </c>
      <c r="L945" s="577">
        <v>0</v>
      </c>
      <c r="M945" s="577">
        <v>0</v>
      </c>
      <c r="N945" s="577">
        <v>0</v>
      </c>
      <c r="O945" s="535" t="s">
        <v>2877</v>
      </c>
    </row>
    <row r="946" spans="1:33" s="206" customFormat="1" ht="15.75" hidden="1" outlineLevel="1" thickBot="1" x14ac:dyDescent="0.3">
      <c r="A946" s="1025"/>
      <c r="B946" s="563"/>
      <c r="C946" s="564"/>
      <c r="D946" s="724"/>
      <c r="E946" s="571"/>
      <c r="F946" s="571"/>
      <c r="G946" s="571"/>
      <c r="H946" s="571"/>
      <c r="I946" s="571"/>
      <c r="J946" s="571"/>
      <c r="K946" s="571"/>
      <c r="L946" s="571"/>
      <c r="M946" s="571"/>
      <c r="N946" s="571"/>
      <c r="O946" s="572"/>
      <c r="P946" s="210"/>
    </row>
    <row r="947" spans="1:33" s="206" customFormat="1" ht="15.75" hidden="1" outlineLevel="1" thickBot="1" x14ac:dyDescent="0.3">
      <c r="A947" s="1025"/>
      <c r="B947" s="563"/>
      <c r="C947" s="322"/>
      <c r="D947" s="732"/>
      <c r="E947" s="581"/>
      <c r="F947" s="581"/>
      <c r="G947" s="581"/>
      <c r="H947" s="581"/>
      <c r="I947" s="581"/>
      <c r="J947" s="581"/>
      <c r="K947" s="581"/>
      <c r="L947" s="581"/>
      <c r="M947" s="581"/>
      <c r="N947" s="581"/>
      <c r="O947" s="558"/>
      <c r="P947" s="210"/>
    </row>
    <row r="948" spans="1:33" s="8" customFormat="1" ht="20.25" hidden="1" outlineLevel="1" x14ac:dyDescent="0.2">
      <c r="A948" s="1025"/>
      <c r="B948" s="102"/>
      <c r="C948" s="1018" t="str">
        <f>Scenario3&amp;" Lease Printing &amp; Collation Labor Cost pa (based on Touch Hour Rate)"</f>
        <v>eSystems (Paperless) Lease Printing &amp; Collation Labor Cost pa (based on Touch Hour Rate)</v>
      </c>
      <c r="D948" s="310"/>
      <c r="E948" s="316"/>
      <c r="F948" s="316"/>
      <c r="G948" s="316"/>
      <c r="H948" s="316"/>
      <c r="I948" s="316"/>
      <c r="J948" s="316"/>
      <c r="K948" s="316"/>
      <c r="L948" s="316"/>
      <c r="M948" s="316"/>
      <c r="N948" s="316"/>
      <c r="O948" s="583"/>
      <c r="P948" s="17"/>
      <c r="Q948" s="17"/>
      <c r="R948" s="17"/>
      <c r="S948" s="17"/>
      <c r="T948" s="17"/>
      <c r="U948" s="17"/>
      <c r="V948" s="17"/>
      <c r="W948" s="17"/>
      <c r="X948" s="17"/>
      <c r="Y948" s="17"/>
      <c r="Z948" s="17"/>
      <c r="AA948" s="17"/>
      <c r="AB948" s="17"/>
      <c r="AC948" s="17"/>
      <c r="AD948" s="17"/>
      <c r="AE948" s="17"/>
      <c r="AF948" s="17"/>
      <c r="AG948" s="17"/>
    </row>
    <row r="949" spans="1:33" s="142" customFormat="1" ht="18" hidden="1" customHeight="1" outlineLevel="1" x14ac:dyDescent="0.2">
      <c r="A949" s="1025"/>
      <c r="B949" s="138"/>
      <c r="C949" s="235"/>
      <c r="D949" s="726" t="s">
        <v>2878</v>
      </c>
      <c r="E949" s="555">
        <f>(eSystemsTouchRateHourHM*eSystemsLeaseReturnPrintCollLaborHrsHM*LeaseReturnForecast)</f>
        <v>0</v>
      </c>
      <c r="F949" s="555">
        <f>(eSystemsTouchRateHourHM*eSystemsLeaseReturnPrintCollLaborHrsHM*LeaseReturnForecast)*(1+Inflation)</f>
        <v>0</v>
      </c>
      <c r="G949" s="555">
        <f>(eSystemsTouchRateHourHM*eSystemsLeaseReturnPrintCollLaborHrsHM*LeaseReturnForecast)*(1+Inflation)^2</f>
        <v>0</v>
      </c>
      <c r="H949" s="555">
        <f>(eSystemsTouchRateHourHM*eSystemsLeaseReturnPrintCollLaborHrsHM*LeaseReturnForecast)*(1+Inflation)^3</f>
        <v>0</v>
      </c>
      <c r="I949" s="555">
        <f>(eSystemsTouchRateHourHM*eSystemsLeaseReturnPrintCollLaborHrsHM*LeaseReturnForecast)*(1+Inflation)^4</f>
        <v>0</v>
      </c>
      <c r="J949" s="555">
        <f>(eSystemsTouchRateHourHM*eSystemsLeaseReturnPrintCollLaborHrsHM*LeaseReturnForecast)*(1+Inflation)^5</f>
        <v>0</v>
      </c>
      <c r="K949" s="555">
        <f>(eSystemsTouchRateHourHM*eSystemsLeaseReturnPrintCollLaborHrsHM*LeaseReturnForecast)*(1+Inflation)^6</f>
        <v>0</v>
      </c>
      <c r="L949" s="555">
        <f>(eSystemsTouchRateHourHM*eSystemsLeaseReturnPrintCollLaborHrsHM*LeaseReturnForecast)*(1+Inflation)^7</f>
        <v>0</v>
      </c>
      <c r="M949" s="555">
        <f>(eSystemsTouchRateHourHM*eSystemsLeaseReturnPrintCollLaborHrsHM*LeaseReturnForecast)*(1+Inflation)^8</f>
        <v>0</v>
      </c>
      <c r="N949" s="555">
        <f>(eSystemsTouchRateHourHM*eSystemsLeaseReturnPrintCollLaborHrsHM*LeaseReturnForecast)*(1+Inflation)^9</f>
        <v>0</v>
      </c>
      <c r="O949" s="535" t="s">
        <v>2879</v>
      </c>
    </row>
    <row r="950" spans="1:33" s="142" customFormat="1" ht="18" hidden="1" customHeight="1" outlineLevel="1" x14ac:dyDescent="0.2">
      <c r="A950" s="1025"/>
      <c r="B950" s="128"/>
      <c r="C950" s="235"/>
      <c r="D950" s="726" t="s">
        <v>2880</v>
      </c>
      <c r="E950" s="555">
        <f>(eSystemsTouchRateHourLM*eSystemsLeaseReturnPrintCollLaborHrsLM*LeaseReturnForecast)</f>
        <v>0</v>
      </c>
      <c r="F950" s="555">
        <f>(eSystemsTouchRateHourLM*eSystemsLeaseReturnPrintCollLaborHrsLM*LeaseReturnForecast)*(1+Inflation)</f>
        <v>0</v>
      </c>
      <c r="G950" s="555">
        <f>(eSystemsTouchRateHourLM*eSystemsLeaseReturnPrintCollLaborHrsLM*LeaseReturnForecast)*(1+Inflation)^2</f>
        <v>0</v>
      </c>
      <c r="H950" s="555">
        <f>(eSystemsTouchRateHourLM*eSystemsLeaseReturnPrintCollLaborHrsLM*LeaseReturnForecast)*(1+Inflation)^3</f>
        <v>0</v>
      </c>
      <c r="I950" s="555">
        <f>(eSystemsTouchRateHourLM*eSystemsLeaseReturnPrintCollLaborHrsLM*LeaseReturnForecast)*(1+Inflation)^4</f>
        <v>0</v>
      </c>
      <c r="J950" s="555">
        <f>(eSystemsTouchRateHourLM*eSystemsLeaseReturnPrintCollLaborHrsLM*LeaseReturnForecast)*(1+Inflation)^5</f>
        <v>0</v>
      </c>
      <c r="K950" s="555">
        <f>(eSystemsTouchRateHourLM*eSystemsLeaseReturnPrintCollLaborHrsLM*LeaseReturnForecast)*(1+Inflation)^6</f>
        <v>0</v>
      </c>
      <c r="L950" s="555">
        <f>(eSystemsTouchRateHourLM*eSystemsLeaseReturnPrintCollLaborHrsLM*LeaseReturnForecast)*(1+Inflation)^7</f>
        <v>0</v>
      </c>
      <c r="M950" s="555">
        <f>(eSystemsTouchRateHourLM*eSystemsLeaseReturnPrintCollLaborHrsLM*LeaseReturnForecast)*(1+Inflation)^8</f>
        <v>0</v>
      </c>
      <c r="N950" s="555">
        <f>(eSystemsTouchRateHourLM*eSystemsLeaseReturnPrintCollLaborHrsLM*LeaseReturnForecast)*(1+Inflation)^9</f>
        <v>0</v>
      </c>
      <c r="O950" s="535" t="s">
        <v>2881</v>
      </c>
    </row>
    <row r="951" spans="1:33" s="142" customFormat="1" ht="18" hidden="1" customHeight="1" outlineLevel="1" x14ac:dyDescent="0.2">
      <c r="A951" s="1025"/>
      <c r="B951" s="128"/>
      <c r="C951" s="235"/>
      <c r="D951" s="727" t="s">
        <v>2882</v>
      </c>
      <c r="E951" s="555">
        <f>(eSystemsTouchRateHourENG*eSystemsLeaseReturnPrintCollLaborHrsENG*LeaseReturnForecast)</f>
        <v>0</v>
      </c>
      <c r="F951" s="555">
        <f>(eSystemsTouchRateHourENG*eSystemsLeaseReturnPrintCollLaborHrsENG*LeaseReturnForecast)*(1+Inflation)</f>
        <v>0</v>
      </c>
      <c r="G951" s="555">
        <f>(eSystemsTouchRateHourENG*eSystemsLeaseReturnPrintCollLaborHrsENG*LeaseReturnForecast)*(1+Inflation)^2</f>
        <v>0</v>
      </c>
      <c r="H951" s="555">
        <f>(eSystemsTouchRateHourENG*eSystemsLeaseReturnPrintCollLaborHrsENG*LeaseReturnForecast)*(1+Inflation)^3</f>
        <v>0</v>
      </c>
      <c r="I951" s="555">
        <f>(eSystemsTouchRateHourENG*eSystemsLeaseReturnPrintCollLaborHrsENG*LeaseReturnForecast)*(1+Inflation)^4</f>
        <v>0</v>
      </c>
      <c r="J951" s="555">
        <f>(eSystemsTouchRateHourENG*eSystemsLeaseReturnPrintCollLaborHrsENG*LeaseReturnForecast)*(1+Inflation)^5</f>
        <v>0</v>
      </c>
      <c r="K951" s="555">
        <f>(eSystemsTouchRateHourENG*eSystemsLeaseReturnPrintCollLaborHrsENG*LeaseReturnForecast)*(1+Inflation)^6</f>
        <v>0</v>
      </c>
      <c r="L951" s="555">
        <f>(eSystemsTouchRateHourENG*eSystemsLeaseReturnPrintCollLaborHrsENG*LeaseReturnForecast)*(1+Inflation)^7</f>
        <v>0</v>
      </c>
      <c r="M951" s="555">
        <f>(eSystemsTouchRateHourENG*eSystemsLeaseReturnPrintCollLaborHrsENG*LeaseReturnForecast)*(1+Inflation)^8</f>
        <v>0</v>
      </c>
      <c r="N951" s="555">
        <f>(eSystemsTouchRateHourENG*eSystemsLeaseReturnPrintCollLaborHrsENG*LeaseReturnForecast)*(1+Inflation)^9</f>
        <v>0</v>
      </c>
      <c r="O951" s="535" t="s">
        <v>2883</v>
      </c>
    </row>
    <row r="952" spans="1:33" s="142" customFormat="1" ht="18" hidden="1" customHeight="1" outlineLevel="1" x14ac:dyDescent="0.2">
      <c r="A952" s="1025"/>
      <c r="B952" s="138"/>
      <c r="C952" s="235"/>
      <c r="D952" s="726" t="s">
        <v>2884</v>
      </c>
      <c r="E952" s="555">
        <f>(eSystemsTouchRateHourPLG*eSystemsLeaseReturnPrintCollLaborHrsPLG*LeaseReturnForecast)</f>
        <v>0</v>
      </c>
      <c r="F952" s="555">
        <f>(eSystemsTouchRateHourPLG*eSystemsLeaseReturnPrintCollLaborHrsPLG*LeaseReturnForecast)*(1+Inflation)</f>
        <v>0</v>
      </c>
      <c r="G952" s="555">
        <f>(eSystemsTouchRateHourPLG*eSystemsLeaseReturnPrintCollLaborHrsPLG*LeaseReturnForecast)*(1+Inflation)^2</f>
        <v>0</v>
      </c>
      <c r="H952" s="555">
        <f>(eSystemsTouchRateHourPLG*eSystemsLeaseReturnPrintCollLaborHrsPLG*LeaseReturnForecast)*(1+Inflation)^3</f>
        <v>0</v>
      </c>
      <c r="I952" s="555">
        <f>(eSystemsTouchRateHourPLG*eSystemsLeaseReturnPrintCollLaborHrsPLG*LeaseReturnForecast)*(1+Inflation)^4</f>
        <v>0</v>
      </c>
      <c r="J952" s="555">
        <f>(eSystemsTouchRateHourPLG*eSystemsLeaseReturnPrintCollLaborHrsPLG*LeaseReturnForecast)*(1+Inflation)^5</f>
        <v>0</v>
      </c>
      <c r="K952" s="555">
        <f>(eSystemsTouchRateHourPLG*eSystemsLeaseReturnPrintCollLaborHrsPLG*LeaseReturnForecast)*(1+Inflation)^6</f>
        <v>0</v>
      </c>
      <c r="L952" s="555">
        <f>(eSystemsTouchRateHourPLG*eSystemsLeaseReturnPrintCollLaborHrsPLG*LeaseReturnForecast)*(1+Inflation)^7</f>
        <v>0</v>
      </c>
      <c r="M952" s="555">
        <f>(eSystemsTouchRateHourPLG*eSystemsLeaseReturnPrintCollLaborHrsPLG*LeaseReturnForecast)*(1+Inflation)^8</f>
        <v>0</v>
      </c>
      <c r="N952" s="555">
        <f>(eSystemsTouchRateHourPLG*eSystemsLeaseReturnPrintCollLaborHrsPLG*LeaseReturnForecast)*(1+Inflation)^9</f>
        <v>0</v>
      </c>
      <c r="O952" s="535" t="s">
        <v>2885</v>
      </c>
    </row>
    <row r="953" spans="1:33" s="142" customFormat="1" ht="18" hidden="1" customHeight="1" outlineLevel="1" x14ac:dyDescent="0.2">
      <c r="A953" s="1025"/>
      <c r="B953" s="138"/>
      <c r="C953" s="235"/>
      <c r="D953" s="726" t="s">
        <v>2886</v>
      </c>
      <c r="E953" s="555">
        <f>(eSystemsTouchRateHourCRT*eSystemsLeaseReturnPrintCollLaborHrsCRT*LeaseReturnForecast)</f>
        <v>101466.94816540476</v>
      </c>
      <c r="F953" s="555">
        <f>(eSystemsTouchRateHourCRT*eSystemsLeaseReturnPrintCollLaborHrsCRT*LeaseReturnForecast)*(1+Inflation)</f>
        <v>12419.554455445543</v>
      </c>
      <c r="G953" s="555">
        <f>(eSystemsTouchRateHourCRT*eSystemsLeaseReturnPrintCollLaborHrsCRT*LeaseReturnForecast)*(1+Inflation)^2</f>
        <v>11084.452351485146</v>
      </c>
      <c r="H953" s="555">
        <f>(eSystemsTouchRateHourCRT*eSystemsLeaseReturnPrintCollLaborHrsCRT*LeaseReturnForecast)*(1+Inflation)^3</f>
        <v>6460.6522277227705</v>
      </c>
      <c r="I953" s="555">
        <f>(eSystemsTouchRateHourCRT*eSystemsLeaseReturnPrintCollLaborHrsCRT*LeaseReturnForecast)*(1+Inflation)^4</f>
        <v>5491.5543935643555</v>
      </c>
      <c r="J953" s="555">
        <f>(eSystemsTouchRateHourCRT*eSystemsLeaseReturnPrintCollLaborHrsCRT*LeaseReturnForecast)*(1+Inflation)^5</f>
        <v>6721.6625777227709</v>
      </c>
      <c r="K953" s="555">
        <f>(eSystemsTouchRateHourCRT*eSystemsLeaseReturnPrintCollLaborHrsCRT*LeaseReturnForecast)*(1+Inflation)^6</f>
        <v>5142.0718719579199</v>
      </c>
      <c r="L953" s="555">
        <f>(eSystemsTouchRateHourCRT*eSystemsLeaseReturnPrintCollLaborHrsCRT*LeaseReturnForecast)*(1+Inflation)^7</f>
        <v>2331.0725819542567</v>
      </c>
      <c r="M953" s="555">
        <f>(eSystemsTouchRateHourCRT*eSystemsLeaseReturnPrintCollLaborHrsCRT*LeaseReturnForecast)*(1+Inflation)^8</f>
        <v>1188.8470167966709</v>
      </c>
      <c r="N953" s="555">
        <f>(eSystemsTouchRateHourCRT*eSystemsLeaseReturnPrintCollLaborHrsCRT*LeaseReturnForecast)*(1+Inflation)^9</f>
        <v>0</v>
      </c>
      <c r="O953" s="535" t="s">
        <v>2887</v>
      </c>
    </row>
    <row r="954" spans="1:33" s="142" customFormat="1" ht="18" hidden="1" customHeight="1" outlineLevel="1" x14ac:dyDescent="0.2">
      <c r="A954" s="1025"/>
      <c r="B954" s="128"/>
      <c r="C954" s="235"/>
      <c r="D954" s="726" t="s">
        <v>2888</v>
      </c>
      <c r="E954" s="555">
        <f>(eSystemsTouchRateHourSCL*eSystemsLeaseReturnPrintCollLaborHrsSCL*LeaseReturnForecast)</f>
        <v>0</v>
      </c>
      <c r="F954" s="555">
        <f>(eSystemsTouchRateHourSCL*eSystemsLeaseReturnPrintCollLaborHrsSCL*LeaseReturnForecast)*(1+Inflation)</f>
        <v>0</v>
      </c>
      <c r="G954" s="555">
        <f>(eSystemsTouchRateHourSCL*eSystemsLeaseReturnPrintCollLaborHrsSCL*LeaseReturnForecast)*(1+Inflation)^2</f>
        <v>0</v>
      </c>
      <c r="H954" s="555">
        <f>(eSystemsTouchRateHourSCL*eSystemsLeaseReturnPrintCollLaborHrsSCL*LeaseReturnForecast)*(1+Inflation)^3</f>
        <v>0</v>
      </c>
      <c r="I954" s="555">
        <f>(eSystemsTouchRateHourSCL*eSystemsLeaseReturnPrintCollLaborHrsSCL*LeaseReturnForecast)*(1+Inflation)^4</f>
        <v>0</v>
      </c>
      <c r="J954" s="555">
        <f>(eSystemsTouchRateHourSCL*eSystemsLeaseReturnPrintCollLaborHrsSCL*LeaseReturnForecast)*(1+Inflation)^5</f>
        <v>0</v>
      </c>
      <c r="K954" s="555">
        <f>(eSystemsTouchRateHourSCL*eSystemsLeaseReturnPrintCollLaborHrsSCL*LeaseReturnForecast)*(1+Inflation)^6</f>
        <v>0</v>
      </c>
      <c r="L954" s="555">
        <f>(eSystemsTouchRateHourSCL*eSystemsLeaseReturnPrintCollLaborHrsSCL*LeaseReturnForecast)*(1+Inflation)^7</f>
        <v>0</v>
      </c>
      <c r="M954" s="555">
        <f>(eSystemsTouchRateHourSCL*eSystemsLeaseReturnPrintCollLaborHrsSCL*LeaseReturnForecast)*(1+Inflation)^8</f>
        <v>0</v>
      </c>
      <c r="N954" s="555">
        <f>(eSystemsTouchRateHourSCL*eSystemsLeaseReturnPrintCollLaborHrsSCL*LeaseReturnForecast)*(1+Inflation)^9</f>
        <v>0</v>
      </c>
      <c r="O954" s="535" t="s">
        <v>2889</v>
      </c>
    </row>
    <row r="955" spans="1:33" s="142" customFormat="1" ht="18" hidden="1" customHeight="1" outlineLevel="1" x14ac:dyDescent="0.2">
      <c r="A955" s="1025"/>
      <c r="B955" s="138"/>
      <c r="C955" s="235"/>
      <c r="D955" s="726" t="s">
        <v>2890</v>
      </c>
      <c r="E955" s="555">
        <f>(eSystemsTouchRateHourQSC*eSystemsLeaseReturnPrintCollLaborHrsQSC*LeaseReturnForecast)</f>
        <v>0</v>
      </c>
      <c r="F955" s="555">
        <f>(eSystemsTouchRateHourQSC*eSystemsLeaseReturnPrintCollLaborHrsQSC*LeaseReturnForecast)*(1+Inflation)</f>
        <v>0</v>
      </c>
      <c r="G955" s="555">
        <f>(eSystemsTouchRateHourQSC*eSystemsLeaseReturnPrintCollLaborHrsQSC*LeaseReturnForecast)*(1+Inflation)^2</f>
        <v>0</v>
      </c>
      <c r="H955" s="555">
        <f>(eSystemsTouchRateHourQSC*eSystemsLeaseReturnPrintCollLaborHrsQSC*LeaseReturnForecast)*(1+Inflation)^3</f>
        <v>0</v>
      </c>
      <c r="I955" s="555">
        <f>(eSystemsTouchRateHourQSC*eSystemsLeaseReturnPrintCollLaborHrsQSC*LeaseReturnForecast)*(1+Inflation)^4</f>
        <v>0</v>
      </c>
      <c r="J955" s="555">
        <f>(eSystemsTouchRateHourQSC*eSystemsLeaseReturnPrintCollLaborHrsQSC*LeaseReturnForecast)*(1+Inflation)^5</f>
        <v>0</v>
      </c>
      <c r="K955" s="555">
        <f>(eSystemsTouchRateHourQSC*eSystemsLeaseReturnPrintCollLaborHrsQSC*LeaseReturnForecast)*(1+Inflation)^6</f>
        <v>0</v>
      </c>
      <c r="L955" s="555">
        <f>(eSystemsTouchRateHourQSC*eSystemsLeaseReturnPrintCollLaborHrsQSC*LeaseReturnForecast)*(1+Inflation)^7</f>
        <v>0</v>
      </c>
      <c r="M955" s="555">
        <f>(eSystemsTouchRateHourQSC*eSystemsLeaseReturnPrintCollLaborHrsQSC*LeaseReturnForecast)*(1+Inflation)^8</f>
        <v>0</v>
      </c>
      <c r="N955" s="555">
        <f>(eSystemsTouchRateHourQSC*eSystemsLeaseReturnPrintCollLaborHrsQSC*LeaseReturnForecast)*(1+Inflation)^9</f>
        <v>0</v>
      </c>
      <c r="O955" s="535" t="s">
        <v>2891</v>
      </c>
    </row>
    <row r="956" spans="1:33" s="142" customFormat="1" ht="18" hidden="1" customHeight="1" outlineLevel="1" x14ac:dyDescent="0.2">
      <c r="A956" s="1025"/>
      <c r="B956" s="138"/>
      <c r="C956" s="235"/>
      <c r="D956" s="726" t="s">
        <v>2892</v>
      </c>
      <c r="E956" s="555">
        <f>(eSystemsTouchRateHourEM*eSystemsLeaseReturnPrintCollLaborHrsEM*LeaseReturnForecast)</f>
        <v>0</v>
      </c>
      <c r="F956" s="555">
        <f>(eSystemsTouchRateHourEM*eSystemsLeaseReturnPrintCollLaborHrsEM*LeaseReturnForecast)*(1+Inflation)</f>
        <v>0</v>
      </c>
      <c r="G956" s="555">
        <f>(eSystemsTouchRateHourEM*eSystemsLeaseReturnPrintCollLaborHrsEM*LeaseReturnForecast)*(1+Inflation)^2</f>
        <v>0</v>
      </c>
      <c r="H956" s="555">
        <f>(eSystemsTouchRateHourEM*eSystemsLeaseReturnPrintCollLaborHrsEM*LeaseReturnForecast)*(1+Inflation)^3</f>
        <v>0</v>
      </c>
      <c r="I956" s="555">
        <f>(eSystemsTouchRateHourEM*eSystemsLeaseReturnPrintCollLaborHrsEM*LeaseReturnForecast)*(1+Inflation)^4</f>
        <v>0</v>
      </c>
      <c r="J956" s="555">
        <f>(eSystemsTouchRateHourEM*eSystemsLeaseReturnPrintCollLaborHrsEM*LeaseReturnForecast)*(1+Inflation)^5</f>
        <v>0</v>
      </c>
      <c r="K956" s="555">
        <f>(eSystemsTouchRateHourEM*eSystemsLeaseReturnPrintCollLaborHrsEM*LeaseReturnForecast)*(1+Inflation)^6</f>
        <v>0</v>
      </c>
      <c r="L956" s="555">
        <f>(eSystemsTouchRateHourEM*eSystemsLeaseReturnPrintCollLaborHrsEM*LeaseReturnForecast)*(1+Inflation)^7</f>
        <v>0</v>
      </c>
      <c r="M956" s="555">
        <f>(eSystemsTouchRateHourEM*eSystemsLeaseReturnPrintCollLaborHrsEM*LeaseReturnForecast)*(1+Inflation)^8</f>
        <v>0</v>
      </c>
      <c r="N956" s="555">
        <f>(eSystemsTouchRateHourEM*eSystemsLeaseReturnPrintCollLaborHrsEM*LeaseReturnForecast)*(1+Inflation)^9</f>
        <v>0</v>
      </c>
      <c r="O956" s="535" t="s">
        <v>2893</v>
      </c>
    </row>
    <row r="957" spans="1:33" s="142" customFormat="1" ht="18" hidden="1" customHeight="1" outlineLevel="1" x14ac:dyDescent="0.2">
      <c r="A957" s="1025"/>
      <c r="B957" s="138"/>
      <c r="C957" s="235"/>
      <c r="D957" s="726" t="s">
        <v>2894</v>
      </c>
      <c r="E957" s="555">
        <f>(eSystemsTouchRateHourCM*eSystemsLeaseReturnPrintCollLaborHrsCM*LeaseReturnForecast)</f>
        <v>0</v>
      </c>
      <c r="F957" s="555">
        <f>(eSystemsTouchRateHourCM*eSystemsLeaseReturnPrintCollLaborHrsCM*LeaseReturnForecast)*(1+Inflation)</f>
        <v>0</v>
      </c>
      <c r="G957" s="555">
        <f>(eSystemsTouchRateHourCM*eSystemsLeaseReturnPrintCollLaborHrsCM*LeaseReturnForecast)*(1+Inflation)^2</f>
        <v>0</v>
      </c>
      <c r="H957" s="555">
        <f>(eSystemsTouchRateHourCM*eSystemsLeaseReturnPrintCollLaborHrsCM*LeaseReturnForecast)*(1+Inflation)^3</f>
        <v>0</v>
      </c>
      <c r="I957" s="555">
        <f>(eSystemsTouchRateHourCM*eSystemsLeaseReturnPrintCollLaborHrsCM*LeaseReturnForecast)*(1+Inflation)^4</f>
        <v>0</v>
      </c>
      <c r="J957" s="555">
        <f>(eSystemsTouchRateHourCM*eSystemsLeaseReturnPrintCollLaborHrsCM*LeaseReturnForecast)*(1+Inflation)^5</f>
        <v>0</v>
      </c>
      <c r="K957" s="555">
        <f>(eSystemsTouchRateHourCM*eSystemsLeaseReturnPrintCollLaborHrsCM*LeaseReturnForecast)*(1+Inflation)^6</f>
        <v>0</v>
      </c>
      <c r="L957" s="555">
        <f>(eSystemsTouchRateHourCM*eSystemsLeaseReturnPrintCollLaborHrsCM*LeaseReturnForecast)*(1+Inflation)^7</f>
        <v>0</v>
      </c>
      <c r="M957" s="555">
        <f>(eSystemsTouchRateHourCM*eSystemsLeaseReturnPrintCollLaborHrsCM*LeaseReturnForecast)*(1+Inflation)^8</f>
        <v>0</v>
      </c>
      <c r="N957" s="555">
        <f>(eSystemsTouchRateHourCM*eSystemsLeaseReturnPrintCollLaborHrsCM*LeaseReturnForecast)*(1+Inflation)^9</f>
        <v>0</v>
      </c>
      <c r="O957" s="535" t="s">
        <v>2895</v>
      </c>
    </row>
    <row r="958" spans="1:33" s="142" customFormat="1" ht="18" hidden="1" customHeight="1" outlineLevel="1" x14ac:dyDescent="0.2">
      <c r="A958" s="1025"/>
      <c r="B958" s="138"/>
      <c r="C958" s="235"/>
      <c r="D958" s="726" t="s">
        <v>2896</v>
      </c>
      <c r="E958" s="555">
        <f>(eSystemsTouchRateHourSMCS*eSystemsLeaseReturnPrintCollLaborHrsSMCS*LeaseReturnForecast)</f>
        <v>0</v>
      </c>
      <c r="F958" s="555">
        <f>(eSystemsTouchRateHourSMCS*eSystemsLeaseReturnPrintCollLaborHrsSMCS*LeaseReturnForecast)*(1+Inflation)</f>
        <v>0</v>
      </c>
      <c r="G958" s="555">
        <f>(eSystemsTouchRateHourSMCS*eSystemsLeaseReturnPrintCollLaborHrsSMCS*LeaseReturnForecast)*(1+Inflation)^2</f>
        <v>0</v>
      </c>
      <c r="H958" s="555">
        <f>(eSystemsTouchRateHourSMCS*eSystemsLeaseReturnPrintCollLaborHrsSMCS*LeaseReturnForecast)*(1+Inflation)^3</f>
        <v>0</v>
      </c>
      <c r="I958" s="555">
        <f>(eSystemsTouchRateHourSMCS*eSystemsLeaseReturnPrintCollLaborHrsSMCS*LeaseReturnForecast)*(1+Inflation)^4</f>
        <v>0</v>
      </c>
      <c r="J958" s="555">
        <f>(eSystemsTouchRateHourSMCS*eSystemsLeaseReturnPrintCollLaborHrsSMCS*LeaseReturnForecast)*(1+Inflation)^5</f>
        <v>0</v>
      </c>
      <c r="K958" s="555">
        <f>(eSystemsTouchRateHourSMCS*eSystemsLeaseReturnPrintCollLaborHrsSMCS*LeaseReturnForecast)*(1+Inflation)^6</f>
        <v>0</v>
      </c>
      <c r="L958" s="555">
        <f>(eSystemsTouchRateHourSMCS*eSystemsLeaseReturnPrintCollLaborHrsSMCS*LeaseReturnForecast)*(1+Inflation)^7</f>
        <v>0</v>
      </c>
      <c r="M958" s="555">
        <f>(eSystemsTouchRateHourSMCS*eSystemsLeaseReturnPrintCollLaborHrsSMCS*LeaseReturnForecast)*(1+Inflation)^8</f>
        <v>0</v>
      </c>
      <c r="N958" s="555">
        <f>(eSystemsTouchRateHourSMCS*eSystemsLeaseReturnPrintCollLaborHrsSMCS*LeaseReturnForecast)*(1+Inflation)^9</f>
        <v>0</v>
      </c>
      <c r="O958" s="535" t="s">
        <v>2897</v>
      </c>
    </row>
    <row r="959" spans="1:33" s="142" customFormat="1" ht="18" hidden="1" customHeight="1" outlineLevel="1" x14ac:dyDescent="0.2">
      <c r="A959" s="1025"/>
      <c r="B959" s="138"/>
      <c r="C959" s="235"/>
      <c r="D959" s="726" t="s">
        <v>2898</v>
      </c>
      <c r="E959" s="555">
        <f>(eSystemsTouchRateHourO1*eSystemsLeaseReturnPrintCollLaborHrsO1*LeaseReturnForecast)</f>
        <v>0</v>
      </c>
      <c r="F959" s="555">
        <f>(eSystemsTouchRateHourO1*eSystemsLeaseReturnPrintCollLaborHrsO1*LeaseReturnForecast)*(1+Inflation)</f>
        <v>0</v>
      </c>
      <c r="G959" s="555">
        <f>(eSystemsTouchRateHourO1*eSystemsLeaseReturnPrintCollLaborHrsO1*LeaseReturnForecast)*(1+Inflation)^2</f>
        <v>0</v>
      </c>
      <c r="H959" s="555">
        <f>(eSystemsTouchRateHourO1*eSystemsLeaseReturnPrintCollLaborHrsO1*LeaseReturnForecast)*(1+Inflation)^3</f>
        <v>0</v>
      </c>
      <c r="I959" s="555">
        <f>(eSystemsTouchRateHourO1*eSystemsLeaseReturnPrintCollLaborHrsO1*LeaseReturnForecast)*(1+Inflation)^4</f>
        <v>0</v>
      </c>
      <c r="J959" s="555">
        <f>(eSystemsTouchRateHourO1*eSystemsLeaseReturnPrintCollLaborHrsO1*LeaseReturnForecast)*(1+Inflation)^5</f>
        <v>0</v>
      </c>
      <c r="K959" s="555">
        <f>(eSystemsTouchRateHourO1*eSystemsLeaseReturnPrintCollLaborHrsO1*LeaseReturnForecast)*(1+Inflation)^6</f>
        <v>0</v>
      </c>
      <c r="L959" s="555">
        <f>(eSystemsTouchRateHourO1*eSystemsLeaseReturnPrintCollLaborHrsO1*LeaseReturnForecast)*(1+Inflation)^7</f>
        <v>0</v>
      </c>
      <c r="M959" s="555">
        <f>(eSystemsTouchRateHourO1*eSystemsLeaseReturnPrintCollLaborHrsO1*LeaseReturnForecast)*(1+Inflation)^8</f>
        <v>0</v>
      </c>
      <c r="N959" s="555">
        <f>(eSystemsTouchRateHourO1*eSystemsLeaseReturnPrintCollLaborHrsO1*LeaseReturnForecast)*(1+Inflation)^9</f>
        <v>0</v>
      </c>
      <c r="O959" s="535" t="s">
        <v>2899</v>
      </c>
    </row>
    <row r="960" spans="1:33" s="142" customFormat="1" ht="18" hidden="1" customHeight="1" outlineLevel="1" x14ac:dyDescent="0.2">
      <c r="A960" s="1025"/>
      <c r="B960" s="138"/>
      <c r="C960" s="235"/>
      <c r="D960" s="726" t="s">
        <v>2900</v>
      </c>
      <c r="E960" s="555">
        <f>(eSystemsTouchRateHourO2*eSystemsLeaseReturnPrintCollLaborHrsO2*LeaseReturnForecast)</f>
        <v>0</v>
      </c>
      <c r="F960" s="555">
        <f>(eSystemsTouchRateHourO2*eSystemsLeaseReturnPrintCollLaborHrsO2*LeaseReturnForecast)*(1+Inflation)</f>
        <v>0</v>
      </c>
      <c r="G960" s="555">
        <f>(eSystemsTouchRateHourO2*eSystemsLeaseReturnPrintCollLaborHrsO2*LeaseReturnForecast)*(1+Inflation)^2</f>
        <v>0</v>
      </c>
      <c r="H960" s="555">
        <f>(eSystemsTouchRateHourO2*eSystemsLeaseReturnPrintCollLaborHrsO2*LeaseReturnForecast)*(1+Inflation)^3</f>
        <v>0</v>
      </c>
      <c r="I960" s="555">
        <f>(eSystemsTouchRateHourO2*eSystemsLeaseReturnPrintCollLaborHrsO2*LeaseReturnForecast)*(1+Inflation)^4</f>
        <v>0</v>
      </c>
      <c r="J960" s="555">
        <f>(eSystemsTouchRateHourO2*eSystemsLeaseReturnPrintCollLaborHrsO2*LeaseReturnForecast)*(1+Inflation)^5</f>
        <v>0</v>
      </c>
      <c r="K960" s="555">
        <f>(eSystemsTouchRateHourO2*eSystemsLeaseReturnPrintCollLaborHrsO2*LeaseReturnForecast)*(1+Inflation)^6</f>
        <v>0</v>
      </c>
      <c r="L960" s="555">
        <f>(eSystemsTouchRateHourO2*eSystemsLeaseReturnPrintCollLaborHrsO2*LeaseReturnForecast)*(1+Inflation)^7</f>
        <v>0</v>
      </c>
      <c r="M960" s="555">
        <f>(eSystemsTouchRateHourO2*eSystemsLeaseReturnPrintCollLaborHrsO2*LeaseReturnForecast)*(1+Inflation)^8</f>
        <v>0</v>
      </c>
      <c r="N960" s="555">
        <f>(eSystemsTouchRateHourO2*eSystemsLeaseReturnPrintCollLaborHrsO2*LeaseReturnForecast)*(1+Inflation)^9</f>
        <v>0</v>
      </c>
      <c r="O960" s="535" t="s">
        <v>2901</v>
      </c>
    </row>
    <row r="961" spans="1:33" s="142" customFormat="1" ht="18" hidden="1" customHeight="1" outlineLevel="1" x14ac:dyDescent="0.25">
      <c r="A961" s="1025"/>
      <c r="B961" s="138"/>
      <c r="C961" s="235"/>
      <c r="D961" s="728" t="s">
        <v>2902</v>
      </c>
      <c r="E961" s="556">
        <f>SUM(E949:E960)</f>
        <v>101466.94816540476</v>
      </c>
      <c r="F961" s="556">
        <f t="shared" ref="F961:N961" si="241">SUM(F949:F960)</f>
        <v>12419.554455445543</v>
      </c>
      <c r="G961" s="556">
        <f t="shared" si="241"/>
        <v>11084.452351485146</v>
      </c>
      <c r="H961" s="556">
        <f t="shared" si="241"/>
        <v>6460.6522277227705</v>
      </c>
      <c r="I961" s="556">
        <f t="shared" si="241"/>
        <v>5491.5543935643555</v>
      </c>
      <c r="J961" s="556">
        <f t="shared" si="241"/>
        <v>6721.6625777227709</v>
      </c>
      <c r="K961" s="556">
        <f t="shared" si="241"/>
        <v>5142.0718719579199</v>
      </c>
      <c r="L961" s="556">
        <f t="shared" si="241"/>
        <v>2331.0725819542567</v>
      </c>
      <c r="M961" s="556">
        <f t="shared" si="241"/>
        <v>1188.8470167966709</v>
      </c>
      <c r="N961" s="556">
        <f t="shared" si="241"/>
        <v>0</v>
      </c>
      <c r="O961" s="535" t="s">
        <v>246</v>
      </c>
    </row>
    <row r="962" spans="1:33" s="203" customFormat="1" ht="13.5" hidden="1" outlineLevel="1" thickBot="1" x14ac:dyDescent="0.25">
      <c r="A962" s="1025"/>
      <c r="B962" s="74"/>
      <c r="C962" s="325"/>
      <c r="D962" s="725"/>
      <c r="E962" s="568"/>
      <c r="F962" s="568"/>
      <c r="G962" s="568"/>
      <c r="H962" s="568"/>
      <c r="I962" s="568"/>
      <c r="J962" s="568"/>
      <c r="K962" s="568"/>
      <c r="L962" s="568"/>
      <c r="M962" s="568"/>
      <c r="N962" s="568"/>
      <c r="O962" s="569"/>
      <c r="P962" s="204"/>
    </row>
    <row r="963" spans="1:33" s="203" customFormat="1" ht="13.5" hidden="1" outlineLevel="1" thickBot="1" x14ac:dyDescent="0.25">
      <c r="A963" s="1025"/>
      <c r="B963" s="74"/>
      <c r="C963" s="211"/>
      <c r="D963" s="214"/>
      <c r="E963" s="210"/>
      <c r="F963" s="210"/>
      <c r="G963" s="210"/>
      <c r="H963" s="210"/>
      <c r="I963" s="210"/>
      <c r="J963" s="210"/>
      <c r="K963" s="210"/>
      <c r="L963" s="210"/>
      <c r="M963" s="210"/>
      <c r="N963" s="210"/>
      <c r="O963" s="204"/>
      <c r="P963" s="204"/>
    </row>
    <row r="964" spans="1:33" customFormat="1" ht="20.25" hidden="1" outlineLevel="1" x14ac:dyDescent="0.2">
      <c r="A964" s="1025"/>
      <c r="B964" s="13"/>
      <c r="C964" s="1018" t="str">
        <f>Scenario3&amp;"  Lease Printing &amp; Collation FTEs"</f>
        <v>eSystems (Paperless)  Lease Printing &amp; Collation FTEs</v>
      </c>
      <c r="D964" s="268"/>
      <c r="E964" s="434"/>
      <c r="F964" s="434"/>
      <c r="G964" s="434"/>
      <c r="H964" s="434"/>
      <c r="I964" s="434"/>
      <c r="J964" s="434"/>
      <c r="K964" s="434"/>
      <c r="L964" s="434"/>
      <c r="M964" s="434"/>
      <c r="N964" s="434"/>
      <c r="O964" s="573"/>
      <c r="P964" s="18"/>
      <c r="Q964" s="18"/>
      <c r="R964" s="18"/>
      <c r="S964" s="18"/>
      <c r="T964" s="18"/>
      <c r="U964" s="18"/>
      <c r="V964" s="18"/>
      <c r="W964" s="18"/>
      <c r="X964" s="18"/>
      <c r="Y964" s="18"/>
      <c r="Z964" s="18"/>
      <c r="AA964" s="18"/>
      <c r="AB964" s="18"/>
      <c r="AC964" s="18"/>
      <c r="AD964" s="18"/>
      <c r="AE964" s="18"/>
      <c r="AF964" s="18"/>
      <c r="AG964" s="18"/>
    </row>
    <row r="965" spans="1:33" s="142" customFormat="1" ht="18" hidden="1" customHeight="1" outlineLevel="1" x14ac:dyDescent="0.2">
      <c r="A965" s="1025"/>
      <c r="B965" s="138"/>
      <c r="C965" s="235"/>
      <c r="D965" s="726" t="s">
        <v>2903</v>
      </c>
      <c r="E965" s="557">
        <f t="shared" ref="E965:N965" si="242">(eSystemsLeaseReturnPrintCollLaborHrsHM/eSystemsTouchHourspaHM)*LeaseReturnForecast</f>
        <v>0</v>
      </c>
      <c r="F965" s="557">
        <f t="shared" si="242"/>
        <v>0</v>
      </c>
      <c r="G965" s="557">
        <f t="shared" si="242"/>
        <v>0</v>
      </c>
      <c r="H965" s="557">
        <f t="shared" si="242"/>
        <v>0</v>
      </c>
      <c r="I965" s="557">
        <f t="shared" si="242"/>
        <v>0</v>
      </c>
      <c r="J965" s="557">
        <f t="shared" si="242"/>
        <v>0</v>
      </c>
      <c r="K965" s="557">
        <f t="shared" si="242"/>
        <v>0</v>
      </c>
      <c r="L965" s="557">
        <f t="shared" si="242"/>
        <v>0</v>
      </c>
      <c r="M965" s="557">
        <f t="shared" si="242"/>
        <v>0</v>
      </c>
      <c r="N965" s="557">
        <f t="shared" si="242"/>
        <v>0</v>
      </c>
      <c r="O965" s="535" t="s">
        <v>2904</v>
      </c>
    </row>
    <row r="966" spans="1:33" s="142" customFormat="1" ht="18" hidden="1" customHeight="1" outlineLevel="1" x14ac:dyDescent="0.2">
      <c r="A966" s="1025"/>
      <c r="B966" s="138"/>
      <c r="C966" s="235"/>
      <c r="D966" s="726" t="s">
        <v>2905</v>
      </c>
      <c r="E966" s="557">
        <f t="shared" ref="E966:N966" si="243">(eSystemsLeaseReturnPrintCollLaborHrsLM/eSystemsTouchHourspaLM)*LeaseReturnForecast</f>
        <v>0</v>
      </c>
      <c r="F966" s="557">
        <f t="shared" si="243"/>
        <v>0</v>
      </c>
      <c r="G966" s="557">
        <f t="shared" si="243"/>
        <v>0</v>
      </c>
      <c r="H966" s="557">
        <f t="shared" si="243"/>
        <v>0</v>
      </c>
      <c r="I966" s="557">
        <f t="shared" si="243"/>
        <v>0</v>
      </c>
      <c r="J966" s="557">
        <f t="shared" si="243"/>
        <v>0</v>
      </c>
      <c r="K966" s="557">
        <f t="shared" si="243"/>
        <v>0</v>
      </c>
      <c r="L966" s="557">
        <f t="shared" si="243"/>
        <v>0</v>
      </c>
      <c r="M966" s="557">
        <f t="shared" si="243"/>
        <v>0</v>
      </c>
      <c r="N966" s="557">
        <f t="shared" si="243"/>
        <v>0</v>
      </c>
      <c r="O966" s="535" t="s">
        <v>2906</v>
      </c>
    </row>
    <row r="967" spans="1:33" s="142" customFormat="1" ht="18" hidden="1" customHeight="1" outlineLevel="1" x14ac:dyDescent="0.2">
      <c r="A967" s="1025"/>
      <c r="B967" s="138"/>
      <c r="C967" s="235"/>
      <c r="D967" s="727" t="s">
        <v>2907</v>
      </c>
      <c r="E967" s="557">
        <f t="shared" ref="E967:N967" si="244">(eSystemsLeaseReturnPrintCollLaborHrsENG/eSystemsTouchHourspaENG)*LeaseReturnForecast</f>
        <v>0</v>
      </c>
      <c r="F967" s="557">
        <f t="shared" si="244"/>
        <v>0</v>
      </c>
      <c r="G967" s="557">
        <f t="shared" si="244"/>
        <v>0</v>
      </c>
      <c r="H967" s="557">
        <f t="shared" si="244"/>
        <v>0</v>
      </c>
      <c r="I967" s="557">
        <f t="shared" si="244"/>
        <v>0</v>
      </c>
      <c r="J967" s="557">
        <f t="shared" si="244"/>
        <v>0</v>
      </c>
      <c r="K967" s="557">
        <f t="shared" si="244"/>
        <v>0</v>
      </c>
      <c r="L967" s="557">
        <f t="shared" si="244"/>
        <v>0</v>
      </c>
      <c r="M967" s="557">
        <f t="shared" si="244"/>
        <v>0</v>
      </c>
      <c r="N967" s="557">
        <f t="shared" si="244"/>
        <v>0</v>
      </c>
      <c r="O967" s="535" t="s">
        <v>2908</v>
      </c>
    </row>
    <row r="968" spans="1:33" s="142" customFormat="1" ht="18" hidden="1" customHeight="1" outlineLevel="1" x14ac:dyDescent="0.2">
      <c r="A968" s="1025"/>
      <c r="B968" s="138"/>
      <c r="C968" s="235"/>
      <c r="D968" s="726" t="s">
        <v>2909</v>
      </c>
      <c r="E968" s="557">
        <f t="shared" ref="E968:N968" si="245">(eSystemsLeaseReturnPrintCollLaborHrsPLG/eSystemsTouchHourspaPLG)*LeaseReturnForecast</f>
        <v>0</v>
      </c>
      <c r="F968" s="557">
        <f t="shared" si="245"/>
        <v>0</v>
      </c>
      <c r="G968" s="557">
        <f t="shared" si="245"/>
        <v>0</v>
      </c>
      <c r="H968" s="557">
        <f t="shared" si="245"/>
        <v>0</v>
      </c>
      <c r="I968" s="557">
        <f t="shared" si="245"/>
        <v>0</v>
      </c>
      <c r="J968" s="557">
        <f t="shared" si="245"/>
        <v>0</v>
      </c>
      <c r="K968" s="557">
        <f t="shared" si="245"/>
        <v>0</v>
      </c>
      <c r="L968" s="557">
        <f t="shared" si="245"/>
        <v>0</v>
      </c>
      <c r="M968" s="557">
        <f t="shared" si="245"/>
        <v>0</v>
      </c>
      <c r="N968" s="557">
        <f t="shared" si="245"/>
        <v>0</v>
      </c>
      <c r="O968" s="535" t="s">
        <v>2910</v>
      </c>
    </row>
    <row r="969" spans="1:33" s="142" customFormat="1" ht="18" hidden="1" customHeight="1" outlineLevel="1" x14ac:dyDescent="0.2">
      <c r="A969" s="1025"/>
      <c r="B969" s="138"/>
      <c r="C969" s="235"/>
      <c r="D969" s="726" t="s">
        <v>2911</v>
      </c>
      <c r="E969" s="557">
        <f t="shared" ref="E969:N969" si="246">(eSystemsLeaseReturnPrintCollLaborHrsCRT/eSystemsTouchHourspaCRT)*LeaseReturnForecast</f>
        <v>1.4560279557367499</v>
      </c>
      <c r="F969" s="557">
        <f t="shared" si="246"/>
        <v>0.17472335468840999</v>
      </c>
      <c r="G969" s="557">
        <f t="shared" si="246"/>
        <v>0.15288293535235875</v>
      </c>
      <c r="H969" s="557">
        <f t="shared" si="246"/>
        <v>8.7361677344204997E-2</v>
      </c>
      <c r="I969" s="557">
        <f t="shared" si="246"/>
        <v>7.2801397786837502E-2</v>
      </c>
      <c r="J969" s="557">
        <f t="shared" si="246"/>
        <v>8.7361677344204997E-2</v>
      </c>
      <c r="K969" s="557">
        <f t="shared" si="246"/>
        <v>6.5521258008153754E-2</v>
      </c>
      <c r="L969" s="557">
        <f t="shared" si="246"/>
        <v>2.9120559114735E-2</v>
      </c>
      <c r="M969" s="557">
        <f t="shared" si="246"/>
        <v>1.45602795573675E-2</v>
      </c>
      <c r="N969" s="557">
        <f t="shared" si="246"/>
        <v>0</v>
      </c>
      <c r="O969" s="535" t="s">
        <v>2912</v>
      </c>
    </row>
    <row r="970" spans="1:33" s="142" customFormat="1" ht="18" hidden="1" customHeight="1" outlineLevel="1" x14ac:dyDescent="0.2">
      <c r="A970" s="1025"/>
      <c r="B970" s="138"/>
      <c r="C970" s="235"/>
      <c r="D970" s="726" t="s">
        <v>2913</v>
      </c>
      <c r="E970" s="557">
        <f t="shared" ref="E970:N970" si="247">(eSystemsLeaseReturnPrintCollLaborHrsSCL/eSystemsTouchHourspaSCL)*LeaseReturnForecast</f>
        <v>0</v>
      </c>
      <c r="F970" s="557">
        <f t="shared" si="247"/>
        <v>0</v>
      </c>
      <c r="G970" s="557">
        <f t="shared" si="247"/>
        <v>0</v>
      </c>
      <c r="H970" s="557">
        <f t="shared" si="247"/>
        <v>0</v>
      </c>
      <c r="I970" s="557">
        <f t="shared" si="247"/>
        <v>0</v>
      </c>
      <c r="J970" s="557">
        <f t="shared" si="247"/>
        <v>0</v>
      </c>
      <c r="K970" s="557">
        <f t="shared" si="247"/>
        <v>0</v>
      </c>
      <c r="L970" s="557">
        <f t="shared" si="247"/>
        <v>0</v>
      </c>
      <c r="M970" s="557">
        <f t="shared" si="247"/>
        <v>0</v>
      </c>
      <c r="N970" s="557">
        <f t="shared" si="247"/>
        <v>0</v>
      </c>
      <c r="O970" s="535" t="s">
        <v>2914</v>
      </c>
    </row>
    <row r="971" spans="1:33" s="142" customFormat="1" ht="18" hidden="1" customHeight="1" outlineLevel="1" x14ac:dyDescent="0.2">
      <c r="A971" s="1025"/>
      <c r="B971" s="138"/>
      <c r="C971" s="235"/>
      <c r="D971" s="726" t="s">
        <v>2915</v>
      </c>
      <c r="E971" s="557">
        <f t="shared" ref="E971:N971" si="248">(eSystemsLeaseReturnPrintCollLaborHrsQSC/eSystemsTouchHourspaQSC)*LeaseReturnForecast</f>
        <v>0</v>
      </c>
      <c r="F971" s="557">
        <f t="shared" si="248"/>
        <v>0</v>
      </c>
      <c r="G971" s="557">
        <f t="shared" si="248"/>
        <v>0</v>
      </c>
      <c r="H971" s="557">
        <f t="shared" si="248"/>
        <v>0</v>
      </c>
      <c r="I971" s="557">
        <f t="shared" si="248"/>
        <v>0</v>
      </c>
      <c r="J971" s="557">
        <f t="shared" si="248"/>
        <v>0</v>
      </c>
      <c r="K971" s="557">
        <f t="shared" si="248"/>
        <v>0</v>
      </c>
      <c r="L971" s="557">
        <f t="shared" si="248"/>
        <v>0</v>
      </c>
      <c r="M971" s="557">
        <f t="shared" si="248"/>
        <v>0</v>
      </c>
      <c r="N971" s="557">
        <f t="shared" si="248"/>
        <v>0</v>
      </c>
      <c r="O971" s="535" t="s">
        <v>2916</v>
      </c>
    </row>
    <row r="972" spans="1:33" s="142" customFormat="1" ht="18" hidden="1" customHeight="1" outlineLevel="1" x14ac:dyDescent="0.2">
      <c r="A972" s="1025"/>
      <c r="B972" s="138"/>
      <c r="C972" s="235"/>
      <c r="D972" s="726" t="s">
        <v>2917</v>
      </c>
      <c r="E972" s="557">
        <f t="shared" ref="E972:N972" si="249">(eSystemsLeaseReturnPrintCollLaborHrsEM/eSystemsTouchHourspaEM)*LeaseReturnForecast</f>
        <v>0</v>
      </c>
      <c r="F972" s="557">
        <f t="shared" si="249"/>
        <v>0</v>
      </c>
      <c r="G972" s="557">
        <f t="shared" si="249"/>
        <v>0</v>
      </c>
      <c r="H972" s="557">
        <f t="shared" si="249"/>
        <v>0</v>
      </c>
      <c r="I972" s="557">
        <f t="shared" si="249"/>
        <v>0</v>
      </c>
      <c r="J972" s="557">
        <f t="shared" si="249"/>
        <v>0</v>
      </c>
      <c r="K972" s="557">
        <f t="shared" si="249"/>
        <v>0</v>
      </c>
      <c r="L972" s="557">
        <f t="shared" si="249"/>
        <v>0</v>
      </c>
      <c r="M972" s="557">
        <f t="shared" si="249"/>
        <v>0</v>
      </c>
      <c r="N972" s="557">
        <f t="shared" si="249"/>
        <v>0</v>
      </c>
      <c r="O972" s="535" t="s">
        <v>2918</v>
      </c>
    </row>
    <row r="973" spans="1:33" s="142" customFormat="1" ht="18" hidden="1" customHeight="1" outlineLevel="1" x14ac:dyDescent="0.2">
      <c r="A973" s="1025"/>
      <c r="B973" s="138"/>
      <c r="C973" s="235"/>
      <c r="D973" s="726" t="s">
        <v>2919</v>
      </c>
      <c r="E973" s="557">
        <f t="shared" ref="E973:N973" si="250">(eSystemsLeaseReturnPrintCollLaborHrsCM/eSystemsTouchHourspaCM)*LeaseReturnForecast</f>
        <v>0</v>
      </c>
      <c r="F973" s="557">
        <f t="shared" si="250"/>
        <v>0</v>
      </c>
      <c r="G973" s="557">
        <f t="shared" si="250"/>
        <v>0</v>
      </c>
      <c r="H973" s="557">
        <f t="shared" si="250"/>
        <v>0</v>
      </c>
      <c r="I973" s="557">
        <f t="shared" si="250"/>
        <v>0</v>
      </c>
      <c r="J973" s="557">
        <f t="shared" si="250"/>
        <v>0</v>
      </c>
      <c r="K973" s="557">
        <f t="shared" si="250"/>
        <v>0</v>
      </c>
      <c r="L973" s="557">
        <f t="shared" si="250"/>
        <v>0</v>
      </c>
      <c r="M973" s="557">
        <f t="shared" si="250"/>
        <v>0</v>
      </c>
      <c r="N973" s="557">
        <f t="shared" si="250"/>
        <v>0</v>
      </c>
      <c r="O973" s="535" t="s">
        <v>2920</v>
      </c>
    </row>
    <row r="974" spans="1:33" s="142" customFormat="1" ht="18" hidden="1" customHeight="1" outlineLevel="1" x14ac:dyDescent="0.2">
      <c r="A974" s="1025"/>
      <c r="B974" s="138"/>
      <c r="C974" s="235"/>
      <c r="D974" s="726" t="s">
        <v>2921</v>
      </c>
      <c r="E974" s="557">
        <f t="shared" ref="E974:N974" si="251">(eSystemsLeaseReturnPrintCollLaborHrsSMCS/eSystemsTouchHourspaSMCS)*LeaseReturnForecast</f>
        <v>0</v>
      </c>
      <c r="F974" s="557">
        <f t="shared" si="251"/>
        <v>0</v>
      </c>
      <c r="G974" s="557">
        <f t="shared" si="251"/>
        <v>0</v>
      </c>
      <c r="H974" s="557">
        <f t="shared" si="251"/>
        <v>0</v>
      </c>
      <c r="I974" s="557">
        <f t="shared" si="251"/>
        <v>0</v>
      </c>
      <c r="J974" s="557">
        <f t="shared" si="251"/>
        <v>0</v>
      </c>
      <c r="K974" s="557">
        <f t="shared" si="251"/>
        <v>0</v>
      </c>
      <c r="L974" s="557">
        <f t="shared" si="251"/>
        <v>0</v>
      </c>
      <c r="M974" s="557">
        <f t="shared" si="251"/>
        <v>0</v>
      </c>
      <c r="N974" s="557">
        <f t="shared" si="251"/>
        <v>0</v>
      </c>
      <c r="O974" s="535" t="s">
        <v>2922</v>
      </c>
    </row>
    <row r="975" spans="1:33" s="142" customFormat="1" ht="18" hidden="1" customHeight="1" outlineLevel="1" x14ac:dyDescent="0.2">
      <c r="A975" s="1025"/>
      <c r="B975" s="138"/>
      <c r="C975" s="235"/>
      <c r="D975" s="726" t="s">
        <v>2923</v>
      </c>
      <c r="E975" s="557">
        <f t="shared" ref="E975:N975" si="252">(eSystemsLeaseReturnPrintCollLaborHrsO1/eSystemsTouchHourspaO1)*LeaseReturnForecast</f>
        <v>0</v>
      </c>
      <c r="F975" s="557">
        <f t="shared" si="252"/>
        <v>0</v>
      </c>
      <c r="G975" s="557">
        <f t="shared" si="252"/>
        <v>0</v>
      </c>
      <c r="H975" s="557">
        <f t="shared" si="252"/>
        <v>0</v>
      </c>
      <c r="I975" s="557">
        <f t="shared" si="252"/>
        <v>0</v>
      </c>
      <c r="J975" s="557">
        <f t="shared" si="252"/>
        <v>0</v>
      </c>
      <c r="K975" s="557">
        <f t="shared" si="252"/>
        <v>0</v>
      </c>
      <c r="L975" s="557">
        <f t="shared" si="252"/>
        <v>0</v>
      </c>
      <c r="M975" s="557">
        <f t="shared" si="252"/>
        <v>0</v>
      </c>
      <c r="N975" s="557">
        <f t="shared" si="252"/>
        <v>0</v>
      </c>
      <c r="O975" s="535" t="s">
        <v>2924</v>
      </c>
    </row>
    <row r="976" spans="1:33" s="142" customFormat="1" ht="18" hidden="1" customHeight="1" outlineLevel="1" x14ac:dyDescent="0.2">
      <c r="A976" s="1025"/>
      <c r="B976" s="138"/>
      <c r="C976" s="235"/>
      <c r="D976" s="726" t="s">
        <v>2925</v>
      </c>
      <c r="E976" s="557">
        <f t="shared" ref="E976:N976" si="253">(eSystemsLeaseReturnPrintCollLaborHrsO2/eSystemsTouchHourspaO2)*LeaseReturnForecast</f>
        <v>0</v>
      </c>
      <c r="F976" s="557">
        <f t="shared" si="253"/>
        <v>0</v>
      </c>
      <c r="G976" s="557">
        <f t="shared" si="253"/>
        <v>0</v>
      </c>
      <c r="H976" s="557">
        <f t="shared" si="253"/>
        <v>0</v>
      </c>
      <c r="I976" s="557">
        <f t="shared" si="253"/>
        <v>0</v>
      </c>
      <c r="J976" s="557">
        <f t="shared" si="253"/>
        <v>0</v>
      </c>
      <c r="K976" s="557">
        <f t="shared" si="253"/>
        <v>0</v>
      </c>
      <c r="L976" s="557">
        <f t="shared" si="253"/>
        <v>0</v>
      </c>
      <c r="M976" s="557">
        <f t="shared" si="253"/>
        <v>0</v>
      </c>
      <c r="N976" s="557">
        <f t="shared" si="253"/>
        <v>0</v>
      </c>
      <c r="O976" s="535" t="s">
        <v>2926</v>
      </c>
    </row>
    <row r="977" spans="1:32" s="142" customFormat="1" ht="18" hidden="1" customHeight="1" outlineLevel="1" x14ac:dyDescent="0.25">
      <c r="A977" s="1025"/>
      <c r="B977" s="138"/>
      <c r="C977" s="235"/>
      <c r="D977" s="728" t="s">
        <v>2927</v>
      </c>
      <c r="E977" s="562">
        <f>SUM(E965:E976)</f>
        <v>1.4560279557367499</v>
      </c>
      <c r="F977" s="562">
        <f t="shared" ref="F977:N977" si="254">SUM(F965:F976)</f>
        <v>0.17472335468840999</v>
      </c>
      <c r="G977" s="562">
        <f t="shared" si="254"/>
        <v>0.15288293535235875</v>
      </c>
      <c r="H977" s="562">
        <f t="shared" si="254"/>
        <v>8.7361677344204997E-2</v>
      </c>
      <c r="I977" s="562">
        <f t="shared" si="254"/>
        <v>7.2801397786837502E-2</v>
      </c>
      <c r="J977" s="562">
        <f t="shared" si="254"/>
        <v>8.7361677344204997E-2</v>
      </c>
      <c r="K977" s="562">
        <f t="shared" si="254"/>
        <v>6.5521258008153754E-2</v>
      </c>
      <c r="L977" s="562">
        <f t="shared" si="254"/>
        <v>2.9120559114735E-2</v>
      </c>
      <c r="M977" s="562">
        <f t="shared" si="254"/>
        <v>1.45602795573675E-2</v>
      </c>
      <c r="N977" s="562">
        <f t="shared" si="254"/>
        <v>0</v>
      </c>
      <c r="O977" s="535" t="s">
        <v>2928</v>
      </c>
    </row>
    <row r="978" spans="1:32" s="203" customFormat="1" ht="13.5" hidden="1" outlineLevel="1" thickBot="1" x14ac:dyDescent="0.25">
      <c r="A978" s="1025"/>
      <c r="B978" s="74"/>
      <c r="C978" s="325"/>
      <c r="D978" s="725"/>
      <c r="E978" s="568"/>
      <c r="F978" s="568"/>
      <c r="G978" s="568"/>
      <c r="H978" s="568"/>
      <c r="I978" s="568"/>
      <c r="J978" s="568"/>
      <c r="K978" s="568"/>
      <c r="L978" s="568"/>
      <c r="M978" s="568"/>
      <c r="N978" s="568"/>
      <c r="O978" s="569"/>
      <c r="P978" s="204"/>
    </row>
    <row r="979" spans="1:32" s="203" customFormat="1" hidden="1" outlineLevel="1" x14ac:dyDescent="0.2">
      <c r="A979" s="990"/>
      <c r="B979" s="206"/>
      <c r="C979" s="322"/>
      <c r="D979" s="214"/>
      <c r="E979" s="210"/>
      <c r="F979" s="210"/>
      <c r="G979" s="210"/>
      <c r="H979" s="210"/>
      <c r="I979" s="210"/>
      <c r="J979" s="210"/>
      <c r="K979" s="210"/>
      <c r="L979" s="210"/>
      <c r="M979" s="210"/>
      <c r="N979" s="210"/>
      <c r="O979" s="334"/>
      <c r="P979" s="204"/>
    </row>
    <row r="980" spans="1:32" s="122" customFormat="1" ht="15.75" collapsed="1" x14ac:dyDescent="0.2">
      <c r="A980" s="1043">
        <v>7</v>
      </c>
      <c r="B980" s="1039"/>
      <c r="C980" s="1039"/>
      <c r="D980" s="1039"/>
      <c r="E980" s="1039"/>
      <c r="F980" s="1039"/>
      <c r="G980" s="1039"/>
      <c r="H980" s="1039"/>
      <c r="I980" s="1039"/>
      <c r="J980" s="1039"/>
      <c r="K980" s="1039"/>
      <c r="L980" s="1039"/>
      <c r="M980" s="1039"/>
      <c r="N980" s="1039"/>
      <c r="O980" s="1039"/>
      <c r="P980" s="206"/>
      <c r="Q980" s="206"/>
      <c r="R980" s="206"/>
      <c r="S980" s="206"/>
      <c r="T980" s="206"/>
      <c r="U980" s="206"/>
      <c r="V980" s="206"/>
      <c r="W980" s="206"/>
      <c r="X980" s="206"/>
      <c r="Y980" s="206"/>
      <c r="Z980" s="206"/>
      <c r="AA980" s="206"/>
      <c r="AB980" s="206"/>
      <c r="AC980" s="206"/>
      <c r="AD980" s="206"/>
      <c r="AE980" s="206"/>
      <c r="AF980" s="206"/>
    </row>
    <row r="981" spans="1:32" s="203" customFormat="1" x14ac:dyDescent="0.2">
      <c r="A981" s="990"/>
      <c r="B981" s="206"/>
      <c r="C981" s="210"/>
      <c r="D981" s="214"/>
      <c r="E981" s="210"/>
      <c r="F981" s="210"/>
      <c r="G981" s="210"/>
      <c r="H981" s="210"/>
      <c r="I981" s="210"/>
      <c r="J981" s="210"/>
      <c r="K981" s="210"/>
      <c r="L981" s="210"/>
      <c r="M981" s="210"/>
      <c r="N981" s="210"/>
      <c r="O981" s="210"/>
      <c r="P981" s="204"/>
    </row>
    <row r="982" spans="1:32" s="206" customFormat="1" ht="20.100000000000001" customHeight="1" x14ac:dyDescent="0.2">
      <c r="A982" s="1397" t="s">
        <v>4213</v>
      </c>
      <c r="C982" s="974" t="s">
        <v>4206</v>
      </c>
      <c r="D982" s="187"/>
      <c r="E982" s="223"/>
      <c r="F982" s="223"/>
      <c r="G982" s="223"/>
      <c r="H982" s="223"/>
      <c r="I982" s="223"/>
      <c r="J982" s="223"/>
      <c r="K982" s="223"/>
      <c r="L982" s="223"/>
      <c r="M982" s="223"/>
      <c r="N982" s="223"/>
      <c r="O982" s="224"/>
      <c r="P982" s="210"/>
    </row>
    <row r="983" spans="1:32" s="203" customFormat="1" x14ac:dyDescent="0.2">
      <c r="A983" s="1398"/>
      <c r="B983" s="211"/>
      <c r="C983" s="211"/>
      <c r="D983" s="214"/>
      <c r="E983" s="210"/>
      <c r="F983" s="210"/>
      <c r="G983" s="210"/>
      <c r="H983" s="210"/>
      <c r="I983" s="210"/>
      <c r="J983" s="210"/>
      <c r="K983" s="210"/>
      <c r="L983" s="210"/>
      <c r="M983" s="210"/>
      <c r="N983" s="210"/>
      <c r="O983" s="209"/>
      <c r="P983" s="204"/>
    </row>
    <row r="984" spans="1:32" s="85" customFormat="1" ht="12.75" customHeight="1" x14ac:dyDescent="0.2">
      <c r="A984" s="1399"/>
      <c r="E984" s="62"/>
      <c r="F984" s="62"/>
      <c r="G984" s="62"/>
      <c r="H984" s="62"/>
      <c r="I984" s="62"/>
      <c r="J984" s="62"/>
      <c r="K984" s="62"/>
      <c r="L984" s="62"/>
      <c r="M984" s="62"/>
      <c r="N984" s="62"/>
      <c r="O984" s="134"/>
      <c r="P984" s="134"/>
      <c r="Q984" s="134"/>
      <c r="R984" s="134"/>
      <c r="S984" s="134"/>
      <c r="T984" s="134"/>
      <c r="U984" s="134"/>
      <c r="V984" s="134"/>
      <c r="W984" s="134"/>
      <c r="X984" s="134"/>
      <c r="Y984" s="134"/>
      <c r="Z984" s="134"/>
      <c r="AA984" s="134"/>
      <c r="AB984" s="134"/>
      <c r="AC984" s="134"/>
      <c r="AD984" s="134"/>
      <c r="AE984" s="134"/>
      <c r="AF984" s="134"/>
    </row>
    <row r="985" spans="1:32" s="85" customFormat="1" ht="14.25" customHeight="1" x14ac:dyDescent="0.2">
      <c r="E985" s="62"/>
      <c r="F985" s="62"/>
      <c r="G985" s="62"/>
      <c r="H985" s="62"/>
      <c r="I985" s="62"/>
      <c r="J985" s="62"/>
      <c r="K985" s="62"/>
      <c r="L985" s="62"/>
      <c r="M985" s="62"/>
      <c r="N985" s="62"/>
      <c r="O985" s="134"/>
      <c r="P985" s="134"/>
      <c r="Q985" s="134"/>
      <c r="R985" s="134"/>
      <c r="S985" s="134"/>
      <c r="T985" s="134"/>
      <c r="U985" s="134"/>
      <c r="V985" s="134"/>
      <c r="W985" s="134"/>
      <c r="X985" s="134"/>
      <c r="Y985" s="134"/>
      <c r="Z985" s="134"/>
      <c r="AA985" s="134"/>
      <c r="AB985" s="134"/>
      <c r="AC985" s="134"/>
      <c r="AD985" s="134"/>
      <c r="AE985" s="134"/>
      <c r="AF985" s="134"/>
    </row>
    <row r="986" spans="1:32" s="85" customFormat="1" ht="14.25" hidden="1" customHeight="1" outlineLevel="1" x14ac:dyDescent="0.2">
      <c r="E986" s="62"/>
      <c r="F986" s="62"/>
      <c r="G986" s="62"/>
      <c r="H986" s="62"/>
      <c r="I986" s="62"/>
      <c r="J986" s="62"/>
      <c r="K986" s="62"/>
      <c r="L986" s="62"/>
      <c r="M986" s="62"/>
      <c r="N986" s="62"/>
      <c r="O986" s="134"/>
      <c r="P986" s="134"/>
      <c r="Q986" s="134"/>
      <c r="R986" s="134"/>
      <c r="S986" s="134"/>
      <c r="T986" s="134"/>
      <c r="U986" s="134"/>
      <c r="V986" s="134"/>
      <c r="W986" s="134"/>
      <c r="X986" s="134"/>
      <c r="Y986" s="134"/>
      <c r="Z986" s="134"/>
      <c r="AA986" s="134"/>
      <c r="AB986" s="134"/>
      <c r="AC986" s="134"/>
      <c r="AD986" s="134"/>
      <c r="AE986" s="134"/>
      <c r="AF986" s="134"/>
    </row>
    <row r="987" spans="1:32" s="85" customFormat="1" ht="14.25" hidden="1" customHeight="1" outlineLevel="1" x14ac:dyDescent="0.2">
      <c r="E987" s="62"/>
      <c r="F987" s="62"/>
      <c r="G987" s="62"/>
      <c r="H987" s="62"/>
      <c r="I987" s="62"/>
      <c r="J987" s="62"/>
      <c r="K987" s="62"/>
      <c r="L987" s="62"/>
      <c r="M987" s="62"/>
      <c r="N987" s="62"/>
      <c r="O987" s="134"/>
      <c r="P987" s="134"/>
      <c r="Q987" s="134"/>
      <c r="R987" s="134"/>
      <c r="S987" s="134"/>
      <c r="T987" s="134"/>
      <c r="U987" s="134"/>
      <c r="V987" s="134"/>
      <c r="W987" s="134"/>
      <c r="X987" s="134"/>
      <c r="Y987" s="134"/>
      <c r="Z987" s="134"/>
      <c r="AA987" s="134"/>
      <c r="AB987" s="134"/>
      <c r="AC987" s="134"/>
      <c r="AD987" s="134"/>
      <c r="AE987" s="134"/>
      <c r="AF987" s="134"/>
    </row>
    <row r="988" spans="1:32" s="85" customFormat="1" ht="14.25" hidden="1" customHeight="1" outlineLevel="1" x14ac:dyDescent="0.2">
      <c r="E988" s="62"/>
      <c r="F988" s="62"/>
      <c r="G988" s="62"/>
      <c r="H988" s="62"/>
      <c r="I988" s="62"/>
      <c r="J988" s="62"/>
      <c r="K988" s="62"/>
      <c r="L988" s="62"/>
      <c r="M988" s="62"/>
      <c r="N988" s="62"/>
      <c r="O988" s="134"/>
      <c r="P988" s="134"/>
      <c r="Q988" s="134"/>
      <c r="R988" s="134"/>
      <c r="S988" s="134"/>
      <c r="T988" s="134"/>
      <c r="U988" s="134"/>
      <c r="V988" s="134"/>
      <c r="W988" s="134"/>
      <c r="X988" s="134"/>
      <c r="Y988" s="134"/>
      <c r="Z988" s="134"/>
      <c r="AA988" s="134"/>
      <c r="AB988" s="134"/>
      <c r="AC988" s="134"/>
      <c r="AD988" s="134"/>
      <c r="AE988" s="134"/>
      <c r="AF988" s="134"/>
    </row>
    <row r="989" spans="1:32" s="121" customFormat="1" ht="12.75" hidden="1" customHeight="1" outlineLevel="1" thickBot="1" x14ac:dyDescent="0.35">
      <c r="A989" s="346"/>
      <c r="B989" s="346"/>
      <c r="C989" s="347"/>
      <c r="D989" s="737"/>
      <c r="E989" s="129"/>
      <c r="F989" s="129"/>
      <c r="G989" s="129"/>
      <c r="H989" s="129"/>
      <c r="I989" s="129"/>
      <c r="J989" s="129"/>
      <c r="K989" s="129"/>
      <c r="L989" s="129"/>
      <c r="M989" s="129"/>
      <c r="N989" s="129"/>
      <c r="O989" s="348"/>
      <c r="P989" s="348"/>
      <c r="Q989" s="348"/>
      <c r="R989" s="348"/>
      <c r="S989" s="348"/>
      <c r="T989" s="348"/>
      <c r="U989" s="348"/>
      <c r="V989" s="348"/>
      <c r="W989" s="348"/>
      <c r="X989" s="348"/>
      <c r="Y989" s="348"/>
      <c r="Z989" s="348"/>
      <c r="AA989" s="348"/>
      <c r="AB989" s="348"/>
      <c r="AC989" s="348"/>
      <c r="AD989" s="348"/>
      <c r="AE989" s="348"/>
      <c r="AF989" s="348"/>
    </row>
    <row r="990" spans="1:32" s="85" customFormat="1" ht="14.1" hidden="1" customHeight="1" outlineLevel="1" x14ac:dyDescent="0.25">
      <c r="A990" s="1397" t="s">
        <v>4212</v>
      </c>
      <c r="B990" s="208"/>
      <c r="C990" s="349"/>
      <c r="D990" s="738" t="s">
        <v>4063</v>
      </c>
      <c r="E990" s="350"/>
      <c r="F990" s="350"/>
      <c r="G990" s="350"/>
      <c r="H990" s="350"/>
      <c r="I990" s="350"/>
      <c r="J990" s="350"/>
      <c r="K990" s="350"/>
      <c r="L990" s="350"/>
      <c r="M990" s="350"/>
      <c r="N990" s="350"/>
      <c r="O990" s="351"/>
      <c r="P990" s="135"/>
      <c r="Q990" s="135"/>
      <c r="R990" s="135"/>
      <c r="S990" s="135"/>
      <c r="T990" s="134"/>
      <c r="U990" s="134"/>
      <c r="V990" s="134"/>
      <c r="W990" s="134"/>
      <c r="X990" s="134"/>
      <c r="Y990" s="134"/>
      <c r="Z990" s="134"/>
      <c r="AA990" s="134"/>
      <c r="AB990" s="134"/>
      <c r="AC990" s="134"/>
      <c r="AD990" s="134"/>
      <c r="AE990" s="134"/>
      <c r="AF990" s="134"/>
    </row>
    <row r="991" spans="1:32" s="85" customFormat="1" ht="14.1" hidden="1" customHeight="1" outlineLevel="1" x14ac:dyDescent="0.2">
      <c r="A991" s="1398"/>
      <c r="B991" s="134"/>
      <c r="C991" s="352"/>
      <c r="D991" s="214" t="s">
        <v>1607</v>
      </c>
      <c r="E991" s="353">
        <f t="shared" ref="E991:N991" si="255">-pSystemsLeaseLaborCostTotalpa</f>
        <v>-1578825.7134536987</v>
      </c>
      <c r="F991" s="353">
        <f t="shared" si="255"/>
        <v>-2415603.3415841586</v>
      </c>
      <c r="G991" s="353">
        <f t="shared" si="255"/>
        <v>-2463915.4084158419</v>
      </c>
      <c r="H991" s="353">
        <f t="shared" si="255"/>
        <v>-1675462.4777227724</v>
      </c>
      <c r="I991" s="353">
        <f t="shared" si="255"/>
        <v>-1708971.7272772277</v>
      </c>
      <c r="J991" s="353">
        <f t="shared" si="255"/>
        <v>-2614726.7427341584</v>
      </c>
      <c r="K991" s="353">
        <f t="shared" si="255"/>
        <v>-2667021.2775888415</v>
      </c>
      <c r="L991" s="353">
        <f t="shared" si="255"/>
        <v>-1813574.468760412</v>
      </c>
      <c r="M991" s="353">
        <f t="shared" si="255"/>
        <v>-1849845.9581356202</v>
      </c>
      <c r="N991" s="353">
        <f t="shared" si="255"/>
        <v>-2830264.3159475001</v>
      </c>
      <c r="O991" s="324" t="s">
        <v>2932</v>
      </c>
      <c r="P991" s="134"/>
      <c r="Q991" s="135"/>
      <c r="R991" s="134"/>
      <c r="S991" s="135"/>
      <c r="T991" s="134"/>
      <c r="U991" s="134"/>
      <c r="V991" s="134"/>
      <c r="W991" s="134"/>
      <c r="X991" s="134"/>
      <c r="Y991" s="134"/>
      <c r="Z991" s="134"/>
      <c r="AA991" s="134"/>
      <c r="AB991" s="134"/>
      <c r="AC991" s="134"/>
      <c r="AD991" s="134"/>
      <c r="AE991" s="134"/>
      <c r="AF991" s="134"/>
    </row>
    <row r="992" spans="1:32" ht="14.1" hidden="1" customHeight="1" outlineLevel="1" x14ac:dyDescent="0.2">
      <c r="A992" s="1398"/>
      <c r="B992" s="203"/>
      <c r="C992" s="331"/>
      <c r="D992" s="214" t="s">
        <v>1854</v>
      </c>
      <c r="E992" s="353">
        <f t="shared" ref="E992:N992" si="256">-pSystemsLeaseHostLaborCostTotal</f>
        <v>-194816.54047757719</v>
      </c>
      <c r="F992" s="353">
        <f t="shared" si="256"/>
        <v>-198712.87128712874</v>
      </c>
      <c r="G992" s="353">
        <f t="shared" si="256"/>
        <v>-202687.12871287129</v>
      </c>
      <c r="H992" s="353">
        <f t="shared" si="256"/>
        <v>-206740.87128712871</v>
      </c>
      <c r="I992" s="353">
        <f t="shared" si="256"/>
        <v>-210875.68871287128</v>
      </c>
      <c r="J992" s="353">
        <f t="shared" si="256"/>
        <v>-215093.20248712873</v>
      </c>
      <c r="K992" s="353">
        <f t="shared" si="256"/>
        <v>-219395.06653687131</v>
      </c>
      <c r="L992" s="353">
        <f t="shared" si="256"/>
        <v>-223782.96786760865</v>
      </c>
      <c r="M992" s="353">
        <f t="shared" si="256"/>
        <v>-228258.62722496089</v>
      </c>
      <c r="N992" s="353">
        <f t="shared" si="256"/>
        <v>-232823.79976946008</v>
      </c>
      <c r="O992" s="324" t="s">
        <v>2933</v>
      </c>
      <c r="P992" s="203"/>
      <c r="Q992" s="203"/>
      <c r="R992" s="203"/>
      <c r="S992" s="203"/>
      <c r="T992" s="203"/>
      <c r="U992" s="203"/>
      <c r="V992" s="203"/>
      <c r="W992" s="203"/>
      <c r="X992" s="203"/>
      <c r="Y992" s="203"/>
      <c r="Z992" s="203"/>
      <c r="AA992" s="203"/>
      <c r="AB992" s="203"/>
      <c r="AC992" s="203"/>
      <c r="AD992" s="203"/>
      <c r="AE992" s="203"/>
      <c r="AF992" s="203"/>
    </row>
    <row r="993" spans="1:32" s="85" customFormat="1" ht="14.1" hidden="1" customHeight="1" outlineLevel="1" x14ac:dyDescent="0.2">
      <c r="A993" s="1398"/>
      <c r="B993" s="134"/>
      <c r="C993" s="352"/>
      <c r="D993" s="214" t="s">
        <v>2067</v>
      </c>
      <c r="E993" s="353">
        <f t="shared" ref="E993:N993" si="257">-pSystemsLeaseDisputedRecordLaborCostTotal</f>
        <v>-202933.89633080954</v>
      </c>
      <c r="F993" s="353">
        <f t="shared" si="257"/>
        <v>-206992.57425742573</v>
      </c>
      <c r="G993" s="353">
        <f t="shared" si="257"/>
        <v>-211132.42574257424</v>
      </c>
      <c r="H993" s="353">
        <f t="shared" si="257"/>
        <v>-215355.07425742573</v>
      </c>
      <c r="I993" s="353">
        <f t="shared" si="257"/>
        <v>-219662.17574257424</v>
      </c>
      <c r="J993" s="353">
        <f t="shared" si="257"/>
        <v>-224055.41925742573</v>
      </c>
      <c r="K993" s="353">
        <f t="shared" si="257"/>
        <v>-228536.52764257428</v>
      </c>
      <c r="L993" s="353">
        <f t="shared" si="257"/>
        <v>-233107.25819542573</v>
      </c>
      <c r="M993" s="353">
        <f t="shared" si="257"/>
        <v>-237769.40335933425</v>
      </c>
      <c r="N993" s="353">
        <f t="shared" si="257"/>
        <v>-242524.79142652094</v>
      </c>
      <c r="O993" s="324" t="s">
        <v>2934</v>
      </c>
      <c r="P993" s="134"/>
      <c r="Q993" s="135"/>
      <c r="R993" s="134"/>
      <c r="S993" s="135"/>
      <c r="T993" s="134"/>
      <c r="U993" s="134"/>
      <c r="V993" s="134"/>
      <c r="W993" s="134"/>
      <c r="X993" s="134"/>
      <c r="Y993" s="134"/>
      <c r="Z993" s="134"/>
      <c r="AA993" s="134"/>
      <c r="AB993" s="134"/>
      <c r="AC993" s="134"/>
      <c r="AD993" s="134"/>
      <c r="AE993" s="134"/>
      <c r="AF993" s="134"/>
    </row>
    <row r="994" spans="1:32" s="85" customFormat="1" ht="14.1" hidden="1" customHeight="1" outlineLevel="1" x14ac:dyDescent="0.2">
      <c r="A994" s="1398"/>
      <c r="B994" s="134"/>
      <c r="C994" s="352"/>
      <c r="D994" s="214" t="s">
        <v>2308</v>
      </c>
      <c r="E994" s="353">
        <f t="shared" ref="E994:N994" si="258">-pSystemsLeaseRecordSearchLaborCostTotal</f>
        <v>-365281.01339545718</v>
      </c>
      <c r="F994" s="353">
        <f t="shared" si="258"/>
        <v>-372586.63366336632</v>
      </c>
      <c r="G994" s="353">
        <f t="shared" si="258"/>
        <v>-380038.36633663368</v>
      </c>
      <c r="H994" s="353">
        <f t="shared" si="258"/>
        <v>-387639.13366336632</v>
      </c>
      <c r="I994" s="353">
        <f t="shared" si="258"/>
        <v>-395391.91633663367</v>
      </c>
      <c r="J994" s="353">
        <f t="shared" si="258"/>
        <v>-403299.75466336636</v>
      </c>
      <c r="K994" s="353">
        <f t="shared" si="258"/>
        <v>-411365.74975663371</v>
      </c>
      <c r="L994" s="353">
        <f t="shared" si="258"/>
        <v>-419593.06475176627</v>
      </c>
      <c r="M994" s="353">
        <f t="shared" si="258"/>
        <v>-427984.92604680161</v>
      </c>
      <c r="N994" s="353">
        <f t="shared" si="258"/>
        <v>-436544.62456773769</v>
      </c>
      <c r="O994" s="324" t="s">
        <v>2935</v>
      </c>
      <c r="P994" s="134"/>
      <c r="Q994" s="135"/>
      <c r="R994" s="134"/>
      <c r="S994" s="135"/>
      <c r="T994" s="134"/>
      <c r="U994" s="134"/>
      <c r="V994" s="134"/>
      <c r="W994" s="134"/>
      <c r="X994" s="134"/>
      <c r="Y994" s="134"/>
      <c r="Z994" s="134"/>
      <c r="AA994" s="134"/>
      <c r="AB994" s="134"/>
      <c r="AC994" s="134"/>
      <c r="AD994" s="134"/>
      <c r="AE994" s="134"/>
      <c r="AF994" s="134"/>
    </row>
    <row r="995" spans="1:32" s="85" customFormat="1" ht="14.1" hidden="1" customHeight="1" outlineLevel="1" x14ac:dyDescent="0.2">
      <c r="A995" s="1398"/>
      <c r="B995" s="134"/>
      <c r="C995" s="352"/>
      <c r="D995" s="214" t="s">
        <v>2500</v>
      </c>
      <c r="E995" s="353">
        <f t="shared" ref="E995:N995" si="259">-pSystemsLeaseDueDilLaborCostTotal</f>
        <v>-1217603.3779848572</v>
      </c>
      <c r="F995" s="353">
        <f t="shared" si="259"/>
        <v>-827970.29702970292</v>
      </c>
      <c r="G995" s="353">
        <f t="shared" si="259"/>
        <v>-1266794.5544554454</v>
      </c>
      <c r="H995" s="353">
        <f t="shared" si="259"/>
        <v>-861420.29702970292</v>
      </c>
      <c r="I995" s="353">
        <f t="shared" si="259"/>
        <v>-1317973.0544554454</v>
      </c>
      <c r="J995" s="353">
        <f t="shared" si="259"/>
        <v>-896221.67702970293</v>
      </c>
      <c r="K995" s="353">
        <f t="shared" si="259"/>
        <v>-1371219.1658554454</v>
      </c>
      <c r="L995" s="353">
        <f t="shared" si="259"/>
        <v>-932429.03278170293</v>
      </c>
      <c r="M995" s="353">
        <f t="shared" si="259"/>
        <v>-1426616.4201560053</v>
      </c>
      <c r="N995" s="353">
        <f t="shared" si="259"/>
        <v>-970099.16570608376</v>
      </c>
      <c r="O995" s="324" t="s">
        <v>2936</v>
      </c>
      <c r="P995" s="134"/>
      <c r="Q995" s="135"/>
      <c r="R995" s="134"/>
      <c r="S995" s="135"/>
      <c r="T995" s="134"/>
      <c r="U995" s="134"/>
      <c r="V995" s="134"/>
      <c r="W995" s="134"/>
      <c r="X995" s="134"/>
      <c r="Y995" s="134"/>
      <c r="Z995" s="134"/>
      <c r="AA995" s="134"/>
      <c r="AB995" s="134"/>
      <c r="AC995" s="134"/>
      <c r="AD995" s="134"/>
      <c r="AE995" s="134"/>
      <c r="AF995" s="134"/>
    </row>
    <row r="996" spans="1:32" s="85" customFormat="1" ht="14.1" hidden="1" customHeight="1" outlineLevel="1" x14ac:dyDescent="0.2">
      <c r="A996" s="1398"/>
      <c r="B996" s="134"/>
      <c r="C996" s="352"/>
      <c r="D996" s="214" t="s">
        <v>240</v>
      </c>
      <c r="E996" s="353">
        <f t="shared" ref="E996:N996" si="260">-pSystemsLeaseReturnPaperPrintCost</f>
        <v>-48900</v>
      </c>
      <c r="F996" s="353">
        <f t="shared" si="260"/>
        <v>-74817</v>
      </c>
      <c r="G996" s="353">
        <f t="shared" si="260"/>
        <v>-76313.34</v>
      </c>
      <c r="H996" s="353">
        <f t="shared" si="260"/>
        <v>-51893.071199999998</v>
      </c>
      <c r="I996" s="353">
        <f t="shared" si="260"/>
        <v>-52930.932624000001</v>
      </c>
      <c r="J996" s="353">
        <f t="shared" si="260"/>
        <v>-80984.326914720004</v>
      </c>
      <c r="K996" s="353">
        <f t="shared" si="260"/>
        <v>-82604.013453014399</v>
      </c>
      <c r="L996" s="353">
        <f t="shared" si="260"/>
        <v>-56170.729148049781</v>
      </c>
      <c r="M996" s="353">
        <f t="shared" si="260"/>
        <v>-57294.143731010787</v>
      </c>
      <c r="N996" s="353">
        <f t="shared" si="260"/>
        <v>-87660.039908446503</v>
      </c>
      <c r="O996" s="324" t="s">
        <v>2937</v>
      </c>
      <c r="P996" s="134"/>
      <c r="Q996" s="135"/>
      <c r="R996" s="134"/>
      <c r="S996" s="135"/>
      <c r="T996" s="134"/>
      <c r="U996" s="134"/>
      <c r="V996" s="134"/>
      <c r="W996" s="134"/>
      <c r="X996" s="134"/>
      <c r="Y996" s="134"/>
      <c r="Z996" s="134"/>
      <c r="AA996" s="134"/>
      <c r="AB996" s="134"/>
      <c r="AC996" s="134"/>
      <c r="AD996" s="134"/>
      <c r="AE996" s="134"/>
      <c r="AF996" s="134"/>
    </row>
    <row r="997" spans="1:32" s="85" customFormat="1" ht="14.1" hidden="1" customHeight="1" outlineLevel="1" x14ac:dyDescent="0.2">
      <c r="A997" s="1398"/>
      <c r="B997" s="134"/>
      <c r="C997" s="352"/>
      <c r="D997" s="214" t="s">
        <v>2728</v>
      </c>
      <c r="E997" s="353">
        <f t="shared" ref="E997:N997" si="261">-pSystemsLeaseReturnPrintCollLaborCostTotal</f>
        <v>-135289.26422053971</v>
      </c>
      <c r="F997" s="353">
        <f t="shared" si="261"/>
        <v>-206992.57425742576</v>
      </c>
      <c r="G997" s="353">
        <f t="shared" si="261"/>
        <v>-211132.42574257427</v>
      </c>
      <c r="H997" s="353">
        <f t="shared" si="261"/>
        <v>-143570.0495049505</v>
      </c>
      <c r="I997" s="353">
        <f t="shared" si="261"/>
        <v>-146441.4504950495</v>
      </c>
      <c r="J997" s="353">
        <f t="shared" si="261"/>
        <v>-224055.41925742576</v>
      </c>
      <c r="K997" s="353">
        <f t="shared" si="261"/>
        <v>-228536.52764257428</v>
      </c>
      <c r="L997" s="353">
        <f t="shared" si="261"/>
        <v>-155404.8387969505</v>
      </c>
      <c r="M997" s="353">
        <f t="shared" si="261"/>
        <v>-158512.93557288952</v>
      </c>
      <c r="N997" s="353">
        <f t="shared" si="261"/>
        <v>-242524.79142652094</v>
      </c>
      <c r="O997" s="324" t="s">
        <v>2938</v>
      </c>
      <c r="P997" s="134"/>
      <c r="Q997" s="135"/>
      <c r="R997" s="134"/>
      <c r="S997" s="135"/>
      <c r="T997" s="134"/>
      <c r="U997" s="134"/>
      <c r="V997" s="134"/>
      <c r="W997" s="134"/>
      <c r="X997" s="134"/>
      <c r="Y997" s="134"/>
      <c r="Z997" s="134"/>
      <c r="AA997" s="134"/>
      <c r="AB997" s="134"/>
      <c r="AC997" s="134"/>
      <c r="AD997" s="134"/>
      <c r="AE997" s="134"/>
      <c r="AF997" s="134"/>
    </row>
    <row r="998" spans="1:32" s="1034" customFormat="1" ht="15.75" hidden="1" outlineLevel="1" x14ac:dyDescent="0.25">
      <c r="A998" s="1398"/>
      <c r="B998" s="1028"/>
      <c r="C998" s="1029"/>
      <c r="D998" s="1030" t="s">
        <v>4207</v>
      </c>
      <c r="E998" s="1031">
        <f t="shared" ref="E998:N998" si="262">SUM(E991:E997)</f>
        <v>-3743649.805862939</v>
      </c>
      <c r="F998" s="1031">
        <f t="shared" si="262"/>
        <v>-4303675.2920792084</v>
      </c>
      <c r="G998" s="1031">
        <f t="shared" si="262"/>
        <v>-4812013.6494059395</v>
      </c>
      <c r="H998" s="1031">
        <f t="shared" si="262"/>
        <v>-3542080.9746653466</v>
      </c>
      <c r="I998" s="1031">
        <f t="shared" si="262"/>
        <v>-4052246.9456438012</v>
      </c>
      <c r="J998" s="1031">
        <f t="shared" si="262"/>
        <v>-4658436.5423439285</v>
      </c>
      <c r="K998" s="1031">
        <f t="shared" si="262"/>
        <v>-5208678.328475954</v>
      </c>
      <c r="L998" s="1031">
        <f t="shared" si="262"/>
        <v>-3834062.3603019156</v>
      </c>
      <c r="M998" s="1031">
        <f t="shared" si="262"/>
        <v>-4386282.4142266233</v>
      </c>
      <c r="N998" s="1031">
        <f t="shared" si="262"/>
        <v>-5042441.5287522702</v>
      </c>
      <c r="O998" s="1032" t="s">
        <v>286</v>
      </c>
      <c r="P998" s="1028"/>
      <c r="Q998" s="1033"/>
      <c r="R998" s="1028"/>
      <c r="S998" s="1033"/>
      <c r="T998" s="1028"/>
      <c r="U998" s="1028"/>
      <c r="V998" s="1028"/>
      <c r="W998" s="1028"/>
      <c r="X998" s="1028"/>
      <c r="Y998" s="1028"/>
      <c r="Z998" s="1028"/>
      <c r="AA998" s="1028"/>
      <c r="AB998" s="1028"/>
      <c r="AC998" s="1028"/>
      <c r="AD998" s="1028"/>
      <c r="AE998" s="1028"/>
      <c r="AF998" s="1028"/>
    </row>
    <row r="999" spans="1:32" ht="13.5" hidden="1" outlineLevel="1" thickBot="1" x14ac:dyDescent="0.25">
      <c r="A999" s="1398"/>
      <c r="B999" s="134"/>
      <c r="C999" s="355"/>
      <c r="D999" s="739"/>
      <c r="E999" s="356"/>
      <c r="F999" s="356"/>
      <c r="G999" s="356"/>
      <c r="H999" s="356"/>
      <c r="I999" s="356"/>
      <c r="J999" s="356"/>
      <c r="K999" s="356"/>
      <c r="L999" s="356"/>
      <c r="M999" s="356"/>
      <c r="N999" s="356"/>
      <c r="O999" s="327"/>
      <c r="P999" s="203"/>
      <c r="Q999" s="203"/>
      <c r="R999" s="203"/>
      <c r="S999" s="203"/>
      <c r="T999" s="203"/>
      <c r="U999" s="203"/>
      <c r="V999" s="203"/>
      <c r="W999" s="203"/>
      <c r="X999" s="203"/>
      <c r="Y999" s="203"/>
      <c r="Z999" s="203"/>
      <c r="AA999" s="203"/>
      <c r="AB999" s="203"/>
      <c r="AC999" s="203"/>
      <c r="AD999" s="203"/>
      <c r="AE999" s="203"/>
      <c r="AF999" s="203"/>
    </row>
    <row r="1000" spans="1:32" s="203" customFormat="1" ht="13.5" hidden="1" outlineLevel="1" thickBot="1" x14ac:dyDescent="0.25">
      <c r="A1000" s="1398"/>
      <c r="B1000" s="134"/>
      <c r="C1000" s="211"/>
      <c r="D1000" s="214"/>
      <c r="E1000" s="210"/>
      <c r="F1000" s="210"/>
      <c r="G1000" s="210"/>
      <c r="H1000" s="210"/>
      <c r="I1000" s="210"/>
      <c r="J1000" s="210"/>
      <c r="K1000" s="210"/>
      <c r="L1000" s="210"/>
      <c r="M1000" s="210"/>
      <c r="N1000" s="210"/>
      <c r="O1000" s="209"/>
      <c r="P1000" s="204"/>
    </row>
    <row r="1001" spans="1:32" s="85" customFormat="1" ht="15.75" hidden="1" outlineLevel="1" x14ac:dyDescent="0.25">
      <c r="A1001" s="1398"/>
      <c r="B1001" s="134"/>
      <c r="C1001" s="357"/>
      <c r="D1001" s="740" t="s">
        <v>4064</v>
      </c>
      <c r="E1001" s="244"/>
      <c r="F1001" s="244"/>
      <c r="G1001" s="244"/>
      <c r="H1001" s="244"/>
      <c r="I1001" s="244"/>
      <c r="J1001" s="244"/>
      <c r="K1001" s="244"/>
      <c r="L1001" s="244"/>
      <c r="M1001" s="244"/>
      <c r="N1001" s="244"/>
      <c r="O1001" s="351"/>
      <c r="P1001" s="134"/>
      <c r="Q1001" s="134"/>
      <c r="R1001" s="134"/>
      <c r="S1001" s="134"/>
      <c r="T1001" s="134"/>
      <c r="U1001" s="134"/>
      <c r="V1001" s="134"/>
      <c r="W1001" s="134"/>
      <c r="X1001" s="134"/>
      <c r="Y1001" s="134"/>
      <c r="Z1001" s="134"/>
      <c r="AA1001" s="134"/>
      <c r="AB1001" s="134"/>
      <c r="AC1001" s="134"/>
      <c r="AD1001" s="134"/>
      <c r="AE1001" s="134"/>
      <c r="AF1001" s="134"/>
    </row>
    <row r="1002" spans="1:32" s="85" customFormat="1" ht="14.1" hidden="1" customHeight="1" outlineLevel="1" x14ac:dyDescent="0.2">
      <c r="A1002" s="1398"/>
      <c r="B1002" s="134"/>
      <c r="C1002" s="352"/>
      <c r="D1002" s="214" t="s">
        <v>1729</v>
      </c>
      <c r="E1002" s="353">
        <f t="shared" ref="E1002:N1002" si="263">-hSystemsLeaseLaborCostTotalpa</f>
        <v>-854641.60911889514</v>
      </c>
      <c r="F1002" s="353">
        <f t="shared" si="263"/>
        <v>-1307601.6619519095</v>
      </c>
      <c r="G1002" s="353">
        <f t="shared" si="263"/>
        <v>-1333753.6951909477</v>
      </c>
      <c r="H1002" s="353">
        <f t="shared" si="263"/>
        <v>-906952.51272984443</v>
      </c>
      <c r="I1002" s="353">
        <f t="shared" si="263"/>
        <v>-925091.56298444141</v>
      </c>
      <c r="J1002" s="353">
        <f t="shared" si="263"/>
        <v>-1415390.0913661954</v>
      </c>
      <c r="K1002" s="353">
        <f t="shared" si="263"/>
        <v>-1443697.8931935194</v>
      </c>
      <c r="L1002" s="353">
        <f t="shared" si="263"/>
        <v>-981714.56737159297</v>
      </c>
      <c r="M1002" s="353">
        <f t="shared" si="263"/>
        <v>-1001348.8587190249</v>
      </c>
      <c r="N1002" s="353">
        <f t="shared" si="263"/>
        <v>-1532063.7538401082</v>
      </c>
      <c r="O1002" s="324" t="s">
        <v>2939</v>
      </c>
      <c r="P1002" s="134"/>
      <c r="Q1002" s="135"/>
      <c r="R1002" s="134"/>
      <c r="S1002" s="135"/>
      <c r="T1002" s="134"/>
      <c r="U1002" s="134"/>
      <c r="V1002" s="134"/>
      <c r="W1002" s="134"/>
      <c r="X1002" s="134"/>
      <c r="Y1002" s="134"/>
      <c r="Z1002" s="134"/>
      <c r="AA1002" s="134"/>
      <c r="AB1002" s="134"/>
      <c r="AC1002" s="134"/>
      <c r="AD1002" s="134"/>
      <c r="AE1002" s="134"/>
      <c r="AF1002" s="134"/>
    </row>
    <row r="1003" spans="1:32" ht="14.1" hidden="1" customHeight="1" outlineLevel="1" x14ac:dyDescent="0.2">
      <c r="A1003" s="1398"/>
      <c r="B1003" s="203"/>
      <c r="C1003" s="331"/>
      <c r="D1003" s="214" t="s">
        <v>1892</v>
      </c>
      <c r="E1003" s="353">
        <f t="shared" ref="E1003:N1003" si="264">-hSystemsLeaseHostLaborCostTotal</f>
        <v>-125239.2045927282</v>
      </c>
      <c r="F1003" s="353">
        <f t="shared" si="264"/>
        <v>-127743.98868458276</v>
      </c>
      <c r="G1003" s="353">
        <f t="shared" si="264"/>
        <v>-130298.8684582744</v>
      </c>
      <c r="H1003" s="353">
        <f t="shared" si="264"/>
        <v>-132904.84582743989</v>
      </c>
      <c r="I1003" s="353">
        <f t="shared" si="264"/>
        <v>-135562.94274398871</v>
      </c>
      <c r="J1003" s="353">
        <f t="shared" si="264"/>
        <v>-138274.20159886847</v>
      </c>
      <c r="K1003" s="353">
        <f t="shared" si="264"/>
        <v>-141039.68563084584</v>
      </c>
      <c r="L1003" s="353">
        <f t="shared" si="264"/>
        <v>-143860.47934346274</v>
      </c>
      <c r="M1003" s="353">
        <f t="shared" si="264"/>
        <v>-146737.68893033199</v>
      </c>
      <c r="N1003" s="353">
        <f t="shared" si="264"/>
        <v>-149672.44270893864</v>
      </c>
      <c r="O1003" s="324" t="s">
        <v>2940</v>
      </c>
      <c r="P1003" s="203"/>
      <c r="Q1003" s="203"/>
      <c r="R1003" s="203"/>
      <c r="S1003" s="203"/>
      <c r="T1003" s="203"/>
      <c r="U1003" s="203"/>
      <c r="V1003" s="203"/>
      <c r="W1003" s="203"/>
      <c r="X1003" s="203"/>
      <c r="Y1003" s="203"/>
      <c r="Z1003" s="203"/>
      <c r="AA1003" s="203"/>
      <c r="AB1003" s="203"/>
      <c r="AC1003" s="203"/>
      <c r="AD1003" s="203"/>
      <c r="AE1003" s="203"/>
      <c r="AF1003" s="203"/>
    </row>
    <row r="1004" spans="1:32" s="85" customFormat="1" ht="14.1" hidden="1" customHeight="1" outlineLevel="1" x14ac:dyDescent="0.2">
      <c r="A1004" s="1398"/>
      <c r="B1004" s="134"/>
      <c r="C1004" s="352"/>
      <c r="D1004" s="214" t="s">
        <v>2142</v>
      </c>
      <c r="E1004" s="353">
        <f t="shared" ref="E1004:N1004" si="265">-hSystemsLeaseDisputedRecordLaborCostTotal</f>
        <v>-130457.50478409187</v>
      </c>
      <c r="F1004" s="353">
        <f t="shared" si="265"/>
        <v>-106453.32390381896</v>
      </c>
      <c r="G1004" s="353">
        <f t="shared" si="265"/>
        <v>-108582.39038189534</v>
      </c>
      <c r="H1004" s="353">
        <f t="shared" si="265"/>
        <v>-110754.03818953324</v>
      </c>
      <c r="I1004" s="353">
        <f t="shared" si="265"/>
        <v>-112969.11895332392</v>
      </c>
      <c r="J1004" s="353">
        <f t="shared" si="265"/>
        <v>-115228.5013323904</v>
      </c>
      <c r="K1004" s="353">
        <f t="shared" si="265"/>
        <v>-117533.07135903821</v>
      </c>
      <c r="L1004" s="353">
        <f t="shared" si="265"/>
        <v>-119883.73278621896</v>
      </c>
      <c r="M1004" s="353">
        <f t="shared" si="265"/>
        <v>-122281.40744194335</v>
      </c>
      <c r="N1004" s="353">
        <f t="shared" si="265"/>
        <v>-124727.03559078221</v>
      </c>
      <c r="O1004" s="324" t="s">
        <v>2941</v>
      </c>
      <c r="P1004" s="134"/>
      <c r="Q1004" s="135"/>
      <c r="R1004" s="134"/>
      <c r="S1004" s="135"/>
      <c r="T1004" s="134"/>
      <c r="U1004" s="134"/>
      <c r="V1004" s="134"/>
      <c r="W1004" s="134"/>
      <c r="X1004" s="134"/>
      <c r="Y1004" s="134"/>
      <c r="Z1004" s="134"/>
      <c r="AA1004" s="134"/>
      <c r="AB1004" s="134"/>
      <c r="AC1004" s="134"/>
      <c r="AD1004" s="134"/>
      <c r="AE1004" s="134"/>
      <c r="AF1004" s="134"/>
    </row>
    <row r="1005" spans="1:32" s="85" customFormat="1" ht="14.1" hidden="1" customHeight="1" outlineLevel="1" x14ac:dyDescent="0.2">
      <c r="A1005" s="1398"/>
      <c r="B1005" s="134"/>
      <c r="C1005" s="352"/>
      <c r="D1005" s="214" t="s">
        <v>2371</v>
      </c>
      <c r="E1005" s="353">
        <f t="shared" ref="E1005:N1005" si="266">-hSystemsLeaseRecordSearchLaborCostTotal</f>
        <v>-243520.67559697147</v>
      </c>
      <c r="F1005" s="353">
        <f t="shared" si="266"/>
        <v>-33532.797029702975</v>
      </c>
      <c r="G1005" s="353">
        <f t="shared" si="266"/>
        <v>-30403.069306930694</v>
      </c>
      <c r="H1005" s="353">
        <f t="shared" si="266"/>
        <v>-27134.739356435646</v>
      </c>
      <c r="I1005" s="353">
        <f t="shared" si="266"/>
        <v>-23723.514980198022</v>
      </c>
      <c r="J1005" s="353">
        <f t="shared" si="266"/>
        <v>-20164.987733168316</v>
      </c>
      <c r="K1005" s="353">
        <f t="shared" si="266"/>
        <v>-16454.629990265348</v>
      </c>
      <c r="L1005" s="353">
        <f t="shared" si="266"/>
        <v>-12587.791942552989</v>
      </c>
      <c r="M1005" s="353">
        <f t="shared" si="266"/>
        <v>-8559.6985209360319</v>
      </c>
      <c r="N1005" s="353">
        <f t="shared" si="266"/>
        <v>-4365.4462456773763</v>
      </c>
      <c r="O1005" s="324" t="s">
        <v>2942</v>
      </c>
      <c r="P1005" s="134"/>
      <c r="Q1005" s="135"/>
      <c r="R1005" s="134"/>
      <c r="S1005" s="135"/>
      <c r="T1005" s="134"/>
      <c r="U1005" s="134"/>
      <c r="V1005" s="134"/>
      <c r="W1005" s="134"/>
      <c r="X1005" s="134"/>
      <c r="Y1005" s="134"/>
      <c r="Z1005" s="134"/>
      <c r="AA1005" s="134"/>
      <c r="AB1005" s="134"/>
      <c r="AC1005" s="134"/>
      <c r="AD1005" s="134"/>
      <c r="AE1005" s="134"/>
      <c r="AF1005" s="134"/>
    </row>
    <row r="1006" spans="1:32" s="85" customFormat="1" ht="14.1" hidden="1" customHeight="1" outlineLevel="1" x14ac:dyDescent="0.2">
      <c r="A1006" s="1398"/>
      <c r="B1006" s="134"/>
      <c r="C1006" s="352"/>
      <c r="D1006" s="214" t="s">
        <v>2600</v>
      </c>
      <c r="E1006" s="353">
        <f t="shared" ref="E1006:N1006" si="267">-hSystemsLeaseDueDilLaborCostTotal</f>
        <v>-565315.8540643981</v>
      </c>
      <c r="F1006" s="353">
        <f t="shared" si="267"/>
        <v>-384414.78076379071</v>
      </c>
      <c r="G1006" s="353">
        <f t="shared" si="267"/>
        <v>-588154.61456859985</v>
      </c>
      <c r="H1006" s="353">
        <f t="shared" si="267"/>
        <v>-399945.13790664781</v>
      </c>
      <c r="I1006" s="353">
        <f t="shared" si="267"/>
        <v>-611916.06099717121</v>
      </c>
      <c r="J1006" s="353">
        <f t="shared" si="267"/>
        <v>-416102.92147807643</v>
      </c>
      <c r="K1006" s="353">
        <f t="shared" si="267"/>
        <v>-636637.46986145701</v>
      </c>
      <c r="L1006" s="353">
        <f t="shared" si="267"/>
        <v>-432913.47950579063</v>
      </c>
      <c r="M1006" s="353">
        <f t="shared" si="267"/>
        <v>-662357.62364385976</v>
      </c>
      <c r="N1006" s="353">
        <f t="shared" si="267"/>
        <v>-450403.18407782464</v>
      </c>
      <c r="O1006" s="324" t="s">
        <v>2943</v>
      </c>
      <c r="P1006" s="134"/>
      <c r="Q1006" s="135"/>
      <c r="R1006" s="134"/>
      <c r="S1006" s="135"/>
      <c r="T1006" s="134"/>
      <c r="U1006" s="134"/>
      <c r="V1006" s="134"/>
      <c r="W1006" s="134"/>
      <c r="X1006" s="134"/>
      <c r="Y1006" s="134"/>
      <c r="Z1006" s="134"/>
      <c r="AA1006" s="134"/>
      <c r="AB1006" s="134"/>
      <c r="AC1006" s="134"/>
      <c r="AD1006" s="134"/>
      <c r="AE1006" s="134"/>
      <c r="AF1006" s="134"/>
    </row>
    <row r="1007" spans="1:32" s="85" customFormat="1" ht="14.1" hidden="1" customHeight="1" outlineLevel="1" x14ac:dyDescent="0.2">
      <c r="A1007" s="1398"/>
      <c r="B1007" s="134"/>
      <c r="C1007" s="352"/>
      <c r="D1007" s="214" t="s">
        <v>241</v>
      </c>
      <c r="E1007" s="353">
        <f t="shared" ref="E1007:N1007" si="268">-hSystemsLeaseReturnPaperPrintCost</f>
        <v>-9780</v>
      </c>
      <c r="F1007" s="353">
        <f t="shared" si="268"/>
        <v>-14963.4</v>
      </c>
      <c r="G1007" s="353">
        <f t="shared" si="268"/>
        <v>-15262.668</v>
      </c>
      <c r="H1007" s="353">
        <f t="shared" si="268"/>
        <v>-10378.614239999999</v>
      </c>
      <c r="I1007" s="353">
        <f t="shared" si="268"/>
        <v>-10586.186524799999</v>
      </c>
      <c r="J1007" s="353">
        <f t="shared" si="268"/>
        <v>-16196.865382944001</v>
      </c>
      <c r="K1007" s="353">
        <f t="shared" si="268"/>
        <v>-16520.802690602883</v>
      </c>
      <c r="L1007" s="353">
        <f t="shared" si="268"/>
        <v>-11234.145829609957</v>
      </c>
      <c r="M1007" s="353">
        <f t="shared" si="268"/>
        <v>-11458.828746202156</v>
      </c>
      <c r="N1007" s="353">
        <f t="shared" si="268"/>
        <v>-17532.007981689301</v>
      </c>
      <c r="O1007" s="324" t="s">
        <v>2944</v>
      </c>
      <c r="P1007" s="134"/>
      <c r="Q1007" s="135"/>
      <c r="R1007" s="134"/>
      <c r="S1007" s="135"/>
      <c r="T1007" s="134"/>
      <c r="U1007" s="134"/>
      <c r="V1007" s="134"/>
      <c r="W1007" s="134"/>
      <c r="X1007" s="134"/>
      <c r="Y1007" s="134"/>
      <c r="Z1007" s="134"/>
      <c r="AA1007" s="134"/>
      <c r="AB1007" s="134"/>
      <c r="AC1007" s="134"/>
      <c r="AD1007" s="134"/>
      <c r="AE1007" s="134"/>
      <c r="AF1007" s="134"/>
    </row>
    <row r="1008" spans="1:32" s="85" customFormat="1" ht="14.1" hidden="1" customHeight="1" outlineLevel="1" x14ac:dyDescent="0.2">
      <c r="A1008" s="1398"/>
      <c r="B1008" s="134"/>
      <c r="C1008" s="352"/>
      <c r="D1008" s="214" t="s">
        <v>2828</v>
      </c>
      <c r="E1008" s="353">
        <f t="shared" ref="E1008:N1008" si="269">-hSystemsLeaseReturnPrintCollLaborCostTotal</f>
        <v>-115962.22647474833</v>
      </c>
      <c r="F1008" s="353">
        <f t="shared" si="269"/>
        <v>-159679.98585572845</v>
      </c>
      <c r="G1008" s="353">
        <f t="shared" si="269"/>
        <v>-144776.5205091938</v>
      </c>
      <c r="H1008" s="353">
        <f t="shared" si="269"/>
        <v>-86142.029702970307</v>
      </c>
      <c r="I1008" s="353">
        <f t="shared" si="269"/>
        <v>-75312.74596888262</v>
      </c>
      <c r="J1008" s="353">
        <f t="shared" si="269"/>
        <v>-96023.75111032532</v>
      </c>
      <c r="K1008" s="353">
        <f t="shared" si="269"/>
        <v>-78355.380906025486</v>
      </c>
      <c r="L1008" s="353">
        <f t="shared" si="269"/>
        <v>-39961.244262072985</v>
      </c>
      <c r="M1008" s="353">
        <f t="shared" si="269"/>
        <v>-27173.646098209632</v>
      </c>
      <c r="N1008" s="353">
        <f t="shared" si="269"/>
        <v>-20787.839265130369</v>
      </c>
      <c r="O1008" s="324" t="s">
        <v>2945</v>
      </c>
      <c r="P1008" s="134"/>
      <c r="Q1008" s="135"/>
      <c r="R1008" s="134"/>
      <c r="S1008" s="135"/>
      <c r="T1008" s="134"/>
      <c r="U1008" s="134"/>
      <c r="V1008" s="134"/>
      <c r="W1008" s="134"/>
      <c r="X1008" s="134"/>
      <c r="Y1008" s="134"/>
      <c r="Z1008" s="134"/>
      <c r="AA1008" s="134"/>
      <c r="AB1008" s="134"/>
      <c r="AC1008" s="134"/>
      <c r="AD1008" s="134"/>
      <c r="AE1008" s="134"/>
      <c r="AF1008" s="134"/>
    </row>
    <row r="1009" spans="1:32" s="1034" customFormat="1" ht="15.75" hidden="1" outlineLevel="1" x14ac:dyDescent="0.25">
      <c r="A1009" s="1398"/>
      <c r="B1009" s="1028"/>
      <c r="C1009" s="1029"/>
      <c r="D1009" s="1035" t="s">
        <v>4208</v>
      </c>
      <c r="E1009" s="1031">
        <f t="shared" ref="E1009:N1009" si="270">SUM(E1002:E1008)</f>
        <v>-2044917.0746318332</v>
      </c>
      <c r="F1009" s="1031">
        <f t="shared" si="270"/>
        <v>-2134389.9381895335</v>
      </c>
      <c r="G1009" s="1031">
        <f t="shared" si="270"/>
        <v>-2351231.8264158419</v>
      </c>
      <c r="H1009" s="1031">
        <f t="shared" si="270"/>
        <v>-1674211.9179528712</v>
      </c>
      <c r="I1009" s="1031">
        <f t="shared" si="270"/>
        <v>-1895162.133152806</v>
      </c>
      <c r="J1009" s="1031">
        <f t="shared" si="270"/>
        <v>-2217381.3200019677</v>
      </c>
      <c r="K1009" s="1031">
        <f t="shared" si="270"/>
        <v>-2450238.933631754</v>
      </c>
      <c r="L1009" s="1031">
        <f t="shared" si="270"/>
        <v>-1742155.441041301</v>
      </c>
      <c r="M1009" s="1031">
        <f t="shared" si="270"/>
        <v>-1979917.752100508</v>
      </c>
      <c r="N1009" s="1031">
        <f t="shared" si="270"/>
        <v>-2299551.7097101505</v>
      </c>
      <c r="O1009" s="1032" t="s">
        <v>289</v>
      </c>
      <c r="P1009" s="1028"/>
      <c r="Q1009" s="1033"/>
      <c r="R1009" s="1028"/>
      <c r="S1009" s="1033"/>
      <c r="T1009" s="1028"/>
      <c r="U1009" s="1028"/>
      <c r="V1009" s="1028"/>
      <c r="W1009" s="1028"/>
      <c r="X1009" s="1028"/>
      <c r="Y1009" s="1028"/>
      <c r="Z1009" s="1028"/>
      <c r="AA1009" s="1028"/>
      <c r="AB1009" s="1028"/>
      <c r="AC1009" s="1028"/>
      <c r="AD1009" s="1028"/>
      <c r="AE1009" s="1028"/>
      <c r="AF1009" s="1028"/>
    </row>
    <row r="1010" spans="1:32" s="203" customFormat="1" ht="12.75" hidden="1" customHeight="1" outlineLevel="1" thickBot="1" x14ac:dyDescent="0.25">
      <c r="A1010" s="1398"/>
      <c r="B1010" s="134"/>
      <c r="C1010" s="325"/>
      <c r="D1010" s="722"/>
      <c r="E1010" s="326"/>
      <c r="F1010" s="326"/>
      <c r="G1010" s="326"/>
      <c r="H1010" s="326"/>
      <c r="I1010" s="326"/>
      <c r="J1010" s="326"/>
      <c r="K1010" s="326"/>
      <c r="L1010" s="326"/>
      <c r="M1010" s="326"/>
      <c r="N1010" s="326"/>
      <c r="O1010" s="340"/>
      <c r="P1010" s="204"/>
    </row>
    <row r="1011" spans="1:32" ht="13.5" hidden="1" outlineLevel="1" thickBot="1" x14ac:dyDescent="0.25">
      <c r="A1011" s="1398"/>
    </row>
    <row r="1012" spans="1:32" s="85" customFormat="1" ht="15.75" hidden="1" outlineLevel="1" x14ac:dyDescent="0.25">
      <c r="A1012" s="1398"/>
      <c r="B1012" s="206"/>
      <c r="C1012" s="359"/>
      <c r="D1012" s="742" t="s">
        <v>4065</v>
      </c>
      <c r="E1012" s="244"/>
      <c r="F1012" s="244"/>
      <c r="G1012" s="244"/>
      <c r="H1012" s="244"/>
      <c r="I1012" s="244"/>
      <c r="J1012" s="244"/>
      <c r="K1012" s="244"/>
      <c r="L1012" s="244"/>
      <c r="M1012" s="244"/>
      <c r="N1012" s="244"/>
      <c r="O1012" s="351"/>
      <c r="P1012" s="134"/>
      <c r="Q1012" s="134"/>
      <c r="R1012" s="134"/>
      <c r="S1012" s="134"/>
      <c r="T1012" s="134"/>
      <c r="U1012" s="134"/>
      <c r="V1012" s="134"/>
      <c r="W1012" s="134"/>
      <c r="X1012" s="134"/>
      <c r="Y1012" s="134"/>
      <c r="Z1012" s="134"/>
      <c r="AA1012" s="134"/>
      <c r="AB1012" s="134"/>
      <c r="AC1012" s="134"/>
      <c r="AD1012" s="134"/>
      <c r="AE1012" s="134"/>
      <c r="AF1012" s="134"/>
    </row>
    <row r="1013" spans="1:32" s="85" customFormat="1" ht="14.1" hidden="1" customHeight="1" outlineLevel="1" x14ac:dyDescent="0.2">
      <c r="A1013" s="1398"/>
      <c r="B1013" s="134"/>
      <c r="C1013" s="352"/>
      <c r="D1013" s="214" t="s">
        <v>1803</v>
      </c>
      <c r="E1013" s="353">
        <f t="shared" ref="E1013:N1013" si="271">-eSystemsLeaseLaborCostTotalpa</f>
        <v>-391662.41991846234</v>
      </c>
      <c r="F1013" s="353">
        <f t="shared" si="271"/>
        <v>-599243.5024752476</v>
      </c>
      <c r="G1013" s="353">
        <f t="shared" si="271"/>
        <v>-611228.3725247524</v>
      </c>
      <c r="H1013" s="353">
        <f t="shared" si="271"/>
        <v>-415635.29331683158</v>
      </c>
      <c r="I1013" s="353">
        <f t="shared" si="271"/>
        <v>-423947.99918316823</v>
      </c>
      <c r="J1013" s="353">
        <f t="shared" si="271"/>
        <v>-648640.43875024747</v>
      </c>
      <c r="K1013" s="353">
        <f t="shared" si="271"/>
        <v>-661613.24752525229</v>
      </c>
      <c r="L1013" s="353">
        <f t="shared" si="271"/>
        <v>-449897.00831717154</v>
      </c>
      <c r="M1013" s="353">
        <f t="shared" si="271"/>
        <v>-458894.94848351507</v>
      </c>
      <c r="N1013" s="353">
        <f t="shared" si="271"/>
        <v>-702109.27117977792</v>
      </c>
      <c r="O1013" s="324" t="s">
        <v>2946</v>
      </c>
      <c r="P1013" s="134"/>
      <c r="Q1013" s="135"/>
      <c r="R1013" s="134"/>
      <c r="S1013" s="135"/>
      <c r="T1013" s="134"/>
      <c r="U1013" s="134"/>
      <c r="V1013" s="134"/>
      <c r="W1013" s="134"/>
      <c r="X1013" s="134"/>
      <c r="Y1013" s="134"/>
      <c r="Z1013" s="134"/>
      <c r="AA1013" s="134"/>
      <c r="AB1013" s="134"/>
      <c r="AC1013" s="134"/>
      <c r="AD1013" s="134"/>
      <c r="AE1013" s="134"/>
      <c r="AF1013" s="134"/>
    </row>
    <row r="1014" spans="1:32" ht="14.1" hidden="1" customHeight="1" outlineLevel="1" x14ac:dyDescent="0.2">
      <c r="A1014" s="1398"/>
      <c r="B1014" s="203"/>
      <c r="C1014" s="331"/>
      <c r="D1014" s="214" t="s">
        <v>1930</v>
      </c>
      <c r="E1014" s="353">
        <f t="shared" ref="E1014:N1014" si="272">-eSystemsLeaseHostLaborCostTotal</f>
        <v>-73056.202679091424</v>
      </c>
      <c r="F1014" s="353">
        <f t="shared" si="272"/>
        <v>-74517.32673267326</v>
      </c>
      <c r="G1014" s="353">
        <f t="shared" si="272"/>
        <v>-76007.673267326711</v>
      </c>
      <c r="H1014" s="353">
        <f t="shared" si="272"/>
        <v>-77527.826732673246</v>
      </c>
      <c r="I1014" s="353">
        <f t="shared" si="272"/>
        <v>-79078.383267326717</v>
      </c>
      <c r="J1014" s="353">
        <f t="shared" si="272"/>
        <v>-80659.950932673266</v>
      </c>
      <c r="K1014" s="353">
        <f t="shared" si="272"/>
        <v>-82273.149951326719</v>
      </c>
      <c r="L1014" s="353">
        <f t="shared" si="272"/>
        <v>-83918.612950353243</v>
      </c>
      <c r="M1014" s="353">
        <f t="shared" si="272"/>
        <v>-85596.985209360311</v>
      </c>
      <c r="N1014" s="353">
        <f t="shared" si="272"/>
        <v>-87308.924913547526</v>
      </c>
      <c r="O1014" s="324" t="s">
        <v>2947</v>
      </c>
      <c r="P1014" s="203"/>
      <c r="Q1014" s="203"/>
      <c r="R1014" s="203"/>
      <c r="S1014" s="203"/>
      <c r="T1014" s="203"/>
      <c r="U1014" s="203"/>
      <c r="V1014" s="203"/>
      <c r="W1014" s="203"/>
      <c r="X1014" s="203"/>
      <c r="Y1014" s="203"/>
      <c r="Z1014" s="203"/>
      <c r="AA1014" s="203"/>
      <c r="AB1014" s="203"/>
      <c r="AC1014" s="203"/>
      <c r="AD1014" s="203"/>
      <c r="AE1014" s="203"/>
      <c r="AF1014" s="203"/>
    </row>
    <row r="1015" spans="1:32" s="85" customFormat="1" ht="14.1" hidden="1" customHeight="1" outlineLevel="1" x14ac:dyDescent="0.2">
      <c r="A1015" s="1398"/>
      <c r="B1015" s="134"/>
      <c r="C1015" s="352"/>
      <c r="D1015" s="214" t="s">
        <v>2218</v>
      </c>
      <c r="E1015" s="353">
        <f t="shared" ref="E1015:N1015" si="273">-eSystemsLeaseDisputedRecordLaborCostTotal</f>
        <v>-15220.042224810713</v>
      </c>
      <c r="F1015" s="353">
        <f t="shared" si="273"/>
        <v>-15524.44306930693</v>
      </c>
      <c r="G1015" s="353">
        <f t="shared" si="273"/>
        <v>-15834.931930693067</v>
      </c>
      <c r="H1015" s="353">
        <f t="shared" si="273"/>
        <v>-16151.630569306928</v>
      </c>
      <c r="I1015" s="353">
        <f t="shared" si="273"/>
        <v>-16474.663180693067</v>
      </c>
      <c r="J1015" s="353">
        <f t="shared" si="273"/>
        <v>-16804.156444306929</v>
      </c>
      <c r="K1015" s="353">
        <f t="shared" si="273"/>
        <v>-17140.239573193066</v>
      </c>
      <c r="L1015" s="353">
        <f t="shared" si="273"/>
        <v>-17483.044364656926</v>
      </c>
      <c r="M1015" s="353">
        <f t="shared" si="273"/>
        <v>-17832.705251950065</v>
      </c>
      <c r="N1015" s="353">
        <f t="shared" si="273"/>
        <v>-18189.359356989065</v>
      </c>
      <c r="O1015" s="324" t="s">
        <v>2948</v>
      </c>
      <c r="P1015" s="134"/>
      <c r="Q1015" s="135"/>
      <c r="R1015" s="134"/>
      <c r="S1015" s="135"/>
      <c r="T1015" s="134"/>
      <c r="U1015" s="134"/>
      <c r="V1015" s="134"/>
      <c r="W1015" s="134"/>
      <c r="X1015" s="134"/>
      <c r="Y1015" s="134"/>
      <c r="Z1015" s="134"/>
      <c r="AA1015" s="134"/>
      <c r="AB1015" s="134"/>
      <c r="AC1015" s="134"/>
      <c r="AD1015" s="134"/>
      <c r="AE1015" s="134"/>
      <c r="AF1015" s="134"/>
    </row>
    <row r="1016" spans="1:32" s="85" customFormat="1" ht="14.1" hidden="1" customHeight="1" outlineLevel="1" x14ac:dyDescent="0.2">
      <c r="A1016" s="1398"/>
      <c r="B1016" s="134"/>
      <c r="C1016" s="352"/>
      <c r="D1016" s="214" t="s">
        <v>2448</v>
      </c>
      <c r="E1016" s="353">
        <f t="shared" ref="E1016:N1016" si="274">-eSystemsLeaseRecordSearchLaborCostTotal</f>
        <v>-106540.295573675</v>
      </c>
      <c r="F1016" s="353">
        <f t="shared" si="274"/>
        <v>-9780.3991336633662</v>
      </c>
      <c r="G1016" s="353">
        <f t="shared" si="274"/>
        <v>-8867.5618811881177</v>
      </c>
      <c r="H1016" s="353">
        <f t="shared" si="274"/>
        <v>-7914.2989789603944</v>
      </c>
      <c r="I1016" s="353">
        <f t="shared" si="274"/>
        <v>-6919.3585358910877</v>
      </c>
      <c r="J1016" s="353">
        <f t="shared" si="274"/>
        <v>-5881.454755507425</v>
      </c>
      <c r="K1016" s="353">
        <f t="shared" si="274"/>
        <v>-4799.267080494059</v>
      </c>
      <c r="L1016" s="353">
        <f t="shared" si="274"/>
        <v>-3671.4393165779547</v>
      </c>
      <c r="M1016" s="353">
        <f t="shared" si="274"/>
        <v>-2496.5787352730094</v>
      </c>
      <c r="N1016" s="353">
        <f t="shared" si="274"/>
        <v>-1273.2551549892348</v>
      </c>
      <c r="O1016" s="324" t="s">
        <v>2949</v>
      </c>
      <c r="P1016" s="134"/>
      <c r="Q1016" s="135"/>
      <c r="R1016" s="134"/>
      <c r="S1016" s="135"/>
      <c r="T1016" s="134"/>
      <c r="U1016" s="134"/>
      <c r="V1016" s="134"/>
      <c r="W1016" s="134"/>
      <c r="X1016" s="134"/>
      <c r="Y1016" s="134"/>
      <c r="Z1016" s="134"/>
      <c r="AA1016" s="134"/>
      <c r="AB1016" s="134"/>
      <c r="AC1016" s="134"/>
      <c r="AD1016" s="134"/>
      <c r="AE1016" s="134"/>
      <c r="AF1016" s="134"/>
    </row>
    <row r="1017" spans="1:32" s="85" customFormat="1" ht="14.1" hidden="1" customHeight="1" outlineLevel="1" x14ac:dyDescent="0.2">
      <c r="A1017" s="1398"/>
      <c r="B1017" s="134"/>
      <c r="C1017" s="352"/>
      <c r="D1017" s="214" t="s">
        <v>2676</v>
      </c>
      <c r="E1017" s="353">
        <f t="shared" ref="E1017:N1017" si="275">-eSystemsLeaseDueDilLaborCostTotal</f>
        <v>-456601.26674432145</v>
      </c>
      <c r="F1017" s="353">
        <f t="shared" si="275"/>
        <v>-51748.143564356425</v>
      </c>
      <c r="G1017" s="353">
        <f t="shared" si="275"/>
        <v>-79174.659653465336</v>
      </c>
      <c r="H1017" s="353">
        <f t="shared" si="275"/>
        <v>-53838.768564356425</v>
      </c>
      <c r="I1017" s="353">
        <f t="shared" si="275"/>
        <v>-82373.315903465322</v>
      </c>
      <c r="J1017" s="353">
        <f t="shared" si="275"/>
        <v>-56013.854814356426</v>
      </c>
      <c r="K1017" s="353">
        <f t="shared" si="275"/>
        <v>-85701.19786596534</v>
      </c>
      <c r="L1017" s="353">
        <f t="shared" si="275"/>
        <v>-58276.814548856419</v>
      </c>
      <c r="M1017" s="353">
        <f t="shared" si="275"/>
        <v>-89163.526259750317</v>
      </c>
      <c r="N1017" s="353">
        <f t="shared" si="275"/>
        <v>-60631.197856630228</v>
      </c>
      <c r="O1017" s="324" t="s">
        <v>2950</v>
      </c>
      <c r="P1017" s="134"/>
      <c r="Q1017" s="135"/>
      <c r="R1017" s="134"/>
      <c r="S1017" s="135"/>
      <c r="T1017" s="134"/>
      <c r="U1017" s="134"/>
      <c r="V1017" s="134"/>
      <c r="W1017" s="134"/>
      <c r="X1017" s="134"/>
      <c r="Y1017" s="134"/>
      <c r="Z1017" s="134"/>
      <c r="AA1017" s="134"/>
      <c r="AB1017" s="134"/>
      <c r="AC1017" s="134"/>
      <c r="AD1017" s="134"/>
      <c r="AE1017" s="134"/>
      <c r="AF1017" s="134"/>
    </row>
    <row r="1018" spans="1:32" s="85" customFormat="1" ht="14.1" hidden="1" customHeight="1" outlineLevel="1" x14ac:dyDescent="0.2">
      <c r="A1018" s="1398"/>
      <c r="B1018" s="134"/>
      <c r="C1018" s="352"/>
      <c r="D1018" s="214" t="s">
        <v>242</v>
      </c>
      <c r="E1018" s="353">
        <f t="shared" ref="E1018:N1018" si="276">-eSystemsLeaseReturnPaperPrintCost</f>
        <v>-97.8</v>
      </c>
      <c r="F1018" s="353">
        <f t="shared" si="276"/>
        <v>-149.63399999999999</v>
      </c>
      <c r="G1018" s="353">
        <f t="shared" si="276"/>
        <v>-152.62667999999999</v>
      </c>
      <c r="H1018" s="353">
        <f t="shared" si="276"/>
        <v>-103.78614239999999</v>
      </c>
      <c r="I1018" s="353">
        <f t="shared" si="276"/>
        <v>-105.861865248</v>
      </c>
      <c r="J1018" s="353">
        <f t="shared" si="276"/>
        <v>-161.96865382944</v>
      </c>
      <c r="K1018" s="353">
        <f t="shared" si="276"/>
        <v>-165.20802690602881</v>
      </c>
      <c r="L1018" s="353">
        <f t="shared" si="276"/>
        <v>-112.34145829609956</v>
      </c>
      <c r="M1018" s="353">
        <f t="shared" si="276"/>
        <v>-114.58828746202157</v>
      </c>
      <c r="N1018" s="353">
        <f t="shared" si="276"/>
        <v>-175.32007981689299</v>
      </c>
      <c r="O1018" s="324" t="s">
        <v>2951</v>
      </c>
      <c r="P1018" s="134"/>
      <c r="Q1018" s="135"/>
      <c r="R1018" s="134"/>
      <c r="S1018" s="135"/>
      <c r="T1018" s="134"/>
      <c r="U1018" s="134"/>
      <c r="V1018" s="134"/>
      <c r="W1018" s="134"/>
      <c r="X1018" s="134"/>
      <c r="Y1018" s="134"/>
      <c r="Z1018" s="134"/>
      <c r="AA1018" s="134"/>
      <c r="AB1018" s="134"/>
      <c r="AC1018" s="134"/>
      <c r="AD1018" s="134"/>
      <c r="AE1018" s="134"/>
      <c r="AF1018" s="134"/>
    </row>
    <row r="1019" spans="1:32" s="85" customFormat="1" ht="14.1" hidden="1" customHeight="1" outlineLevel="1" x14ac:dyDescent="0.2">
      <c r="A1019" s="1398"/>
      <c r="B1019" s="134"/>
      <c r="C1019" s="352"/>
      <c r="D1019" s="214" t="s">
        <v>2902</v>
      </c>
      <c r="E1019" s="353">
        <f t="shared" ref="E1019:N1019" si="277">-eSystemsLeaseReturnPrintCollLaborCostTotal</f>
        <v>-101466.94816540476</v>
      </c>
      <c r="F1019" s="353">
        <f t="shared" si="277"/>
        <v>-12419.554455445543</v>
      </c>
      <c r="G1019" s="353">
        <f t="shared" si="277"/>
        <v>-11084.452351485146</v>
      </c>
      <c r="H1019" s="353">
        <f t="shared" si="277"/>
        <v>-6460.6522277227705</v>
      </c>
      <c r="I1019" s="353">
        <f t="shared" si="277"/>
        <v>-5491.5543935643555</v>
      </c>
      <c r="J1019" s="353">
        <f t="shared" si="277"/>
        <v>-6721.6625777227709</v>
      </c>
      <c r="K1019" s="353">
        <f t="shared" si="277"/>
        <v>-5142.0718719579199</v>
      </c>
      <c r="L1019" s="353">
        <f t="shared" si="277"/>
        <v>-2331.0725819542567</v>
      </c>
      <c r="M1019" s="353">
        <f t="shared" si="277"/>
        <v>-1188.8470167966709</v>
      </c>
      <c r="N1019" s="353">
        <f t="shared" si="277"/>
        <v>0</v>
      </c>
      <c r="O1019" s="324" t="s">
        <v>2952</v>
      </c>
      <c r="P1019" s="134"/>
      <c r="Q1019" s="135"/>
      <c r="R1019" s="134"/>
      <c r="S1019" s="135"/>
      <c r="T1019" s="134"/>
      <c r="U1019" s="134"/>
      <c r="V1019" s="134"/>
      <c r="W1019" s="134"/>
      <c r="X1019" s="134"/>
      <c r="Y1019" s="134"/>
      <c r="Z1019" s="134"/>
      <c r="AA1019" s="134"/>
      <c r="AB1019" s="134"/>
      <c r="AC1019" s="134"/>
      <c r="AD1019" s="134"/>
      <c r="AE1019" s="134"/>
      <c r="AF1019" s="134"/>
    </row>
    <row r="1020" spans="1:32" s="1034" customFormat="1" ht="15.75" hidden="1" outlineLevel="1" x14ac:dyDescent="0.25">
      <c r="A1020" s="1398"/>
      <c r="B1020" s="1028"/>
      <c r="C1020" s="1036"/>
      <c r="D1020" s="1037" t="s">
        <v>4209</v>
      </c>
      <c r="E1020" s="1031">
        <f t="shared" ref="E1020:N1020" si="278">SUM(E1013:E1019)</f>
        <v>-1144644.9753057656</v>
      </c>
      <c r="F1020" s="1031">
        <f t="shared" si="278"/>
        <v>-763383.00343069294</v>
      </c>
      <c r="G1020" s="1031">
        <f t="shared" si="278"/>
        <v>-802350.27828891075</v>
      </c>
      <c r="H1020" s="1031">
        <f t="shared" si="278"/>
        <v>-577632.25653225125</v>
      </c>
      <c r="I1020" s="1031">
        <f t="shared" si="278"/>
        <v>-614391.1363293567</v>
      </c>
      <c r="J1020" s="1031">
        <f t="shared" si="278"/>
        <v>-814883.48692864378</v>
      </c>
      <c r="K1020" s="1031">
        <f t="shared" si="278"/>
        <v>-856834.38189509546</v>
      </c>
      <c r="L1020" s="1031">
        <f t="shared" si="278"/>
        <v>-615690.33353786648</v>
      </c>
      <c r="M1020" s="1031">
        <f t="shared" si="278"/>
        <v>-655288.17924410745</v>
      </c>
      <c r="N1020" s="1031">
        <f t="shared" si="278"/>
        <v>-869687.32854175079</v>
      </c>
      <c r="O1020" s="1032" t="s">
        <v>290</v>
      </c>
      <c r="P1020" s="1028"/>
      <c r="Q1020" s="1033"/>
      <c r="R1020" s="1028"/>
      <c r="S1020" s="1033"/>
      <c r="T1020" s="1028"/>
      <c r="U1020" s="1028"/>
      <c r="V1020" s="1028"/>
      <c r="W1020" s="1028"/>
      <c r="X1020" s="1028"/>
      <c r="Y1020" s="1028"/>
      <c r="Z1020" s="1028"/>
      <c r="AA1020" s="1028"/>
      <c r="AB1020" s="1028"/>
      <c r="AC1020" s="1028"/>
      <c r="AD1020" s="1028"/>
      <c r="AE1020" s="1028"/>
      <c r="AF1020" s="1028"/>
    </row>
    <row r="1021" spans="1:32" s="203" customFormat="1" ht="15.75" hidden="1" customHeight="1" outlineLevel="1" thickBot="1" x14ac:dyDescent="0.25">
      <c r="A1021" s="1399"/>
      <c r="B1021" s="134"/>
      <c r="C1021" s="325"/>
      <c r="D1021" s="722"/>
      <c r="E1021" s="326"/>
      <c r="F1021" s="326"/>
      <c r="G1021" s="326"/>
      <c r="H1021" s="326"/>
      <c r="I1021" s="326"/>
      <c r="J1021" s="326"/>
      <c r="K1021" s="326"/>
      <c r="L1021" s="326"/>
      <c r="M1021" s="326"/>
      <c r="N1021" s="326"/>
      <c r="O1021" s="340"/>
      <c r="P1021" s="204"/>
    </row>
    <row r="1022" spans="1:32" hidden="1" outlineLevel="1" x14ac:dyDescent="0.2">
      <c r="A1022" s="206"/>
      <c r="B1022" s="134"/>
    </row>
    <row r="1023" spans="1:32" s="122" customFormat="1" ht="15.75" collapsed="1" x14ac:dyDescent="0.2">
      <c r="A1023" s="1043">
        <v>8</v>
      </c>
      <c r="B1023" s="1039"/>
      <c r="C1023" s="1039"/>
      <c r="D1023" s="1039"/>
      <c r="E1023" s="1039"/>
      <c r="F1023" s="1039"/>
      <c r="G1023" s="1039"/>
      <c r="H1023" s="1039"/>
      <c r="I1023" s="1039"/>
      <c r="J1023" s="1039"/>
      <c r="K1023" s="1039"/>
      <c r="L1023" s="1039"/>
      <c r="M1023" s="1039"/>
      <c r="N1023" s="1039"/>
      <c r="O1023" s="1039"/>
      <c r="P1023" s="206"/>
      <c r="Q1023" s="206"/>
      <c r="R1023" s="206"/>
      <c r="S1023" s="206"/>
      <c r="T1023" s="206"/>
      <c r="U1023" s="206"/>
      <c r="V1023" s="206"/>
      <c r="W1023" s="206"/>
      <c r="X1023" s="206"/>
      <c r="Y1023" s="206"/>
      <c r="Z1023" s="206"/>
      <c r="AA1023" s="206"/>
      <c r="AB1023" s="206"/>
      <c r="AC1023" s="206"/>
      <c r="AD1023" s="206"/>
      <c r="AE1023" s="206"/>
      <c r="AF1023" s="206"/>
    </row>
    <row r="1024" spans="1:32" x14ac:dyDescent="0.2">
      <c r="A1024" s="206"/>
      <c r="B1024" s="134"/>
    </row>
    <row r="1025" spans="1:15" ht="20.100000000000001" customHeight="1" x14ac:dyDescent="0.2">
      <c r="A1025" s="1397" t="s">
        <v>4210</v>
      </c>
      <c r="B1025" s="134"/>
      <c r="C1025" s="1019" t="s">
        <v>358</v>
      </c>
      <c r="D1025" s="1019"/>
    </row>
    <row r="1026" spans="1:15" x14ac:dyDescent="0.2">
      <c r="A1026" s="1398"/>
      <c r="B1026" s="134"/>
    </row>
    <row r="1027" spans="1:15" x14ac:dyDescent="0.2">
      <c r="A1027" s="1399"/>
      <c r="B1027" s="134"/>
    </row>
    <row r="1028" spans="1:15" customFormat="1" ht="13.5" customHeight="1" x14ac:dyDescent="0.2">
      <c r="A1028" s="87"/>
      <c r="B1028" s="87"/>
      <c r="C1028" s="87"/>
      <c r="D1028" s="741"/>
    </row>
    <row r="1029" spans="1:15" customFormat="1" ht="13.5" hidden="1" outlineLevel="1" thickBot="1" x14ac:dyDescent="0.25">
      <c r="A1029" s="87"/>
      <c r="D1029" s="743"/>
    </row>
    <row r="1030" spans="1:15" customFormat="1" ht="15.75" hidden="1" customHeight="1" outlineLevel="1" x14ac:dyDescent="0.25">
      <c r="A1030" s="87"/>
      <c r="B1030" s="19"/>
      <c r="C1030" s="427"/>
      <c r="D1030" s="771" t="str">
        <f>Scenario1&amp;" Lease Related FTEs"</f>
        <v>pSystems (Paper) Lease Related FTEs</v>
      </c>
      <c r="E1030" s="376"/>
      <c r="F1030" s="376"/>
      <c r="G1030" s="376"/>
      <c r="H1030" s="376"/>
      <c r="I1030" s="376"/>
      <c r="J1030" s="376"/>
      <c r="K1030" s="376"/>
      <c r="L1030" s="376"/>
      <c r="M1030" s="376"/>
      <c r="N1030" s="376"/>
      <c r="O1030" s="428"/>
    </row>
    <row r="1031" spans="1:15" customFormat="1" hidden="1" outlineLevel="1" x14ac:dyDescent="0.2">
      <c r="A1031" s="87"/>
      <c r="B1031" s="19"/>
      <c r="C1031" s="368"/>
      <c r="D1031" s="744" t="s">
        <v>1632</v>
      </c>
      <c r="E1031" s="431">
        <f t="shared" ref="E1031:N1031" si="279">pSystemsLeaseReturnTotalFTEs</f>
        <v>13.977868375072802</v>
      </c>
      <c r="F1031" s="431">
        <f t="shared" si="279"/>
        <v>20.966802562609203</v>
      </c>
      <c r="G1031" s="431">
        <f t="shared" si="279"/>
        <v>20.966802562609203</v>
      </c>
      <c r="H1031" s="431">
        <f t="shared" si="279"/>
        <v>13.977868375072802</v>
      </c>
      <c r="I1031" s="431">
        <f t="shared" si="279"/>
        <v>13.977868375072802</v>
      </c>
      <c r="J1031" s="431">
        <f t="shared" si="279"/>
        <v>20.966802562609203</v>
      </c>
      <c r="K1031" s="431">
        <f t="shared" si="279"/>
        <v>20.966802562609203</v>
      </c>
      <c r="L1031" s="431">
        <f t="shared" si="279"/>
        <v>13.977868375072802</v>
      </c>
      <c r="M1031" s="431">
        <f t="shared" si="279"/>
        <v>13.977868375072802</v>
      </c>
      <c r="N1031" s="431">
        <f t="shared" si="279"/>
        <v>20.966802562609203</v>
      </c>
      <c r="O1031" s="318" t="s">
        <v>3538</v>
      </c>
    </row>
    <row r="1032" spans="1:15" customFormat="1" hidden="1" outlineLevel="1" x14ac:dyDescent="0.2">
      <c r="A1032" s="87"/>
      <c r="B1032" s="19"/>
      <c r="C1032" s="618"/>
      <c r="D1032" s="744" t="s">
        <v>1867</v>
      </c>
      <c r="E1032" s="431">
        <f t="shared" ref="E1032:N1032" si="280">pSystemsLeaseLessorVisitTotalFTEs</f>
        <v>1.8637157833430402</v>
      </c>
      <c r="F1032" s="431">
        <f t="shared" si="280"/>
        <v>1.8637157833430402</v>
      </c>
      <c r="G1032" s="431">
        <f t="shared" si="280"/>
        <v>1.8637157833430402</v>
      </c>
      <c r="H1032" s="431">
        <f t="shared" si="280"/>
        <v>1.8637157833430402</v>
      </c>
      <c r="I1032" s="431">
        <f t="shared" si="280"/>
        <v>1.8637157833430402</v>
      </c>
      <c r="J1032" s="431">
        <f t="shared" si="280"/>
        <v>1.8637157833430402</v>
      </c>
      <c r="K1032" s="431">
        <f t="shared" si="280"/>
        <v>1.8637157833430402</v>
      </c>
      <c r="L1032" s="431">
        <f t="shared" si="280"/>
        <v>1.8637157833430402</v>
      </c>
      <c r="M1032" s="431">
        <f t="shared" si="280"/>
        <v>1.8637157833430402</v>
      </c>
      <c r="N1032" s="431">
        <f t="shared" si="280"/>
        <v>1.8637157833430402</v>
      </c>
      <c r="O1032" s="318" t="s">
        <v>3539</v>
      </c>
    </row>
    <row r="1033" spans="1:15" customFormat="1" hidden="1" outlineLevel="1" x14ac:dyDescent="0.2">
      <c r="A1033" s="87"/>
      <c r="B1033" s="19"/>
      <c r="C1033" s="618"/>
      <c r="D1033" s="744" t="s">
        <v>2080</v>
      </c>
      <c r="E1033" s="431">
        <f t="shared" ref="E1033:N1033" si="281">pSystemsLeaseDisputedRecordTotalFTEs</f>
        <v>1.941370607649</v>
      </c>
      <c r="F1033" s="431">
        <f t="shared" si="281"/>
        <v>1.941370607649</v>
      </c>
      <c r="G1033" s="431">
        <f t="shared" si="281"/>
        <v>1.941370607649</v>
      </c>
      <c r="H1033" s="431">
        <f t="shared" si="281"/>
        <v>1.941370607649</v>
      </c>
      <c r="I1033" s="431">
        <f t="shared" si="281"/>
        <v>1.941370607649</v>
      </c>
      <c r="J1033" s="431">
        <f t="shared" si="281"/>
        <v>1.941370607649</v>
      </c>
      <c r="K1033" s="431">
        <f t="shared" si="281"/>
        <v>1.941370607649</v>
      </c>
      <c r="L1033" s="431">
        <f t="shared" si="281"/>
        <v>1.941370607649</v>
      </c>
      <c r="M1033" s="431">
        <f t="shared" si="281"/>
        <v>1.941370607649</v>
      </c>
      <c r="N1033" s="431">
        <f t="shared" si="281"/>
        <v>1.941370607649</v>
      </c>
      <c r="O1033" s="318" t="s">
        <v>3540</v>
      </c>
    </row>
    <row r="1034" spans="1:15" customFormat="1" hidden="1" outlineLevel="1" x14ac:dyDescent="0.2">
      <c r="A1034" s="87"/>
      <c r="B1034" s="19"/>
      <c r="C1034" s="619"/>
      <c r="D1034" s="744" t="s">
        <v>2321</v>
      </c>
      <c r="E1034" s="431">
        <f t="shared" ref="E1034:N1034" si="282">pSystemsLeaseRecordSearchTotalFTEs</f>
        <v>3.8827412152980001</v>
      </c>
      <c r="F1034" s="431">
        <f t="shared" si="282"/>
        <v>3.8827412152980001</v>
      </c>
      <c r="G1034" s="431">
        <f t="shared" si="282"/>
        <v>3.8827412152980001</v>
      </c>
      <c r="H1034" s="431">
        <f t="shared" si="282"/>
        <v>3.8827412152980001</v>
      </c>
      <c r="I1034" s="431">
        <f t="shared" si="282"/>
        <v>3.8827412152980001</v>
      </c>
      <c r="J1034" s="431">
        <f t="shared" si="282"/>
        <v>3.8827412152980001</v>
      </c>
      <c r="K1034" s="431">
        <f t="shared" si="282"/>
        <v>3.8827412152980001</v>
      </c>
      <c r="L1034" s="431">
        <f t="shared" si="282"/>
        <v>3.8827412152980001</v>
      </c>
      <c r="M1034" s="431">
        <f t="shared" si="282"/>
        <v>3.8827412152980001</v>
      </c>
      <c r="N1034" s="431">
        <f t="shared" si="282"/>
        <v>3.8827412152980001</v>
      </c>
      <c r="O1034" s="318" t="s">
        <v>3543</v>
      </c>
    </row>
    <row r="1035" spans="1:15" customFormat="1" hidden="1" outlineLevel="1" x14ac:dyDescent="0.2">
      <c r="A1035" s="87"/>
      <c r="B1035" s="19"/>
      <c r="C1035" s="618"/>
      <c r="D1035" s="744" t="s">
        <v>3542</v>
      </c>
      <c r="E1035" s="431">
        <f t="shared" ref="E1035:N1035" si="283">pSystemsLeaseDueDilTotalFTEs</f>
        <v>11.648223645893999</v>
      </c>
      <c r="F1035" s="431">
        <f t="shared" si="283"/>
        <v>7.7654824305960002</v>
      </c>
      <c r="G1035" s="431">
        <f t="shared" si="283"/>
        <v>11.648223645893999</v>
      </c>
      <c r="H1035" s="431">
        <f t="shared" si="283"/>
        <v>7.7654824305960002</v>
      </c>
      <c r="I1035" s="431">
        <f t="shared" si="283"/>
        <v>11.648223645893999</v>
      </c>
      <c r="J1035" s="431">
        <f t="shared" si="283"/>
        <v>7.7654824305960002</v>
      </c>
      <c r="K1035" s="431">
        <f t="shared" si="283"/>
        <v>11.648223645893999</v>
      </c>
      <c r="L1035" s="431">
        <f t="shared" si="283"/>
        <v>7.7654824305960002</v>
      </c>
      <c r="M1035" s="431">
        <f t="shared" si="283"/>
        <v>11.648223645893999</v>
      </c>
      <c r="N1035" s="431">
        <f t="shared" si="283"/>
        <v>7.7654824305960002</v>
      </c>
      <c r="O1035" s="318" t="s">
        <v>3545</v>
      </c>
    </row>
    <row r="1036" spans="1:15" customFormat="1" hidden="1" outlineLevel="1" x14ac:dyDescent="0.2">
      <c r="A1036" s="87"/>
      <c r="B1036" s="19"/>
      <c r="C1036" s="618"/>
      <c r="D1036" s="744" t="s">
        <v>3544</v>
      </c>
      <c r="E1036" s="431">
        <f t="shared" ref="E1036:N1036" si="284">pSystemsLeaseReturnPrintCollTotalFTEs</f>
        <v>1.941370607649</v>
      </c>
      <c r="F1036" s="431">
        <f t="shared" si="284"/>
        <v>2.9120559114734998</v>
      </c>
      <c r="G1036" s="431">
        <f t="shared" si="284"/>
        <v>2.9120559114734998</v>
      </c>
      <c r="H1036" s="431">
        <f t="shared" si="284"/>
        <v>1.941370607649</v>
      </c>
      <c r="I1036" s="431">
        <f t="shared" si="284"/>
        <v>1.941370607649</v>
      </c>
      <c r="J1036" s="431">
        <f t="shared" si="284"/>
        <v>2.9120559114734998</v>
      </c>
      <c r="K1036" s="431">
        <f t="shared" si="284"/>
        <v>2.9120559114734998</v>
      </c>
      <c r="L1036" s="431">
        <f t="shared" si="284"/>
        <v>1.941370607649</v>
      </c>
      <c r="M1036" s="431">
        <f t="shared" si="284"/>
        <v>1.941370607649</v>
      </c>
      <c r="N1036" s="431">
        <f t="shared" si="284"/>
        <v>2.9120559114734998</v>
      </c>
      <c r="O1036" s="318" t="s">
        <v>3541</v>
      </c>
    </row>
    <row r="1037" spans="1:15" customFormat="1" ht="15.75" hidden="1" outlineLevel="1" x14ac:dyDescent="0.25">
      <c r="A1037" s="87"/>
      <c r="B1037" s="19"/>
      <c r="C1037" s="618"/>
      <c r="D1037" s="770" t="s">
        <v>3547</v>
      </c>
      <c r="E1037" s="597">
        <f>SUM(E1031:E1036)</f>
        <v>35.255290234905836</v>
      </c>
      <c r="F1037" s="597">
        <f t="shared" ref="F1037:N1037" si="285">SUM(F1031:F1036)</f>
        <v>39.332168510968742</v>
      </c>
      <c r="G1037" s="597">
        <f t="shared" si="285"/>
        <v>43.21490972626674</v>
      </c>
      <c r="H1037" s="597">
        <f t="shared" si="285"/>
        <v>31.372549019607838</v>
      </c>
      <c r="I1037" s="597">
        <f t="shared" si="285"/>
        <v>35.255290234905836</v>
      </c>
      <c r="J1037" s="597">
        <f t="shared" si="285"/>
        <v>39.332168510968742</v>
      </c>
      <c r="K1037" s="597">
        <f t="shared" si="285"/>
        <v>43.21490972626674</v>
      </c>
      <c r="L1037" s="597">
        <f t="shared" si="285"/>
        <v>31.372549019607838</v>
      </c>
      <c r="M1037" s="597">
        <f t="shared" si="285"/>
        <v>35.255290234905836</v>
      </c>
      <c r="N1037" s="597">
        <f t="shared" si="285"/>
        <v>39.332168510968742</v>
      </c>
      <c r="O1037" s="318" t="s">
        <v>3546</v>
      </c>
    </row>
    <row r="1038" spans="1:15" s="488" customFormat="1" ht="16.5" hidden="1" outlineLevel="1" thickBot="1" x14ac:dyDescent="0.3">
      <c r="A1038" s="87"/>
      <c r="B1038" s="50"/>
      <c r="C1038" s="620"/>
      <c r="D1038" s="745"/>
      <c r="E1038" s="621"/>
      <c r="F1038" s="621"/>
      <c r="G1038" s="621"/>
      <c r="H1038" s="621"/>
      <c r="I1038" s="621"/>
      <c r="J1038" s="621"/>
      <c r="K1038" s="621"/>
      <c r="L1038" s="621"/>
      <c r="M1038" s="621"/>
      <c r="N1038" s="621"/>
      <c r="O1038" s="593"/>
    </row>
    <row r="1039" spans="1:15" s="488" customFormat="1" ht="13.5" hidden="1" outlineLevel="1" thickBot="1" x14ac:dyDescent="0.25">
      <c r="A1039" s="87"/>
      <c r="B1039" s="50"/>
      <c r="C1039" s="534"/>
      <c r="D1039" s="746"/>
      <c r="E1039" s="616"/>
      <c r="F1039" s="616"/>
      <c r="G1039" s="616"/>
      <c r="H1039" s="616"/>
      <c r="I1039" s="616"/>
      <c r="J1039" s="616"/>
      <c r="K1039" s="616"/>
      <c r="L1039" s="616"/>
      <c r="M1039" s="616"/>
      <c r="N1039" s="616"/>
      <c r="O1039" s="617"/>
    </row>
    <row r="1040" spans="1:15" customFormat="1" ht="15.75" hidden="1" outlineLevel="1" x14ac:dyDescent="0.25">
      <c r="A1040" s="87"/>
      <c r="B1040" s="19"/>
      <c r="C1040" s="427"/>
      <c r="D1040" s="740" t="str">
        <f>Scenario2&amp;"  Lease Related FTEs"</f>
        <v>hSystems (Hybrid)  Lease Related FTEs</v>
      </c>
      <c r="E1040" s="376"/>
      <c r="F1040" s="376"/>
      <c r="G1040" s="376"/>
      <c r="H1040" s="376"/>
      <c r="I1040" s="376"/>
      <c r="J1040" s="376"/>
      <c r="K1040" s="376"/>
      <c r="L1040" s="376"/>
      <c r="M1040" s="376"/>
      <c r="N1040" s="376"/>
      <c r="O1040" s="428"/>
    </row>
    <row r="1041" spans="1:15" customFormat="1" hidden="1" outlineLevel="1" x14ac:dyDescent="0.2">
      <c r="A1041" s="87"/>
      <c r="B1041" s="19"/>
      <c r="C1041" s="368"/>
      <c r="D1041" s="744" t="s">
        <v>1754</v>
      </c>
      <c r="E1041" s="431">
        <f t="shared" ref="E1041:N1041" si="286">hSystemsLeaseReturnTotalFTEs</f>
        <v>7.4049421748897588</v>
      </c>
      <c r="F1041" s="431">
        <f t="shared" si="286"/>
        <v>11.10741326233464</v>
      </c>
      <c r="G1041" s="431">
        <f t="shared" si="286"/>
        <v>11.10741326233464</v>
      </c>
      <c r="H1041" s="431">
        <f t="shared" si="286"/>
        <v>7.4049421748897588</v>
      </c>
      <c r="I1041" s="431">
        <f t="shared" si="286"/>
        <v>7.4049421748897588</v>
      </c>
      <c r="J1041" s="431">
        <f t="shared" si="286"/>
        <v>11.10741326233464</v>
      </c>
      <c r="K1041" s="431">
        <f t="shared" si="286"/>
        <v>11.10741326233464</v>
      </c>
      <c r="L1041" s="431">
        <f t="shared" si="286"/>
        <v>7.4049421748897588</v>
      </c>
      <c r="M1041" s="431">
        <f t="shared" si="286"/>
        <v>7.4049421748897588</v>
      </c>
      <c r="N1041" s="431">
        <f t="shared" si="286"/>
        <v>11.10741326233464</v>
      </c>
      <c r="O1041" s="318" t="s">
        <v>3548</v>
      </c>
    </row>
    <row r="1042" spans="1:15" customFormat="1" hidden="1" outlineLevel="1" x14ac:dyDescent="0.2">
      <c r="A1042" s="87"/>
      <c r="B1042" s="19"/>
      <c r="C1042" s="618"/>
      <c r="D1042" s="744" t="s">
        <v>1905</v>
      </c>
      <c r="E1042" s="431">
        <f t="shared" ref="E1042:N1042" si="287">hSystemsLeaseLessorVisitTotalFTEs</f>
        <v>1.198103003577669</v>
      </c>
      <c r="F1042" s="431">
        <f t="shared" si="287"/>
        <v>1.198103003577669</v>
      </c>
      <c r="G1042" s="431">
        <f t="shared" si="287"/>
        <v>1.198103003577669</v>
      </c>
      <c r="H1042" s="431">
        <f t="shared" si="287"/>
        <v>1.198103003577669</v>
      </c>
      <c r="I1042" s="431">
        <f t="shared" si="287"/>
        <v>1.198103003577669</v>
      </c>
      <c r="J1042" s="431">
        <f t="shared" si="287"/>
        <v>1.198103003577669</v>
      </c>
      <c r="K1042" s="431">
        <f t="shared" si="287"/>
        <v>1.198103003577669</v>
      </c>
      <c r="L1042" s="431">
        <f t="shared" si="287"/>
        <v>1.198103003577669</v>
      </c>
      <c r="M1042" s="431">
        <f t="shared" si="287"/>
        <v>1.198103003577669</v>
      </c>
      <c r="N1042" s="431">
        <f t="shared" si="287"/>
        <v>1.198103003577669</v>
      </c>
      <c r="O1042" s="318" t="s">
        <v>3549</v>
      </c>
    </row>
    <row r="1043" spans="1:15" customFormat="1" hidden="1" outlineLevel="1" x14ac:dyDescent="0.2">
      <c r="A1043" s="87"/>
      <c r="B1043" s="19"/>
      <c r="C1043" s="618"/>
      <c r="D1043" s="744" t="s">
        <v>2168</v>
      </c>
      <c r="E1043" s="431">
        <f t="shared" ref="E1043:N1043" si="288">hSystemsLeaseDisputedRecordTotalFTEs</f>
        <v>1.2480239620600715</v>
      </c>
      <c r="F1043" s="431">
        <f t="shared" si="288"/>
        <v>0.99841916964805733</v>
      </c>
      <c r="G1043" s="431">
        <f t="shared" si="288"/>
        <v>0.99841916964805733</v>
      </c>
      <c r="H1043" s="431">
        <f t="shared" si="288"/>
        <v>0.99841916964805733</v>
      </c>
      <c r="I1043" s="431">
        <f t="shared" si="288"/>
        <v>0.99841916964805733</v>
      </c>
      <c r="J1043" s="431">
        <f t="shared" si="288"/>
        <v>0.99841916964805733</v>
      </c>
      <c r="K1043" s="431">
        <f t="shared" si="288"/>
        <v>0.99841916964805733</v>
      </c>
      <c r="L1043" s="431">
        <f t="shared" si="288"/>
        <v>0.99841916964805733</v>
      </c>
      <c r="M1043" s="431">
        <f t="shared" si="288"/>
        <v>0.99841916964805733</v>
      </c>
      <c r="N1043" s="431">
        <f t="shared" si="288"/>
        <v>0.99841916964805733</v>
      </c>
      <c r="O1043" s="318" t="s">
        <v>3550</v>
      </c>
    </row>
    <row r="1044" spans="1:15" customFormat="1" hidden="1" outlineLevel="1" x14ac:dyDescent="0.2">
      <c r="A1044" s="87"/>
      <c r="B1044" s="19"/>
      <c r="C1044" s="619"/>
      <c r="D1044" s="744" t="s">
        <v>2397</v>
      </c>
      <c r="E1044" s="431">
        <f t="shared" ref="E1044:N1044" si="289">hSystemsLeaseRecordSearchTotalFTEs</f>
        <v>2.4960479241201434</v>
      </c>
      <c r="F1044" s="431">
        <f t="shared" si="289"/>
        <v>0.3369664697562193</v>
      </c>
      <c r="G1044" s="431">
        <f t="shared" si="289"/>
        <v>0.29952575089441719</v>
      </c>
      <c r="H1044" s="431">
        <f t="shared" si="289"/>
        <v>0.26208503203261502</v>
      </c>
      <c r="I1044" s="431">
        <f t="shared" si="289"/>
        <v>0.2246443131708129</v>
      </c>
      <c r="J1044" s="431">
        <f t="shared" si="289"/>
        <v>0.18720359430901073</v>
      </c>
      <c r="K1044" s="431">
        <f t="shared" si="289"/>
        <v>0.14976287544720859</v>
      </c>
      <c r="L1044" s="431">
        <f t="shared" si="289"/>
        <v>0.11232215658540645</v>
      </c>
      <c r="M1044" s="431">
        <f t="shared" si="289"/>
        <v>7.4881437723604297E-2</v>
      </c>
      <c r="N1044" s="431">
        <f t="shared" si="289"/>
        <v>3.7440718861802148E-2</v>
      </c>
      <c r="O1044" s="318" t="s">
        <v>3551</v>
      </c>
    </row>
    <row r="1045" spans="1:15" customFormat="1" hidden="1" outlineLevel="1" x14ac:dyDescent="0.2">
      <c r="A1045" s="87"/>
      <c r="B1045" s="19"/>
      <c r="C1045" s="618"/>
      <c r="D1045" s="744" t="s">
        <v>3552</v>
      </c>
      <c r="E1045" s="431">
        <f t="shared" ref="E1045:N1045" si="290">hSystemsLeaseDueDilTotalFTEs</f>
        <v>5.6161078292703221</v>
      </c>
      <c r="F1045" s="431">
        <f t="shared" si="290"/>
        <v>3.7440718861802154</v>
      </c>
      <c r="G1045" s="431">
        <f t="shared" si="290"/>
        <v>5.6161078292703221</v>
      </c>
      <c r="H1045" s="431">
        <f t="shared" si="290"/>
        <v>3.7440718861802154</v>
      </c>
      <c r="I1045" s="431">
        <f t="shared" si="290"/>
        <v>5.6161078292703221</v>
      </c>
      <c r="J1045" s="431">
        <f t="shared" si="290"/>
        <v>3.7440718861802154</v>
      </c>
      <c r="K1045" s="431">
        <f t="shared" si="290"/>
        <v>5.6161078292703221</v>
      </c>
      <c r="L1045" s="431">
        <f t="shared" si="290"/>
        <v>3.7440718861802154</v>
      </c>
      <c r="M1045" s="431">
        <f t="shared" si="290"/>
        <v>5.6161078292703221</v>
      </c>
      <c r="N1045" s="431">
        <f t="shared" si="290"/>
        <v>3.7440718861802154</v>
      </c>
      <c r="O1045" s="318" t="s">
        <v>3553</v>
      </c>
    </row>
    <row r="1046" spans="1:15" customFormat="1" hidden="1" outlineLevel="1" x14ac:dyDescent="0.2">
      <c r="A1046" s="87"/>
      <c r="B1046" s="19"/>
      <c r="C1046" s="618"/>
      <c r="D1046" s="744" t="s">
        <v>3554</v>
      </c>
      <c r="E1046" s="431">
        <f t="shared" ref="E1046:N1046" si="291">hSystemsLeaseReturnPrintCollTotalFTEs</f>
        <v>1.664031949413429</v>
      </c>
      <c r="F1046" s="431">
        <f t="shared" si="291"/>
        <v>2.246443131708129</v>
      </c>
      <c r="G1046" s="431">
        <f t="shared" si="291"/>
        <v>1.9968383392961147</v>
      </c>
      <c r="H1046" s="431">
        <f t="shared" si="291"/>
        <v>1.1648223645894002</v>
      </c>
      <c r="I1046" s="431">
        <f t="shared" si="291"/>
        <v>0.99841916964805733</v>
      </c>
      <c r="J1046" s="431">
        <f t="shared" si="291"/>
        <v>1.2480239620600717</v>
      </c>
      <c r="K1046" s="431">
        <f t="shared" si="291"/>
        <v>0.99841916964805733</v>
      </c>
      <c r="L1046" s="431">
        <f t="shared" si="291"/>
        <v>0.49920958482402866</v>
      </c>
      <c r="M1046" s="431">
        <f t="shared" si="291"/>
        <v>0.33280638988268579</v>
      </c>
      <c r="N1046" s="431">
        <f t="shared" si="291"/>
        <v>0.24960479241201433</v>
      </c>
      <c r="O1046" s="318" t="s">
        <v>3555</v>
      </c>
    </row>
    <row r="1047" spans="1:15" customFormat="1" ht="15.75" hidden="1" outlineLevel="1" x14ac:dyDescent="0.25">
      <c r="A1047" s="87"/>
      <c r="B1047" s="19"/>
      <c r="C1047" s="618"/>
      <c r="D1047" s="747" t="s">
        <v>3556</v>
      </c>
      <c r="E1047" s="597">
        <f>SUM(E1041:E1046)</f>
        <v>19.627256843331391</v>
      </c>
      <c r="F1047" s="597">
        <f t="shared" ref="F1047" si="292">SUM(F1041:F1046)</f>
        <v>19.631416923204934</v>
      </c>
      <c r="G1047" s="597">
        <f t="shared" ref="G1047" si="293">SUM(G1041:G1046)</f>
        <v>21.216407355021222</v>
      </c>
      <c r="H1047" s="597">
        <f t="shared" ref="H1047" si="294">SUM(H1041:H1046)</f>
        <v>14.772443630917715</v>
      </c>
      <c r="I1047" s="597">
        <f t="shared" ref="I1047" si="295">SUM(I1041:I1046)</f>
        <v>16.440635660204677</v>
      </c>
      <c r="J1047" s="597">
        <f t="shared" ref="J1047" si="296">SUM(J1041:J1046)</f>
        <v>18.483234878109666</v>
      </c>
      <c r="K1047" s="597">
        <f t="shared" ref="K1047" si="297">SUM(K1041:K1046)</f>
        <v>20.068225309925953</v>
      </c>
      <c r="L1047" s="597">
        <f t="shared" ref="L1047" si="298">SUM(L1041:L1046)</f>
        <v>13.957067975705135</v>
      </c>
      <c r="M1047" s="597">
        <f t="shared" ref="M1047" si="299">SUM(M1041:M1046)</f>
        <v>15.625260004992098</v>
      </c>
      <c r="N1047" s="597">
        <f t="shared" ref="N1047" si="300">SUM(N1041:N1046)</f>
        <v>17.335052833014402</v>
      </c>
      <c r="O1047" s="318" t="s">
        <v>3557</v>
      </c>
    </row>
    <row r="1048" spans="1:15" s="488" customFormat="1" ht="16.5" hidden="1" outlineLevel="1" thickBot="1" x14ac:dyDescent="0.3">
      <c r="A1048" s="87"/>
      <c r="B1048" s="50"/>
      <c r="C1048" s="620"/>
      <c r="D1048" s="745"/>
      <c r="E1048" s="621"/>
      <c r="F1048" s="621"/>
      <c r="G1048" s="621"/>
      <c r="H1048" s="621"/>
      <c r="I1048" s="621"/>
      <c r="J1048" s="621"/>
      <c r="K1048" s="621"/>
      <c r="L1048" s="621"/>
      <c r="M1048" s="621"/>
      <c r="N1048" s="621"/>
      <c r="O1048" s="593"/>
    </row>
    <row r="1049" spans="1:15" s="488" customFormat="1" ht="16.5" hidden="1" outlineLevel="1" thickBot="1" x14ac:dyDescent="0.3">
      <c r="A1049" s="87"/>
      <c r="B1049" s="50"/>
      <c r="C1049" s="534"/>
      <c r="D1049" s="745"/>
      <c r="E1049" s="616"/>
      <c r="F1049" s="616"/>
      <c r="G1049" s="616"/>
      <c r="H1049" s="616"/>
      <c r="I1049" s="616"/>
      <c r="J1049" s="616"/>
      <c r="K1049" s="616"/>
      <c r="L1049" s="616"/>
      <c r="M1049" s="616"/>
      <c r="N1049" s="616"/>
      <c r="O1049" s="617"/>
    </row>
    <row r="1050" spans="1:15" customFormat="1" ht="15.75" hidden="1" outlineLevel="1" x14ac:dyDescent="0.25">
      <c r="A1050" s="87"/>
      <c r="B1050" s="19"/>
      <c r="C1050" s="427"/>
      <c r="D1050" s="742" t="str">
        <f>Scenario3&amp;" Lease Related FTEs"</f>
        <v>eSystems (Paperless) Lease Related FTEs</v>
      </c>
      <c r="E1050" s="376"/>
      <c r="F1050" s="376"/>
      <c r="G1050" s="376"/>
      <c r="H1050" s="376"/>
      <c r="I1050" s="376"/>
      <c r="J1050" s="376"/>
      <c r="K1050" s="376"/>
      <c r="L1050" s="376"/>
      <c r="M1050" s="376"/>
      <c r="N1050" s="376"/>
      <c r="O1050" s="428"/>
    </row>
    <row r="1051" spans="1:15" customFormat="1" hidden="1" outlineLevel="1" x14ac:dyDescent="0.2">
      <c r="A1051" s="87"/>
      <c r="B1051" s="19"/>
      <c r="C1051" s="368"/>
      <c r="D1051" s="744" t="s">
        <v>1828</v>
      </c>
      <c r="E1051" s="431">
        <f t="shared" ref="E1051:N1051" si="301">eSystemsLeaseReturnTotalFTEs</f>
        <v>3.2032615026208497</v>
      </c>
      <c r="F1051" s="431">
        <f t="shared" si="301"/>
        <v>4.8048922539312748</v>
      </c>
      <c r="G1051" s="431">
        <f t="shared" si="301"/>
        <v>4.8048922539312748</v>
      </c>
      <c r="H1051" s="431">
        <f t="shared" si="301"/>
        <v>3.2032615026208497</v>
      </c>
      <c r="I1051" s="431">
        <f t="shared" si="301"/>
        <v>3.2032615026208497</v>
      </c>
      <c r="J1051" s="431">
        <f t="shared" si="301"/>
        <v>4.8048922539312748</v>
      </c>
      <c r="K1051" s="431">
        <f t="shared" si="301"/>
        <v>4.8048922539312748</v>
      </c>
      <c r="L1051" s="431">
        <f t="shared" si="301"/>
        <v>3.2032615026208497</v>
      </c>
      <c r="M1051" s="431">
        <f t="shared" si="301"/>
        <v>3.2032615026208497</v>
      </c>
      <c r="N1051" s="431">
        <f t="shared" si="301"/>
        <v>4.8048922539312748</v>
      </c>
      <c r="O1051" s="318" t="s">
        <v>3558</v>
      </c>
    </row>
    <row r="1052" spans="1:15" customFormat="1" hidden="1" outlineLevel="1" x14ac:dyDescent="0.2">
      <c r="A1052" s="87"/>
      <c r="B1052" s="19"/>
      <c r="C1052" s="618"/>
      <c r="D1052" s="744" t="s">
        <v>1943</v>
      </c>
      <c r="E1052" s="431">
        <f t="shared" ref="E1052:N1052" si="302">eSystemsLeaseLessorVisitTotalFTEs</f>
        <v>0.69889341875363997</v>
      </c>
      <c r="F1052" s="431">
        <f t="shared" si="302"/>
        <v>0.69889341875363997</v>
      </c>
      <c r="G1052" s="431">
        <f t="shared" si="302"/>
        <v>0.69889341875363997</v>
      </c>
      <c r="H1052" s="431">
        <f t="shared" si="302"/>
        <v>0.69889341875363997</v>
      </c>
      <c r="I1052" s="431">
        <f t="shared" si="302"/>
        <v>0.69889341875363997</v>
      </c>
      <c r="J1052" s="431">
        <f t="shared" si="302"/>
        <v>0.69889341875363997</v>
      </c>
      <c r="K1052" s="431">
        <f t="shared" si="302"/>
        <v>0.69889341875363997</v>
      </c>
      <c r="L1052" s="431">
        <f t="shared" si="302"/>
        <v>0.69889341875363997</v>
      </c>
      <c r="M1052" s="431">
        <f t="shared" si="302"/>
        <v>0.69889341875363997</v>
      </c>
      <c r="N1052" s="431">
        <f t="shared" si="302"/>
        <v>0.69889341875363997</v>
      </c>
      <c r="O1052" s="318" t="s">
        <v>3559</v>
      </c>
    </row>
    <row r="1053" spans="1:15" customFormat="1" hidden="1" outlineLevel="1" x14ac:dyDescent="0.2">
      <c r="A1053" s="87"/>
      <c r="B1053" s="19"/>
      <c r="C1053" s="618"/>
      <c r="D1053" s="744" t="s">
        <v>2244</v>
      </c>
      <c r="E1053" s="431">
        <f t="shared" ref="E1053:N1053" si="303">eSystemsLeaseDisputedRecordTotalFTEs</f>
        <v>0.145602795573675</v>
      </c>
      <c r="F1053" s="431">
        <f t="shared" si="303"/>
        <v>0.145602795573675</v>
      </c>
      <c r="G1053" s="431">
        <f t="shared" si="303"/>
        <v>0.145602795573675</v>
      </c>
      <c r="H1053" s="431">
        <f t="shared" si="303"/>
        <v>0.145602795573675</v>
      </c>
      <c r="I1053" s="431">
        <f t="shared" si="303"/>
        <v>0.145602795573675</v>
      </c>
      <c r="J1053" s="431">
        <f t="shared" si="303"/>
        <v>0.145602795573675</v>
      </c>
      <c r="K1053" s="431">
        <f t="shared" si="303"/>
        <v>0.145602795573675</v>
      </c>
      <c r="L1053" s="431">
        <f t="shared" si="303"/>
        <v>0.145602795573675</v>
      </c>
      <c r="M1053" s="431">
        <f t="shared" si="303"/>
        <v>0.145602795573675</v>
      </c>
      <c r="N1053" s="431">
        <f t="shared" si="303"/>
        <v>0.145602795573675</v>
      </c>
      <c r="O1053" s="318" t="s">
        <v>3560</v>
      </c>
    </row>
    <row r="1054" spans="1:15" customFormat="1" hidden="1" outlineLevel="1" x14ac:dyDescent="0.2">
      <c r="A1054" s="87"/>
      <c r="B1054" s="19"/>
      <c r="C1054" s="619"/>
      <c r="D1054" s="744" t="s">
        <v>2474</v>
      </c>
      <c r="E1054" s="431">
        <f t="shared" ref="E1054:N1054" si="304">eSystemsLeaseRecordSearchTotalFTEs</f>
        <v>1.0920209668025627</v>
      </c>
      <c r="F1054" s="431">
        <f t="shared" si="304"/>
        <v>9.8281887012230632E-2</v>
      </c>
      <c r="G1054" s="431">
        <f t="shared" si="304"/>
        <v>8.736167734420501E-2</v>
      </c>
      <c r="H1054" s="431">
        <f t="shared" si="304"/>
        <v>7.6441467676179389E-2</v>
      </c>
      <c r="I1054" s="431">
        <f t="shared" si="304"/>
        <v>6.5521258008153754E-2</v>
      </c>
      <c r="J1054" s="431">
        <f t="shared" si="304"/>
        <v>5.4601048340128133E-2</v>
      </c>
      <c r="K1054" s="431">
        <f t="shared" si="304"/>
        <v>4.3680838672102505E-2</v>
      </c>
      <c r="L1054" s="431">
        <f t="shared" si="304"/>
        <v>3.2760629004076877E-2</v>
      </c>
      <c r="M1054" s="431">
        <f t="shared" si="304"/>
        <v>2.1840419336051253E-2</v>
      </c>
      <c r="N1054" s="431">
        <f t="shared" si="304"/>
        <v>1.0920209668025626E-2</v>
      </c>
      <c r="O1054" s="318" t="s">
        <v>3561</v>
      </c>
    </row>
    <row r="1055" spans="1:15" customFormat="1" hidden="1" outlineLevel="1" x14ac:dyDescent="0.2">
      <c r="A1055" s="87"/>
      <c r="B1055" s="19"/>
      <c r="C1055" s="618"/>
      <c r="D1055" s="744" t="s">
        <v>3562</v>
      </c>
      <c r="E1055" s="431">
        <f t="shared" ref="E1055:N1055" si="305">eSystemsLeaseDueDilTotalFTEs</f>
        <v>4.3680838672102498</v>
      </c>
      <c r="F1055" s="431">
        <f t="shared" si="305"/>
        <v>0.49504950495049499</v>
      </c>
      <c r="G1055" s="431">
        <f t="shared" si="305"/>
        <v>0.74257425742574257</v>
      </c>
      <c r="H1055" s="431">
        <f t="shared" si="305"/>
        <v>0.49504950495049499</v>
      </c>
      <c r="I1055" s="431">
        <f t="shared" si="305"/>
        <v>0.74257425742574257</v>
      </c>
      <c r="J1055" s="431">
        <f t="shared" si="305"/>
        <v>0.49504950495049499</v>
      </c>
      <c r="K1055" s="431">
        <f t="shared" si="305"/>
        <v>0.74257425742574257</v>
      </c>
      <c r="L1055" s="431">
        <f t="shared" si="305"/>
        <v>0.49504950495049499</v>
      </c>
      <c r="M1055" s="431">
        <f t="shared" si="305"/>
        <v>0.74257425742574257</v>
      </c>
      <c r="N1055" s="431">
        <f t="shared" si="305"/>
        <v>0.49504950495049499</v>
      </c>
      <c r="O1055" s="318" t="s">
        <v>3563</v>
      </c>
    </row>
    <row r="1056" spans="1:15" customFormat="1" hidden="1" outlineLevel="1" x14ac:dyDescent="0.2">
      <c r="A1056" s="87"/>
      <c r="B1056" s="19"/>
      <c r="C1056" s="618"/>
      <c r="D1056" s="744" t="s">
        <v>3564</v>
      </c>
      <c r="E1056" s="431">
        <f t="shared" ref="E1056:N1056" si="306">eSystemsLeaseReturnPrintCollTotalFTEs</f>
        <v>1.4560279557367499</v>
      </c>
      <c r="F1056" s="431">
        <f t="shared" si="306"/>
        <v>0.17472335468840999</v>
      </c>
      <c r="G1056" s="431">
        <f t="shared" si="306"/>
        <v>0.15288293535235875</v>
      </c>
      <c r="H1056" s="431">
        <f t="shared" si="306"/>
        <v>8.7361677344204997E-2</v>
      </c>
      <c r="I1056" s="431">
        <f t="shared" si="306"/>
        <v>7.2801397786837502E-2</v>
      </c>
      <c r="J1056" s="431">
        <f t="shared" si="306"/>
        <v>8.7361677344204997E-2</v>
      </c>
      <c r="K1056" s="431">
        <f t="shared" si="306"/>
        <v>6.5521258008153754E-2</v>
      </c>
      <c r="L1056" s="431">
        <f t="shared" si="306"/>
        <v>2.9120559114735E-2</v>
      </c>
      <c r="M1056" s="431">
        <f t="shared" si="306"/>
        <v>1.45602795573675E-2</v>
      </c>
      <c r="N1056" s="431">
        <f t="shared" si="306"/>
        <v>0</v>
      </c>
      <c r="O1056" s="318" t="s">
        <v>3565</v>
      </c>
    </row>
    <row r="1057" spans="1:32" customFormat="1" ht="15.75" hidden="1" outlineLevel="1" x14ac:dyDescent="0.25">
      <c r="A1057" s="87"/>
      <c r="B1057" s="19"/>
      <c r="C1057" s="618"/>
      <c r="D1057" s="748" t="s">
        <v>3566</v>
      </c>
      <c r="E1057" s="597">
        <f>SUM(E1051:E1056)</f>
        <v>10.963890506697727</v>
      </c>
      <c r="F1057" s="597">
        <f t="shared" ref="F1057" si="307">SUM(F1051:F1056)</f>
        <v>6.4174432149097251</v>
      </c>
      <c r="G1057" s="597">
        <f t="shared" ref="G1057" si="308">SUM(G1051:G1056)</f>
        <v>6.6322073383808959</v>
      </c>
      <c r="H1057" s="597">
        <f t="shared" ref="H1057" si="309">SUM(H1051:H1056)</f>
        <v>4.706610366919044</v>
      </c>
      <c r="I1057" s="597">
        <f t="shared" ref="I1057" si="310">SUM(I1051:I1056)</f>
        <v>4.9286546301688983</v>
      </c>
      <c r="J1057" s="597">
        <f t="shared" ref="J1057" si="311">SUM(J1051:J1056)</f>
        <v>6.2864006988934173</v>
      </c>
      <c r="K1057" s="597">
        <f t="shared" ref="K1057" si="312">SUM(K1051:K1056)</f>
        <v>6.5011648223645881</v>
      </c>
      <c r="L1057" s="597">
        <f t="shared" ref="L1057" si="313">SUM(L1051:L1056)</f>
        <v>4.604688410017471</v>
      </c>
      <c r="M1057" s="597">
        <f t="shared" ref="M1057" si="314">SUM(M1051:M1056)</f>
        <v>4.8267326732673261</v>
      </c>
      <c r="N1057" s="597">
        <f t="shared" ref="N1057" si="315">SUM(N1051:N1056)</f>
        <v>6.1553581828771096</v>
      </c>
      <c r="O1057" s="318" t="s">
        <v>3567</v>
      </c>
    </row>
    <row r="1058" spans="1:32" s="488" customFormat="1" ht="16.5" hidden="1" outlineLevel="1" thickBot="1" x14ac:dyDescent="0.3">
      <c r="A1058" s="87"/>
      <c r="B1058" s="50"/>
      <c r="C1058" s="620"/>
      <c r="D1058" s="745"/>
      <c r="E1058" s="621"/>
      <c r="F1058" s="621"/>
      <c r="G1058" s="621"/>
      <c r="H1058" s="621"/>
      <c r="I1058" s="621"/>
      <c r="J1058" s="621"/>
      <c r="K1058" s="621"/>
      <c r="L1058" s="621"/>
      <c r="M1058" s="621"/>
      <c r="N1058" s="621"/>
      <c r="O1058" s="593"/>
    </row>
    <row r="1059" spans="1:32" hidden="1" outlineLevel="1" x14ac:dyDescent="0.2"/>
    <row r="1060" spans="1:32" s="122" customFormat="1" ht="15.75" collapsed="1" x14ac:dyDescent="0.2">
      <c r="A1060" s="1043" t="s">
        <v>4214</v>
      </c>
      <c r="B1060" s="1039"/>
      <c r="C1060" s="1039"/>
      <c r="D1060" s="1039"/>
      <c r="E1060" s="1039"/>
      <c r="F1060" s="1039"/>
      <c r="G1060" s="1039"/>
      <c r="H1060" s="1039"/>
      <c r="I1060" s="1039"/>
      <c r="J1060" s="1039"/>
      <c r="K1060" s="1039"/>
      <c r="L1060" s="1039"/>
      <c r="M1060" s="1039"/>
      <c r="N1060" s="1039"/>
      <c r="O1060" s="1039"/>
      <c r="P1060" s="206"/>
      <c r="Q1060" s="206"/>
      <c r="R1060" s="206"/>
      <c r="S1060" s="206"/>
      <c r="T1060" s="206"/>
      <c r="U1060" s="206"/>
      <c r="V1060" s="206"/>
      <c r="W1060" s="206"/>
      <c r="X1060" s="206"/>
      <c r="Y1060" s="206"/>
      <c r="Z1060" s="206"/>
      <c r="AA1060" s="206"/>
      <c r="AB1060" s="206"/>
      <c r="AC1060" s="206"/>
      <c r="AD1060" s="206"/>
      <c r="AE1060" s="206"/>
      <c r="AF1060" s="206"/>
    </row>
  </sheetData>
  <sheetProtection sort="0" autoFilter="0" pivotTables="0"/>
  <protectedRanges>
    <protectedRange sqref="B163 B165" name="SalaryInputsTab"/>
  </protectedRanges>
  <mergeCells count="50">
    <mergeCell ref="A1025:A1027"/>
    <mergeCell ref="C825:D825"/>
    <mergeCell ref="A512:A526"/>
    <mergeCell ref="A528:A542"/>
    <mergeCell ref="A649:A651"/>
    <mergeCell ref="A654:A656"/>
    <mergeCell ref="A658:A671"/>
    <mergeCell ref="A673:A687"/>
    <mergeCell ref="A689:A703"/>
    <mergeCell ref="A852:A866"/>
    <mergeCell ref="A868:A882"/>
    <mergeCell ref="A825:A834"/>
    <mergeCell ref="A836:A850"/>
    <mergeCell ref="A982:A984"/>
    <mergeCell ref="A990:A1021"/>
    <mergeCell ref="A332:A334"/>
    <mergeCell ref="C809:D809"/>
    <mergeCell ref="C488:D488"/>
    <mergeCell ref="C649:D649"/>
    <mergeCell ref="C814:D814"/>
    <mergeCell ref="A336:A349"/>
    <mergeCell ref="A351:A365"/>
    <mergeCell ref="A367:A381"/>
    <mergeCell ref="A488:A490"/>
    <mergeCell ref="A493:A495"/>
    <mergeCell ref="A497:A510"/>
    <mergeCell ref="A809:A811"/>
    <mergeCell ref="A814:A823"/>
    <mergeCell ref="C327:D327"/>
    <mergeCell ref="C15:D15"/>
    <mergeCell ref="A23:A36"/>
    <mergeCell ref="A38:A52"/>
    <mergeCell ref="A54:A68"/>
    <mergeCell ref="A166:A168"/>
    <mergeCell ref="A171:A173"/>
    <mergeCell ref="A175:A188"/>
    <mergeCell ref="A190:A204"/>
    <mergeCell ref="A206:A220"/>
    <mergeCell ref="A327:A329"/>
    <mergeCell ref="A15:A17"/>
    <mergeCell ref="C166:D166"/>
    <mergeCell ref="B3:L4"/>
    <mergeCell ref="M3:O4"/>
    <mergeCell ref="O8:O10"/>
    <mergeCell ref="C19:D19"/>
    <mergeCell ref="A19:A21"/>
    <mergeCell ref="A8:A11"/>
    <mergeCell ref="A2:A4"/>
    <mergeCell ref="B2:L2"/>
    <mergeCell ref="M2:O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53" operator="containsText" text="eSystems " id="{9915B1F5-2C6F-4C07-B768-0A8A935DBF9B}">
            <xm:f>NOT(ISERROR(SEARCH("eSystems ",Inputs_RecordsGeneration!B286)))</xm:f>
            <x14:dxf>
              <font>
                <b/>
                <i val="0"/>
                <color rgb="FFC00000"/>
              </font>
            </x14:dxf>
          </x14:cfRule>
          <x14:cfRule type="containsText" priority="554" operator="containsText" text="hSystems " id="{8A940A0E-5BB3-47A3-8D38-720E046905AE}">
            <xm:f>NOT(ISERROR(SEARCH("hSystems ",Inputs_RecordsGeneration!B286)))</xm:f>
            <x14:dxf>
              <font>
                <b/>
                <i val="0"/>
                <color rgb="FF0070C0"/>
              </font>
            </x14:dxf>
          </x14:cfRule>
          <x14:cfRule type="containsText" priority="555" operator="containsText" text="pSystems " id="{3011A043-22A5-4C0A-99A9-EC7AD6DE305C}">
            <xm:f>NOT(ISERROR(SEARCH("pSystems ",Inputs_RecordsGeneration!B286)))</xm:f>
            <x14:dxf>
              <font>
                <b/>
                <i val="0"/>
                <color theme="1" tint="0.34998626667073579"/>
              </font>
            </x14:dxf>
          </x14:cfRule>
          <xm:sqref>C1032:C1039 C1042:C1049 D1039 C1052:C1058 B965:D977 O965:O977 O279:O290 O239:O240 C279:D290</xm:sqref>
        </x14:conditionalFormatting>
        <x14:conditionalFormatting xmlns:xm="http://schemas.microsoft.com/office/excel/2006/main">
          <x14:cfRule type="containsText" priority="556" operator="containsText" text="eSystems " id="{7875FD2E-F1B7-4DA2-A976-89ED9B3FF457}">
            <xm:f>NOT(ISERROR(SEARCH("eSystems ",Inputs_RecordsGeneration!XFB1012)))</xm:f>
            <x14:dxf>
              <font>
                <b/>
                <i val="0"/>
                <color rgb="FFC00000"/>
              </font>
            </x14:dxf>
          </x14:cfRule>
          <x14:cfRule type="containsText" priority="557" operator="containsText" text="hSystems " id="{645A4C50-B0F2-43D2-A440-80B7C362E4EE}">
            <xm:f>NOT(ISERROR(SEARCH("hSystems ",Inputs_RecordsGeneration!XFB1012)))</xm:f>
            <x14:dxf>
              <font>
                <b/>
                <i val="0"/>
                <color rgb="FF0070C0"/>
              </font>
            </x14:dxf>
          </x14:cfRule>
          <x14:cfRule type="containsText" priority="558" operator="containsText" text="pSystems " id="{0D00D5DD-D388-48CC-ABE6-39420CEDD160}">
            <xm:f>NOT(ISERROR(SEARCH("pSystems ",Inputs_RecordsGeneration!XFB1012)))</xm:f>
            <x14:dxf>
              <font>
                <b/>
                <i val="0"/>
                <color theme="1" tint="0.34998626667073579"/>
              </font>
            </x14:dxf>
          </x14:cfRule>
          <xm:sqref>XFC965:XFD977</xm:sqref>
        </x14:conditionalFormatting>
        <x14:conditionalFormatting xmlns:xm="http://schemas.microsoft.com/office/excel/2006/main">
          <x14:cfRule type="containsText" priority="559" operator="containsText" text="eSystems " id="{1C77FC8A-10FE-45C6-9F53-2A718BDE4B5A}">
            <xm:f>NOT(ISERROR(SEARCH("eSystems ",Inputs_RecordsGeneration!Q1012)))</xm:f>
            <x14:dxf>
              <font>
                <b/>
                <i val="0"/>
                <color rgb="FFC00000"/>
              </font>
            </x14:dxf>
          </x14:cfRule>
          <x14:cfRule type="containsText" priority="560" operator="containsText" text="hSystems " id="{FBD9C220-0547-44B2-8B1E-6C64171C7390}">
            <xm:f>NOT(ISERROR(SEARCH("hSystems ",Inputs_RecordsGeneration!Q1012)))</xm:f>
            <x14:dxf>
              <font>
                <b/>
                <i val="0"/>
                <color rgb="FF0070C0"/>
              </font>
            </x14:dxf>
          </x14:cfRule>
          <x14:cfRule type="containsText" priority="561" operator="containsText" text="pSystems " id="{CD487AD0-CF46-40D6-AF40-919C9942A1BF}">
            <xm:f>NOT(ISERROR(SEARCH("pSystems ",Inputs_RecordsGeneration!Q1012)))</xm:f>
            <x14:dxf>
              <font>
                <b/>
                <i val="0"/>
                <color theme="1" tint="0.34998626667073579"/>
              </font>
            </x14:dxf>
          </x14:cfRule>
          <xm:sqref>P965:XFB977</xm:sqref>
        </x14:conditionalFormatting>
        <x14:conditionalFormatting xmlns:xm="http://schemas.microsoft.com/office/excel/2006/main">
          <x14:cfRule type="containsText" priority="541" operator="containsText" text="eSystems " id="{011255F5-2EA0-4878-AA87-C968FA6CB1C4}">
            <xm:f>NOT(ISERROR(SEARCH("eSystems ",Inputs_RecordsGeneration!B856)))</xm:f>
            <x14:dxf>
              <font>
                <b/>
                <i val="0"/>
                <color rgb="FFC00000"/>
              </font>
            </x14:dxf>
          </x14:cfRule>
          <x14:cfRule type="containsText" priority="542" operator="containsText" text="hSystems " id="{8C7901BF-37B3-456F-9F67-AEE744728419}">
            <xm:f>NOT(ISERROR(SEARCH("hSystems ",Inputs_RecordsGeneration!B856)))</xm:f>
            <x14:dxf>
              <font>
                <b/>
                <i val="0"/>
                <color rgb="FF0070C0"/>
              </font>
            </x14:dxf>
          </x14:cfRule>
          <x14:cfRule type="containsText" priority="543" operator="containsText" text="pSystems " id="{6AE73927-498F-442B-A900-835806C3B447}">
            <xm:f>NOT(ISERROR(SEARCH("pSystems ",Inputs_RecordsGeneration!B856)))</xm:f>
            <x14:dxf>
              <font>
                <b/>
                <i val="0"/>
                <color theme="1" tint="0.34998626667073579"/>
              </font>
            </x14:dxf>
          </x14:cfRule>
          <xm:sqref>B792:D804 O792:O804</xm:sqref>
        </x14:conditionalFormatting>
        <x14:conditionalFormatting xmlns:xm="http://schemas.microsoft.com/office/excel/2006/main">
          <x14:cfRule type="containsText" priority="544" operator="containsText" text="eSystems " id="{F28697AD-C48E-41FC-9FC8-8795A2F3D138}">
            <xm:f>NOT(ISERROR(SEARCH("eSystems ",Inputs_RecordsGeneration!Q856)))</xm:f>
            <x14:dxf>
              <font>
                <b/>
                <i val="0"/>
                <color rgb="FFC00000"/>
              </font>
            </x14:dxf>
          </x14:cfRule>
          <x14:cfRule type="containsText" priority="545" operator="containsText" text="hSystems " id="{F55F47BF-7694-437A-981F-98AA0F3070D9}">
            <xm:f>NOT(ISERROR(SEARCH("hSystems ",Inputs_RecordsGeneration!Q856)))</xm:f>
            <x14:dxf>
              <font>
                <b/>
                <i val="0"/>
                <color rgb="FF0070C0"/>
              </font>
            </x14:dxf>
          </x14:cfRule>
          <x14:cfRule type="containsText" priority="546" operator="containsText" text="pSystems " id="{DD85F3C2-30A3-4692-98FE-F0C742BC1E4C}">
            <xm:f>NOT(ISERROR(SEARCH("pSystems ",Inputs_RecordsGeneration!Q856)))</xm:f>
            <x14:dxf>
              <font>
                <b/>
                <i val="0"/>
                <color theme="1" tint="0.34998626667073579"/>
              </font>
            </x14:dxf>
          </x14:cfRule>
          <xm:sqref>P792:XFB804</xm:sqref>
        </x14:conditionalFormatting>
        <x14:conditionalFormatting xmlns:xm="http://schemas.microsoft.com/office/excel/2006/main">
          <x14:cfRule type="containsText" priority="547" operator="containsText" text="eSystems " id="{06FD8684-02EC-4619-B103-24BE8EECCFE6}">
            <xm:f>NOT(ISERROR(SEARCH("eSystems ",Inputs_RecordsGeneration!XFB856)))</xm:f>
            <x14:dxf>
              <font>
                <b/>
                <i val="0"/>
                <color rgb="FFC00000"/>
              </font>
            </x14:dxf>
          </x14:cfRule>
          <x14:cfRule type="containsText" priority="548" operator="containsText" text="hSystems " id="{79F9831C-B21B-476F-A686-D647FEA06F4E}">
            <xm:f>NOT(ISERROR(SEARCH("hSystems ",Inputs_RecordsGeneration!XFB856)))</xm:f>
            <x14:dxf>
              <font>
                <b/>
                <i val="0"/>
                <color rgb="FF0070C0"/>
              </font>
            </x14:dxf>
          </x14:cfRule>
          <x14:cfRule type="containsText" priority="549" operator="containsText" text="pSystems " id="{90D8C526-CB15-426C-8877-2DC2CF6FA705}">
            <xm:f>NOT(ISERROR(SEARCH("pSystems ",Inputs_RecordsGeneration!XFB856)))</xm:f>
            <x14:dxf>
              <font>
                <b/>
                <i val="0"/>
                <color theme="1" tint="0.34998626667073579"/>
              </font>
            </x14:dxf>
          </x14:cfRule>
          <xm:sqref>XFC792:XFD804</xm:sqref>
        </x14:conditionalFormatting>
        <x14:conditionalFormatting xmlns:xm="http://schemas.microsoft.com/office/excel/2006/main">
          <x14:cfRule type="containsText" priority="532" operator="containsText" text="eSystems " id="{98C14135-22BD-46C1-8FEF-36E13D018696}">
            <xm:f>NOT(ISERROR(SEARCH("eSystems ",Inputs_RecordsGeneration!B514)))</xm:f>
            <x14:dxf>
              <font>
                <b/>
                <i val="0"/>
                <color rgb="FFC00000"/>
              </font>
            </x14:dxf>
          </x14:cfRule>
          <x14:cfRule type="containsText" priority="533" operator="containsText" text="hSystems " id="{2D9FE9D2-5F4A-4AF9-A57C-1FCD176BADF3}">
            <xm:f>NOT(ISERROR(SEARCH("hSystems ",Inputs_RecordsGeneration!B514)))</xm:f>
            <x14:dxf>
              <font>
                <b/>
                <i val="0"/>
                <color rgb="FF0070C0"/>
              </font>
            </x14:dxf>
          </x14:cfRule>
          <x14:cfRule type="containsText" priority="534" operator="containsText" text="pSystems " id="{C8B60A61-6BB8-4DA4-830A-06BF95E45080}">
            <xm:f>NOT(ISERROR(SEARCH("pSystems ",Inputs_RecordsGeneration!B514)))</xm:f>
            <x14:dxf>
              <font>
                <b/>
                <i val="0"/>
                <color theme="1" tint="0.34998626667073579"/>
              </font>
            </x14:dxf>
          </x14:cfRule>
          <xm:sqref>O934:O945 B934:D945 B564:D576 O564:O576 B516:D525 O516:O525 O455:O467 B455:D467</xm:sqref>
        </x14:conditionalFormatting>
        <x14:conditionalFormatting xmlns:xm="http://schemas.microsoft.com/office/excel/2006/main">
          <x14:cfRule type="containsText" priority="535" operator="containsText" text="eSystems " id="{878CD960-DEDD-4F9A-8FC6-4353DBE53592}">
            <xm:f>NOT(ISERROR(SEARCH("eSystems ",Inputs_RecordsGeneration!Q514)))</xm:f>
            <x14:dxf>
              <font>
                <b/>
                <i val="0"/>
                <color rgb="FFC00000"/>
              </font>
            </x14:dxf>
          </x14:cfRule>
          <x14:cfRule type="containsText" priority="536" operator="containsText" text="hSystems " id="{912480BB-0EBE-4323-B016-876A419E17B3}">
            <xm:f>NOT(ISERROR(SEARCH("hSystems ",Inputs_RecordsGeneration!Q514)))</xm:f>
            <x14:dxf>
              <font>
                <b/>
                <i val="0"/>
                <color rgb="FF0070C0"/>
              </font>
            </x14:dxf>
          </x14:cfRule>
          <x14:cfRule type="containsText" priority="537" operator="containsText" text="pSystems " id="{8159F126-7781-4C86-ABCF-775AE53A88FD}">
            <xm:f>NOT(ISERROR(SEARCH("pSystems ",Inputs_RecordsGeneration!Q514)))</xm:f>
            <x14:dxf>
              <font>
                <b/>
                <i val="0"/>
                <color theme="1" tint="0.34998626667073579"/>
              </font>
            </x14:dxf>
          </x14:cfRule>
          <xm:sqref>P934:XFB945 P516:XFB525 P564:XFB576 P455:XFB467</xm:sqref>
        </x14:conditionalFormatting>
        <x14:conditionalFormatting xmlns:xm="http://schemas.microsoft.com/office/excel/2006/main">
          <x14:cfRule type="containsText" priority="538" operator="containsText" text="eSystems " id="{8372A781-16A9-4A37-8349-66CCE58381A0}">
            <xm:f>NOT(ISERROR(SEARCH("eSystems ",Inputs_RecordsGeneration!XFB514)))</xm:f>
            <x14:dxf>
              <font>
                <b/>
                <i val="0"/>
                <color rgb="FFC00000"/>
              </font>
            </x14:dxf>
          </x14:cfRule>
          <x14:cfRule type="containsText" priority="539" operator="containsText" text="hSystems " id="{49CDEF73-92BB-4828-B262-8150023E9A9B}">
            <xm:f>NOT(ISERROR(SEARCH("hSystems ",Inputs_RecordsGeneration!XFB514)))</xm:f>
            <x14:dxf>
              <font>
                <b/>
                <i val="0"/>
                <color rgb="FF0070C0"/>
              </font>
            </x14:dxf>
          </x14:cfRule>
          <x14:cfRule type="containsText" priority="540" operator="containsText" text="pSystems " id="{850F241E-0384-4BAC-B2AD-08626AB0D129}">
            <xm:f>NOT(ISERROR(SEARCH("pSystems ",Inputs_RecordsGeneration!XFB514)))</xm:f>
            <x14:dxf>
              <font>
                <b/>
                <i val="0"/>
                <color theme="1" tint="0.34998626667073579"/>
              </font>
            </x14:dxf>
          </x14:cfRule>
          <xm:sqref>XFC934:XFD945 XFC564:XFD576 XFC455:XFD467</xm:sqref>
        </x14:conditionalFormatting>
        <x14:conditionalFormatting xmlns:xm="http://schemas.microsoft.com/office/excel/2006/main">
          <x14:cfRule type="containsText" priority="4298" operator="containsText" text="eSystems " id="{2286C159-2440-4D0C-B0B1-C88E8D67CAE6}">
            <xm:f>NOT(ISERROR(SEARCH("eSystems ",Inputs_RecordsGeneration!B850)))</xm:f>
            <x14:dxf>
              <font>
                <b/>
                <i val="0"/>
                <color rgb="FFC00000"/>
              </font>
            </x14:dxf>
          </x14:cfRule>
          <x14:cfRule type="containsText" priority="4299" operator="containsText" text="hSystems " id="{A8334271-CC11-4C33-BB96-94199E0A4099}">
            <xm:f>NOT(ISERROR(SEARCH("hSystems ",Inputs_RecordsGeneration!B850)))</xm:f>
            <x14:dxf>
              <font>
                <b/>
                <i val="0"/>
                <color rgb="FF0070C0"/>
              </font>
            </x14:dxf>
          </x14:cfRule>
          <x14:cfRule type="containsText" priority="4300" operator="containsText" text="pSystems " id="{E4DE5251-74CC-43AE-8260-A46121537423}">
            <xm:f>NOT(ISERROR(SEARCH("pSystems ",Inputs_RecordsGeneration!B850)))</xm:f>
            <x14:dxf>
              <font>
                <b/>
                <i val="0"/>
                <color theme="1" tint="0.34998626667073579"/>
              </font>
            </x14:dxf>
          </x14:cfRule>
          <xm:sqref>O776:O788 B776:D788</xm:sqref>
        </x14:conditionalFormatting>
        <x14:conditionalFormatting xmlns:xm="http://schemas.microsoft.com/office/excel/2006/main">
          <x14:cfRule type="containsText" priority="4796" operator="containsText" text="eSystems " id="{7875FD2E-F1B7-4DA2-A976-89ED9B3FF457}">
            <xm:f>NOT(ISERROR(SEARCH("eSystems ",Inputs_RecordsGeneration!XFB850)))</xm:f>
            <x14:dxf>
              <font>
                <b/>
                <i val="0"/>
                <color rgb="FFC00000"/>
              </font>
            </x14:dxf>
          </x14:cfRule>
          <x14:cfRule type="containsText" priority="4797" operator="containsText" text="hSystems " id="{645A4C50-B0F2-43D2-A440-80B7C362E4EE}">
            <xm:f>NOT(ISERROR(SEARCH("hSystems ",Inputs_RecordsGeneration!XFB850)))</xm:f>
            <x14:dxf>
              <font>
                <b/>
                <i val="0"/>
                <color rgb="FF0070C0"/>
              </font>
            </x14:dxf>
          </x14:cfRule>
          <x14:cfRule type="containsText" priority="4798" operator="containsText" text="pSystems " id="{0D00D5DD-D388-48CC-ABE6-39420CEDD160}">
            <xm:f>NOT(ISERROR(SEARCH("pSystems ",Inputs_RecordsGeneration!XFB850)))</xm:f>
            <x14:dxf>
              <font>
                <b/>
                <i val="0"/>
                <color theme="1" tint="0.34998626667073579"/>
              </font>
            </x14:dxf>
          </x14:cfRule>
          <xm:sqref>XFC776:XFD788</xm:sqref>
        </x14:conditionalFormatting>
        <x14:conditionalFormatting xmlns:xm="http://schemas.microsoft.com/office/excel/2006/main">
          <x14:cfRule type="containsText" priority="4808" operator="containsText" text="eSystems " id="{1C77FC8A-10FE-45C6-9F53-2A718BDE4B5A}">
            <xm:f>NOT(ISERROR(SEARCH("eSystems ",Inputs_RecordsGeneration!Q850)))</xm:f>
            <x14:dxf>
              <font>
                <b/>
                <i val="0"/>
                <color rgb="FFC00000"/>
              </font>
            </x14:dxf>
          </x14:cfRule>
          <x14:cfRule type="containsText" priority="4809" operator="containsText" text="hSystems " id="{FBD9C220-0547-44B2-8B1E-6C64171C7390}">
            <xm:f>NOT(ISERROR(SEARCH("hSystems ",Inputs_RecordsGeneration!Q850)))</xm:f>
            <x14:dxf>
              <font>
                <b/>
                <i val="0"/>
                <color rgb="FF0070C0"/>
              </font>
            </x14:dxf>
          </x14:cfRule>
          <x14:cfRule type="containsText" priority="4810" operator="containsText" text="pSystems " id="{CD487AD0-CF46-40D6-AF40-919C9942A1BF}">
            <xm:f>NOT(ISERROR(SEARCH("pSystems ",Inputs_RecordsGeneration!Q850)))</xm:f>
            <x14:dxf>
              <font>
                <b/>
                <i val="0"/>
                <color theme="1" tint="0.34998626667073579"/>
              </font>
            </x14:dxf>
          </x14:cfRule>
          <xm:sqref>P776:XFB788</xm:sqref>
        </x14:conditionalFormatting>
        <x14:conditionalFormatting xmlns:xm="http://schemas.microsoft.com/office/excel/2006/main">
          <x14:cfRule type="containsText" priority="5786" operator="containsText" text="eSystems " id="{2286C159-2440-4D0C-B0B1-C88E8D67CAE6}">
            <xm:f>NOT(ISERROR(SEARCH("eSystems ",Inputs_RecordsGeneration!B446)))</xm:f>
            <x14:dxf>
              <font>
                <b/>
                <i val="0"/>
                <color rgb="FFC00000"/>
              </font>
            </x14:dxf>
          </x14:cfRule>
          <x14:cfRule type="containsText" priority="5787" operator="containsText" text="hSystems " id="{A8334271-CC11-4C33-BB96-94199E0A4099}">
            <xm:f>NOT(ISERROR(SEARCH("hSystems ",Inputs_RecordsGeneration!B446)))</xm:f>
            <x14:dxf>
              <font>
                <b/>
                <i val="0"/>
                <color rgb="FF0070C0"/>
              </font>
            </x14:dxf>
          </x14:cfRule>
          <x14:cfRule type="containsText" priority="5788" operator="containsText" text="pSystems " id="{E4DE5251-74CC-43AE-8260-A46121537423}">
            <xm:f>NOT(ISERROR(SEARCH("pSystems ",Inputs_RecordsGeneration!B446)))</xm:f>
            <x14:dxf>
              <font>
                <b/>
                <i val="0"/>
                <color theme="1" tint="0.34998626667073579"/>
              </font>
            </x14:dxf>
          </x14:cfRule>
          <xm:sqref>O949:O961 B949:D961 O389:O400 O440:O443 B440:D443 B389:D400</xm:sqref>
        </x14:conditionalFormatting>
        <x14:conditionalFormatting xmlns:xm="http://schemas.microsoft.com/office/excel/2006/main">
          <x14:cfRule type="containsText" priority="10304" operator="containsText" text="eSystems " id="{820E1607-B5F0-4185-96D0-6B384796BE5F}">
            <xm:f>NOT(ISERROR(SEARCH("eSystems ",Inputs_RecordsGeneration!B573)))</xm:f>
            <x14:dxf>
              <font>
                <b/>
                <i val="0"/>
                <color rgb="FFC00000"/>
              </font>
            </x14:dxf>
          </x14:cfRule>
          <x14:cfRule type="containsText" priority="10305" operator="containsText" text="hSystems " id="{35EAF413-2C5C-49AA-A416-549E9394BC8A}">
            <xm:f>NOT(ISERROR(SEARCH("hSystems ",Inputs_RecordsGeneration!B573)))</xm:f>
            <x14:dxf>
              <font>
                <b/>
                <i val="0"/>
                <color rgb="FF0070C0"/>
              </font>
            </x14:dxf>
          </x14:cfRule>
          <x14:cfRule type="containsText" priority="10306" operator="containsText" text="pSystems " id="{6EFFC7B4-0522-4E94-9EE8-FBAD7D68DF55}">
            <xm:f>NOT(ISERROR(SEARCH("pSystems ",Inputs_RecordsGeneration!B573)))</xm:f>
            <x14:dxf>
              <font>
                <b/>
                <i val="0"/>
                <color theme="1" tint="0.34998626667073579"/>
              </font>
            </x14:dxf>
          </x14:cfRule>
          <xm:sqref>O946:O947 B741:D753 O741:O753 B513:D514 O513:O514</xm:sqref>
        </x14:conditionalFormatting>
        <x14:conditionalFormatting xmlns:xm="http://schemas.microsoft.com/office/excel/2006/main">
          <x14:cfRule type="containsText" priority="91" operator="containsText" text="eSystems " id="{7BB80493-4EA5-4D34-8197-B52352E839A0}">
            <xm:f>NOT(ISERROR(SEARCH("eSystems ",Inputs_RecordsGeneration!XFB446)))</xm:f>
            <x14:dxf>
              <font>
                <b/>
                <i val="0"/>
                <color rgb="FFC00000"/>
              </font>
            </x14:dxf>
          </x14:cfRule>
          <x14:cfRule type="containsText" priority="92" operator="containsText" text="hSystems " id="{9744612D-FBA4-48D9-B887-983A366DBA52}">
            <xm:f>NOT(ISERROR(SEARCH("hSystems ",Inputs_RecordsGeneration!XFB446)))</xm:f>
            <x14:dxf>
              <font>
                <b/>
                <i val="0"/>
                <color rgb="FF0070C0"/>
              </font>
            </x14:dxf>
          </x14:cfRule>
          <x14:cfRule type="containsText" priority="93" operator="containsText" text="pSystems " id="{EE86D31C-9C10-48CD-9A3B-A2514CBF663F}">
            <xm:f>NOT(ISERROR(SEARCH("pSystems ",Inputs_RecordsGeneration!XFB446)))</xm:f>
            <x14:dxf>
              <font>
                <b/>
                <i val="0"/>
                <color theme="1" tint="0.34998626667073579"/>
              </font>
            </x14:dxf>
          </x14:cfRule>
          <xm:sqref>XFC949:XFD961 XFC440:XFD451 XFC389:XFD400</xm:sqref>
        </x14:conditionalFormatting>
        <x14:conditionalFormatting xmlns:xm="http://schemas.microsoft.com/office/excel/2006/main">
          <x14:cfRule type="containsText" priority="94" operator="containsText" text="eSystems " id="{1D98DE42-4691-4C03-A5D4-008B877322E2}">
            <xm:f>NOT(ISERROR(SEARCH("eSystems ",Inputs_RecordsGeneration!Q446)))</xm:f>
            <x14:dxf>
              <font>
                <b/>
                <i val="0"/>
                <color rgb="FFC00000"/>
              </font>
            </x14:dxf>
          </x14:cfRule>
          <x14:cfRule type="containsText" priority="95" operator="containsText" text="hSystems " id="{1FFC0F63-8479-4E52-AEFF-F2A89F408E03}">
            <xm:f>NOT(ISERROR(SEARCH("hSystems ",Inputs_RecordsGeneration!Q446)))</xm:f>
            <x14:dxf>
              <font>
                <b/>
                <i val="0"/>
                <color rgb="FF0070C0"/>
              </font>
            </x14:dxf>
          </x14:cfRule>
          <x14:cfRule type="containsText" priority="96" operator="containsText" text="pSystems " id="{02F63C73-F567-4F4D-BF0C-03EBDF6DB2D9}">
            <xm:f>NOT(ISERROR(SEARCH("pSystems ",Inputs_RecordsGeneration!Q446)))</xm:f>
            <x14:dxf>
              <font>
                <b/>
                <i val="0"/>
                <color theme="1" tint="0.34998626667073579"/>
              </font>
            </x14:dxf>
          </x14:cfRule>
          <xm:sqref>P949:XFB961 P440:XFB443 P389:XFB400</xm:sqref>
        </x14:conditionalFormatting>
        <x14:conditionalFormatting xmlns:xm="http://schemas.microsoft.com/office/excel/2006/main">
          <x14:cfRule type="containsText" priority="15356" operator="containsText" text="eSystems " id="{0CEE7025-910C-4031-928D-5C0F31183D02}">
            <xm:f>NOT(ISERROR(SEARCH("eSystems ",Inputs_RecordsGeneration!B845)))</xm:f>
            <x14:dxf>
              <font>
                <b/>
                <i val="0"/>
                <color rgb="FFC00000"/>
              </font>
            </x14:dxf>
          </x14:cfRule>
          <x14:cfRule type="containsText" priority="15357" operator="containsText" text="hSystems " id="{02AEB270-3B5C-4D02-891D-39FF92C62D9B}">
            <xm:f>NOT(ISERROR(SEARCH("hSystems ",Inputs_RecordsGeneration!B845)))</xm:f>
            <x14:dxf>
              <font>
                <b/>
                <i val="0"/>
                <color rgb="FF0070C0"/>
              </font>
            </x14:dxf>
          </x14:cfRule>
          <x14:cfRule type="containsText" priority="15358" operator="containsText" text="pSystems " id="{DB72F7F5-F71E-48DD-A67B-15C05002110D}">
            <xm:f>NOT(ISERROR(SEARCH("pSystems ",Inputs_RecordsGeneration!B845)))</xm:f>
            <x14:dxf>
              <font>
                <b/>
                <i val="0"/>
                <color theme="1" tint="0.34998626667073579"/>
              </font>
            </x14:dxf>
          </x14:cfRule>
          <xm:sqref>O773:O774 O768:O769 B768:D769</xm:sqref>
        </x14:conditionalFormatting>
        <x14:conditionalFormatting xmlns:xm="http://schemas.microsoft.com/office/excel/2006/main">
          <x14:cfRule type="containsText" priority="20696" operator="containsText" text="eSystems " id="{1C77FC8A-10FE-45C6-9F53-2A718BDE4B5A}">
            <xm:f>NOT(ISERROR(SEARCH("eSystems ",Inputs_RecordsGeneration!#REF!)))</xm:f>
            <x14:dxf>
              <font>
                <b/>
                <i val="0"/>
                <color rgb="FFC00000"/>
              </font>
            </x14:dxf>
          </x14:cfRule>
          <x14:cfRule type="containsText" priority="20697" operator="containsText" text="hSystems " id="{FBD9C220-0547-44B2-8B1E-6C64171C7390}">
            <xm:f>NOT(ISERROR(SEARCH("hSystems ",Inputs_RecordsGeneration!#REF!)))</xm:f>
            <x14:dxf>
              <font>
                <b/>
                <i val="0"/>
                <color rgb="FF0070C0"/>
              </font>
            </x14:dxf>
          </x14:cfRule>
          <x14:cfRule type="containsText" priority="20698" operator="containsText" text="pSystems " id="{CD487AD0-CF46-40D6-AF40-919C9942A1BF}">
            <xm:f>NOT(ISERROR(SEARCH("pSystems ",Inputs_RecordsGeneration!#REF!)))</xm:f>
            <x14:dxf>
              <font>
                <b/>
                <i val="0"/>
                <color theme="1" tint="0.34998626667073579"/>
              </font>
            </x14:dxf>
          </x14:cfRule>
          <xm:sqref>P509:XFB509</xm:sqref>
        </x14:conditionalFormatting>
        <x14:conditionalFormatting xmlns:xm="http://schemas.microsoft.com/office/excel/2006/main">
          <x14:cfRule type="containsText" priority="20708" operator="containsText" text="eSystems " id="{2286C159-2440-4D0C-B0B1-C88E8D67CAE6}">
            <xm:f>NOT(ISERROR(SEARCH("eSystems ",Inputs_RecordsGeneration!#REF!)))</xm:f>
            <x14:dxf>
              <font>
                <b/>
                <i val="0"/>
                <color rgb="FFC00000"/>
              </font>
            </x14:dxf>
          </x14:cfRule>
          <x14:cfRule type="containsText" priority="20709" operator="containsText" text="hSystems " id="{A8334271-CC11-4C33-BB96-94199E0A4099}">
            <xm:f>NOT(ISERROR(SEARCH("hSystems ",Inputs_RecordsGeneration!#REF!)))</xm:f>
            <x14:dxf>
              <font>
                <b/>
                <i val="0"/>
                <color rgb="FF0070C0"/>
              </font>
            </x14:dxf>
          </x14:cfRule>
          <x14:cfRule type="containsText" priority="20710" operator="containsText" text="pSystems " id="{E4DE5251-74CC-43AE-8260-A46121537423}">
            <xm:f>NOT(ISERROR(SEARCH("pSystems ",Inputs_RecordsGeneration!#REF!)))</xm:f>
            <x14:dxf>
              <font>
                <b/>
                <i val="0"/>
                <color theme="1" tint="0.34998626667073579"/>
              </font>
            </x14:dxf>
          </x14:cfRule>
          <xm:sqref>O509 B509:D509</xm:sqref>
        </x14:conditionalFormatting>
        <x14:conditionalFormatting xmlns:xm="http://schemas.microsoft.com/office/excel/2006/main">
          <x14:cfRule type="containsText" priority="52907" operator="containsText" text="eSystems " id="{90424857-CA06-4266-8A27-9F85E6277F8E}">
            <xm:f>NOT(ISERROR(SEARCH("eSystems ",Inputs_RecordsGeneration!#REF!)))</xm:f>
            <x14:dxf>
              <font>
                <b/>
                <i val="0"/>
                <color rgb="FFC00000"/>
              </font>
            </x14:dxf>
          </x14:cfRule>
          <x14:cfRule type="containsText" priority="52908" operator="containsText" text="hSystems " id="{3C9AA55B-5F63-4DF9-9216-040A1E41A589}">
            <xm:f>NOT(ISERROR(SEARCH("hSystems ",Inputs_RecordsGeneration!#REF!)))</xm:f>
            <x14:dxf>
              <font>
                <b/>
                <i val="0"/>
                <color rgb="FF0070C0"/>
              </font>
            </x14:dxf>
          </x14:cfRule>
          <x14:cfRule type="containsText" priority="52909" operator="containsText" text="pSystems " id="{C5CF0190-BA92-4A0A-80E7-73A121483CC6}">
            <xm:f>NOT(ISERROR(SEARCH("pSystems ",Inputs_RecordsGeneration!#REF!)))</xm:f>
            <x14:dxf>
              <font>
                <b/>
                <i val="0"/>
                <color theme="1" tint="0.34998626667073579"/>
              </font>
            </x14:dxf>
          </x14:cfRule>
          <xm:sqref>P186:XFB186</xm:sqref>
        </x14:conditionalFormatting>
        <x14:conditionalFormatting xmlns:xm="http://schemas.microsoft.com/office/excel/2006/main">
          <x14:cfRule type="containsText" priority="52958" operator="containsText" text="eSystems " id="{0CEE7025-910C-4031-928D-5C0F31183D02}">
            <xm:f>NOT(ISERROR(SEARCH("eSystems ",Inputs_RecordsGeneration!#REF!)))</xm:f>
            <x14:dxf>
              <font>
                <b/>
                <i val="0"/>
                <color rgb="FFC00000"/>
              </font>
            </x14:dxf>
          </x14:cfRule>
          <x14:cfRule type="containsText" priority="52959" operator="containsText" text="hSystems " id="{02AEB270-3B5C-4D02-891D-39FF92C62D9B}">
            <xm:f>NOT(ISERROR(SEARCH("hSystems ",Inputs_RecordsGeneration!#REF!)))</xm:f>
            <x14:dxf>
              <font>
                <b/>
                <i val="0"/>
                <color rgb="FF0070C0"/>
              </font>
            </x14:dxf>
          </x14:cfRule>
          <x14:cfRule type="containsText" priority="52960" operator="containsText" text="pSystems " id="{DB72F7F5-F71E-48DD-A67B-15C05002110D}">
            <xm:f>NOT(ISERROR(SEARCH("pSystems ",Inputs_RecordsGeneration!#REF!)))</xm:f>
            <x14:dxf>
              <font>
                <b/>
                <i val="0"/>
                <color theme="1" tint="0.34998626667073579"/>
              </font>
            </x14:dxf>
          </x14:cfRule>
          <xm:sqref>O186 B186:D186</xm:sqref>
        </x14:conditionalFormatting>
        <x14:conditionalFormatting xmlns:xm="http://schemas.microsoft.com/office/excel/2006/main">
          <x14:cfRule type="containsText" priority="64859" operator="containsText" text="eSystems " id="{F28697AD-C48E-41FC-9FC8-8795A2F3D138}">
            <xm:f>NOT(ISERROR(SEARCH("eSystems ",Inputs_RecordsGeneration!Q643)))</xm:f>
            <x14:dxf>
              <font>
                <b/>
                <i val="0"/>
                <color rgb="FFC00000"/>
              </font>
            </x14:dxf>
          </x14:cfRule>
          <x14:cfRule type="containsText" priority="64860" operator="containsText" text="hSystems " id="{F55F47BF-7694-437A-981F-98AA0F3070D9}">
            <xm:f>NOT(ISERROR(SEARCH("hSystems ",Inputs_RecordsGeneration!Q643)))</xm:f>
            <x14:dxf>
              <font>
                <b/>
                <i val="0"/>
                <color rgb="FF0070C0"/>
              </font>
            </x14:dxf>
          </x14:cfRule>
          <x14:cfRule type="containsText" priority="64861" operator="containsText" text="pSystems " id="{DD85F3C2-30A3-4692-98FE-F0C742BC1E4C}">
            <xm:f>NOT(ISERROR(SEARCH("pSystems ",Inputs_RecordsGeneration!Q643)))</xm:f>
            <x14:dxf>
              <font>
                <b/>
                <i val="0"/>
                <color theme="1" tint="0.34998626667073579"/>
              </font>
            </x14:dxf>
          </x14:cfRule>
          <xm:sqref>P901:XFB913 P862:XFB865 P632:XFB644 P590:XFB592</xm:sqref>
        </x14:conditionalFormatting>
        <x14:conditionalFormatting xmlns:xm="http://schemas.microsoft.com/office/excel/2006/main">
          <x14:cfRule type="containsText" priority="67061" operator="containsText" text="eSystems " id="{7BB80493-4EA5-4D34-8197-B52352E839A0}">
            <xm:f>NOT(ISERROR(SEARCH("eSystems ",Inputs_RecordsGeneration!XFB344)))</xm:f>
            <x14:dxf>
              <font>
                <b/>
                <i val="0"/>
                <color rgb="FFC00000"/>
              </font>
            </x14:dxf>
          </x14:cfRule>
          <x14:cfRule type="containsText" priority="67062" operator="containsText" text="hSystems " id="{9744612D-FBA4-48D9-B887-983A366DBA52}">
            <xm:f>NOT(ISERROR(SEARCH("hSystems ",Inputs_RecordsGeneration!XFB344)))</xm:f>
            <x14:dxf>
              <font>
                <b/>
                <i val="0"/>
                <color rgb="FF0070C0"/>
              </font>
            </x14:dxf>
          </x14:cfRule>
          <x14:cfRule type="containsText" priority="67063" operator="containsText" text="pSystems " id="{EE86D31C-9C10-48CD-9A3B-A2514CBF663F}">
            <xm:f>NOT(ISERROR(SEARCH("pSystems ",Inputs_RecordsGeneration!XFB344)))</xm:f>
            <x14:dxf>
              <font>
                <b/>
                <i val="0"/>
                <color theme="1" tint="0.34998626667073579"/>
              </font>
            </x14:dxf>
          </x14:cfRule>
          <xm:sqref>XFC312:XFD324 XFC326:XFD326</xm:sqref>
        </x14:conditionalFormatting>
        <x14:conditionalFormatting xmlns:xm="http://schemas.microsoft.com/office/excel/2006/main">
          <x14:cfRule type="containsText" priority="67073" operator="containsText" text="eSystems " id="{1D98DE42-4691-4C03-A5D4-008B877322E2}">
            <xm:f>NOT(ISERROR(SEARCH("eSystems ",Inputs_RecordsGeneration!Q344)))</xm:f>
            <x14:dxf>
              <font>
                <b/>
                <i val="0"/>
                <color rgb="FFC00000"/>
              </font>
            </x14:dxf>
          </x14:cfRule>
          <x14:cfRule type="containsText" priority="67074" operator="containsText" text="hSystems " id="{1FFC0F63-8479-4E52-AEFF-F2A89F408E03}">
            <xm:f>NOT(ISERROR(SEARCH("hSystems ",Inputs_RecordsGeneration!Q344)))</xm:f>
            <x14:dxf>
              <font>
                <b/>
                <i val="0"/>
                <color rgb="FF0070C0"/>
              </font>
            </x14:dxf>
          </x14:cfRule>
          <x14:cfRule type="containsText" priority="67075" operator="containsText" text="pSystems " id="{02F63C73-F567-4F4D-BF0C-03EBDF6DB2D9}">
            <xm:f>NOT(ISERROR(SEARCH("pSystems ",Inputs_RecordsGeneration!Q344)))</xm:f>
            <x14:dxf>
              <font>
                <b/>
                <i val="0"/>
                <color theme="1" tint="0.34998626667073579"/>
              </font>
            </x14:dxf>
          </x14:cfRule>
          <xm:sqref>P312:XFB324 P326:XFB326</xm:sqref>
        </x14:conditionalFormatting>
        <x14:conditionalFormatting xmlns:xm="http://schemas.microsoft.com/office/excel/2006/main">
          <x14:cfRule type="containsText" priority="67559" operator="containsText" text="eSystems " id="{7875FD2E-F1B7-4DA2-A976-89ED9B3FF457}">
            <xm:f>NOT(ISERROR(SEARCH("eSystems ",Inputs_RecordsGeneration!XFB78)))</xm:f>
            <x14:dxf>
              <font>
                <b/>
                <i val="0"/>
                <color rgb="FFC00000"/>
              </font>
            </x14:dxf>
          </x14:cfRule>
          <x14:cfRule type="containsText" priority="67560" operator="containsText" text="hSystems " id="{645A4C50-B0F2-43D2-A440-80B7C362E4EE}">
            <xm:f>NOT(ISERROR(SEARCH("hSystems ",Inputs_RecordsGeneration!XFB78)))</xm:f>
            <x14:dxf>
              <font>
                <b/>
                <i val="0"/>
                <color rgb="FF0070C0"/>
              </font>
            </x14:dxf>
          </x14:cfRule>
          <x14:cfRule type="containsText" priority="67561" operator="containsText" text="pSystems " id="{0D00D5DD-D388-48CC-ABE6-39420CEDD160}">
            <xm:f>NOT(ISERROR(SEARCH("pSystems ",Inputs_RecordsGeneration!XFB78)))</xm:f>
            <x14:dxf>
              <font>
                <b/>
                <i val="0"/>
                <color theme="1" tint="0.34998626667073579"/>
              </font>
            </x14:dxf>
          </x14:cfRule>
          <xm:sqref>XFC55:XFD67</xm:sqref>
        </x14:conditionalFormatting>
        <x14:conditionalFormatting xmlns:xm="http://schemas.microsoft.com/office/excel/2006/main">
          <x14:cfRule type="containsText" priority="67568" operator="containsText" text="eSystems " id="{1C77FC8A-10FE-45C6-9F53-2A718BDE4B5A}">
            <xm:f>NOT(ISERROR(SEARCH("eSystems ",Inputs_RecordsGeneration!Q78)))</xm:f>
            <x14:dxf>
              <font>
                <b/>
                <i val="0"/>
                <color rgb="FFC00000"/>
              </font>
            </x14:dxf>
          </x14:cfRule>
          <x14:cfRule type="containsText" priority="67569" operator="containsText" text="hSystems " id="{FBD9C220-0547-44B2-8B1E-6C64171C7390}">
            <xm:f>NOT(ISERROR(SEARCH("hSystems ",Inputs_RecordsGeneration!Q78)))</xm:f>
            <x14:dxf>
              <font>
                <b/>
                <i val="0"/>
                <color rgb="FF0070C0"/>
              </font>
            </x14:dxf>
          </x14:cfRule>
          <x14:cfRule type="containsText" priority="67570" operator="containsText" text="pSystems " id="{CD487AD0-CF46-40D6-AF40-919C9942A1BF}">
            <xm:f>NOT(ISERROR(SEARCH("pSystems ",Inputs_RecordsGeneration!Q78)))</xm:f>
            <x14:dxf>
              <font>
                <b/>
                <i val="0"/>
                <color theme="1" tint="0.34998626667073579"/>
              </font>
            </x14:dxf>
          </x14:cfRule>
          <xm:sqref>P55:XFB61</xm:sqref>
        </x14:conditionalFormatting>
        <x14:conditionalFormatting xmlns:xm="http://schemas.microsoft.com/office/excel/2006/main">
          <x14:cfRule type="containsText" priority="67607" operator="containsText" text="eSystems " id="{06FD8684-02EC-4619-B103-24BE8EECCFE6}">
            <xm:f>NOT(ISERROR(SEARCH("eSystems ",Inputs_RecordsGeneration!XFB746)))</xm:f>
            <x14:dxf>
              <font>
                <b/>
                <i val="0"/>
                <color rgb="FFC00000"/>
              </font>
            </x14:dxf>
          </x14:cfRule>
          <x14:cfRule type="containsText" priority="67608" operator="containsText" text="hSystems " id="{79F9831C-B21B-476F-A686-D647FEA06F4E}">
            <xm:f>NOT(ISERROR(SEARCH("hSystems ",Inputs_RecordsGeneration!XFB746)))</xm:f>
            <x14:dxf>
              <font>
                <b/>
                <i val="0"/>
                <color rgb="FF0070C0"/>
              </font>
            </x14:dxf>
          </x14:cfRule>
          <x14:cfRule type="containsText" priority="67609" operator="containsText" text="pSystems " id="{90D8C526-CB15-426C-8877-2DC2CF6FA705}">
            <xm:f>NOT(ISERROR(SEARCH("pSystems ",Inputs_RecordsGeneration!XFB746)))</xm:f>
            <x14:dxf>
              <font>
                <b/>
                <i val="0"/>
                <color theme="1" tint="0.34998626667073579"/>
              </font>
            </x14:dxf>
          </x14:cfRule>
          <xm:sqref>XFC690:XFD702</xm:sqref>
        </x14:conditionalFormatting>
        <x14:conditionalFormatting xmlns:xm="http://schemas.microsoft.com/office/excel/2006/main">
          <x14:cfRule type="containsText" priority="67715" operator="containsText" text="eSystems " id="{2286C159-2440-4D0C-B0B1-C88E8D67CAE6}">
            <xm:f>NOT(ISERROR(SEARCH("eSystems ",Inputs_RecordsGeneration!B72)))</xm:f>
            <x14:dxf>
              <font>
                <b/>
                <i val="0"/>
                <color rgb="FFC00000"/>
              </font>
            </x14:dxf>
          </x14:cfRule>
          <x14:cfRule type="containsText" priority="67716" operator="containsText" text="hSystems " id="{A8334271-CC11-4C33-BB96-94199E0A4099}">
            <xm:f>NOT(ISERROR(SEARCH("hSystems ",Inputs_RecordsGeneration!B72)))</xm:f>
            <x14:dxf>
              <font>
                <b/>
                <i val="0"/>
                <color rgb="FF0070C0"/>
              </font>
            </x14:dxf>
          </x14:cfRule>
          <x14:cfRule type="containsText" priority="67717" operator="containsText" text="pSystems " id="{E4DE5251-74CC-43AE-8260-A46121537423}">
            <xm:f>NOT(ISERROR(SEARCH("pSystems ",Inputs_RecordsGeneration!B72)))</xm:f>
            <x14:dxf>
              <font>
                <b/>
                <i val="0"/>
                <color theme="1" tint="0.34998626667073579"/>
              </font>
            </x14:dxf>
          </x14:cfRule>
          <xm:sqref>O149:O161 B149:D161 B162 O39:O51 B39:D51</xm:sqref>
        </x14:conditionalFormatting>
        <x14:conditionalFormatting xmlns:xm="http://schemas.microsoft.com/office/excel/2006/main">
          <x14:cfRule type="containsText" priority="67769" operator="containsText" text="eSystems " id="{7BB80493-4EA5-4D34-8197-B52352E839A0}">
            <xm:f>NOT(ISERROR(SEARCH("eSystems ",Inputs_RecordsGeneration!XFB72)))</xm:f>
            <x14:dxf>
              <font>
                <b/>
                <i val="0"/>
                <color rgb="FFC00000"/>
              </font>
            </x14:dxf>
          </x14:cfRule>
          <x14:cfRule type="containsText" priority="67770" operator="containsText" text="hSystems " id="{9744612D-FBA4-48D9-B887-983A366DBA52}">
            <xm:f>NOT(ISERROR(SEARCH("hSystems ",Inputs_RecordsGeneration!XFB72)))</xm:f>
            <x14:dxf>
              <font>
                <b/>
                <i val="0"/>
                <color rgb="FF0070C0"/>
              </font>
            </x14:dxf>
          </x14:cfRule>
          <x14:cfRule type="containsText" priority="67771" operator="containsText" text="pSystems " id="{EE86D31C-9C10-48CD-9A3B-A2514CBF663F}">
            <xm:f>NOT(ISERROR(SEARCH("pSystems ",Inputs_RecordsGeneration!XFB72)))</xm:f>
            <x14:dxf>
              <font>
                <b/>
                <i val="0"/>
                <color theme="1" tint="0.34998626667073579"/>
              </font>
            </x14:dxf>
          </x14:cfRule>
          <xm:sqref>XFC149:XFD161 XFC39:XFD51</xm:sqref>
        </x14:conditionalFormatting>
        <x14:conditionalFormatting xmlns:xm="http://schemas.microsoft.com/office/excel/2006/main">
          <x14:cfRule type="containsText" priority="67781" operator="containsText" text="eSystems " id="{1D98DE42-4691-4C03-A5D4-008B877322E2}">
            <xm:f>NOT(ISERROR(SEARCH("eSystems ",Inputs_RecordsGeneration!Q72)))</xm:f>
            <x14:dxf>
              <font>
                <b/>
                <i val="0"/>
                <color rgb="FFC00000"/>
              </font>
            </x14:dxf>
          </x14:cfRule>
          <x14:cfRule type="containsText" priority="67782" operator="containsText" text="hSystems " id="{1FFC0F63-8479-4E52-AEFF-F2A89F408E03}">
            <xm:f>NOT(ISERROR(SEARCH("hSystems ",Inputs_RecordsGeneration!Q72)))</xm:f>
            <x14:dxf>
              <font>
                <b/>
                <i val="0"/>
                <color rgb="FF0070C0"/>
              </font>
            </x14:dxf>
          </x14:cfRule>
          <x14:cfRule type="containsText" priority="67783" operator="containsText" text="pSystems " id="{02F63C73-F567-4F4D-BF0C-03EBDF6DB2D9}">
            <xm:f>NOT(ISERROR(SEARCH("pSystems ",Inputs_RecordsGeneration!Q72)))</xm:f>
            <x14:dxf>
              <font>
                <b/>
                <i val="0"/>
                <color theme="1" tint="0.34998626667073579"/>
              </font>
            </x14:dxf>
          </x14:cfRule>
          <xm:sqref>P149:XFB161 P39:XFB51</xm:sqref>
        </x14:conditionalFormatting>
        <x14:conditionalFormatting xmlns:xm="http://schemas.microsoft.com/office/excel/2006/main">
          <x14:cfRule type="containsText" priority="68327" operator="containsText" text="eSystems " id="{F28697AD-C48E-41FC-9FC8-8795A2F3D138}">
            <xm:f>NOT(ISERROR(SEARCH("eSystems ",Inputs_RecordsGeneration!Q176)))</xm:f>
            <x14:dxf>
              <font>
                <b/>
                <i val="0"/>
                <color rgb="FFC00000"/>
              </font>
            </x14:dxf>
          </x14:cfRule>
          <x14:cfRule type="containsText" priority="68328" operator="containsText" text="hSystems " id="{F55F47BF-7694-437A-981F-98AA0F3070D9}">
            <xm:f>NOT(ISERROR(SEARCH("hSystems ",Inputs_RecordsGeneration!Q176)))</xm:f>
            <x14:dxf>
              <font>
                <b/>
                <i val="0"/>
                <color rgb="FF0070C0"/>
              </font>
            </x14:dxf>
          </x14:cfRule>
          <x14:cfRule type="containsText" priority="68329" operator="containsText" text="pSystems " id="{DD85F3C2-30A3-4692-98FE-F0C742BC1E4C}">
            <xm:f>NOT(ISERROR(SEARCH("pSystems ",Inputs_RecordsGeneration!Q176)))</xm:f>
            <x14:dxf>
              <font>
                <b/>
                <i val="0"/>
                <color theme="1" tint="0.34998626667073579"/>
              </font>
            </x14:dxf>
          </x14:cfRule>
          <xm:sqref>P917:XFB929 P872:XFB881 P133:XFB145</xm:sqref>
        </x14:conditionalFormatting>
        <x14:conditionalFormatting xmlns:xm="http://schemas.microsoft.com/office/excel/2006/main">
          <x14:cfRule type="containsText" priority="68960" operator="containsText" text="eSystems " id="{1C77FC8A-10FE-45C6-9F53-2A718BDE4B5A}">
            <xm:f>NOT(ISERROR(SEARCH("eSystems ",Inputs_RecordsGeneration!Q87)))</xm:f>
            <x14:dxf>
              <font>
                <b/>
                <i val="0"/>
                <color rgb="FFC00000"/>
              </font>
            </x14:dxf>
          </x14:cfRule>
          <x14:cfRule type="containsText" priority="68961" operator="containsText" text="hSystems " id="{FBD9C220-0547-44B2-8B1E-6C64171C7390}">
            <xm:f>NOT(ISERROR(SEARCH("hSystems ",Inputs_RecordsGeneration!Q87)))</xm:f>
            <x14:dxf>
              <font>
                <b/>
                <i val="0"/>
                <color rgb="FF0070C0"/>
              </font>
            </x14:dxf>
          </x14:cfRule>
          <x14:cfRule type="containsText" priority="68962" operator="containsText" text="pSystems " id="{CD487AD0-CF46-40D6-AF40-919C9942A1BF}">
            <xm:f>NOT(ISERROR(SEARCH("pSystems ",Inputs_RecordsGeneration!Q87)))</xm:f>
            <x14:dxf>
              <font>
                <b/>
                <i val="0"/>
                <color theme="1" tint="0.34998626667073579"/>
              </font>
            </x14:dxf>
          </x14:cfRule>
          <xm:sqref>P62:XFB63</xm:sqref>
        </x14:conditionalFormatting>
        <x14:conditionalFormatting xmlns:xm="http://schemas.microsoft.com/office/excel/2006/main">
          <x14:cfRule type="containsText" priority="68963" operator="containsText" text="eSystems " id="{011255F5-2EA0-4878-AA87-C968FA6CB1C4}">
            <xm:f>NOT(ISERROR(SEARCH("eSystems ",Inputs_RecordsGeneration!B746)))</xm:f>
            <x14:dxf>
              <font>
                <b/>
                <i val="0"/>
                <color rgb="FFC00000"/>
              </font>
            </x14:dxf>
          </x14:cfRule>
          <x14:cfRule type="containsText" priority="68964" operator="containsText" text="hSystems " id="{8C7901BF-37B3-456F-9F67-AEE744728419}">
            <xm:f>NOT(ISERROR(SEARCH("hSystems ",Inputs_RecordsGeneration!B746)))</xm:f>
            <x14:dxf>
              <font>
                <b/>
                <i val="0"/>
                <color rgb="FF0070C0"/>
              </font>
            </x14:dxf>
          </x14:cfRule>
          <x14:cfRule type="containsText" priority="68965" operator="containsText" text="pSystems " id="{6AE73927-498F-442B-A900-835806C3B447}">
            <xm:f>NOT(ISERROR(SEARCH("pSystems ",Inputs_RecordsGeneration!B746)))</xm:f>
            <x14:dxf>
              <font>
                <b/>
                <i val="0"/>
                <color theme="1" tint="0.34998626667073579"/>
              </font>
            </x14:dxf>
          </x14:cfRule>
          <xm:sqref>O898:O899 O690:O702 B690:D702</xm:sqref>
        </x14:conditionalFormatting>
        <x14:conditionalFormatting xmlns:xm="http://schemas.microsoft.com/office/excel/2006/main">
          <x14:cfRule type="containsText" priority="69023" operator="containsText" text="eSystems " id="{2286C159-2440-4D0C-B0B1-C88E8D67CAE6}">
            <xm:f>NOT(ISERROR(SEARCH("eSystems ",Inputs_RecordsGeneration!B795)))</xm:f>
            <x14:dxf>
              <font>
                <b/>
                <i val="0"/>
                <color rgb="FFC00000"/>
              </font>
            </x14:dxf>
          </x14:cfRule>
          <x14:cfRule type="containsText" priority="69024" operator="containsText" text="hSystems " id="{A8334271-CC11-4C33-BB96-94199E0A4099}">
            <xm:f>NOT(ISERROR(SEARCH("hSystems ",Inputs_RecordsGeneration!B795)))</xm:f>
            <x14:dxf>
              <font>
                <b/>
                <i val="0"/>
                <color rgb="FF0070C0"/>
              </font>
            </x14:dxf>
          </x14:cfRule>
          <x14:cfRule type="containsText" priority="69025" operator="containsText" text="pSystems " id="{E4DE5251-74CC-43AE-8260-A46121537423}">
            <xm:f>NOT(ISERROR(SEARCH("pSystems ",Inputs_RecordsGeneration!B795)))</xm:f>
            <x14:dxf>
              <font>
                <b/>
                <i val="0"/>
                <color theme="1" tint="0.34998626667073579"/>
              </font>
            </x14:dxf>
          </x14:cfRule>
          <xm:sqref>B725:D737 O725:O737</xm:sqref>
        </x14:conditionalFormatting>
        <x14:conditionalFormatting xmlns:xm="http://schemas.microsoft.com/office/excel/2006/main">
          <x14:cfRule type="containsText" priority="69044" operator="containsText" text="eSystems " id="{7875FD2E-F1B7-4DA2-A976-89ED9B3FF457}">
            <xm:f>NOT(ISERROR(SEARCH("eSystems ",Inputs_RecordsGeneration!XFB795)))</xm:f>
            <x14:dxf>
              <font>
                <b/>
                <i val="0"/>
                <color rgb="FFC00000"/>
              </font>
            </x14:dxf>
          </x14:cfRule>
          <x14:cfRule type="containsText" priority="69045" operator="containsText" text="hSystems " id="{645A4C50-B0F2-43D2-A440-80B7C362E4EE}">
            <xm:f>NOT(ISERROR(SEARCH("hSystems ",Inputs_RecordsGeneration!XFB795)))</xm:f>
            <x14:dxf>
              <font>
                <b/>
                <i val="0"/>
                <color rgb="FF0070C0"/>
              </font>
            </x14:dxf>
          </x14:cfRule>
          <x14:cfRule type="containsText" priority="69046" operator="containsText" text="pSystems " id="{0D00D5DD-D388-48CC-ABE6-39420CEDD160}">
            <xm:f>NOT(ISERROR(SEARCH("pSystems ",Inputs_RecordsGeneration!XFB795)))</xm:f>
            <x14:dxf>
              <font>
                <b/>
                <i val="0"/>
                <color theme="1" tint="0.34998626667073579"/>
              </font>
            </x14:dxf>
          </x14:cfRule>
          <xm:sqref>XFC725:XFD737</xm:sqref>
        </x14:conditionalFormatting>
        <x14:conditionalFormatting xmlns:xm="http://schemas.microsoft.com/office/excel/2006/main">
          <x14:cfRule type="containsText" priority="69050" operator="containsText" text="eSystems " id="{1C77FC8A-10FE-45C6-9F53-2A718BDE4B5A}">
            <xm:f>NOT(ISERROR(SEARCH("eSystems ",Inputs_RecordsGeneration!Q795)))</xm:f>
            <x14:dxf>
              <font>
                <b/>
                <i val="0"/>
                <color rgb="FFC00000"/>
              </font>
            </x14:dxf>
          </x14:cfRule>
          <x14:cfRule type="containsText" priority="69051" operator="containsText" text="hSystems " id="{FBD9C220-0547-44B2-8B1E-6C64171C7390}">
            <xm:f>NOT(ISERROR(SEARCH("hSystems ",Inputs_RecordsGeneration!Q795)))</xm:f>
            <x14:dxf>
              <font>
                <b/>
                <i val="0"/>
                <color rgb="FF0070C0"/>
              </font>
            </x14:dxf>
          </x14:cfRule>
          <x14:cfRule type="containsText" priority="69052" operator="containsText" text="pSystems " id="{CD487AD0-CF46-40D6-AF40-919C9942A1BF}">
            <xm:f>NOT(ISERROR(SEARCH("pSystems ",Inputs_RecordsGeneration!Q795)))</xm:f>
            <x14:dxf>
              <font>
                <b/>
                <i val="0"/>
                <color theme="1" tint="0.34998626667073579"/>
              </font>
            </x14:dxf>
          </x14:cfRule>
          <xm:sqref>P725:XFB737</xm:sqref>
        </x14:conditionalFormatting>
        <x14:conditionalFormatting xmlns:xm="http://schemas.microsoft.com/office/excel/2006/main">
          <x14:cfRule type="containsText" priority="69074" operator="containsText" text="eSystems " id="{2286C159-2440-4D0C-B0B1-C88E8D67CAE6}">
            <xm:f>NOT(ISERROR(SEARCH("eSystems ",Inputs_RecordsGeneration!B59)))</xm:f>
            <x14:dxf>
              <font>
                <b/>
                <i val="0"/>
                <color rgb="FFC00000"/>
              </font>
            </x14:dxf>
          </x14:cfRule>
          <x14:cfRule type="containsText" priority="69075" operator="containsText" text="hSystems " id="{A8334271-CC11-4C33-BB96-94199E0A4099}">
            <xm:f>NOT(ISERROR(SEARCH("hSystems ",Inputs_RecordsGeneration!B59)))</xm:f>
            <x14:dxf>
              <font>
                <b/>
                <i val="0"/>
                <color rgb="FF0070C0"/>
              </font>
            </x14:dxf>
          </x14:cfRule>
          <x14:cfRule type="containsText" priority="69076" operator="containsText" text="pSystems " id="{E4DE5251-74CC-43AE-8260-A46121537423}">
            <xm:f>NOT(ISERROR(SEARCH("pSystems ",Inputs_RecordsGeneration!B59)))</xm:f>
            <x14:dxf>
              <font>
                <b/>
                <i val="0"/>
                <color theme="1" tint="0.34998626667073579"/>
              </font>
            </x14:dxf>
          </x14:cfRule>
          <xm:sqref>O310:O322 C310:D322 B24:D35 O24:O35</xm:sqref>
        </x14:conditionalFormatting>
        <x14:conditionalFormatting xmlns:xm="http://schemas.microsoft.com/office/excel/2006/main">
          <x14:cfRule type="containsText" priority="69104" operator="containsText" text="eSystems " id="{90424857-CA06-4266-8A27-9F85E6277F8E}">
            <xm:f>NOT(ISERROR(SEARCH("eSystems ",Inputs_RecordsGeneration!Q845)))</xm:f>
            <x14:dxf>
              <font>
                <b/>
                <i val="0"/>
                <color rgb="FFC00000"/>
              </font>
            </x14:dxf>
          </x14:cfRule>
          <x14:cfRule type="containsText" priority="69105" operator="containsText" text="hSystems " id="{3C9AA55B-5F63-4DF9-9216-040A1E41A589}">
            <xm:f>NOT(ISERROR(SEARCH("hSystems ",Inputs_RecordsGeneration!Q845)))</xm:f>
            <x14:dxf>
              <font>
                <b/>
                <i val="0"/>
                <color rgb="FF0070C0"/>
              </font>
            </x14:dxf>
          </x14:cfRule>
          <x14:cfRule type="containsText" priority="69106" operator="containsText" text="pSystems " id="{C5CF0190-BA92-4A0A-80E7-73A121483CC6}">
            <xm:f>NOT(ISERROR(SEARCH("pSystems ",Inputs_RecordsGeneration!Q845)))</xm:f>
            <x14:dxf>
              <font>
                <b/>
                <i val="0"/>
                <color theme="1" tint="0.34998626667073579"/>
              </font>
            </x14:dxf>
          </x14:cfRule>
          <xm:sqref>P768:XFB769</xm:sqref>
        </x14:conditionalFormatting>
        <x14:conditionalFormatting xmlns:xm="http://schemas.microsoft.com/office/excel/2006/main">
          <x14:cfRule type="containsText" priority="69113" operator="containsText" text="eSystems " id="{7BB80493-4EA5-4D34-8197-B52352E839A0}">
            <xm:f>NOT(ISERROR(SEARCH("eSystems ",Inputs_RecordsGeneration!XFB59)))</xm:f>
            <x14:dxf>
              <font>
                <b/>
                <i val="0"/>
                <color rgb="FFC00000"/>
              </font>
            </x14:dxf>
          </x14:cfRule>
          <x14:cfRule type="containsText" priority="69114" operator="containsText" text="hSystems " id="{9744612D-FBA4-48D9-B887-983A366DBA52}">
            <xm:f>NOT(ISERROR(SEARCH("hSystems ",Inputs_RecordsGeneration!XFB59)))</xm:f>
            <x14:dxf>
              <font>
                <b/>
                <i val="0"/>
                <color rgb="FF0070C0"/>
              </font>
            </x14:dxf>
          </x14:cfRule>
          <x14:cfRule type="containsText" priority="69115" operator="containsText" text="pSystems " id="{EE86D31C-9C10-48CD-9A3B-A2514CBF663F}">
            <xm:f>NOT(ISERROR(SEARCH("pSystems ",Inputs_RecordsGeneration!XFB59)))</xm:f>
            <x14:dxf>
              <font>
                <b/>
                <i val="0"/>
                <color theme="1" tint="0.34998626667073579"/>
              </font>
            </x14:dxf>
          </x14:cfRule>
          <xm:sqref>XFC24:XFD35</xm:sqref>
        </x14:conditionalFormatting>
        <x14:conditionalFormatting xmlns:xm="http://schemas.microsoft.com/office/excel/2006/main">
          <x14:cfRule type="containsText" priority="69122" operator="containsText" text="eSystems " id="{1D98DE42-4691-4C03-A5D4-008B877322E2}">
            <xm:f>NOT(ISERROR(SEARCH("eSystems ",Inputs_RecordsGeneration!Q59)))</xm:f>
            <x14:dxf>
              <font>
                <b/>
                <i val="0"/>
                <color rgb="FFC00000"/>
              </font>
            </x14:dxf>
          </x14:cfRule>
          <x14:cfRule type="containsText" priority="69123" operator="containsText" text="hSystems " id="{1FFC0F63-8479-4E52-AEFF-F2A89F408E03}">
            <xm:f>NOT(ISERROR(SEARCH("hSystems ",Inputs_RecordsGeneration!Q59)))</xm:f>
            <x14:dxf>
              <font>
                <b/>
                <i val="0"/>
                <color rgb="FF0070C0"/>
              </font>
            </x14:dxf>
          </x14:cfRule>
          <x14:cfRule type="containsText" priority="69124" operator="containsText" text="pSystems " id="{02F63C73-F567-4F4D-BF0C-03EBDF6DB2D9}">
            <xm:f>NOT(ISERROR(SEARCH("pSystems ",Inputs_RecordsGeneration!Q59)))</xm:f>
            <x14:dxf>
              <font>
                <b/>
                <i val="0"/>
                <color theme="1" tint="0.34998626667073579"/>
              </font>
            </x14:dxf>
          </x14:cfRule>
          <xm:sqref>P24:XFB35</xm:sqref>
        </x14:conditionalFormatting>
        <x14:conditionalFormatting xmlns:xm="http://schemas.microsoft.com/office/excel/2006/main">
          <x14:cfRule type="containsText" priority="69161" operator="containsText" text="eSystems " id="{9915B1F5-2C6F-4C07-B768-0A8A935DBF9B}">
            <xm:f>NOT(ISERROR(SEARCH("eSystems ",Inputs_RecordsGeneration!B87)))</xm:f>
            <x14:dxf>
              <font>
                <b/>
                <i val="0"/>
                <color rgb="FFC00000"/>
              </font>
            </x14:dxf>
          </x14:cfRule>
          <x14:cfRule type="containsText" priority="69162" operator="containsText" text="hSystems " id="{8A940A0E-5BB3-47A3-8D38-720E046905AE}">
            <xm:f>NOT(ISERROR(SEARCH("hSystems ",Inputs_RecordsGeneration!B87)))</xm:f>
            <x14:dxf>
              <font>
                <b/>
                <i val="0"/>
                <color rgb="FF0070C0"/>
              </font>
            </x14:dxf>
          </x14:cfRule>
          <x14:cfRule type="containsText" priority="69163" operator="containsText" text="pSystems " id="{3011A043-22A5-4C0A-99A9-EC7AD6DE305C}">
            <xm:f>NOT(ISERROR(SEARCH("pSystems ",Inputs_RecordsGeneration!B87)))</xm:f>
            <x14:dxf>
              <font>
                <b/>
                <i val="0"/>
                <color theme="1" tint="0.34998626667073579"/>
              </font>
            </x14:dxf>
          </x14:cfRule>
          <xm:sqref>O62:O63 B62:D63</xm:sqref>
        </x14:conditionalFormatting>
        <x14:conditionalFormatting xmlns:xm="http://schemas.microsoft.com/office/excel/2006/main">
          <x14:cfRule type="containsText" priority="69632" operator="containsText" text="eSystems " id="{1C77FC8A-10FE-45C6-9F53-2A718BDE4B5A}">
            <xm:f>NOT(ISERROR(SEARCH("eSystems ",Inputs_RecordsGeneration!Q90)))</xm:f>
            <x14:dxf>
              <font>
                <b/>
                <i val="0"/>
                <color rgb="FFC00000"/>
              </font>
            </x14:dxf>
          </x14:cfRule>
          <x14:cfRule type="containsText" priority="69633" operator="containsText" text="hSystems " id="{FBD9C220-0547-44B2-8B1E-6C64171C7390}">
            <xm:f>NOT(ISERROR(SEARCH("hSystems ",Inputs_RecordsGeneration!Q90)))</xm:f>
            <x14:dxf>
              <font>
                <b/>
                <i val="0"/>
                <color rgb="FF0070C0"/>
              </font>
            </x14:dxf>
          </x14:cfRule>
          <x14:cfRule type="containsText" priority="69634" operator="containsText" text="pSystems " id="{CD487AD0-CF46-40D6-AF40-919C9942A1BF}">
            <xm:f>NOT(ISERROR(SEARCH("pSystems ",Inputs_RecordsGeneration!Q90)))</xm:f>
            <x14:dxf>
              <font>
                <b/>
                <i val="0"/>
                <color theme="1" tint="0.34998626667073579"/>
              </font>
            </x14:dxf>
          </x14:cfRule>
          <xm:sqref>P64:XFB67</xm:sqref>
        </x14:conditionalFormatting>
        <x14:conditionalFormatting xmlns:xm="http://schemas.microsoft.com/office/excel/2006/main">
          <x14:cfRule type="containsText" priority="69674" operator="containsText" text="eSystems " id="{2286C159-2440-4D0C-B0B1-C88E8D67CAE6}">
            <xm:f>NOT(ISERROR(SEARCH("eSystems ",Inputs_RecordsGeneration!O740)))</xm:f>
            <x14:dxf>
              <font>
                <b/>
                <i val="0"/>
                <color rgb="FFC00000"/>
              </font>
            </x14:dxf>
          </x14:cfRule>
          <x14:cfRule type="containsText" priority="69675" operator="containsText" text="hSystems " id="{A8334271-CC11-4C33-BB96-94199E0A4099}">
            <xm:f>NOT(ISERROR(SEARCH("hSystems ",Inputs_RecordsGeneration!O740)))</xm:f>
            <x14:dxf>
              <font>
                <b/>
                <i val="0"/>
                <color rgb="FF0070C0"/>
              </font>
            </x14:dxf>
          </x14:cfRule>
          <x14:cfRule type="containsText" priority="69676" operator="containsText" text="pSystems " id="{E4DE5251-74CC-43AE-8260-A46121537423}">
            <xm:f>NOT(ISERROR(SEARCH("pSystems ",Inputs_RecordsGeneration!O740)))</xm:f>
            <x14:dxf>
              <font>
                <b/>
                <i val="0"/>
                <color theme="1" tint="0.34998626667073579"/>
              </font>
            </x14:dxf>
          </x14:cfRule>
          <xm:sqref>O671:O672</xm:sqref>
        </x14:conditionalFormatting>
        <x14:conditionalFormatting xmlns:xm="http://schemas.microsoft.com/office/excel/2006/main">
          <x14:cfRule type="containsText" priority="69788" operator="containsText" text="eSystems " id="{9915B1F5-2C6F-4C07-B768-0A8A935DBF9B}">
            <xm:f>NOT(ISERROR(SEARCH("eSystems ",Inputs_RecordsGeneration!B90)))</xm:f>
            <x14:dxf>
              <font>
                <b/>
                <i val="0"/>
                <color rgb="FFC00000"/>
              </font>
            </x14:dxf>
          </x14:cfRule>
          <x14:cfRule type="containsText" priority="69789" operator="containsText" text="hSystems " id="{8A940A0E-5BB3-47A3-8D38-720E046905AE}">
            <xm:f>NOT(ISERROR(SEARCH("hSystems ",Inputs_RecordsGeneration!B90)))</xm:f>
            <x14:dxf>
              <font>
                <b/>
                <i val="0"/>
                <color rgb="FF0070C0"/>
              </font>
            </x14:dxf>
          </x14:cfRule>
          <x14:cfRule type="containsText" priority="69790" operator="containsText" text="pSystems " id="{3011A043-22A5-4C0A-99A9-EC7AD6DE305C}">
            <xm:f>NOT(ISERROR(SEARCH("pSystems ",Inputs_RecordsGeneration!B90)))</xm:f>
            <x14:dxf>
              <font>
                <b/>
                <i val="0"/>
                <color theme="1" tint="0.34998626667073579"/>
              </font>
            </x14:dxf>
          </x14:cfRule>
          <xm:sqref>O64:O67 B64:D67</xm:sqref>
        </x14:conditionalFormatting>
        <x14:conditionalFormatting xmlns:xm="http://schemas.microsoft.com/office/excel/2006/main">
          <x14:cfRule type="containsText" priority="70397" operator="containsText" text="eSystems " id="{7EDFA699-2B97-4AF1-84DE-F4C7CD107C17}">
            <xm:f>NOT(ISERROR(SEARCH("eSystems ",Inputs_RecordsGeneration!O795)))</xm:f>
            <x14:dxf>
              <font>
                <b/>
                <i val="0"/>
                <color rgb="FFC00000"/>
              </font>
            </x14:dxf>
          </x14:cfRule>
          <x14:cfRule type="containsText" priority="70398" operator="containsText" text="hSystems " id="{F3C7EC9A-6751-45D3-93A3-2F3BE699133D}">
            <xm:f>NOT(ISERROR(SEARCH("hSystems ",Inputs_RecordsGeneration!O795)))</xm:f>
            <x14:dxf>
              <font>
                <b/>
                <i val="0"/>
                <color rgb="FF0070C0"/>
              </font>
            </x14:dxf>
          </x14:cfRule>
          <x14:cfRule type="containsText" priority="70399" operator="containsText" text="pSystems " id="{E21508DB-E9FD-4C10-A2EA-64641F6E539D}">
            <xm:f>NOT(ISERROR(SEARCH("pSystems ",Inputs_RecordsGeneration!O795)))</xm:f>
            <x14:dxf>
              <font>
                <b/>
                <i val="0"/>
                <color theme="1" tint="0.34998626667073579"/>
              </font>
            </x14:dxf>
          </x14:cfRule>
          <xm:sqref>O722:O723</xm:sqref>
        </x14:conditionalFormatting>
        <x14:conditionalFormatting xmlns:xm="http://schemas.microsoft.com/office/excel/2006/main">
          <x14:cfRule type="containsText" priority="70862" operator="containsText" text="eSystems " id="{7875FD2E-F1B7-4DA2-A976-89ED9B3FF457}">
            <xm:f>NOT(ISERROR(SEARCH("eSystems ",Inputs_RecordsGeneration!XFB129)))</xm:f>
            <x14:dxf>
              <font>
                <b/>
                <i val="0"/>
                <color rgb="FFC00000"/>
              </font>
            </x14:dxf>
          </x14:cfRule>
          <x14:cfRule type="containsText" priority="70863" operator="containsText" text="hSystems " id="{645A4C50-B0F2-43D2-A440-80B7C362E4EE}">
            <xm:f>NOT(ISERROR(SEARCH("hSystems ",Inputs_RecordsGeneration!XFB129)))</xm:f>
            <x14:dxf>
              <font>
                <b/>
                <i val="0"/>
                <color rgb="FF0070C0"/>
              </font>
            </x14:dxf>
          </x14:cfRule>
          <x14:cfRule type="containsText" priority="70864" operator="containsText" text="pSystems " id="{0D00D5DD-D388-48CC-ABE6-39420CEDD160}">
            <xm:f>NOT(ISERROR(SEARCH("pSystems ",Inputs_RecordsGeneration!XFB129)))</xm:f>
            <x14:dxf>
              <font>
                <b/>
                <i val="0"/>
                <color theme="1" tint="0.34998626667073579"/>
              </font>
            </x14:dxf>
          </x14:cfRule>
          <xm:sqref>XFC102:XFD114</xm:sqref>
        </x14:conditionalFormatting>
        <x14:conditionalFormatting xmlns:xm="http://schemas.microsoft.com/office/excel/2006/main">
          <x14:cfRule type="containsText" priority="70871" operator="containsText" text="eSystems " id="{1C77FC8A-10FE-45C6-9F53-2A718BDE4B5A}">
            <xm:f>NOT(ISERROR(SEARCH("eSystems ",Inputs_RecordsGeneration!Q129)))</xm:f>
            <x14:dxf>
              <font>
                <b/>
                <i val="0"/>
                <color rgb="FFC00000"/>
              </font>
            </x14:dxf>
          </x14:cfRule>
          <x14:cfRule type="containsText" priority="70872" operator="containsText" text="hSystems " id="{FBD9C220-0547-44B2-8B1E-6C64171C7390}">
            <xm:f>NOT(ISERROR(SEARCH("hSystems ",Inputs_RecordsGeneration!Q129)))</xm:f>
            <x14:dxf>
              <font>
                <b/>
                <i val="0"/>
                <color rgb="FF0070C0"/>
              </font>
            </x14:dxf>
          </x14:cfRule>
          <x14:cfRule type="containsText" priority="70873" operator="containsText" text="pSystems " id="{CD487AD0-CF46-40D6-AF40-919C9942A1BF}">
            <xm:f>NOT(ISERROR(SEARCH("pSystems ",Inputs_RecordsGeneration!Q129)))</xm:f>
            <x14:dxf>
              <font>
                <b/>
                <i val="0"/>
                <color theme="1" tint="0.34998626667073579"/>
              </font>
            </x14:dxf>
          </x14:cfRule>
          <xm:sqref>P102:XFB114</xm:sqref>
        </x14:conditionalFormatting>
        <x14:conditionalFormatting xmlns:xm="http://schemas.microsoft.com/office/excel/2006/main">
          <x14:cfRule type="containsText" priority="71069" operator="containsText" text="eSystems " id="{9915B1F5-2C6F-4C07-B768-0A8A935DBF9B}">
            <xm:f>NOT(ISERROR(SEARCH("eSystems ",Inputs_RecordsGeneration!B129)))</xm:f>
            <x14:dxf>
              <font>
                <b/>
                <i val="0"/>
                <color rgb="FFC00000"/>
              </font>
            </x14:dxf>
          </x14:cfRule>
          <x14:cfRule type="containsText" priority="71070" operator="containsText" text="hSystems " id="{8A940A0E-5BB3-47A3-8D38-720E046905AE}">
            <xm:f>NOT(ISERROR(SEARCH("hSystems ",Inputs_RecordsGeneration!B129)))</xm:f>
            <x14:dxf>
              <font>
                <b/>
                <i val="0"/>
                <color rgb="FF0070C0"/>
              </font>
            </x14:dxf>
          </x14:cfRule>
          <x14:cfRule type="containsText" priority="71071" operator="containsText" text="pSystems " id="{3011A043-22A5-4C0A-99A9-EC7AD6DE305C}">
            <xm:f>NOT(ISERROR(SEARCH("pSystems ",Inputs_RecordsGeneration!B129)))</xm:f>
            <x14:dxf>
              <font>
                <b/>
                <i val="0"/>
                <color theme="1" tint="0.34998626667073579"/>
              </font>
            </x14:dxf>
          </x14:cfRule>
          <xm:sqref>O102:O114 B102:D114</xm:sqref>
        </x14:conditionalFormatting>
        <x14:conditionalFormatting xmlns:xm="http://schemas.microsoft.com/office/excel/2006/main">
          <x14:cfRule type="containsText" priority="72053" operator="containsText" text="eSystems " id="{7875FD2E-F1B7-4DA2-A976-89ED9B3FF457}">
            <xm:f>NOT(ISERROR(SEARCH("eSystems ",Inputs_RecordsGeneration!XFB176)))</xm:f>
            <x14:dxf>
              <font>
                <b/>
                <i val="0"/>
                <color rgb="FFC00000"/>
              </font>
            </x14:dxf>
          </x14:cfRule>
          <x14:cfRule type="containsText" priority="72054" operator="containsText" text="hSystems " id="{645A4C50-B0F2-43D2-A440-80B7C362E4EE}">
            <xm:f>NOT(ISERROR(SEARCH("hSystems ",Inputs_RecordsGeneration!XFB176)))</xm:f>
            <x14:dxf>
              <font>
                <b/>
                <i val="0"/>
                <color rgb="FF0070C0"/>
              </font>
            </x14:dxf>
          </x14:cfRule>
          <x14:cfRule type="containsText" priority="72055" operator="containsText" text="pSystems " id="{0D00D5DD-D388-48CC-ABE6-39420CEDD160}">
            <xm:f>NOT(ISERROR(SEARCH("pSystems ",Inputs_RecordsGeneration!XFB176)))</xm:f>
            <x14:dxf>
              <font>
                <b/>
                <i val="0"/>
                <color theme="1" tint="0.34998626667073579"/>
              </font>
            </x14:dxf>
          </x14:cfRule>
          <xm:sqref>XFC917:XFD929 XFC133:XFD145</xm:sqref>
        </x14:conditionalFormatting>
        <x14:conditionalFormatting xmlns:xm="http://schemas.microsoft.com/office/excel/2006/main">
          <x14:cfRule type="containsText" priority="72059" operator="containsText" text="eSystems " id="{1C77FC8A-10FE-45C6-9F53-2A718BDE4B5A}">
            <xm:f>NOT(ISERROR(SEARCH("eSystems ",Inputs_RecordsGeneration!Q220)))</xm:f>
            <x14:dxf>
              <font>
                <b/>
                <i val="0"/>
                <color rgb="FFC00000"/>
              </font>
            </x14:dxf>
          </x14:cfRule>
          <x14:cfRule type="containsText" priority="72060" operator="containsText" text="hSystems " id="{FBD9C220-0547-44B2-8B1E-6C64171C7390}">
            <xm:f>NOT(ISERROR(SEARCH("hSystems ",Inputs_RecordsGeneration!Q220)))</xm:f>
            <x14:dxf>
              <font>
                <b/>
                <i val="0"/>
                <color rgb="FF0070C0"/>
              </font>
            </x14:dxf>
          </x14:cfRule>
          <x14:cfRule type="containsText" priority="72061" operator="containsText" text="pSystems " id="{CD487AD0-CF46-40D6-AF40-919C9942A1BF}">
            <xm:f>NOT(ISERROR(SEARCH("pSystems ",Inputs_RecordsGeneration!Q220)))</xm:f>
            <x14:dxf>
              <font>
                <b/>
                <i val="0"/>
                <color theme="1" tint="0.34998626667073579"/>
              </font>
            </x14:dxf>
          </x14:cfRule>
          <xm:sqref>P176:XFB183 P869:XFB870</xm:sqref>
        </x14:conditionalFormatting>
        <x14:conditionalFormatting xmlns:xm="http://schemas.microsoft.com/office/excel/2006/main">
          <x14:cfRule type="containsText" priority="72149" operator="containsText" text="eSystems " id="{2286C159-2440-4D0C-B0B1-C88E8D67CAE6}">
            <xm:f>NOT(ISERROR(SEARCH("eSystems ",Inputs_RecordsGeneration!B643)))</xm:f>
            <x14:dxf>
              <font>
                <b/>
                <i val="0"/>
                <color rgb="FFC00000"/>
              </font>
            </x14:dxf>
          </x14:cfRule>
          <x14:cfRule type="containsText" priority="72150" operator="containsText" text="hSystems " id="{A8334271-CC11-4C33-BB96-94199E0A4099}">
            <xm:f>NOT(ISERROR(SEARCH("hSystems ",Inputs_RecordsGeneration!B643)))</xm:f>
            <x14:dxf>
              <font>
                <b/>
                <i val="0"/>
                <color rgb="FF0070C0"/>
              </font>
            </x14:dxf>
          </x14:cfRule>
          <x14:cfRule type="containsText" priority="72151" operator="containsText" text="pSystems " id="{E4DE5251-74CC-43AE-8260-A46121537423}">
            <xm:f>NOT(ISERROR(SEARCH("pSystems ",Inputs_RecordsGeneration!B643)))</xm:f>
            <x14:dxf>
              <font>
                <b/>
                <i val="0"/>
                <color theme="1" tint="0.34998626667073579"/>
              </font>
            </x14:dxf>
          </x14:cfRule>
          <xm:sqref>O901:O913 O862:O865 B862:D865 B901:D913 O632:O644 B590:D592 B632:D644 O590:O592</xm:sqref>
        </x14:conditionalFormatting>
        <x14:conditionalFormatting xmlns:xm="http://schemas.microsoft.com/office/excel/2006/main">
          <x14:cfRule type="containsText" priority="72203" operator="containsText" text="eSystems " id="{7BB80493-4EA5-4D34-8197-B52352E839A0}">
            <xm:f>NOT(ISERROR(SEARCH("eSystems ",Inputs_RecordsGeneration!XFB685)))</xm:f>
            <x14:dxf>
              <font>
                <b/>
                <i val="0"/>
                <color rgb="FFC00000"/>
              </font>
            </x14:dxf>
          </x14:cfRule>
          <x14:cfRule type="containsText" priority="72204" operator="containsText" text="hSystems " id="{9744612D-FBA4-48D9-B887-983A366DBA52}">
            <xm:f>NOT(ISERROR(SEARCH("hSystems ",Inputs_RecordsGeneration!XFB685)))</xm:f>
            <x14:dxf>
              <font>
                <b/>
                <i val="0"/>
                <color rgb="FF0070C0"/>
              </font>
            </x14:dxf>
          </x14:cfRule>
          <x14:cfRule type="containsText" priority="72205" operator="containsText" text="pSystems " id="{EE86D31C-9C10-48CD-9A3B-A2514CBF663F}">
            <xm:f>NOT(ISERROR(SEARCH("pSystems ",Inputs_RecordsGeneration!XFB685)))</xm:f>
            <x14:dxf>
              <font>
                <b/>
                <i val="0"/>
                <color theme="1" tint="0.34998626667073579"/>
              </font>
            </x14:dxf>
          </x14:cfRule>
          <xm:sqref>XFC901:XFD913 XFC632:XFD644</xm:sqref>
        </x14:conditionalFormatting>
        <x14:conditionalFormatting xmlns:xm="http://schemas.microsoft.com/office/excel/2006/main">
          <x14:cfRule type="containsText" priority="72779" operator="containsText" text="eSystems " id="{2286C159-2440-4D0C-B0B1-C88E8D67CAE6}">
            <xm:f>NOT(ISERROR(SEARCH("eSystems ",Inputs_RecordsGeneration!B404)))</xm:f>
            <x14:dxf>
              <font>
                <b/>
                <i val="0"/>
                <color rgb="FFC00000"/>
              </font>
            </x14:dxf>
          </x14:cfRule>
          <x14:cfRule type="containsText" priority="72780" operator="containsText" text="hSystems " id="{A8334271-CC11-4C33-BB96-94199E0A4099}">
            <xm:f>NOT(ISERROR(SEARCH("hSystems ",Inputs_RecordsGeneration!B404)))</xm:f>
            <x14:dxf>
              <font>
                <b/>
                <i val="0"/>
                <color rgb="FF0070C0"/>
              </font>
            </x14:dxf>
          </x14:cfRule>
          <x14:cfRule type="containsText" priority="72781" operator="containsText" text="pSystems " id="{E4DE5251-74CC-43AE-8260-A46121537423}">
            <xm:f>NOT(ISERROR(SEARCH("pSystems ",Inputs_RecordsGeneration!B404)))</xm:f>
            <x14:dxf>
              <font>
                <b/>
                <i val="0"/>
                <color theme="1" tint="0.34998626667073579"/>
              </font>
            </x14:dxf>
          </x14:cfRule>
          <xm:sqref>O850:O851 B352:D364 O352:O364</xm:sqref>
        </x14:conditionalFormatting>
        <x14:conditionalFormatting xmlns:xm="http://schemas.microsoft.com/office/excel/2006/main">
          <x14:cfRule type="containsText" priority="73259" operator="containsText" text="eSystems " id="{9915B1F5-2C6F-4C07-B768-0A8A935DBF9B}">
            <xm:f>NOT(ISERROR(SEARCH("eSystems ",Inputs_RecordsGeneration!B78)))</xm:f>
            <x14:dxf>
              <font>
                <b/>
                <i val="0"/>
                <color rgb="FFC00000"/>
              </font>
            </x14:dxf>
          </x14:cfRule>
          <x14:cfRule type="containsText" priority="73260" operator="containsText" text="hSystems " id="{8A940A0E-5BB3-47A3-8D38-720E046905AE}">
            <xm:f>NOT(ISERROR(SEARCH("hSystems ",Inputs_RecordsGeneration!B78)))</xm:f>
            <x14:dxf>
              <font>
                <b/>
                <i val="0"/>
                <color rgb="FF0070C0"/>
              </font>
            </x14:dxf>
          </x14:cfRule>
          <x14:cfRule type="containsText" priority="73261" operator="containsText" text="pSystems " id="{3011A043-22A5-4C0A-99A9-EC7AD6DE305C}">
            <xm:f>NOT(ISERROR(SEARCH("pSystems ",Inputs_RecordsGeneration!B78)))</xm:f>
            <x14:dxf>
              <font>
                <b/>
                <i val="0"/>
                <color theme="1" tint="0.34998626667073579"/>
              </font>
            </x14:dxf>
          </x14:cfRule>
          <xm:sqref>O55:O61 B55:D61</xm:sqref>
        </x14:conditionalFormatting>
        <x14:conditionalFormatting xmlns:xm="http://schemas.microsoft.com/office/excel/2006/main">
          <x14:cfRule type="containsText" priority="73265" operator="containsText" text="eSystems " id="{7875FD2E-F1B7-4DA2-A976-89ED9B3FF457}">
            <xm:f>NOT(ISERROR(SEARCH("eSystems ",Inputs_RecordsGeneration!XFB291)))</xm:f>
            <x14:dxf>
              <font>
                <b/>
                <i val="0"/>
                <color rgb="FFC00000"/>
              </font>
            </x14:dxf>
          </x14:cfRule>
          <x14:cfRule type="containsText" priority="73266" operator="containsText" text="hSystems " id="{645A4C50-B0F2-43D2-A440-80B7C362E4EE}">
            <xm:f>NOT(ISERROR(SEARCH("hSystems ",Inputs_RecordsGeneration!XFB291)))</xm:f>
            <x14:dxf>
              <font>
                <b/>
                <i val="0"/>
                <color rgb="FF0070C0"/>
              </font>
            </x14:dxf>
          </x14:cfRule>
          <x14:cfRule type="containsText" priority="73267" operator="containsText" text="pSystems " id="{0D00D5DD-D388-48CC-ABE6-39420CEDD160}">
            <xm:f>NOT(ISERROR(SEARCH("pSystems ",Inputs_RecordsGeneration!XFB291)))</xm:f>
            <x14:dxf>
              <font>
                <b/>
                <i val="0"/>
                <color theme="1" tint="0.34998626667073579"/>
              </font>
            </x14:dxf>
          </x14:cfRule>
          <xm:sqref>XFC260:XFD272</xm:sqref>
        </x14:conditionalFormatting>
        <x14:conditionalFormatting xmlns:xm="http://schemas.microsoft.com/office/excel/2006/main">
          <x14:cfRule type="containsText" priority="73268" operator="containsText" text="eSystems " id="{1C77FC8A-10FE-45C6-9F53-2A718BDE4B5A}">
            <xm:f>NOT(ISERROR(SEARCH("eSystems ",Inputs_RecordsGeneration!Q291)))</xm:f>
            <x14:dxf>
              <font>
                <b/>
                <i val="0"/>
                <color rgb="FFC00000"/>
              </font>
            </x14:dxf>
          </x14:cfRule>
          <x14:cfRule type="containsText" priority="73269" operator="containsText" text="hSystems " id="{FBD9C220-0547-44B2-8B1E-6C64171C7390}">
            <xm:f>NOT(ISERROR(SEARCH("hSystems ",Inputs_RecordsGeneration!Q291)))</xm:f>
            <x14:dxf>
              <font>
                <b/>
                <i val="0"/>
                <color rgb="FF0070C0"/>
              </font>
            </x14:dxf>
          </x14:cfRule>
          <x14:cfRule type="containsText" priority="73270" operator="containsText" text="pSystems " id="{CD487AD0-CF46-40D6-AF40-919C9942A1BF}">
            <xm:f>NOT(ISERROR(SEARCH("pSystems ",Inputs_RecordsGeneration!Q291)))</xm:f>
            <x14:dxf>
              <font>
                <b/>
                <i val="0"/>
                <color theme="1" tint="0.34998626667073579"/>
              </font>
            </x14:dxf>
          </x14:cfRule>
          <xm:sqref>P260:XFB264</xm:sqref>
        </x14:conditionalFormatting>
        <x14:conditionalFormatting xmlns:xm="http://schemas.microsoft.com/office/excel/2006/main">
          <x14:cfRule type="containsText" priority="73355" operator="containsText" text="eSystems " id="{7BB80493-4EA5-4D34-8197-B52352E839A0}">
            <xm:f>NOT(ISERROR(SEARCH("eSystems ",Inputs_RecordsGeneration!XFB285)))</xm:f>
            <x14:dxf>
              <font>
                <b/>
                <i val="0"/>
                <color rgb="FFC00000"/>
              </font>
            </x14:dxf>
          </x14:cfRule>
          <x14:cfRule type="containsText" priority="73356" operator="containsText" text="hSystems " id="{9744612D-FBA4-48D9-B887-983A366DBA52}">
            <xm:f>NOT(ISERROR(SEARCH("hSystems ",Inputs_RecordsGeneration!XFB285)))</xm:f>
            <x14:dxf>
              <font>
                <b/>
                <i val="0"/>
                <color rgb="FF0070C0"/>
              </font>
            </x14:dxf>
          </x14:cfRule>
          <x14:cfRule type="containsText" priority="73357" operator="containsText" text="pSystems " id="{EE86D31C-9C10-48CD-9A3B-A2514CBF663F}">
            <xm:f>NOT(ISERROR(SEARCH("pSystems ",Inputs_RecordsGeneration!XFB285)))</xm:f>
            <x14:dxf>
              <font>
                <b/>
                <i val="0"/>
                <color theme="1" tint="0.34998626667073579"/>
              </font>
            </x14:dxf>
          </x14:cfRule>
          <xm:sqref>XFC244:XFD256</xm:sqref>
        </x14:conditionalFormatting>
        <x14:conditionalFormatting xmlns:xm="http://schemas.microsoft.com/office/excel/2006/main">
          <x14:cfRule type="containsText" priority="73361" operator="containsText" text="eSystems " id="{1D98DE42-4691-4C03-A5D4-008B877322E2}">
            <xm:f>NOT(ISERROR(SEARCH("eSystems ",Inputs_RecordsGeneration!Q285)))</xm:f>
            <x14:dxf>
              <font>
                <b/>
                <i val="0"/>
                <color rgb="FFC00000"/>
              </font>
            </x14:dxf>
          </x14:cfRule>
          <x14:cfRule type="containsText" priority="73362" operator="containsText" text="hSystems " id="{1FFC0F63-8479-4E52-AEFF-F2A89F408E03}">
            <xm:f>NOT(ISERROR(SEARCH("hSystems ",Inputs_RecordsGeneration!Q285)))</xm:f>
            <x14:dxf>
              <font>
                <b/>
                <i val="0"/>
                <color rgb="FF0070C0"/>
              </font>
            </x14:dxf>
          </x14:cfRule>
          <x14:cfRule type="containsText" priority="73363" operator="containsText" text="pSystems " id="{02F63C73-F567-4F4D-BF0C-03EBDF6DB2D9}">
            <xm:f>NOT(ISERROR(SEARCH("pSystems ",Inputs_RecordsGeneration!Q285)))</xm:f>
            <x14:dxf>
              <font>
                <b/>
                <i val="0"/>
                <color theme="1" tint="0.34998626667073579"/>
              </font>
            </x14:dxf>
          </x14:cfRule>
          <xm:sqref>P244:XFB254</xm:sqref>
        </x14:conditionalFormatting>
        <x14:conditionalFormatting xmlns:xm="http://schemas.microsoft.com/office/excel/2006/main">
          <x14:cfRule type="containsText" priority="73367" operator="containsText" text="eSystems " id="{9915B1F5-2C6F-4C07-B768-0A8A935DBF9B}">
            <xm:f>NOT(ISERROR(SEARCH("eSystems ",Inputs_RecordsGeneration!B291)))</xm:f>
            <x14:dxf>
              <font>
                <b/>
                <i val="0"/>
                <color rgb="FFC00000"/>
              </font>
            </x14:dxf>
          </x14:cfRule>
          <x14:cfRule type="containsText" priority="73368" operator="containsText" text="hSystems " id="{8A940A0E-5BB3-47A3-8D38-720E046905AE}">
            <xm:f>NOT(ISERROR(SEARCH("hSystems ",Inputs_RecordsGeneration!B291)))</xm:f>
            <x14:dxf>
              <font>
                <b/>
                <i val="0"/>
                <color rgb="FF0070C0"/>
              </font>
            </x14:dxf>
          </x14:cfRule>
          <x14:cfRule type="containsText" priority="73369" operator="containsText" text="pSystems " id="{3011A043-22A5-4C0A-99A9-EC7AD6DE305C}">
            <xm:f>NOT(ISERROR(SEARCH("pSystems ",Inputs_RecordsGeneration!B291)))</xm:f>
            <x14:dxf>
              <font>
                <b/>
                <i val="0"/>
                <color theme="1" tint="0.34998626667073579"/>
              </font>
            </x14:dxf>
          </x14:cfRule>
          <xm:sqref>B260:B264</xm:sqref>
        </x14:conditionalFormatting>
        <x14:conditionalFormatting xmlns:xm="http://schemas.microsoft.com/office/excel/2006/main">
          <x14:cfRule type="containsText" priority="73805" operator="containsText" text="eSystems " id="{2286C159-2440-4D0C-B0B1-C88E8D67CAE6}">
            <xm:f>NOT(ISERROR(SEARCH("eSystems ",Inputs_RecordsGeneration!B123)))</xm:f>
            <x14:dxf>
              <font>
                <b/>
                <i val="0"/>
                <color rgb="FFC00000"/>
              </font>
            </x14:dxf>
          </x14:cfRule>
          <x14:cfRule type="containsText" priority="73806" operator="containsText" text="hSystems " id="{A8334271-CC11-4C33-BB96-94199E0A4099}">
            <xm:f>NOT(ISERROR(SEARCH("hSystems ",Inputs_RecordsGeneration!B123)))</xm:f>
            <x14:dxf>
              <font>
                <b/>
                <i val="0"/>
                <color rgb="FF0070C0"/>
              </font>
            </x14:dxf>
          </x14:cfRule>
          <x14:cfRule type="containsText" priority="73807" operator="containsText" text="pSystems " id="{E4DE5251-74CC-43AE-8260-A46121537423}">
            <xm:f>NOT(ISERROR(SEARCH("pSystems ",Inputs_RecordsGeneration!B123)))</xm:f>
            <x14:dxf>
              <font>
                <b/>
                <i val="0"/>
                <color theme="1" tint="0.34998626667073579"/>
              </font>
            </x14:dxf>
          </x14:cfRule>
          <xm:sqref>O86:O98 B86:D98</xm:sqref>
        </x14:conditionalFormatting>
        <x14:conditionalFormatting xmlns:xm="http://schemas.microsoft.com/office/excel/2006/main">
          <x14:cfRule type="containsText" priority="73811" operator="containsText" text="eSystems " id="{7BB80493-4EA5-4D34-8197-B52352E839A0}">
            <xm:f>NOT(ISERROR(SEARCH("eSystems ",Inputs_RecordsGeneration!XFB123)))</xm:f>
            <x14:dxf>
              <font>
                <b/>
                <i val="0"/>
                <color rgb="FFC00000"/>
              </font>
            </x14:dxf>
          </x14:cfRule>
          <x14:cfRule type="containsText" priority="73812" operator="containsText" text="hSystems " id="{9744612D-FBA4-48D9-B887-983A366DBA52}">
            <xm:f>NOT(ISERROR(SEARCH("hSystems ",Inputs_RecordsGeneration!XFB123)))</xm:f>
            <x14:dxf>
              <font>
                <b/>
                <i val="0"/>
                <color rgb="FF0070C0"/>
              </font>
            </x14:dxf>
          </x14:cfRule>
          <x14:cfRule type="containsText" priority="73813" operator="containsText" text="pSystems " id="{EE86D31C-9C10-48CD-9A3B-A2514CBF663F}">
            <xm:f>NOT(ISERROR(SEARCH("pSystems ",Inputs_RecordsGeneration!XFB123)))</xm:f>
            <x14:dxf>
              <font>
                <b/>
                <i val="0"/>
                <color theme="1" tint="0.34998626667073579"/>
              </font>
            </x14:dxf>
          </x14:cfRule>
          <xm:sqref>XFC86:XFD98</xm:sqref>
        </x14:conditionalFormatting>
        <x14:conditionalFormatting xmlns:xm="http://schemas.microsoft.com/office/excel/2006/main">
          <x14:cfRule type="containsText" priority="73814" operator="containsText" text="eSystems " id="{1D98DE42-4691-4C03-A5D4-008B877322E2}">
            <xm:f>NOT(ISERROR(SEARCH("eSystems ",Inputs_RecordsGeneration!Q123)))</xm:f>
            <x14:dxf>
              <font>
                <b/>
                <i val="0"/>
                <color rgb="FFC00000"/>
              </font>
            </x14:dxf>
          </x14:cfRule>
          <x14:cfRule type="containsText" priority="73815" operator="containsText" text="hSystems " id="{1FFC0F63-8479-4E52-AEFF-F2A89F408E03}">
            <xm:f>NOT(ISERROR(SEARCH("hSystems ",Inputs_RecordsGeneration!Q123)))</xm:f>
            <x14:dxf>
              <font>
                <b/>
                <i val="0"/>
                <color rgb="FF0070C0"/>
              </font>
            </x14:dxf>
          </x14:cfRule>
          <x14:cfRule type="containsText" priority="73816" operator="containsText" text="pSystems " id="{02F63C73-F567-4F4D-BF0C-03EBDF6DB2D9}">
            <xm:f>NOT(ISERROR(SEARCH("pSystems ",Inputs_RecordsGeneration!Q123)))</xm:f>
            <x14:dxf>
              <font>
                <b/>
                <i val="0"/>
                <color theme="1" tint="0.34998626667073579"/>
              </font>
            </x14:dxf>
          </x14:cfRule>
          <xm:sqref>P86:XFB98</xm:sqref>
        </x14:conditionalFormatting>
        <x14:conditionalFormatting xmlns:xm="http://schemas.microsoft.com/office/excel/2006/main">
          <x14:cfRule type="containsText" priority="73865" operator="containsText" text="eSystems " id="{7BB80493-4EA5-4D34-8197-B52352E839A0}">
            <xm:f>NOT(ISERROR(SEARCH("eSystems ",Inputs_RecordsGeneration!XFB110)))</xm:f>
            <x14:dxf>
              <font>
                <b/>
                <i val="0"/>
                <color rgb="FFC00000"/>
              </font>
            </x14:dxf>
          </x14:cfRule>
          <x14:cfRule type="containsText" priority="73866" operator="containsText" text="hSystems " id="{9744612D-FBA4-48D9-B887-983A366DBA52}">
            <xm:f>NOT(ISERROR(SEARCH("hSystems ",Inputs_RecordsGeneration!XFB110)))</xm:f>
            <x14:dxf>
              <font>
                <b/>
                <i val="0"/>
                <color rgb="FF0070C0"/>
              </font>
            </x14:dxf>
          </x14:cfRule>
          <x14:cfRule type="containsText" priority="73867" operator="containsText" text="pSystems " id="{EE86D31C-9C10-48CD-9A3B-A2514CBF663F}">
            <xm:f>NOT(ISERROR(SEARCH("pSystems ",Inputs_RecordsGeneration!XFB110)))</xm:f>
            <x14:dxf>
              <font>
                <b/>
                <i val="0"/>
                <color theme="1" tint="0.34998626667073579"/>
              </font>
            </x14:dxf>
          </x14:cfRule>
          <xm:sqref>XFC71:XFD82</xm:sqref>
        </x14:conditionalFormatting>
        <x14:conditionalFormatting xmlns:xm="http://schemas.microsoft.com/office/excel/2006/main">
          <x14:cfRule type="containsText" priority="73874" operator="containsText" text="eSystems " id="{1D98DE42-4691-4C03-A5D4-008B877322E2}">
            <xm:f>NOT(ISERROR(SEARCH("eSystems ",Inputs_RecordsGeneration!Q110)))</xm:f>
            <x14:dxf>
              <font>
                <b/>
                <i val="0"/>
                <color rgb="FFC00000"/>
              </font>
            </x14:dxf>
          </x14:cfRule>
          <x14:cfRule type="containsText" priority="73875" operator="containsText" text="hSystems " id="{1FFC0F63-8479-4E52-AEFF-F2A89F408E03}">
            <xm:f>NOT(ISERROR(SEARCH("hSystems ",Inputs_RecordsGeneration!Q110)))</xm:f>
            <x14:dxf>
              <font>
                <b/>
                <i val="0"/>
                <color rgb="FF0070C0"/>
              </font>
            </x14:dxf>
          </x14:cfRule>
          <x14:cfRule type="containsText" priority="73876" operator="containsText" text="pSystems " id="{02F63C73-F567-4F4D-BF0C-03EBDF6DB2D9}">
            <xm:f>NOT(ISERROR(SEARCH("pSystems ",Inputs_RecordsGeneration!Q110)))</xm:f>
            <x14:dxf>
              <font>
                <b/>
                <i val="0"/>
                <color theme="1" tint="0.34998626667073579"/>
              </font>
            </x14:dxf>
          </x14:cfRule>
          <xm:sqref>P71:XFB82</xm:sqref>
        </x14:conditionalFormatting>
        <x14:conditionalFormatting xmlns:xm="http://schemas.microsoft.com/office/excel/2006/main">
          <x14:cfRule type="containsText" priority="74369" operator="containsText" text="eSystems " id="{7875FD2E-F1B7-4DA2-A976-89ED9B3FF457}">
            <xm:f>NOT(ISERROR(SEARCH("eSystems ",Inputs_RecordsGeneration!XFB243)))</xm:f>
            <x14:dxf>
              <font>
                <b/>
                <i val="0"/>
                <color rgb="FFC00000"/>
              </font>
            </x14:dxf>
          </x14:cfRule>
          <x14:cfRule type="containsText" priority="74370" operator="containsText" text="hSystems " id="{645A4C50-B0F2-43D2-A440-80B7C362E4EE}">
            <xm:f>NOT(ISERROR(SEARCH("hSystems ",Inputs_RecordsGeneration!XFB243)))</xm:f>
            <x14:dxf>
              <font>
                <b/>
                <i val="0"/>
                <color rgb="FF0070C0"/>
              </font>
            </x14:dxf>
          </x14:cfRule>
          <x14:cfRule type="containsText" priority="74371" operator="containsText" text="pSystems " id="{0D00D5DD-D388-48CC-ABE6-39420CEDD160}">
            <xm:f>NOT(ISERROR(SEARCH("pSystems ",Inputs_RecordsGeneration!XFB243)))</xm:f>
            <x14:dxf>
              <font>
                <b/>
                <i val="0"/>
                <color theme="1" tint="0.34998626667073579"/>
              </font>
            </x14:dxf>
          </x14:cfRule>
          <xm:sqref>XFC207:XFD219</xm:sqref>
        </x14:conditionalFormatting>
        <x14:conditionalFormatting xmlns:xm="http://schemas.microsoft.com/office/excel/2006/main">
          <x14:cfRule type="containsText" priority="74372" operator="containsText" text="eSystems " id="{1C77FC8A-10FE-45C6-9F53-2A718BDE4B5A}">
            <xm:f>NOT(ISERROR(SEARCH("eSystems ",Inputs_RecordsGeneration!Q243)))</xm:f>
            <x14:dxf>
              <font>
                <b/>
                <i val="0"/>
                <color rgb="FFC00000"/>
              </font>
            </x14:dxf>
          </x14:cfRule>
          <x14:cfRule type="containsText" priority="74373" operator="containsText" text="hSystems " id="{FBD9C220-0547-44B2-8B1E-6C64171C7390}">
            <xm:f>NOT(ISERROR(SEARCH("hSystems ",Inputs_RecordsGeneration!Q243)))</xm:f>
            <x14:dxf>
              <font>
                <b/>
                <i val="0"/>
                <color rgb="FF0070C0"/>
              </font>
            </x14:dxf>
          </x14:cfRule>
          <x14:cfRule type="containsText" priority="74374" operator="containsText" text="pSystems " id="{CD487AD0-CF46-40D6-AF40-919C9942A1BF}">
            <xm:f>NOT(ISERROR(SEARCH("pSystems ",Inputs_RecordsGeneration!Q243)))</xm:f>
            <x14:dxf>
              <font>
                <b/>
                <i val="0"/>
                <color theme="1" tint="0.34998626667073579"/>
              </font>
            </x14:dxf>
          </x14:cfRule>
          <xm:sqref>P265:XFB272 P207:XFB219</xm:sqref>
        </x14:conditionalFormatting>
        <x14:conditionalFormatting xmlns:xm="http://schemas.microsoft.com/office/excel/2006/main">
          <x14:cfRule type="containsText" priority="74735" operator="containsText" text="eSystems " id="{2286C159-2440-4D0C-B0B1-C88E8D67CAE6}">
            <xm:f>NOT(ISERROR(SEARCH("eSystems ",Inputs_RecordsGeneration!C292)))</xm:f>
            <x14:dxf>
              <font>
                <b/>
                <i val="0"/>
                <color rgb="FFC00000"/>
              </font>
            </x14:dxf>
          </x14:cfRule>
          <x14:cfRule type="containsText" priority="74736" operator="containsText" text="hSystems " id="{A8334271-CC11-4C33-BB96-94199E0A4099}">
            <xm:f>NOT(ISERROR(SEARCH("hSystems ",Inputs_RecordsGeneration!C292)))</xm:f>
            <x14:dxf>
              <font>
                <b/>
                <i val="0"/>
                <color rgb="FF0070C0"/>
              </font>
            </x14:dxf>
          </x14:cfRule>
          <x14:cfRule type="containsText" priority="74737" operator="containsText" text="pSystems " id="{E4DE5251-74CC-43AE-8260-A46121537423}">
            <xm:f>NOT(ISERROR(SEARCH("pSystems ",Inputs_RecordsGeneration!C292)))</xm:f>
            <x14:dxf>
              <font>
                <b/>
                <i val="0"/>
                <color theme="1" tint="0.34998626667073579"/>
              </font>
            </x14:dxf>
          </x14:cfRule>
          <xm:sqref>C258:D261 O258:O261</xm:sqref>
        </x14:conditionalFormatting>
        <x14:conditionalFormatting xmlns:xm="http://schemas.microsoft.com/office/excel/2006/main">
          <x14:cfRule type="containsText" priority="75374" operator="containsText" text="eSystems " id="{9915B1F5-2C6F-4C07-B768-0A8A935DBF9B}">
            <xm:f>NOT(ISERROR(SEARCH("eSystems ",Inputs_RecordsGeneration!B351)))</xm:f>
            <x14:dxf>
              <font>
                <b/>
                <i val="0"/>
                <color rgb="FFC00000"/>
              </font>
            </x14:dxf>
          </x14:cfRule>
          <x14:cfRule type="containsText" priority="75375" operator="containsText" text="hSystems " id="{8A940A0E-5BB3-47A3-8D38-720E046905AE}">
            <xm:f>NOT(ISERROR(SEARCH("hSystems ",Inputs_RecordsGeneration!B351)))</xm:f>
            <x14:dxf>
              <font>
                <b/>
                <i val="0"/>
                <color rgb="FF0070C0"/>
              </font>
            </x14:dxf>
          </x14:cfRule>
          <x14:cfRule type="containsText" priority="75376" operator="containsText" text="pSystems " id="{3011A043-22A5-4C0A-99A9-EC7AD6DE305C}">
            <xm:f>NOT(ISERROR(SEARCH("pSystems ",Inputs_RecordsGeneration!B351)))</xm:f>
            <x14:dxf>
              <font>
                <b/>
                <i val="0"/>
                <color theme="1" tint="0.34998626667073579"/>
              </font>
            </x14:dxf>
          </x14:cfRule>
          <xm:sqref>B319:B324 B326</xm:sqref>
        </x14:conditionalFormatting>
        <x14:conditionalFormatting xmlns:xm="http://schemas.microsoft.com/office/excel/2006/main">
          <x14:cfRule type="containsText" priority="75380" operator="containsText" text="eSystems " id="{7875FD2E-F1B7-4DA2-A976-89ED9B3FF457}">
            <xm:f>NOT(ISERROR(SEARCH("eSystems ",Inputs_RecordsGeneration!XFB158)))</xm:f>
            <x14:dxf>
              <font>
                <b/>
                <i val="0"/>
                <color rgb="FFC00000"/>
              </font>
            </x14:dxf>
          </x14:cfRule>
          <x14:cfRule type="containsText" priority="75381" operator="containsText" text="hSystems " id="{645A4C50-B0F2-43D2-A440-80B7C362E4EE}">
            <xm:f>NOT(ISERROR(SEARCH("hSystems ",Inputs_RecordsGeneration!XFB158)))</xm:f>
            <x14:dxf>
              <font>
                <b/>
                <i val="0"/>
                <color rgb="FF0070C0"/>
              </font>
            </x14:dxf>
          </x14:cfRule>
          <x14:cfRule type="containsText" priority="75382" operator="containsText" text="pSystems " id="{0D00D5DD-D388-48CC-ABE6-39420CEDD160}">
            <xm:f>NOT(ISERROR(SEARCH("pSystems ",Inputs_RecordsGeneration!XFB158)))</xm:f>
            <x14:dxf>
              <font>
                <b/>
                <i val="0"/>
                <color theme="1" tint="0.34998626667073579"/>
              </font>
            </x14:dxf>
          </x14:cfRule>
          <xm:sqref>XFC118:XFD129</xm:sqref>
        </x14:conditionalFormatting>
        <x14:conditionalFormatting xmlns:xm="http://schemas.microsoft.com/office/excel/2006/main">
          <x14:cfRule type="containsText" priority="75383" operator="containsText" text="eSystems " id="{1C77FC8A-10FE-45C6-9F53-2A718BDE4B5A}">
            <xm:f>NOT(ISERROR(SEARCH("eSystems ",Inputs_RecordsGeneration!Q158)))</xm:f>
            <x14:dxf>
              <font>
                <b/>
                <i val="0"/>
                <color rgb="FFC00000"/>
              </font>
            </x14:dxf>
          </x14:cfRule>
          <x14:cfRule type="containsText" priority="75384" operator="containsText" text="hSystems " id="{FBD9C220-0547-44B2-8B1E-6C64171C7390}">
            <xm:f>NOT(ISERROR(SEARCH("hSystems ",Inputs_RecordsGeneration!Q158)))</xm:f>
            <x14:dxf>
              <font>
                <b/>
                <i val="0"/>
                <color rgb="FF0070C0"/>
              </font>
            </x14:dxf>
          </x14:cfRule>
          <x14:cfRule type="containsText" priority="75385" operator="containsText" text="pSystems " id="{CD487AD0-CF46-40D6-AF40-919C9942A1BF}">
            <xm:f>NOT(ISERROR(SEARCH("pSystems ",Inputs_RecordsGeneration!Q158)))</xm:f>
            <x14:dxf>
              <font>
                <b/>
                <i val="0"/>
                <color theme="1" tint="0.34998626667073579"/>
              </font>
            </x14:dxf>
          </x14:cfRule>
          <xm:sqref>P118:XFB119</xm:sqref>
        </x14:conditionalFormatting>
        <x14:conditionalFormatting xmlns:xm="http://schemas.microsoft.com/office/excel/2006/main">
          <x14:cfRule type="containsText" priority="76286" operator="containsText" text="eSystems " id="{9915B1F5-2C6F-4C07-B768-0A8A935DBF9B}">
            <xm:f>NOT(ISERROR(SEARCH("eSystems ",Inputs_RecordsGeneration!B72)))</xm:f>
            <x14:dxf>
              <font>
                <b/>
                <i val="0"/>
                <color rgb="FFC00000"/>
              </font>
            </x14:dxf>
          </x14:cfRule>
          <x14:cfRule type="containsText" priority="76287" operator="containsText" text="hSystems " id="{8A940A0E-5BB3-47A3-8D38-720E046905AE}">
            <xm:f>NOT(ISERROR(SEARCH("hSystems ",Inputs_RecordsGeneration!B72)))</xm:f>
            <x14:dxf>
              <font>
                <b/>
                <i val="0"/>
                <color rgb="FF0070C0"/>
              </font>
            </x14:dxf>
          </x14:cfRule>
          <x14:cfRule type="containsText" priority="76288" operator="containsText" text="pSystems " id="{3011A043-22A5-4C0A-99A9-EC7AD6DE305C}">
            <xm:f>NOT(ISERROR(SEARCH("pSystems ",Inputs_RecordsGeneration!B72)))</xm:f>
            <x14:dxf>
              <font>
                <b/>
                <i val="0"/>
                <color theme="1" tint="0.34998626667073579"/>
              </font>
            </x14:dxf>
          </x14:cfRule>
          <xm:sqref>B265:B272 O207:O219 B207:D219 B220 O36</xm:sqref>
        </x14:conditionalFormatting>
        <x14:conditionalFormatting xmlns:xm="http://schemas.microsoft.com/office/excel/2006/main">
          <x14:cfRule type="containsText" priority="76679" operator="containsText" text="eSystems " id="{7875FD2E-F1B7-4DA2-A976-89ED9B3FF457}">
            <xm:f>NOT(ISERROR(SEARCH("eSystems ",Inputs_RecordsGeneration!XFB338)))</xm:f>
            <x14:dxf>
              <font>
                <b/>
                <i val="0"/>
                <color rgb="FFC00000"/>
              </font>
            </x14:dxf>
          </x14:cfRule>
          <x14:cfRule type="containsText" priority="76680" operator="containsText" text="hSystems " id="{645A4C50-B0F2-43D2-A440-80B7C362E4EE}">
            <xm:f>NOT(ISERROR(SEARCH("hSystems ",Inputs_RecordsGeneration!XFB338)))</xm:f>
            <x14:dxf>
              <font>
                <b/>
                <i val="0"/>
                <color rgb="FF0070C0"/>
              </font>
            </x14:dxf>
          </x14:cfRule>
          <x14:cfRule type="containsText" priority="76681" operator="containsText" text="pSystems " id="{0D00D5DD-D388-48CC-ABE6-39420CEDD160}">
            <xm:f>NOT(ISERROR(SEARCH("pSystems ",Inputs_RecordsGeneration!XFB338)))</xm:f>
            <x14:dxf>
              <font>
                <b/>
                <i val="0"/>
                <color theme="1" tint="0.34998626667073579"/>
              </font>
            </x14:dxf>
          </x14:cfRule>
          <xm:sqref>XFC368:XFD380 XFC296:XFD308</xm:sqref>
        </x14:conditionalFormatting>
        <x14:conditionalFormatting xmlns:xm="http://schemas.microsoft.com/office/excel/2006/main">
          <x14:cfRule type="containsText" priority="76688" operator="containsText" text="eSystems " id="{1C77FC8A-10FE-45C6-9F53-2A718BDE4B5A}">
            <xm:f>NOT(ISERROR(SEARCH("eSystems ",Inputs_RecordsGeneration!Q338)))</xm:f>
            <x14:dxf>
              <font>
                <b/>
                <i val="0"/>
                <color rgb="FFC00000"/>
              </font>
            </x14:dxf>
          </x14:cfRule>
          <x14:cfRule type="containsText" priority="76689" operator="containsText" text="hSystems " id="{FBD9C220-0547-44B2-8B1E-6C64171C7390}">
            <xm:f>NOT(ISERROR(SEARCH("hSystems ",Inputs_RecordsGeneration!Q338)))</xm:f>
            <x14:dxf>
              <font>
                <b/>
                <i val="0"/>
                <color rgb="FF0070C0"/>
              </font>
            </x14:dxf>
          </x14:cfRule>
          <x14:cfRule type="containsText" priority="76690" operator="containsText" text="pSystems " id="{CD487AD0-CF46-40D6-AF40-919C9942A1BF}">
            <xm:f>NOT(ISERROR(SEARCH("pSystems ",Inputs_RecordsGeneration!Q338)))</xm:f>
            <x14:dxf>
              <font>
                <b/>
                <i val="0"/>
                <color theme="1" tint="0.34998626667073579"/>
              </font>
            </x14:dxf>
          </x14:cfRule>
          <xm:sqref>P368:XFB380 P296:XFB308</xm:sqref>
        </x14:conditionalFormatting>
        <x14:conditionalFormatting xmlns:xm="http://schemas.microsoft.com/office/excel/2006/main">
          <x14:cfRule type="containsText" priority="78140" operator="containsText" text="eSystems " id="{2286C159-2440-4D0C-B0B1-C88E8D67CAE6}">
            <xm:f>NOT(ISERROR(SEARCH("eSystems ",Inputs_RecordsGeneration!B782)))</xm:f>
            <x14:dxf>
              <font>
                <b/>
                <i val="0"/>
                <color rgb="FFC00000"/>
              </font>
            </x14:dxf>
          </x14:cfRule>
          <x14:cfRule type="containsText" priority="78141" operator="containsText" text="hSystems " id="{A8334271-CC11-4C33-BB96-94199E0A4099}">
            <xm:f>NOT(ISERROR(SEARCH("hSystems ",Inputs_RecordsGeneration!B782)))</xm:f>
            <x14:dxf>
              <font>
                <b/>
                <i val="0"/>
                <color rgb="FF0070C0"/>
              </font>
            </x14:dxf>
          </x14:cfRule>
          <x14:cfRule type="containsText" priority="78142" operator="containsText" text="pSystems " id="{E4DE5251-74CC-43AE-8260-A46121537423}">
            <xm:f>NOT(ISERROR(SEARCH("pSystems ",Inputs_RecordsGeneration!B782)))</xm:f>
            <x14:dxf>
              <font>
                <b/>
                <i val="0"/>
                <color theme="1" tint="0.34998626667073579"/>
              </font>
            </x14:dxf>
          </x14:cfRule>
          <xm:sqref>O710:O721 B710:D721 O761:O767 B761:D767</xm:sqref>
        </x14:conditionalFormatting>
        <x14:conditionalFormatting xmlns:xm="http://schemas.microsoft.com/office/excel/2006/main">
          <x14:cfRule type="containsText" priority="78152" operator="containsText" text="eSystems " id="{7875FD2E-F1B7-4DA2-A976-89ED9B3FF457}">
            <xm:f>NOT(ISERROR(SEARCH("eSystems ",Inputs_RecordsGeneration!XFB782)))</xm:f>
            <x14:dxf>
              <font>
                <b/>
                <i val="0"/>
                <color rgb="FFC00000"/>
              </font>
            </x14:dxf>
          </x14:cfRule>
          <x14:cfRule type="containsText" priority="78153" operator="containsText" text="hSystems " id="{645A4C50-B0F2-43D2-A440-80B7C362E4EE}">
            <xm:f>NOT(ISERROR(SEARCH("hSystems ",Inputs_RecordsGeneration!XFB782)))</xm:f>
            <x14:dxf>
              <font>
                <b/>
                <i val="0"/>
                <color rgb="FF0070C0"/>
              </font>
            </x14:dxf>
          </x14:cfRule>
          <x14:cfRule type="containsText" priority="78154" operator="containsText" text="pSystems " id="{0D00D5DD-D388-48CC-ABE6-39420CEDD160}">
            <xm:f>NOT(ISERROR(SEARCH("pSystems ",Inputs_RecordsGeneration!XFB782)))</xm:f>
            <x14:dxf>
              <font>
                <b/>
                <i val="0"/>
                <color theme="1" tint="0.34998626667073579"/>
              </font>
            </x14:dxf>
          </x14:cfRule>
          <xm:sqref>XFC710:XFD721 XFC761:XFD772</xm:sqref>
        </x14:conditionalFormatting>
        <x14:conditionalFormatting xmlns:xm="http://schemas.microsoft.com/office/excel/2006/main">
          <x14:cfRule type="containsText" priority="78158" operator="containsText" text="eSystems " id="{1C77FC8A-10FE-45C6-9F53-2A718BDE4B5A}">
            <xm:f>NOT(ISERROR(SEARCH("eSystems ",Inputs_RecordsGeneration!Q782)))</xm:f>
            <x14:dxf>
              <font>
                <b/>
                <i val="0"/>
                <color rgb="FFC00000"/>
              </font>
            </x14:dxf>
          </x14:cfRule>
          <x14:cfRule type="containsText" priority="78159" operator="containsText" text="hSystems " id="{FBD9C220-0547-44B2-8B1E-6C64171C7390}">
            <xm:f>NOT(ISERROR(SEARCH("hSystems ",Inputs_RecordsGeneration!Q782)))</xm:f>
            <x14:dxf>
              <font>
                <b/>
                <i val="0"/>
                <color rgb="FF0070C0"/>
              </font>
            </x14:dxf>
          </x14:cfRule>
          <x14:cfRule type="containsText" priority="78160" operator="containsText" text="pSystems " id="{CD487AD0-CF46-40D6-AF40-919C9942A1BF}">
            <xm:f>NOT(ISERROR(SEARCH("pSystems ",Inputs_RecordsGeneration!Q782)))</xm:f>
            <x14:dxf>
              <font>
                <b/>
                <i val="0"/>
                <color theme="1" tint="0.34998626667073579"/>
              </font>
            </x14:dxf>
          </x14:cfRule>
          <xm:sqref>P710:XFB721 P761:XFB767</xm:sqref>
        </x14:conditionalFormatting>
        <x14:conditionalFormatting xmlns:xm="http://schemas.microsoft.com/office/excel/2006/main">
          <x14:cfRule type="containsText" priority="79838" operator="containsText" text="eSystems " id="{2286C159-2440-4D0C-B0B1-C88E8D67CAE6}">
            <xm:f>NOT(ISERROR(SEARCH("eSystems ",Inputs_RecordsGeneration!B404)))</xm:f>
            <x14:dxf>
              <font>
                <b/>
                <i val="0"/>
                <color rgb="FFC00000"/>
              </font>
            </x14:dxf>
          </x14:cfRule>
          <x14:cfRule type="containsText" priority="79839" operator="containsText" text="hSystems " id="{A8334271-CC11-4C33-BB96-94199E0A4099}">
            <xm:f>NOT(ISERROR(SEARCH("hSystems ",Inputs_RecordsGeneration!B404)))</xm:f>
            <x14:dxf>
              <font>
                <b/>
                <i val="0"/>
                <color rgb="FF0070C0"/>
              </font>
            </x14:dxf>
          </x14:cfRule>
          <x14:cfRule type="containsText" priority="79840" operator="containsText" text="pSystems " id="{E4DE5251-74CC-43AE-8260-A46121537423}">
            <xm:f>NOT(ISERROR(SEARCH("pSystems ",Inputs_RecordsGeneration!B404)))</xm:f>
            <x14:dxf>
              <font>
                <b/>
                <i val="0"/>
                <color theme="1" tint="0.34998626667073579"/>
              </font>
            </x14:dxf>
          </x14:cfRule>
          <xm:sqref>O886:O897 B886:D897 O404:O416 O349:O350 B404:D416</xm:sqref>
        </x14:conditionalFormatting>
        <x14:conditionalFormatting xmlns:xm="http://schemas.microsoft.com/office/excel/2006/main">
          <x14:cfRule type="containsText" priority="79853" operator="containsText" text="eSystems " id="{7BB80493-4EA5-4D34-8197-B52352E839A0}">
            <xm:f>NOT(ISERROR(SEARCH("eSystems ",Inputs_RecordsGeneration!XFB459)))</xm:f>
            <x14:dxf>
              <font>
                <b/>
                <i val="0"/>
                <color rgb="FFC00000"/>
              </font>
            </x14:dxf>
          </x14:cfRule>
          <x14:cfRule type="containsText" priority="79854" operator="containsText" text="hSystems " id="{9744612D-FBA4-48D9-B887-983A366DBA52}">
            <xm:f>NOT(ISERROR(SEARCH("hSystems ",Inputs_RecordsGeneration!XFB459)))</xm:f>
            <x14:dxf>
              <font>
                <b/>
                <i val="0"/>
                <color rgb="FF0070C0"/>
              </font>
            </x14:dxf>
          </x14:cfRule>
          <x14:cfRule type="containsText" priority="79855" operator="containsText" text="pSystems " id="{EE86D31C-9C10-48CD-9A3B-A2514CBF663F}">
            <xm:f>NOT(ISERROR(SEARCH("pSystems ",Inputs_RecordsGeneration!XFB459)))</xm:f>
            <x14:dxf>
              <font>
                <b/>
                <i val="0"/>
                <color theme="1" tint="0.34998626667073579"/>
              </font>
            </x14:dxf>
          </x14:cfRule>
          <xm:sqref>XFC886:XFD897 XFC404:XFD416</xm:sqref>
        </x14:conditionalFormatting>
        <x14:conditionalFormatting xmlns:xm="http://schemas.microsoft.com/office/excel/2006/main">
          <x14:cfRule type="containsText" priority="79859" operator="containsText" text="eSystems " id="{1D98DE42-4691-4C03-A5D4-008B877322E2}">
            <xm:f>NOT(ISERROR(SEARCH("eSystems ",Inputs_RecordsGeneration!Q459)))</xm:f>
            <x14:dxf>
              <font>
                <b/>
                <i val="0"/>
                <color rgb="FFC00000"/>
              </font>
            </x14:dxf>
          </x14:cfRule>
          <x14:cfRule type="containsText" priority="79860" operator="containsText" text="hSystems " id="{1FFC0F63-8479-4E52-AEFF-F2A89F408E03}">
            <xm:f>NOT(ISERROR(SEARCH("hSystems ",Inputs_RecordsGeneration!Q459)))</xm:f>
            <x14:dxf>
              <font>
                <b/>
                <i val="0"/>
                <color rgb="FF0070C0"/>
              </font>
            </x14:dxf>
          </x14:cfRule>
          <x14:cfRule type="containsText" priority="79861" operator="containsText" text="pSystems " id="{02F63C73-F567-4F4D-BF0C-03EBDF6DB2D9}">
            <xm:f>NOT(ISERROR(SEARCH("pSystems ",Inputs_RecordsGeneration!Q459)))</xm:f>
            <x14:dxf>
              <font>
                <b/>
                <i val="0"/>
                <color theme="1" tint="0.34998626667073579"/>
              </font>
            </x14:dxf>
          </x14:cfRule>
          <xm:sqref>P886:XFB897 P404:XFB416</xm:sqref>
        </x14:conditionalFormatting>
        <x14:conditionalFormatting xmlns:xm="http://schemas.microsoft.com/office/excel/2006/main">
          <x14:cfRule type="containsText" priority="81422" operator="containsText" text="eSystems " id="{1C77FC8A-10FE-45C6-9F53-2A718BDE4B5A}">
            <xm:f>NOT(ISERROR(SEARCH("eSystems ",Inputs_RecordsGeneration!#REF!)))</xm:f>
            <x14:dxf>
              <font>
                <b/>
                <i val="0"/>
                <color rgb="FFC00000"/>
              </font>
            </x14:dxf>
          </x14:cfRule>
          <x14:cfRule type="containsText" priority="81423" operator="containsText" text="hSystems " id="{FBD9C220-0547-44B2-8B1E-6C64171C7390}">
            <xm:f>NOT(ISERROR(SEARCH("hSystems ",Inputs_RecordsGeneration!#REF!)))</xm:f>
            <x14:dxf>
              <font>
                <b/>
                <i val="0"/>
                <color rgb="FF0070C0"/>
              </font>
            </x14:dxf>
          </x14:cfRule>
          <x14:cfRule type="containsText" priority="81424" operator="containsText" text="pSystems " id="{CD487AD0-CF46-40D6-AF40-919C9942A1BF}">
            <xm:f>NOT(ISERROR(SEARCH("pSystems ",Inputs_RecordsGeneration!#REF!)))</xm:f>
            <x14:dxf>
              <font>
                <b/>
                <i val="0"/>
                <color theme="1" tint="0.34998626667073579"/>
              </font>
            </x14:dxf>
          </x14:cfRule>
          <xm:sqref>P446:XFB446</xm:sqref>
        </x14:conditionalFormatting>
        <x14:conditionalFormatting xmlns:xm="http://schemas.microsoft.com/office/excel/2006/main">
          <x14:cfRule type="containsText" priority="81473" operator="containsText" text="eSystems " id="{9915B1F5-2C6F-4C07-B768-0A8A935DBF9B}">
            <xm:f>NOT(ISERROR(SEARCH("eSystems ",Inputs_RecordsGeneration!#REF!)))</xm:f>
            <x14:dxf>
              <font>
                <b/>
                <i val="0"/>
                <color rgb="FFC00000"/>
              </font>
            </x14:dxf>
          </x14:cfRule>
          <x14:cfRule type="containsText" priority="81474" operator="containsText" text="hSystems " id="{8A940A0E-5BB3-47A3-8D38-720E046905AE}">
            <xm:f>NOT(ISERROR(SEARCH("hSystems ",Inputs_RecordsGeneration!#REF!)))</xm:f>
            <x14:dxf>
              <font>
                <b/>
                <i val="0"/>
                <color rgb="FF0070C0"/>
              </font>
            </x14:dxf>
          </x14:cfRule>
          <x14:cfRule type="containsText" priority="81475" operator="containsText" text="pSystems " id="{3011A043-22A5-4C0A-99A9-EC7AD6DE305C}">
            <xm:f>NOT(ISERROR(SEARCH("pSystems ",Inputs_RecordsGeneration!#REF!)))</xm:f>
            <x14:dxf>
              <font>
                <b/>
                <i val="0"/>
                <color theme="1" tint="0.34998626667073579"/>
              </font>
            </x14:dxf>
          </x14:cfRule>
          <xm:sqref>O446 B446:D446</xm:sqref>
        </x14:conditionalFormatting>
        <x14:conditionalFormatting xmlns:xm="http://schemas.microsoft.com/office/excel/2006/main">
          <x14:cfRule type="containsText" priority="82487" operator="containsText" text="eSystems " id="{1C77FC8A-10FE-45C6-9F53-2A718BDE4B5A}">
            <xm:f>NOT(ISERROR(SEARCH("eSystems ",Inputs_RecordsGeneration!#REF!)))</xm:f>
            <x14:dxf>
              <font>
                <b/>
                <i val="0"/>
                <color rgb="FFC00000"/>
              </font>
            </x14:dxf>
          </x14:cfRule>
          <x14:cfRule type="containsText" priority="82488" operator="containsText" text="hSystems " id="{FBD9C220-0547-44B2-8B1E-6C64171C7390}">
            <xm:f>NOT(ISERROR(SEARCH("hSystems ",Inputs_RecordsGeneration!#REF!)))</xm:f>
            <x14:dxf>
              <font>
                <b/>
                <i val="0"/>
                <color rgb="FF0070C0"/>
              </font>
            </x14:dxf>
          </x14:cfRule>
          <x14:cfRule type="containsText" priority="82489" operator="containsText" text="pSystems " id="{CD487AD0-CF46-40D6-AF40-919C9942A1BF}">
            <xm:f>NOT(ISERROR(SEARCH("pSystems ",Inputs_RecordsGeneration!#REF!)))</xm:f>
            <x14:dxf>
              <font>
                <b/>
                <i val="0"/>
                <color theme="1" tint="0.34998626667073579"/>
              </font>
            </x14:dxf>
          </x14:cfRule>
          <xm:sqref>P515:XFB515</xm:sqref>
        </x14:conditionalFormatting>
        <x14:conditionalFormatting xmlns:xm="http://schemas.microsoft.com/office/excel/2006/main">
          <x14:cfRule type="containsText" priority="82538" operator="containsText" text="eSystems " id="{9915B1F5-2C6F-4C07-B768-0A8A935DBF9B}">
            <xm:f>NOT(ISERROR(SEARCH("eSystems ",Inputs_RecordsGeneration!#REF!)))</xm:f>
            <x14:dxf>
              <font>
                <b/>
                <i val="0"/>
                <color rgb="FFC00000"/>
              </font>
            </x14:dxf>
          </x14:cfRule>
          <x14:cfRule type="containsText" priority="82539" operator="containsText" text="hSystems " id="{8A940A0E-5BB3-47A3-8D38-720E046905AE}">
            <xm:f>NOT(ISERROR(SEARCH("hSystems ",Inputs_RecordsGeneration!#REF!)))</xm:f>
            <x14:dxf>
              <font>
                <b/>
                <i val="0"/>
                <color rgb="FF0070C0"/>
              </font>
            </x14:dxf>
          </x14:cfRule>
          <x14:cfRule type="containsText" priority="82540" operator="containsText" text="pSystems " id="{3011A043-22A5-4C0A-99A9-EC7AD6DE305C}">
            <xm:f>NOT(ISERROR(SEARCH("pSystems ",Inputs_RecordsGeneration!#REF!)))</xm:f>
            <x14:dxf>
              <font>
                <b/>
                <i val="0"/>
                <color theme="1" tint="0.34998626667073579"/>
              </font>
            </x14:dxf>
          </x14:cfRule>
          <xm:sqref>B515:D515 O515</xm:sqref>
        </x14:conditionalFormatting>
        <x14:conditionalFormatting xmlns:xm="http://schemas.microsoft.com/office/excel/2006/main">
          <x14:cfRule type="containsText" priority="86189" operator="containsText" text="eSystems " id="{2286C159-2440-4D0C-B0B1-C88E8D67CAE6}">
            <xm:f>NOT(ISERROR(SEARCH("eSystems ",Inputs_RecordsGeneration!#REF!)))</xm:f>
            <x14:dxf>
              <font>
                <b/>
                <i val="0"/>
                <color rgb="FFC00000"/>
              </font>
            </x14:dxf>
          </x14:cfRule>
          <x14:cfRule type="containsText" priority="86190" operator="containsText" text="hSystems " id="{A8334271-CC11-4C33-BB96-94199E0A4099}">
            <xm:f>NOT(ISERROR(SEARCH("hSystems ",Inputs_RecordsGeneration!#REF!)))</xm:f>
            <x14:dxf>
              <font>
                <b/>
                <i val="0"/>
                <color rgb="FF0070C0"/>
              </font>
            </x14:dxf>
          </x14:cfRule>
          <x14:cfRule type="containsText" priority="86191" operator="containsText" text="pSystems " id="{E4DE5251-74CC-43AE-8260-A46121537423}">
            <xm:f>NOT(ISERROR(SEARCH("pSystems ",Inputs_RecordsGeneration!#REF!)))</xm:f>
            <x14:dxf>
              <font>
                <b/>
                <i val="0"/>
                <color theme="1" tint="0.34998626667073579"/>
              </font>
            </x14:dxf>
          </x14:cfRule>
          <xm:sqref>B589:D589 O589 O861 B861:D861</xm:sqref>
        </x14:conditionalFormatting>
        <x14:conditionalFormatting xmlns:xm="http://schemas.microsoft.com/office/excel/2006/main">
          <x14:cfRule type="containsText" priority="86276" operator="containsText" text="eSystems " id="{1C77FC8A-10FE-45C6-9F53-2A718BDE4B5A}">
            <xm:f>NOT(ISERROR(SEARCH("eSystems ",Inputs_RecordsGeneration!#REF!)))</xm:f>
            <x14:dxf>
              <font>
                <b/>
                <i val="0"/>
                <color rgb="FFC00000"/>
              </font>
            </x14:dxf>
          </x14:cfRule>
          <x14:cfRule type="containsText" priority="86277" operator="containsText" text="hSystems " id="{FBD9C220-0547-44B2-8B1E-6C64171C7390}">
            <xm:f>NOT(ISERROR(SEARCH("hSystems ",Inputs_RecordsGeneration!#REF!)))</xm:f>
            <x14:dxf>
              <font>
                <b/>
                <i val="0"/>
                <color rgb="FF0070C0"/>
              </font>
            </x14:dxf>
          </x14:cfRule>
          <x14:cfRule type="containsText" priority="86278" operator="containsText" text="pSystems " id="{CD487AD0-CF46-40D6-AF40-919C9942A1BF}">
            <xm:f>NOT(ISERROR(SEARCH("pSystems ",Inputs_RecordsGeneration!#REF!)))</xm:f>
            <x14:dxf>
              <font>
                <b/>
                <i val="0"/>
                <color theme="1" tint="0.34998626667073579"/>
              </font>
            </x14:dxf>
          </x14:cfRule>
          <xm:sqref>P589:XFB589 P861:XFB861</xm:sqref>
        </x14:conditionalFormatting>
        <x14:conditionalFormatting xmlns:xm="http://schemas.microsoft.com/office/excel/2006/main">
          <x14:cfRule type="containsText" priority="88253" operator="containsText" text="eSystems " id="{011255F5-2EA0-4878-AA87-C968FA6CB1C4}">
            <xm:f>NOT(ISERROR(SEARCH("eSystems ",Inputs_RecordsGeneration!B727)))</xm:f>
            <x14:dxf>
              <font>
                <b/>
                <i val="0"/>
                <color rgb="FFC00000"/>
              </font>
            </x14:dxf>
          </x14:cfRule>
          <x14:cfRule type="containsText" priority="88254" operator="containsText" text="hSystems " id="{8C7901BF-37B3-456F-9F67-AEE744728419}">
            <xm:f>NOT(ISERROR(SEARCH("hSystems ",Inputs_RecordsGeneration!B727)))</xm:f>
            <x14:dxf>
              <font>
                <b/>
                <i val="0"/>
                <color rgb="FF0070C0"/>
              </font>
            </x14:dxf>
          </x14:cfRule>
          <x14:cfRule type="containsText" priority="88255" operator="containsText" text="pSystems " id="{6AE73927-498F-442B-A900-835806C3B447}">
            <xm:f>NOT(ISERROR(SEARCH("pSystems ",Inputs_RecordsGeneration!B727)))</xm:f>
            <x14:dxf>
              <font>
                <b/>
                <i val="0"/>
                <color theme="1" tint="0.34998626667073579"/>
              </font>
            </x14:dxf>
          </x14:cfRule>
          <xm:sqref>O659:O670 B659:D670</xm:sqref>
        </x14:conditionalFormatting>
        <x14:conditionalFormatting xmlns:xm="http://schemas.microsoft.com/office/excel/2006/main">
          <x14:cfRule type="containsText" priority="88259" operator="containsText" text="eSystems " id="{F28697AD-C48E-41FC-9FC8-8795A2F3D138}">
            <xm:f>NOT(ISERROR(SEARCH("eSystems ",Inputs_RecordsGeneration!Q727)))</xm:f>
            <x14:dxf>
              <font>
                <b/>
                <i val="0"/>
                <color rgb="FFC00000"/>
              </font>
            </x14:dxf>
          </x14:cfRule>
          <x14:cfRule type="containsText" priority="88260" operator="containsText" text="hSystems " id="{F55F47BF-7694-437A-981F-98AA0F3070D9}">
            <xm:f>NOT(ISERROR(SEARCH("hSystems ",Inputs_RecordsGeneration!Q727)))</xm:f>
            <x14:dxf>
              <font>
                <b/>
                <i val="0"/>
                <color rgb="FF0070C0"/>
              </font>
            </x14:dxf>
          </x14:cfRule>
          <x14:cfRule type="containsText" priority="88261" operator="containsText" text="pSystems " id="{DD85F3C2-30A3-4692-98FE-F0C742BC1E4C}">
            <xm:f>NOT(ISERROR(SEARCH("pSystems ",Inputs_RecordsGeneration!Q727)))</xm:f>
            <x14:dxf>
              <font>
                <b/>
                <i val="0"/>
                <color theme="1" tint="0.34998626667073579"/>
              </font>
            </x14:dxf>
          </x14:cfRule>
          <xm:sqref>P659:XFB670</xm:sqref>
        </x14:conditionalFormatting>
        <x14:conditionalFormatting xmlns:xm="http://schemas.microsoft.com/office/excel/2006/main">
          <x14:cfRule type="containsText" priority="88262" operator="containsText" text="eSystems " id="{06FD8684-02EC-4619-B103-24BE8EECCFE6}">
            <xm:f>NOT(ISERROR(SEARCH("eSystems ",Inputs_RecordsGeneration!XFB727)))</xm:f>
            <x14:dxf>
              <font>
                <b/>
                <i val="0"/>
                <color rgb="FFC00000"/>
              </font>
            </x14:dxf>
          </x14:cfRule>
          <x14:cfRule type="containsText" priority="88263" operator="containsText" text="hSystems " id="{79F9831C-B21B-476F-A686-D647FEA06F4E}">
            <xm:f>NOT(ISERROR(SEARCH("hSystems ",Inputs_RecordsGeneration!XFB727)))</xm:f>
            <x14:dxf>
              <font>
                <b/>
                <i val="0"/>
                <color rgb="FF0070C0"/>
              </font>
            </x14:dxf>
          </x14:cfRule>
          <x14:cfRule type="containsText" priority="88264" operator="containsText" text="pSystems " id="{90D8C526-CB15-426C-8877-2DC2CF6FA705}">
            <xm:f>NOT(ISERROR(SEARCH("pSystems ",Inputs_RecordsGeneration!XFB727)))</xm:f>
            <x14:dxf>
              <font>
                <b/>
                <i val="0"/>
                <color theme="1" tint="0.34998626667073579"/>
              </font>
            </x14:dxf>
          </x14:cfRule>
          <xm:sqref>XFC659:XFD670</xm:sqref>
        </x14:conditionalFormatting>
        <x14:conditionalFormatting xmlns:xm="http://schemas.microsoft.com/office/excel/2006/main">
          <x14:cfRule type="containsText" priority="89849" operator="containsText" text="eSystems " id="{011255F5-2EA0-4878-AA87-C968FA6CB1C4}">
            <xm:f>NOT(ISERROR(SEARCH("eSystems ",Inputs_RecordsGeneration!B679)))</xm:f>
            <x14:dxf>
              <font>
                <b/>
                <i val="0"/>
                <color rgb="FFC00000"/>
              </font>
            </x14:dxf>
          </x14:cfRule>
          <x14:cfRule type="containsText" priority="89850" operator="containsText" text="hSystems " id="{8C7901BF-37B3-456F-9F67-AEE744728419}">
            <xm:f>NOT(ISERROR(SEARCH("hSystems ",Inputs_RecordsGeneration!B679)))</xm:f>
            <x14:dxf>
              <font>
                <b/>
                <i val="0"/>
                <color rgb="FF0070C0"/>
              </font>
            </x14:dxf>
          </x14:cfRule>
          <x14:cfRule type="containsText" priority="89851" operator="containsText" text="pSystems " id="{6AE73927-498F-442B-A900-835806C3B447}">
            <xm:f>NOT(ISERROR(SEARCH("pSystems ",Inputs_RecordsGeneration!B679)))</xm:f>
            <x14:dxf>
              <font>
                <b/>
                <i val="0"/>
                <color theme="1" tint="0.34998626667073579"/>
              </font>
            </x14:dxf>
          </x14:cfRule>
          <xm:sqref>O674:O686 O613:O614 B674:D686</xm:sqref>
        </x14:conditionalFormatting>
        <x14:conditionalFormatting xmlns:xm="http://schemas.microsoft.com/office/excel/2006/main">
          <x14:cfRule type="containsText" priority="89858" operator="containsText" text="eSystems " id="{F28697AD-C48E-41FC-9FC8-8795A2F3D138}">
            <xm:f>NOT(ISERROR(SEARCH("eSystems ",Inputs_RecordsGeneration!Q740)))</xm:f>
            <x14:dxf>
              <font>
                <b/>
                <i val="0"/>
                <color rgb="FFC00000"/>
              </font>
            </x14:dxf>
          </x14:cfRule>
          <x14:cfRule type="containsText" priority="89859" operator="containsText" text="hSystems " id="{F55F47BF-7694-437A-981F-98AA0F3070D9}">
            <xm:f>NOT(ISERROR(SEARCH("hSystems ",Inputs_RecordsGeneration!Q740)))</xm:f>
            <x14:dxf>
              <font>
                <b/>
                <i val="0"/>
                <color rgb="FF0070C0"/>
              </font>
            </x14:dxf>
          </x14:cfRule>
          <x14:cfRule type="containsText" priority="89860" operator="containsText" text="pSystems " id="{DD85F3C2-30A3-4692-98FE-F0C742BC1E4C}">
            <xm:f>NOT(ISERROR(SEARCH("pSystems ",Inputs_RecordsGeneration!Q740)))</xm:f>
            <x14:dxf>
              <font>
                <b/>
                <i val="0"/>
                <color theme="1" tint="0.34998626667073579"/>
              </font>
            </x14:dxf>
          </x14:cfRule>
          <xm:sqref>P674:XFB686</xm:sqref>
        </x14:conditionalFormatting>
        <x14:conditionalFormatting xmlns:xm="http://schemas.microsoft.com/office/excel/2006/main">
          <x14:cfRule type="containsText" priority="89861" operator="containsText" text="eSystems " id="{06FD8684-02EC-4619-B103-24BE8EECCFE6}">
            <xm:f>NOT(ISERROR(SEARCH("eSystems ",Inputs_RecordsGeneration!XFB740)))</xm:f>
            <x14:dxf>
              <font>
                <b/>
                <i val="0"/>
                <color rgb="FFC00000"/>
              </font>
            </x14:dxf>
          </x14:cfRule>
          <x14:cfRule type="containsText" priority="89862" operator="containsText" text="hSystems " id="{79F9831C-B21B-476F-A686-D647FEA06F4E}">
            <xm:f>NOT(ISERROR(SEARCH("hSystems ",Inputs_RecordsGeneration!XFB740)))</xm:f>
            <x14:dxf>
              <font>
                <b/>
                <i val="0"/>
                <color rgb="FF0070C0"/>
              </font>
            </x14:dxf>
          </x14:cfRule>
          <x14:cfRule type="containsText" priority="89863" operator="containsText" text="pSystems " id="{90D8C526-CB15-426C-8877-2DC2CF6FA705}">
            <xm:f>NOT(ISERROR(SEARCH("pSystems ",Inputs_RecordsGeneration!XFB740)))</xm:f>
            <x14:dxf>
              <font>
                <b/>
                <i val="0"/>
                <color theme="1" tint="0.34998626667073579"/>
              </font>
            </x14:dxf>
          </x14:cfRule>
          <xm:sqref>XFC674:XFD686</xm:sqref>
        </x14:conditionalFormatting>
        <x14:conditionalFormatting xmlns:xm="http://schemas.microsoft.com/office/excel/2006/main">
          <x14:cfRule type="containsText" priority="90863" operator="containsText" text="eSystems " id="{7875FD2E-F1B7-4DA2-A976-89ED9B3FF457}">
            <xm:f>NOT(ISERROR(SEARCH("eSystems ",Inputs_RecordsGeneration!XFB404)))</xm:f>
            <x14:dxf>
              <font>
                <b/>
                <i val="0"/>
                <color rgb="FFC00000"/>
              </font>
            </x14:dxf>
          </x14:cfRule>
          <x14:cfRule type="containsText" priority="90864" operator="containsText" text="hSystems " id="{645A4C50-B0F2-43D2-A440-80B7C362E4EE}">
            <xm:f>NOT(ISERROR(SEARCH("hSystems ",Inputs_RecordsGeneration!XFB404)))</xm:f>
            <x14:dxf>
              <font>
                <b/>
                <i val="0"/>
                <color rgb="FF0070C0"/>
              </font>
            </x14:dxf>
          </x14:cfRule>
          <x14:cfRule type="containsText" priority="90865" operator="containsText" text="pSystems " id="{0D00D5DD-D388-48CC-ABE6-39420CEDD160}">
            <xm:f>NOT(ISERROR(SEARCH("pSystems ",Inputs_RecordsGeneration!XFB404)))</xm:f>
            <x14:dxf>
              <font>
                <b/>
                <i val="0"/>
                <color theme="1" tint="0.34998626667073579"/>
              </font>
            </x14:dxf>
          </x14:cfRule>
          <xm:sqref>XFC352:XFD364</xm:sqref>
        </x14:conditionalFormatting>
        <x14:conditionalFormatting xmlns:xm="http://schemas.microsoft.com/office/excel/2006/main">
          <x14:cfRule type="containsText" priority="90869" operator="containsText" text="eSystems " id="{1C77FC8A-10FE-45C6-9F53-2A718BDE4B5A}">
            <xm:f>NOT(ISERROR(SEARCH("eSystems ",Inputs_RecordsGeneration!Q404)))</xm:f>
            <x14:dxf>
              <font>
                <b/>
                <i val="0"/>
                <color rgb="FFC00000"/>
              </font>
            </x14:dxf>
          </x14:cfRule>
          <x14:cfRule type="containsText" priority="90870" operator="containsText" text="hSystems " id="{FBD9C220-0547-44B2-8B1E-6C64171C7390}">
            <xm:f>NOT(ISERROR(SEARCH("hSystems ",Inputs_RecordsGeneration!Q404)))</xm:f>
            <x14:dxf>
              <font>
                <b/>
                <i val="0"/>
                <color rgb="FF0070C0"/>
              </font>
            </x14:dxf>
          </x14:cfRule>
          <x14:cfRule type="containsText" priority="90871" operator="containsText" text="pSystems " id="{CD487AD0-CF46-40D6-AF40-919C9942A1BF}">
            <xm:f>NOT(ISERROR(SEARCH("pSystems ",Inputs_RecordsGeneration!Q404)))</xm:f>
            <x14:dxf>
              <font>
                <b/>
                <i val="0"/>
                <color theme="1" tint="0.34998626667073579"/>
              </font>
            </x14:dxf>
          </x14:cfRule>
          <xm:sqref>P352:XFB364</xm:sqref>
        </x14:conditionalFormatting>
        <x14:conditionalFormatting xmlns:xm="http://schemas.microsoft.com/office/excel/2006/main">
          <x14:cfRule type="containsText" priority="90875" operator="containsText" text="eSystems " id="{011255F5-2EA0-4878-AA87-C968FA6CB1C4}">
            <xm:f>NOT(ISERROR(SEARCH("eSystems ",Inputs_RecordsGeneration!B666)))</xm:f>
            <x14:dxf>
              <font>
                <b/>
                <i val="0"/>
                <color rgb="FFC00000"/>
              </font>
            </x14:dxf>
          </x14:cfRule>
          <x14:cfRule type="containsText" priority="90876" operator="containsText" text="hSystems " id="{8C7901BF-37B3-456F-9F67-AEE744728419}">
            <xm:f>NOT(ISERROR(SEARCH("hSystems ",Inputs_RecordsGeneration!B666)))</xm:f>
            <x14:dxf>
              <font>
                <b/>
                <i val="0"/>
                <color rgb="FF0070C0"/>
              </font>
            </x14:dxf>
          </x14:cfRule>
          <x14:cfRule type="containsText" priority="90877" operator="containsText" text="pSystems " id="{6AE73927-498F-442B-A900-835806C3B447}">
            <xm:f>NOT(ISERROR(SEARCH("pSystems ",Inputs_RecordsGeneration!B666)))</xm:f>
            <x14:dxf>
              <font>
                <b/>
                <i val="0"/>
                <color theme="1" tint="0.34998626667073579"/>
              </font>
            </x14:dxf>
          </x14:cfRule>
          <xm:sqref>B601:D612 O601:O612</xm:sqref>
        </x14:conditionalFormatting>
        <x14:conditionalFormatting xmlns:xm="http://schemas.microsoft.com/office/excel/2006/main">
          <x14:cfRule type="containsText" priority="90881" operator="containsText" text="eSystems " id="{F28697AD-C48E-41FC-9FC8-8795A2F3D138}">
            <xm:f>NOT(ISERROR(SEARCH("eSystems ",Inputs_RecordsGeneration!Q666)))</xm:f>
            <x14:dxf>
              <font>
                <b/>
                <i val="0"/>
                <color rgb="FFC00000"/>
              </font>
            </x14:dxf>
          </x14:cfRule>
          <x14:cfRule type="containsText" priority="90882" operator="containsText" text="hSystems " id="{F55F47BF-7694-437A-981F-98AA0F3070D9}">
            <xm:f>NOT(ISERROR(SEARCH("hSystems ",Inputs_RecordsGeneration!Q666)))</xm:f>
            <x14:dxf>
              <font>
                <b/>
                <i val="0"/>
                <color rgb="FF0070C0"/>
              </font>
            </x14:dxf>
          </x14:cfRule>
          <x14:cfRule type="containsText" priority="90883" operator="containsText" text="pSystems " id="{DD85F3C2-30A3-4692-98FE-F0C742BC1E4C}">
            <xm:f>NOT(ISERROR(SEARCH("pSystems ",Inputs_RecordsGeneration!Q666)))</xm:f>
            <x14:dxf>
              <font>
                <b/>
                <i val="0"/>
                <color theme="1" tint="0.34998626667073579"/>
              </font>
            </x14:dxf>
          </x14:cfRule>
          <xm:sqref>P601:XFB612</xm:sqref>
        </x14:conditionalFormatting>
        <x14:conditionalFormatting xmlns:xm="http://schemas.microsoft.com/office/excel/2006/main">
          <x14:cfRule type="containsText" priority="90884" operator="containsText" text="eSystems " id="{06FD8684-02EC-4619-B103-24BE8EECCFE6}">
            <xm:f>NOT(ISERROR(SEARCH("eSystems ",Inputs_RecordsGeneration!XFB666)))</xm:f>
            <x14:dxf>
              <font>
                <b/>
                <i val="0"/>
                <color rgb="FFC00000"/>
              </font>
            </x14:dxf>
          </x14:cfRule>
          <x14:cfRule type="containsText" priority="90885" operator="containsText" text="hSystems " id="{79F9831C-B21B-476F-A686-D647FEA06F4E}">
            <xm:f>NOT(ISERROR(SEARCH("hSystems ",Inputs_RecordsGeneration!XFB666)))</xm:f>
            <x14:dxf>
              <font>
                <b/>
                <i val="0"/>
                <color rgb="FF0070C0"/>
              </font>
            </x14:dxf>
          </x14:cfRule>
          <x14:cfRule type="containsText" priority="90886" operator="containsText" text="pSystems " id="{90D8C526-CB15-426C-8877-2DC2CF6FA705}">
            <xm:f>NOT(ISERROR(SEARCH("pSystems ",Inputs_RecordsGeneration!XFB666)))</xm:f>
            <x14:dxf>
              <font>
                <b/>
                <i val="0"/>
                <color theme="1" tint="0.34998626667073579"/>
              </font>
            </x14:dxf>
          </x14:cfRule>
          <xm:sqref>XFC601:XFD612</xm:sqref>
        </x14:conditionalFormatting>
        <x14:conditionalFormatting xmlns:xm="http://schemas.microsoft.com/office/excel/2006/main">
          <x14:cfRule type="containsText" priority="90986" operator="containsText" text="eSystems " id="{F28697AD-C48E-41FC-9FC8-8795A2F3D138}">
            <xm:f>NOT(ISERROR(SEARCH("eSystems ",Inputs_RecordsGeneration!Q237)))</xm:f>
            <x14:dxf>
              <font>
                <b/>
                <i val="0"/>
                <color rgb="FFC00000"/>
              </font>
            </x14:dxf>
          </x14:cfRule>
          <x14:cfRule type="containsText" priority="90987" operator="containsText" text="hSystems " id="{F55F47BF-7694-437A-981F-98AA0F3070D9}">
            <xm:f>NOT(ISERROR(SEARCH("hSystems ",Inputs_RecordsGeneration!Q237)))</xm:f>
            <x14:dxf>
              <font>
                <b/>
                <i val="0"/>
                <color rgb="FF0070C0"/>
              </font>
            </x14:dxf>
          </x14:cfRule>
          <x14:cfRule type="containsText" priority="90988" operator="containsText" text="pSystems " id="{DD85F3C2-30A3-4692-98FE-F0C742BC1E4C}">
            <xm:f>NOT(ISERROR(SEARCH("pSystems ",Inputs_RecordsGeneration!Q237)))</xm:f>
            <x14:dxf>
              <font>
                <b/>
                <i val="0"/>
                <color theme="1" tint="0.34998626667073579"/>
              </font>
            </x14:dxf>
          </x14:cfRule>
          <xm:sqref>P279:XFB290 P255:XFB256 P191:XFB203</xm:sqref>
        </x14:conditionalFormatting>
        <x14:conditionalFormatting xmlns:xm="http://schemas.microsoft.com/office/excel/2006/main">
          <x14:cfRule type="containsText" priority="91004" operator="containsText" text="eSystems " id="{2286C159-2440-4D0C-B0B1-C88E8D67CAE6}">
            <xm:f>NOT(ISERROR(SEARCH("eSystems ",Inputs_RecordsGeneration!B176)))</xm:f>
            <x14:dxf>
              <font>
                <b/>
                <i val="0"/>
                <color rgb="FFC00000"/>
              </font>
            </x14:dxf>
          </x14:cfRule>
          <x14:cfRule type="containsText" priority="91005" operator="containsText" text="hSystems " id="{A8334271-CC11-4C33-BB96-94199E0A4099}">
            <xm:f>NOT(ISERROR(SEARCH("hSystems ",Inputs_RecordsGeneration!B176)))</xm:f>
            <x14:dxf>
              <font>
                <b/>
                <i val="0"/>
                <color rgb="FF0070C0"/>
              </font>
            </x14:dxf>
          </x14:cfRule>
          <x14:cfRule type="containsText" priority="91006" operator="containsText" text="pSystems " id="{E4DE5251-74CC-43AE-8260-A46121537423}">
            <xm:f>NOT(ISERROR(SEARCH("pSystems ",Inputs_RecordsGeneration!B176)))</xm:f>
            <x14:dxf>
              <font>
                <b/>
                <i val="0"/>
                <color theme="1" tint="0.34998626667073579"/>
              </font>
            </x14:dxf>
          </x14:cfRule>
          <xm:sqref>O130 C227:D238 O227:O238 O191:O203 B191:D203 B255:B256 B279:B292</xm:sqref>
        </x14:conditionalFormatting>
        <x14:conditionalFormatting xmlns:xm="http://schemas.microsoft.com/office/excel/2006/main">
          <x14:cfRule type="containsText" priority="91085" operator="containsText" text="eSystems " id="{90424857-CA06-4266-8A27-9F85E6277F8E}">
            <xm:f>NOT(ISERROR(SEARCH("eSystems ",Inputs_RecordsGeneration!Q847)))</xm:f>
            <x14:dxf>
              <font>
                <b/>
                <i val="0"/>
                <color rgb="FFC00000"/>
              </font>
            </x14:dxf>
          </x14:cfRule>
          <x14:cfRule type="containsText" priority="91086" operator="containsText" text="hSystems " id="{3C9AA55B-5F63-4DF9-9216-040A1E41A589}">
            <xm:f>NOT(ISERROR(SEARCH("hSystems ",Inputs_RecordsGeneration!Q847)))</xm:f>
            <x14:dxf>
              <font>
                <b/>
                <i val="0"/>
                <color rgb="FF0070C0"/>
              </font>
            </x14:dxf>
          </x14:cfRule>
          <x14:cfRule type="containsText" priority="91087" operator="containsText" text="pSystems " id="{C5CF0190-BA92-4A0A-80E7-73A121483CC6}">
            <xm:f>NOT(ISERROR(SEARCH("pSystems ",Inputs_RecordsGeneration!Q847)))</xm:f>
            <x14:dxf>
              <font>
                <b/>
                <i val="0"/>
                <color theme="1" tint="0.34998626667073579"/>
              </font>
            </x14:dxf>
          </x14:cfRule>
          <xm:sqref>P771:XFB772</xm:sqref>
        </x14:conditionalFormatting>
        <x14:conditionalFormatting xmlns:xm="http://schemas.microsoft.com/office/excel/2006/main">
          <x14:cfRule type="containsText" priority="91088" operator="containsText" text="eSystems " id="{90424857-CA06-4266-8A27-9F85E6277F8E}">
            <xm:f>NOT(ISERROR(SEARCH("eSystems ",Inputs_RecordsGeneration!#REF!)))</xm:f>
            <x14:dxf>
              <font>
                <b/>
                <i val="0"/>
                <color rgb="FFC00000"/>
              </font>
            </x14:dxf>
          </x14:cfRule>
          <x14:cfRule type="containsText" priority="91089" operator="containsText" text="hSystems " id="{3C9AA55B-5F63-4DF9-9216-040A1E41A589}">
            <xm:f>NOT(ISERROR(SEARCH("hSystems ",Inputs_RecordsGeneration!#REF!)))</xm:f>
            <x14:dxf>
              <font>
                <b/>
                <i val="0"/>
                <color rgb="FF0070C0"/>
              </font>
            </x14:dxf>
          </x14:cfRule>
          <x14:cfRule type="containsText" priority="91090" operator="containsText" text="pSystems " id="{C5CF0190-BA92-4A0A-80E7-73A121483CC6}">
            <xm:f>NOT(ISERROR(SEARCH("pSystems ",Inputs_RecordsGeneration!#REF!)))</xm:f>
            <x14:dxf>
              <font>
                <b/>
                <i val="0"/>
                <color theme="1" tint="0.34998626667073579"/>
              </font>
            </x14:dxf>
          </x14:cfRule>
          <xm:sqref>P770:XFB770</xm:sqref>
        </x14:conditionalFormatting>
        <x14:conditionalFormatting xmlns:xm="http://schemas.microsoft.com/office/excel/2006/main">
          <x14:cfRule type="containsText" priority="91100" operator="containsText" text="eSystems " id="{7EDFA699-2B97-4AF1-84DE-F4C7CD107C17}">
            <xm:f>NOT(ISERROR(SEARCH("eSystems ",Inputs_RecordsGeneration!B847)))</xm:f>
            <x14:dxf>
              <font>
                <b/>
                <i val="0"/>
                <color rgb="FFC00000"/>
              </font>
            </x14:dxf>
          </x14:cfRule>
          <x14:cfRule type="containsText" priority="91101" operator="containsText" text="hSystems " id="{F3C7EC9A-6751-45D3-93A3-2F3BE699133D}">
            <xm:f>NOT(ISERROR(SEARCH("hSystems ",Inputs_RecordsGeneration!B847)))</xm:f>
            <x14:dxf>
              <font>
                <b/>
                <i val="0"/>
                <color rgb="FF0070C0"/>
              </font>
            </x14:dxf>
          </x14:cfRule>
          <x14:cfRule type="containsText" priority="91102" operator="containsText" text="pSystems " id="{E21508DB-E9FD-4C10-A2EA-64641F6E539D}">
            <xm:f>NOT(ISERROR(SEARCH("pSystems ",Inputs_RecordsGeneration!B847)))</xm:f>
            <x14:dxf>
              <font>
                <b/>
                <i val="0"/>
                <color theme="1" tint="0.34998626667073579"/>
              </font>
            </x14:dxf>
          </x14:cfRule>
          <xm:sqref>O771:O772 B771:D772</xm:sqref>
        </x14:conditionalFormatting>
        <x14:conditionalFormatting xmlns:xm="http://schemas.microsoft.com/office/excel/2006/main">
          <x14:cfRule type="containsText" priority="91103" operator="containsText" text="eSystems " id="{7EDFA699-2B97-4AF1-84DE-F4C7CD107C17}">
            <xm:f>NOT(ISERROR(SEARCH("eSystems ",Inputs_RecordsGeneration!#REF!)))</xm:f>
            <x14:dxf>
              <font>
                <b/>
                <i val="0"/>
                <color rgb="FFC00000"/>
              </font>
            </x14:dxf>
          </x14:cfRule>
          <x14:cfRule type="containsText" priority="91104" operator="containsText" text="hSystems " id="{F3C7EC9A-6751-45D3-93A3-2F3BE699133D}">
            <xm:f>NOT(ISERROR(SEARCH("hSystems ",Inputs_RecordsGeneration!#REF!)))</xm:f>
            <x14:dxf>
              <font>
                <b/>
                <i val="0"/>
                <color rgb="FF0070C0"/>
              </font>
            </x14:dxf>
          </x14:cfRule>
          <x14:cfRule type="containsText" priority="91105" operator="containsText" text="pSystems " id="{E21508DB-E9FD-4C10-A2EA-64641F6E539D}">
            <xm:f>NOT(ISERROR(SEARCH("pSystems ",Inputs_RecordsGeneration!#REF!)))</xm:f>
            <x14:dxf>
              <font>
                <b/>
                <i val="0"/>
                <color theme="1" tint="0.34998626667073579"/>
              </font>
            </x14:dxf>
          </x14:cfRule>
          <xm:sqref>O770 B770:D770</xm:sqref>
        </x14:conditionalFormatting>
        <x14:conditionalFormatting xmlns:xm="http://schemas.microsoft.com/office/excel/2006/main">
          <x14:cfRule type="containsText" priority="91157" operator="containsText" text="eSystems " id="{7875FD2E-F1B7-4DA2-A976-89ED9B3FF457}">
            <xm:f>NOT(ISERROR(SEARCH("eSystems ",Inputs_RecordsGeneration!XFB237)))</xm:f>
            <x14:dxf>
              <font>
                <b/>
                <i val="0"/>
                <color rgb="FFC00000"/>
              </font>
            </x14:dxf>
          </x14:cfRule>
          <x14:cfRule type="containsText" priority="91158" operator="containsText" text="hSystems " id="{645A4C50-B0F2-43D2-A440-80B7C362E4EE}">
            <xm:f>NOT(ISERROR(SEARCH("hSystems ",Inputs_RecordsGeneration!XFB237)))</xm:f>
            <x14:dxf>
              <font>
                <b/>
                <i val="0"/>
                <color rgb="FF0070C0"/>
              </font>
            </x14:dxf>
          </x14:cfRule>
          <x14:cfRule type="containsText" priority="91159" operator="containsText" text="pSystems " id="{0D00D5DD-D388-48CC-ABE6-39420CEDD160}">
            <xm:f>NOT(ISERROR(SEARCH("pSystems ",Inputs_RecordsGeneration!XFB237)))</xm:f>
            <x14:dxf>
              <font>
                <b/>
                <i val="0"/>
                <color theme="1" tint="0.34998626667073579"/>
              </font>
            </x14:dxf>
          </x14:cfRule>
          <xm:sqref>XFC279:XFD290 XFC191:XFD203</xm:sqref>
        </x14:conditionalFormatting>
        <x14:conditionalFormatting xmlns:xm="http://schemas.microsoft.com/office/excel/2006/main">
          <x14:cfRule type="containsText" priority="91859" operator="containsText" text="eSystems " id="{7875FD2E-F1B7-4DA2-A976-89ED9B3FF457}">
            <xm:f>NOT(ISERROR(SEARCH("eSystems ",Inputs_RecordsGeneration!XFB889)))</xm:f>
            <x14:dxf>
              <font>
                <b/>
                <i val="0"/>
                <color rgb="FFC00000"/>
              </font>
            </x14:dxf>
          </x14:cfRule>
          <x14:cfRule type="containsText" priority="91860" operator="containsText" text="hSystems " id="{645A4C50-B0F2-43D2-A440-80B7C362E4EE}">
            <xm:f>NOT(ISERROR(SEARCH("hSystems ",Inputs_RecordsGeneration!XFB889)))</xm:f>
            <x14:dxf>
              <font>
                <b/>
                <i val="0"/>
                <color rgb="FF0070C0"/>
              </font>
            </x14:dxf>
          </x14:cfRule>
          <x14:cfRule type="containsText" priority="91861" operator="containsText" text="pSystems " id="{0D00D5DD-D388-48CC-ABE6-39420CEDD160}">
            <xm:f>NOT(ISERROR(SEARCH("pSystems ",Inputs_RecordsGeneration!XFB889)))</xm:f>
            <x14:dxf>
              <font>
                <b/>
                <i val="0"/>
                <color theme="1" tint="0.34998626667073579"/>
              </font>
            </x14:dxf>
          </x14:cfRule>
          <xm:sqref>XFC838:XFD849</xm:sqref>
        </x14:conditionalFormatting>
        <x14:conditionalFormatting xmlns:xm="http://schemas.microsoft.com/office/excel/2006/main">
          <x14:cfRule type="containsText" priority="91862" operator="containsText" text="eSystems " id="{1C77FC8A-10FE-45C6-9F53-2A718BDE4B5A}">
            <xm:f>NOT(ISERROR(SEARCH("eSystems ",Inputs_RecordsGeneration!Q889)))</xm:f>
            <x14:dxf>
              <font>
                <b/>
                <i val="0"/>
                <color rgb="FFC00000"/>
              </font>
            </x14:dxf>
          </x14:cfRule>
          <x14:cfRule type="containsText" priority="91863" operator="containsText" text="hSystems " id="{FBD9C220-0547-44B2-8B1E-6C64171C7390}">
            <xm:f>NOT(ISERROR(SEARCH("hSystems ",Inputs_RecordsGeneration!Q889)))</xm:f>
            <x14:dxf>
              <font>
                <b/>
                <i val="0"/>
                <color rgb="FF0070C0"/>
              </font>
            </x14:dxf>
          </x14:cfRule>
          <x14:cfRule type="containsText" priority="91864" operator="containsText" text="pSystems " id="{CD487AD0-CF46-40D6-AF40-919C9942A1BF}">
            <xm:f>NOT(ISERROR(SEARCH("pSystems ",Inputs_RecordsGeneration!Q889)))</xm:f>
            <x14:dxf>
              <font>
                <b/>
                <i val="0"/>
                <color theme="1" tint="0.34998626667073579"/>
              </font>
            </x14:dxf>
          </x14:cfRule>
          <xm:sqref>P838:XFB849</xm:sqref>
        </x14:conditionalFormatting>
        <x14:conditionalFormatting xmlns:xm="http://schemas.microsoft.com/office/excel/2006/main">
          <x14:cfRule type="containsText" priority="91889" operator="containsText" text="eSystems " id="{878CD960-DEDD-4F9A-8FC6-4353DBE53592}">
            <xm:f>NOT(ISERROR(SEARCH("eSystems ",Inputs_RecordsGeneration!Q679)))</xm:f>
            <x14:dxf>
              <font>
                <b/>
                <i val="0"/>
                <color rgb="FFC00000"/>
              </font>
            </x14:dxf>
          </x14:cfRule>
          <x14:cfRule type="containsText" priority="91890" operator="containsText" text="hSystems " id="{912480BB-0EBE-4323-B016-876A419E17B3}">
            <xm:f>NOT(ISERROR(SEARCH("hSystems ",Inputs_RecordsGeneration!Q679)))</xm:f>
            <x14:dxf>
              <font>
                <b/>
                <i val="0"/>
                <color rgb="FF0070C0"/>
              </font>
            </x14:dxf>
          </x14:cfRule>
          <x14:cfRule type="containsText" priority="91891" operator="containsText" text="pSystems " id="{8159F126-7781-4C86-ABCF-775AE53A88FD}">
            <xm:f>NOT(ISERROR(SEARCH("pSystems ",Inputs_RecordsGeneration!Q679)))</xm:f>
            <x14:dxf>
              <font>
                <b/>
                <i val="0"/>
                <color theme="1" tint="0.34998626667073579"/>
              </font>
            </x14:dxf>
          </x14:cfRule>
          <xm:sqref>P616:XFB628</xm:sqref>
        </x14:conditionalFormatting>
        <x14:conditionalFormatting xmlns:xm="http://schemas.microsoft.com/office/excel/2006/main">
          <x14:cfRule type="containsText" priority="91892" operator="containsText" text="eSystems " id="{8372A781-16A9-4A37-8349-66CCE58381A0}">
            <xm:f>NOT(ISERROR(SEARCH("eSystems ",Inputs_RecordsGeneration!XFB679)))</xm:f>
            <x14:dxf>
              <font>
                <b/>
                <i val="0"/>
                <color rgb="FFC00000"/>
              </font>
            </x14:dxf>
          </x14:cfRule>
          <x14:cfRule type="containsText" priority="91893" operator="containsText" text="hSystems " id="{49CDEF73-92BB-4828-B262-8150023E9A9B}">
            <xm:f>NOT(ISERROR(SEARCH("hSystems ",Inputs_RecordsGeneration!XFB679)))</xm:f>
            <x14:dxf>
              <font>
                <b/>
                <i val="0"/>
                <color rgb="FF0070C0"/>
              </font>
            </x14:dxf>
          </x14:cfRule>
          <x14:cfRule type="containsText" priority="91894" operator="containsText" text="pSystems " id="{850F241E-0384-4BAC-B2AD-08626AB0D129}">
            <xm:f>NOT(ISERROR(SEARCH("pSystems ",Inputs_RecordsGeneration!XFB679)))</xm:f>
            <x14:dxf>
              <font>
                <b/>
                <i val="0"/>
                <color theme="1" tint="0.34998626667073579"/>
              </font>
            </x14:dxf>
          </x14:cfRule>
          <xm:sqref>XFC616:XFD628</xm:sqref>
        </x14:conditionalFormatting>
        <x14:conditionalFormatting xmlns:xm="http://schemas.microsoft.com/office/excel/2006/main">
          <x14:cfRule type="containsText" priority="91943" operator="containsText" text="eSystems " id="{9915B1F5-2C6F-4C07-B768-0A8A935DBF9B}">
            <xm:f>NOT(ISERROR(SEARCH("eSystems ",Inputs_RecordsGeneration!B889)))</xm:f>
            <x14:dxf>
              <font>
                <b/>
                <i val="0"/>
                <color rgb="FFC00000"/>
              </font>
            </x14:dxf>
          </x14:cfRule>
          <x14:cfRule type="containsText" priority="91944" operator="containsText" text="hSystems " id="{8A940A0E-5BB3-47A3-8D38-720E046905AE}">
            <xm:f>NOT(ISERROR(SEARCH("hSystems ",Inputs_RecordsGeneration!B889)))</xm:f>
            <x14:dxf>
              <font>
                <b/>
                <i val="0"/>
                <color rgb="FF0070C0"/>
              </font>
            </x14:dxf>
          </x14:cfRule>
          <x14:cfRule type="containsText" priority="91945" operator="containsText" text="pSystems " id="{3011A043-22A5-4C0A-99A9-EC7AD6DE305C}">
            <xm:f>NOT(ISERROR(SEARCH("pSystems ",Inputs_RecordsGeneration!B889)))</xm:f>
            <x14:dxf>
              <font>
                <b/>
                <i val="0"/>
                <color theme="1" tint="0.34998626667073579"/>
              </font>
            </x14:dxf>
          </x14:cfRule>
          <xm:sqref>O838:O849 B838:D839 B843:D849 C840:D842</xm:sqref>
        </x14:conditionalFormatting>
        <x14:conditionalFormatting xmlns:xm="http://schemas.microsoft.com/office/excel/2006/main">
          <x14:cfRule type="containsText" priority="92009" operator="containsText" text="eSystems " id="{F28697AD-C48E-41FC-9FC8-8795A2F3D138}">
            <xm:f>NOT(ISERROR(SEARCH("eSystems ",Inputs_RecordsGeneration!Q165)))</xm:f>
            <x14:dxf>
              <font>
                <b/>
                <i val="0"/>
                <color rgb="FFC00000"/>
              </font>
            </x14:dxf>
          </x14:cfRule>
          <x14:cfRule type="containsText" priority="92010" operator="containsText" text="hSystems " id="{F55F47BF-7694-437A-981F-98AA0F3070D9}">
            <xm:f>NOT(ISERROR(SEARCH("hSystems ",Inputs_RecordsGeneration!Q165)))</xm:f>
            <x14:dxf>
              <font>
                <b/>
                <i val="0"/>
                <color rgb="FF0070C0"/>
              </font>
            </x14:dxf>
          </x14:cfRule>
          <x14:cfRule type="containsText" priority="92011" operator="containsText" text="pSystems " id="{DD85F3C2-30A3-4692-98FE-F0C742BC1E4C}">
            <xm:f>NOT(ISERROR(SEARCH("pSystems ",Inputs_RecordsGeneration!Q165)))</xm:f>
            <x14:dxf>
              <font>
                <b/>
                <i val="0"/>
                <color theme="1" tint="0.34998626667073579"/>
              </font>
            </x14:dxf>
          </x14:cfRule>
          <xm:sqref>P227:XFB238 P120:XFB129 P420:XFB432</xm:sqref>
        </x14:conditionalFormatting>
        <x14:conditionalFormatting xmlns:xm="http://schemas.microsoft.com/office/excel/2006/main">
          <x14:cfRule type="containsText" priority="92210" operator="containsText" text="eSystems " id="{7875FD2E-F1B7-4DA2-A976-89ED9B3FF457}">
            <xm:f>NOT(ISERROR(SEARCH("eSystems ",Inputs_RecordsGeneration!XFB272)))</xm:f>
            <x14:dxf>
              <font>
                <b/>
                <i val="0"/>
                <color rgb="FFC00000"/>
              </font>
            </x14:dxf>
          </x14:cfRule>
          <x14:cfRule type="containsText" priority="92211" operator="containsText" text="hSystems " id="{645A4C50-B0F2-43D2-A440-80B7C362E4EE}">
            <xm:f>NOT(ISERROR(SEARCH("hSystems ",Inputs_RecordsGeneration!XFB272)))</xm:f>
            <x14:dxf>
              <font>
                <b/>
                <i val="0"/>
                <color rgb="FF0070C0"/>
              </font>
            </x14:dxf>
          </x14:cfRule>
          <x14:cfRule type="containsText" priority="92212" operator="containsText" text="pSystems " id="{0D00D5DD-D388-48CC-ABE6-39420CEDD160}">
            <xm:f>NOT(ISERROR(SEARCH("pSystems ",Inputs_RecordsGeneration!XFB272)))</xm:f>
            <x14:dxf>
              <font>
                <b/>
                <i val="0"/>
                <color theme="1" tint="0.34998626667073579"/>
              </font>
            </x14:dxf>
          </x14:cfRule>
          <xm:sqref>XFC227:XFD238 XFC420:XFD432</xm:sqref>
        </x14:conditionalFormatting>
        <x14:conditionalFormatting xmlns:xm="http://schemas.microsoft.com/office/excel/2006/main">
          <x14:cfRule type="containsText" priority="92933" operator="containsText" text="eSystems " id="{878CD960-DEDD-4F9A-8FC6-4353DBE53592}">
            <xm:f>NOT(ISERROR(SEARCH("eSystems ",Inputs_RecordsGeneration!Q506)))</xm:f>
            <x14:dxf>
              <font>
                <b/>
                <i val="0"/>
                <color rgb="FFC00000"/>
              </font>
            </x14:dxf>
          </x14:cfRule>
          <x14:cfRule type="containsText" priority="92934" operator="containsText" text="hSystems " id="{912480BB-0EBE-4323-B016-876A419E17B3}">
            <xm:f>NOT(ISERROR(SEARCH("hSystems ",Inputs_RecordsGeneration!Q506)))</xm:f>
            <x14:dxf>
              <font>
                <b/>
                <i val="0"/>
                <color rgb="FF0070C0"/>
              </font>
            </x14:dxf>
          </x14:cfRule>
          <x14:cfRule type="containsText" priority="92935" operator="containsText" text="pSystems " id="{8159F126-7781-4C86-ABCF-775AE53A88FD}">
            <xm:f>NOT(ISERROR(SEARCH("pSystems ",Inputs_RecordsGeneration!Q506)))</xm:f>
            <x14:dxf>
              <font>
                <b/>
                <i val="0"/>
                <color theme="1" tint="0.34998626667073579"/>
              </font>
            </x14:dxf>
          </x14:cfRule>
          <xm:sqref>P444:XFB445</xm:sqref>
        </x14:conditionalFormatting>
        <x14:conditionalFormatting xmlns:xm="http://schemas.microsoft.com/office/excel/2006/main">
          <x14:cfRule type="containsText" priority="92963" operator="containsText" text="eSystems " id="{820E1607-B5F0-4185-96D0-6B384796BE5F}">
            <xm:f>NOT(ISERROR(SEARCH("eSystems ",Inputs_RecordsGeneration!B573)))</xm:f>
            <x14:dxf>
              <font>
                <b/>
                <i val="0"/>
                <color rgb="FFC00000"/>
              </font>
            </x14:dxf>
          </x14:cfRule>
          <x14:cfRule type="containsText" priority="92964" operator="containsText" text="hSystems " id="{35EAF413-2C5C-49AA-A416-549E9394BC8A}">
            <xm:f>NOT(ISERROR(SEARCH("hSystems ",Inputs_RecordsGeneration!B573)))</xm:f>
            <x14:dxf>
              <font>
                <b/>
                <i val="0"/>
                <color rgb="FF0070C0"/>
              </font>
            </x14:dxf>
          </x14:cfRule>
          <x14:cfRule type="containsText" priority="92965" operator="containsText" text="pSystems " id="{6EFFC7B4-0522-4E94-9EE8-FBAD7D68DF55}">
            <xm:f>NOT(ISERROR(SEARCH("pSystems ",Inputs_RecordsGeneration!B573)))</xm:f>
            <x14:dxf>
              <font>
                <b/>
                <i val="0"/>
                <color theme="1" tint="0.34998626667073579"/>
              </font>
            </x14:dxf>
          </x14:cfRule>
          <xm:sqref>O616:O628 B616:D628 O510:O511</xm:sqref>
        </x14:conditionalFormatting>
        <x14:conditionalFormatting xmlns:xm="http://schemas.microsoft.com/office/excel/2006/main">
          <x14:cfRule type="containsText" priority="92996" operator="containsText" text="eSystems " id="{F28697AD-C48E-41FC-9FC8-8795A2F3D138}">
            <xm:f>NOT(ISERROR(SEARCH("eSystems ",Inputs_RecordsGeneration!Q391)))</xm:f>
            <x14:dxf>
              <font>
                <b/>
                <i val="0"/>
                <color rgb="FFC00000"/>
              </font>
            </x14:dxf>
          </x14:cfRule>
          <x14:cfRule type="containsText" priority="92997" operator="containsText" text="hSystems " id="{F55F47BF-7694-437A-981F-98AA0F3070D9}">
            <xm:f>NOT(ISERROR(SEARCH("hSystems ",Inputs_RecordsGeneration!Q391)))</xm:f>
            <x14:dxf>
              <font>
                <b/>
                <i val="0"/>
                <color rgb="FF0070C0"/>
              </font>
            </x14:dxf>
          </x14:cfRule>
          <x14:cfRule type="containsText" priority="92998" operator="containsText" text="pSystems " id="{DD85F3C2-30A3-4692-98FE-F0C742BC1E4C}">
            <xm:f>NOT(ISERROR(SEARCH("pSystems ",Inputs_RecordsGeneration!Q391)))</xm:f>
            <x14:dxf>
              <font>
                <b/>
                <i val="0"/>
                <color theme="1" tint="0.34998626667073579"/>
              </font>
            </x14:dxf>
          </x14:cfRule>
          <xm:sqref>P859:XFB860 P337:XFB348 P587:XFB588</xm:sqref>
        </x14:conditionalFormatting>
        <x14:conditionalFormatting xmlns:xm="http://schemas.microsoft.com/office/excel/2006/main">
          <x14:cfRule type="containsText" priority="93068" operator="containsText" text="eSystems " id="{2286C159-2440-4D0C-B0B1-C88E8D67CAE6}">
            <xm:f>NOT(ISERROR(SEARCH("eSystems ",Inputs_RecordsGeneration!#REF!)))</xm:f>
            <x14:dxf>
              <font>
                <b/>
                <i val="0"/>
                <color rgb="FFC00000"/>
              </font>
            </x14:dxf>
          </x14:cfRule>
          <x14:cfRule type="containsText" priority="93069" operator="containsText" text="hSystems " id="{A8334271-CC11-4C33-BB96-94199E0A4099}">
            <xm:f>NOT(ISERROR(SEARCH("hSystems ",Inputs_RecordsGeneration!#REF!)))</xm:f>
            <x14:dxf>
              <font>
                <b/>
                <i val="0"/>
                <color rgb="FF0070C0"/>
              </font>
            </x14:dxf>
          </x14:cfRule>
          <x14:cfRule type="containsText" priority="93070" operator="containsText" text="pSystems " id="{E4DE5251-74CC-43AE-8260-A46121537423}">
            <xm:f>NOT(ISERROR(SEARCH("pSystems ",Inputs_RecordsGeneration!#REF!)))</xm:f>
            <x14:dxf>
              <font>
                <b/>
                <i val="0"/>
                <color theme="1" tint="0.34998626667073579"/>
              </font>
            </x14:dxf>
          </x14:cfRule>
          <xm:sqref>O871 B871:D871</xm:sqref>
        </x14:conditionalFormatting>
        <x14:conditionalFormatting xmlns:xm="http://schemas.microsoft.com/office/excel/2006/main">
          <x14:cfRule type="containsText" priority="93245" operator="containsText" text="eSystems " id="{7875FD2E-F1B7-4DA2-A976-89ED9B3FF457}">
            <xm:f>NOT(ISERROR(SEARCH("eSystems ",Inputs_RecordsGeneration!XFB220)))</xm:f>
            <x14:dxf>
              <font>
                <b/>
                <i val="0"/>
                <color rgb="FFC00000"/>
              </font>
            </x14:dxf>
          </x14:cfRule>
          <x14:cfRule type="containsText" priority="93246" operator="containsText" text="hSystems " id="{645A4C50-B0F2-43D2-A440-80B7C362E4EE}">
            <xm:f>NOT(ISERROR(SEARCH("hSystems ",Inputs_RecordsGeneration!XFB220)))</xm:f>
            <x14:dxf>
              <font>
                <b/>
                <i val="0"/>
                <color rgb="FF0070C0"/>
              </font>
            </x14:dxf>
          </x14:cfRule>
          <x14:cfRule type="containsText" priority="93247" operator="containsText" text="pSystems " id="{0D00D5DD-D388-48CC-ABE6-39420CEDD160}">
            <xm:f>NOT(ISERROR(SEARCH("pSystems ",Inputs_RecordsGeneration!XFB220)))</xm:f>
            <x14:dxf>
              <font>
                <b/>
                <i val="0"/>
                <color theme="1" tint="0.34998626667073579"/>
              </font>
            </x14:dxf>
          </x14:cfRule>
          <xm:sqref>XFC869:XFD881 XFC176:XFD187</xm:sqref>
        </x14:conditionalFormatting>
        <x14:conditionalFormatting xmlns:xm="http://schemas.microsoft.com/office/excel/2006/main">
          <x14:cfRule type="containsText" priority="93257" operator="containsText" text="eSystems " id="{1C77FC8A-10FE-45C6-9F53-2A718BDE4B5A}">
            <xm:f>NOT(ISERROR(SEARCH("eSystems ",Inputs_RecordsGeneration!#REF!)))</xm:f>
            <x14:dxf>
              <font>
                <b/>
                <i val="0"/>
                <color rgb="FFC00000"/>
              </font>
            </x14:dxf>
          </x14:cfRule>
          <x14:cfRule type="containsText" priority="93258" operator="containsText" text="hSystems " id="{FBD9C220-0547-44B2-8B1E-6C64171C7390}">
            <xm:f>NOT(ISERROR(SEARCH("hSystems ",Inputs_RecordsGeneration!#REF!)))</xm:f>
            <x14:dxf>
              <font>
                <b/>
                <i val="0"/>
                <color rgb="FF0070C0"/>
              </font>
            </x14:dxf>
          </x14:cfRule>
          <x14:cfRule type="containsText" priority="93259" operator="containsText" text="pSystems " id="{CD487AD0-CF46-40D6-AF40-919C9942A1BF}">
            <xm:f>NOT(ISERROR(SEARCH("pSystems ",Inputs_RecordsGeneration!#REF!)))</xm:f>
            <x14:dxf>
              <font>
                <b/>
                <i val="0"/>
                <color theme="1" tint="0.34998626667073579"/>
              </font>
            </x14:dxf>
          </x14:cfRule>
          <xm:sqref>P871:XFB871</xm:sqref>
        </x14:conditionalFormatting>
        <x14:conditionalFormatting xmlns:xm="http://schemas.microsoft.com/office/excel/2006/main">
          <x14:cfRule type="containsText" priority="93260" operator="containsText" text="eSystems " id="{2286C159-2440-4D0C-B0B1-C88E8D67CAE6}">
            <xm:f>NOT(ISERROR(SEARCH("eSystems ",Inputs_RecordsGeneration!B391)))</xm:f>
            <x14:dxf>
              <font>
                <b/>
                <i val="0"/>
                <color rgb="FFC00000"/>
              </font>
            </x14:dxf>
          </x14:cfRule>
          <x14:cfRule type="containsText" priority="93261" operator="containsText" text="hSystems " id="{A8334271-CC11-4C33-BB96-94199E0A4099}">
            <xm:f>NOT(ISERROR(SEARCH("hSystems ",Inputs_RecordsGeneration!B391)))</xm:f>
            <x14:dxf>
              <font>
                <b/>
                <i val="0"/>
                <color rgb="FF0070C0"/>
              </font>
            </x14:dxf>
          </x14:cfRule>
          <x14:cfRule type="containsText" priority="93262" operator="containsText" text="pSystems " id="{E4DE5251-74CC-43AE-8260-A46121537423}">
            <xm:f>NOT(ISERROR(SEARCH("pSystems ",Inputs_RecordsGeneration!B391)))</xm:f>
            <x14:dxf>
              <font>
                <b/>
                <i val="0"/>
                <color theme="1" tint="0.34998626667073579"/>
              </font>
            </x14:dxf>
          </x14:cfRule>
          <xm:sqref>O859:O860 B859:D860 B587:D588 O337:O348 B337:D348 O587:O588</xm:sqref>
        </x14:conditionalFormatting>
        <x14:conditionalFormatting xmlns:xm="http://schemas.microsoft.com/office/excel/2006/main">
          <x14:cfRule type="containsText" priority="93293" operator="containsText" text="eSystems " id="{7BB80493-4EA5-4D34-8197-B52352E839A0}">
            <xm:f>NOT(ISERROR(SEARCH("eSystems ",Inputs_RecordsGeneration!XFB391)))</xm:f>
            <x14:dxf>
              <font>
                <b/>
                <i val="0"/>
                <color rgb="FFC00000"/>
              </font>
            </x14:dxf>
          </x14:cfRule>
          <x14:cfRule type="containsText" priority="93294" operator="containsText" text="hSystems " id="{9744612D-FBA4-48D9-B887-983A366DBA52}">
            <xm:f>NOT(ISERROR(SEARCH("hSystems ",Inputs_RecordsGeneration!XFB391)))</xm:f>
            <x14:dxf>
              <font>
                <b/>
                <i val="0"/>
                <color rgb="FF0070C0"/>
              </font>
            </x14:dxf>
          </x14:cfRule>
          <x14:cfRule type="containsText" priority="93295" operator="containsText" text="pSystems " id="{EE86D31C-9C10-48CD-9A3B-A2514CBF663F}">
            <xm:f>NOT(ISERROR(SEARCH("pSystems ",Inputs_RecordsGeneration!XFB391)))</xm:f>
            <x14:dxf>
              <font>
                <b/>
                <i val="0"/>
                <color theme="1" tint="0.34998626667073579"/>
              </font>
            </x14:dxf>
          </x14:cfRule>
          <xm:sqref>XFC337:XFD348</xm:sqref>
        </x14:conditionalFormatting>
        <x14:conditionalFormatting xmlns:xm="http://schemas.microsoft.com/office/excel/2006/main">
          <x14:cfRule type="containsText" priority="93461" operator="containsText" text="eSystems " id="{1D98DE42-4691-4C03-A5D4-008B877322E2}">
            <xm:f>NOT(ISERROR(SEARCH("eSystems ",Inputs_RecordsGeneration!Q746)))</xm:f>
            <x14:dxf>
              <font>
                <b/>
                <i val="0"/>
                <color rgb="FFC00000"/>
              </font>
            </x14:dxf>
          </x14:cfRule>
          <x14:cfRule type="containsText" priority="93462" operator="containsText" text="hSystems " id="{1FFC0F63-8479-4E52-AEFF-F2A89F408E03}">
            <xm:f>NOT(ISERROR(SEARCH("hSystems ",Inputs_RecordsGeneration!Q746)))</xm:f>
            <x14:dxf>
              <font>
                <b/>
                <i val="0"/>
                <color rgb="FF0070C0"/>
              </font>
            </x14:dxf>
          </x14:cfRule>
          <x14:cfRule type="containsText" priority="93463" operator="containsText" text="pSystems " id="{02F63C73-F567-4F4D-BF0C-03EBDF6DB2D9}">
            <xm:f>NOT(ISERROR(SEARCH("pSystems ",Inputs_RecordsGeneration!Q746)))</xm:f>
            <x14:dxf>
              <font>
                <b/>
                <i val="0"/>
                <color theme="1" tint="0.34998626667073579"/>
              </font>
            </x14:dxf>
          </x14:cfRule>
          <xm:sqref>P690:XFB702</xm:sqref>
        </x14:conditionalFormatting>
        <x14:conditionalFormatting xmlns:xm="http://schemas.microsoft.com/office/excel/2006/main">
          <x14:cfRule type="containsText" priority="93926" operator="containsText" text="eSystems " id="{9915B1F5-2C6F-4C07-B768-0A8A935DBF9B}">
            <xm:f>NOT(ISERROR(SEARCH("eSystems ",Inputs_RecordsGeneration!B285)))</xm:f>
            <x14:dxf>
              <font>
                <b/>
                <i val="0"/>
                <color rgb="FFC00000"/>
              </font>
            </x14:dxf>
          </x14:cfRule>
          <x14:cfRule type="containsText" priority="93927" operator="containsText" text="hSystems " id="{8A940A0E-5BB3-47A3-8D38-720E046905AE}">
            <xm:f>NOT(ISERROR(SEARCH("hSystems ",Inputs_RecordsGeneration!B285)))</xm:f>
            <x14:dxf>
              <font>
                <b/>
                <i val="0"/>
                <color rgb="FF0070C0"/>
              </font>
            </x14:dxf>
          </x14:cfRule>
          <x14:cfRule type="containsText" priority="93928" operator="containsText" text="pSystems " id="{3011A043-22A5-4C0A-99A9-EC7AD6DE305C}">
            <xm:f>NOT(ISERROR(SEARCH("pSystems ",Inputs_RecordsGeneration!B285)))</xm:f>
            <x14:dxf>
              <font>
                <b/>
                <i val="0"/>
                <color theme="1" tint="0.34998626667073579"/>
              </font>
            </x14:dxf>
          </x14:cfRule>
          <xm:sqref>B244:B254</xm:sqref>
        </x14:conditionalFormatting>
        <x14:conditionalFormatting xmlns:xm="http://schemas.microsoft.com/office/excel/2006/main">
          <x14:cfRule type="containsText" priority="93929" operator="containsText" text="eSystems " id="{7875FD2E-F1B7-4DA2-A976-89ED9B3FF457}">
            <xm:f>NOT(ISERROR(SEARCH("eSystems ",Inputs_RecordsGeneration!XFB520)))</xm:f>
            <x14:dxf>
              <font>
                <b/>
                <i val="0"/>
                <color rgb="FFC00000"/>
              </font>
            </x14:dxf>
          </x14:cfRule>
          <x14:cfRule type="containsText" priority="93930" operator="containsText" text="hSystems " id="{645A4C50-B0F2-43D2-A440-80B7C362E4EE}">
            <xm:f>NOT(ISERROR(SEARCH("hSystems ",Inputs_RecordsGeneration!XFB520)))</xm:f>
            <x14:dxf>
              <font>
                <b/>
                <i val="0"/>
                <color rgb="FF0070C0"/>
              </font>
            </x14:dxf>
          </x14:cfRule>
          <x14:cfRule type="containsText" priority="93931" operator="containsText" text="pSystems " id="{0D00D5DD-D388-48CC-ABE6-39420CEDD160}">
            <xm:f>NOT(ISERROR(SEARCH("pSystems ",Inputs_RecordsGeneration!XFB520)))</xm:f>
            <x14:dxf>
              <font>
                <b/>
                <i val="0"/>
                <color theme="1" tint="0.34998626667073579"/>
              </font>
            </x14:dxf>
          </x14:cfRule>
          <xm:sqref>XFC853:XFD865 XFC471:XFD483 XFC580:XFD592 XFC529:XFD541</xm:sqref>
        </x14:conditionalFormatting>
        <x14:conditionalFormatting xmlns:xm="http://schemas.microsoft.com/office/excel/2006/main">
          <x14:cfRule type="containsText" priority="93941" operator="containsText" text="eSystems " id="{1C77FC8A-10FE-45C6-9F53-2A718BDE4B5A}">
            <xm:f>NOT(ISERROR(SEARCH("eSystems ",Inputs_RecordsGeneration!Q233)))</xm:f>
            <x14:dxf>
              <font>
                <b/>
                <i val="0"/>
                <color rgb="FFC00000"/>
              </font>
            </x14:dxf>
          </x14:cfRule>
          <x14:cfRule type="containsText" priority="93942" operator="containsText" text="hSystems " id="{FBD9C220-0547-44B2-8B1E-6C64171C7390}">
            <xm:f>NOT(ISERROR(SEARCH("hSystems ",Inputs_RecordsGeneration!Q233)))</xm:f>
            <x14:dxf>
              <font>
                <b/>
                <i val="0"/>
                <color rgb="FF0070C0"/>
              </font>
            </x14:dxf>
          </x14:cfRule>
          <x14:cfRule type="containsText" priority="93943" operator="containsText" text="pSystems " id="{CD487AD0-CF46-40D6-AF40-919C9942A1BF}">
            <xm:f>NOT(ISERROR(SEARCH("pSystems ",Inputs_RecordsGeneration!Q233)))</xm:f>
            <x14:dxf>
              <font>
                <b/>
                <i val="0"/>
                <color theme="1" tint="0.34998626667073579"/>
              </font>
            </x14:dxf>
          </x14:cfRule>
          <xm:sqref>P853:XFB858 P184:XFB185 P471:XFB483 P580:XFB586 P529:XFB541</xm:sqref>
        </x14:conditionalFormatting>
        <x14:conditionalFormatting xmlns:xm="http://schemas.microsoft.com/office/excel/2006/main">
          <x14:cfRule type="containsText" priority="93983" operator="containsText" text="eSystems " id="{878CD960-DEDD-4F9A-8FC6-4353DBE53592}">
            <xm:f>NOT(ISERROR(SEARCH("eSystems ",Inputs_RecordsGeneration!Q508)))</xm:f>
            <x14:dxf>
              <font>
                <b/>
                <i val="0"/>
                <color rgb="FFC00000"/>
              </font>
            </x14:dxf>
          </x14:cfRule>
          <x14:cfRule type="containsText" priority="93984" operator="containsText" text="hSystems " id="{912480BB-0EBE-4323-B016-876A419E17B3}">
            <xm:f>NOT(ISERROR(SEARCH("hSystems ",Inputs_RecordsGeneration!Q508)))</xm:f>
            <x14:dxf>
              <font>
                <b/>
                <i val="0"/>
                <color rgb="FF0070C0"/>
              </font>
            </x14:dxf>
          </x14:cfRule>
          <x14:cfRule type="containsText" priority="93985" operator="containsText" text="pSystems " id="{8159F126-7781-4C86-ABCF-775AE53A88FD}">
            <xm:f>NOT(ISERROR(SEARCH("pSystems ",Inputs_RecordsGeneration!Q508)))</xm:f>
            <x14:dxf>
              <font>
                <b/>
                <i val="0"/>
                <color theme="1" tint="0.34998626667073579"/>
              </font>
            </x14:dxf>
          </x14:cfRule>
          <xm:sqref>P549:XFB560 P447:XFB451</xm:sqref>
        </x14:conditionalFormatting>
        <x14:conditionalFormatting xmlns:xm="http://schemas.microsoft.com/office/excel/2006/main">
          <x14:cfRule type="containsText" priority="93989" operator="containsText" text="eSystems " id="{8372A781-16A9-4A37-8349-66CCE58381A0}">
            <xm:f>NOT(ISERROR(SEARCH("eSystems ",Inputs_RecordsGeneration!XFB610)))</xm:f>
            <x14:dxf>
              <font>
                <b/>
                <i val="0"/>
                <color rgb="FFC00000"/>
              </font>
            </x14:dxf>
          </x14:cfRule>
          <x14:cfRule type="containsText" priority="93990" operator="containsText" text="hSystems " id="{49CDEF73-92BB-4828-B262-8150023E9A9B}">
            <xm:f>NOT(ISERROR(SEARCH("hSystems ",Inputs_RecordsGeneration!XFB610)))</xm:f>
            <x14:dxf>
              <font>
                <b/>
                <i val="0"/>
                <color rgb="FF0070C0"/>
              </font>
            </x14:dxf>
          </x14:cfRule>
          <x14:cfRule type="containsText" priority="93991" operator="containsText" text="pSystems " id="{850F241E-0384-4BAC-B2AD-08626AB0D129}">
            <xm:f>NOT(ISERROR(SEARCH("pSystems ",Inputs_RecordsGeneration!XFB610)))</xm:f>
            <x14:dxf>
              <font>
                <b/>
                <i val="0"/>
                <color theme="1" tint="0.34998626667073579"/>
              </font>
            </x14:dxf>
          </x14:cfRule>
          <xm:sqref>XFC549:XFD560</xm:sqref>
        </x14:conditionalFormatting>
        <x14:conditionalFormatting xmlns:xm="http://schemas.microsoft.com/office/excel/2006/main">
          <x14:cfRule type="containsText" priority="94025" operator="containsText" text="eSystems " id="{820E1607-B5F0-4185-96D0-6B384796BE5F}">
            <xm:f>NOT(ISERROR(SEARCH("eSystems ",Inputs_RecordsGeneration!B506)))</xm:f>
            <x14:dxf>
              <font>
                <b/>
                <i val="0"/>
                <color rgb="FFC00000"/>
              </font>
            </x14:dxf>
          </x14:cfRule>
          <x14:cfRule type="containsText" priority="94026" operator="containsText" text="hSystems " id="{35EAF413-2C5C-49AA-A416-549E9394BC8A}">
            <xm:f>NOT(ISERROR(SEARCH("hSystems ",Inputs_RecordsGeneration!B506)))</xm:f>
            <x14:dxf>
              <font>
                <b/>
                <i val="0"/>
                <color rgb="FF0070C0"/>
              </font>
            </x14:dxf>
          </x14:cfRule>
          <x14:cfRule type="containsText" priority="94027" operator="containsText" text="pSystems " id="{6EFFC7B4-0522-4E94-9EE8-FBAD7D68DF55}">
            <xm:f>NOT(ISERROR(SEARCH("pSystems ",Inputs_RecordsGeneration!B506)))</xm:f>
            <x14:dxf>
              <font>
                <b/>
                <i val="0"/>
                <color theme="1" tint="0.34998626667073579"/>
              </font>
            </x14:dxf>
          </x14:cfRule>
          <xm:sqref>O561:O562 O444:O445 B444:D445 O452:O453</xm:sqref>
        </x14:conditionalFormatting>
        <x14:conditionalFormatting xmlns:xm="http://schemas.microsoft.com/office/excel/2006/main">
          <x14:cfRule type="containsText" priority="94526" operator="containsText" text="eSystems " id="{9915B1F5-2C6F-4C07-B768-0A8A935DBF9B}">
            <xm:f>NOT(ISERROR(SEARCH("eSystems ",Inputs_RecordsGeneration!B123)))</xm:f>
            <x14:dxf>
              <font>
                <b/>
                <i val="0"/>
                <color rgb="FFC00000"/>
              </font>
            </x14:dxf>
          </x14:cfRule>
          <x14:cfRule type="containsText" priority="94527" operator="containsText" text="hSystems " id="{8A940A0E-5BB3-47A3-8D38-720E046905AE}">
            <xm:f>NOT(ISERROR(SEARCH("hSystems ",Inputs_RecordsGeneration!B123)))</xm:f>
            <x14:dxf>
              <font>
                <b/>
                <i val="0"/>
                <color rgb="FF0070C0"/>
              </font>
            </x14:dxf>
          </x14:cfRule>
          <x14:cfRule type="containsText" priority="94528" operator="containsText" text="pSystems " id="{3011A043-22A5-4C0A-99A9-EC7AD6DE305C}">
            <xm:f>NOT(ISERROR(SEARCH("pSystems ",Inputs_RecordsGeneration!B123)))</xm:f>
            <x14:dxf>
              <font>
                <b/>
                <i val="0"/>
                <color theme="1" tint="0.34998626667073579"/>
              </font>
            </x14:dxf>
          </x14:cfRule>
          <xm:sqref>O83 B118:D119 O118:O119</xm:sqref>
        </x14:conditionalFormatting>
        <x14:conditionalFormatting xmlns:xm="http://schemas.microsoft.com/office/excel/2006/main">
          <x14:cfRule type="containsText" priority="94535" operator="containsText" text="eSystems " id="{1C77FC8A-10FE-45C6-9F53-2A718BDE4B5A}">
            <xm:f>NOT(ISERROR(SEARCH("eSystems ",Inputs_RecordsGeneration!Q235)))</xm:f>
            <x14:dxf>
              <font>
                <b/>
                <i val="0"/>
                <color rgb="FFC00000"/>
              </font>
            </x14:dxf>
          </x14:cfRule>
          <x14:cfRule type="containsText" priority="94536" operator="containsText" text="hSystems " id="{FBD9C220-0547-44B2-8B1E-6C64171C7390}">
            <xm:f>NOT(ISERROR(SEARCH("hSystems ",Inputs_RecordsGeneration!Q235)))</xm:f>
            <x14:dxf>
              <font>
                <b/>
                <i val="0"/>
                <color rgb="FF0070C0"/>
              </font>
            </x14:dxf>
          </x14:cfRule>
          <x14:cfRule type="containsText" priority="94537" operator="containsText" text="pSystems " id="{CD487AD0-CF46-40D6-AF40-919C9942A1BF}">
            <xm:f>NOT(ISERROR(SEARCH("pSystems ",Inputs_RecordsGeneration!Q235)))</xm:f>
            <x14:dxf>
              <font>
                <b/>
                <i val="0"/>
                <color theme="1" tint="0.34998626667073579"/>
              </font>
            </x14:dxf>
          </x14:cfRule>
          <xm:sqref>P187:XFB187</xm:sqref>
        </x14:conditionalFormatting>
        <x14:conditionalFormatting xmlns:xm="http://schemas.microsoft.com/office/excel/2006/main">
          <x14:cfRule type="containsText" priority="94565" operator="containsText" text="eSystems " id="{878CD960-DEDD-4F9A-8FC6-4353DBE53592}">
            <xm:f>NOT(ISERROR(SEARCH("eSystems ",Inputs_RecordsGeneration!Q573)))</xm:f>
            <x14:dxf>
              <font>
                <b/>
                <i val="0"/>
                <color rgb="FFC00000"/>
              </font>
            </x14:dxf>
          </x14:cfRule>
          <x14:cfRule type="containsText" priority="94566" operator="containsText" text="hSystems " id="{912480BB-0EBE-4323-B016-876A419E17B3}">
            <xm:f>NOT(ISERROR(SEARCH("hSystems ",Inputs_RecordsGeneration!Q573)))</xm:f>
            <x14:dxf>
              <font>
                <b/>
                <i val="0"/>
                <color rgb="FF0070C0"/>
              </font>
            </x14:dxf>
          </x14:cfRule>
          <x14:cfRule type="containsText" priority="94567" operator="containsText" text="pSystems " id="{8159F126-7781-4C86-ABCF-775AE53A88FD}">
            <xm:f>NOT(ISERROR(SEARCH("pSystems ",Inputs_RecordsGeneration!Q573)))</xm:f>
            <x14:dxf>
              <font>
                <b/>
                <i val="0"/>
                <color theme="1" tint="0.34998626667073579"/>
              </font>
            </x14:dxf>
          </x14:cfRule>
          <xm:sqref>P741:XFB753 P513:XFB514</xm:sqref>
        </x14:conditionalFormatting>
        <x14:conditionalFormatting xmlns:xm="http://schemas.microsoft.com/office/excel/2006/main">
          <x14:cfRule type="containsText" priority="94571" operator="containsText" text="eSystems " id="{8372A781-16A9-4A37-8349-66CCE58381A0}">
            <xm:f>NOT(ISERROR(SEARCH("eSystems ",Inputs_RecordsGeneration!XFB573)))</xm:f>
            <x14:dxf>
              <font>
                <b/>
                <i val="0"/>
                <color rgb="FFC00000"/>
              </font>
            </x14:dxf>
          </x14:cfRule>
          <x14:cfRule type="containsText" priority="94572" operator="containsText" text="hSystems " id="{49CDEF73-92BB-4828-B262-8150023E9A9B}">
            <xm:f>NOT(ISERROR(SEARCH("hSystems ",Inputs_RecordsGeneration!XFB573)))</xm:f>
            <x14:dxf>
              <font>
                <b/>
                <i val="0"/>
                <color rgb="FF0070C0"/>
              </font>
            </x14:dxf>
          </x14:cfRule>
          <x14:cfRule type="containsText" priority="94573" operator="containsText" text="pSystems " id="{850F241E-0384-4BAC-B2AD-08626AB0D129}">
            <xm:f>NOT(ISERROR(SEARCH("pSystems ",Inputs_RecordsGeneration!XFB573)))</xm:f>
            <x14:dxf>
              <font>
                <b/>
                <i val="0"/>
                <color theme="1" tint="0.34998626667073579"/>
              </font>
            </x14:dxf>
          </x14:cfRule>
          <xm:sqref>XFC741:XFD753 XFC513:XFD525</xm:sqref>
        </x14:conditionalFormatting>
        <x14:conditionalFormatting xmlns:xm="http://schemas.microsoft.com/office/excel/2006/main">
          <x14:cfRule type="containsText" priority="94592" operator="containsText" text="eSystems " id="{2286C159-2440-4D0C-B0B1-C88E8D67CAE6}">
            <xm:f>NOT(ISERROR(SEARCH("eSystems ",Inputs_RecordsGeneration!B459)))</xm:f>
            <x14:dxf>
              <font>
                <b/>
                <i val="0"/>
                <color rgb="FFC00000"/>
              </font>
            </x14:dxf>
          </x14:cfRule>
          <x14:cfRule type="containsText" priority="94593" operator="containsText" text="hSystems " id="{A8334271-CC11-4C33-BB96-94199E0A4099}">
            <xm:f>NOT(ISERROR(SEARCH("hSystems ",Inputs_RecordsGeneration!B459)))</xm:f>
            <x14:dxf>
              <font>
                <b/>
                <i val="0"/>
                <color rgb="FF0070C0"/>
              </font>
            </x14:dxf>
          </x14:cfRule>
          <x14:cfRule type="containsText" priority="94594" operator="containsText" text="pSystems " id="{E4DE5251-74CC-43AE-8260-A46121537423}">
            <xm:f>NOT(ISERROR(SEARCH("pSystems ",Inputs_RecordsGeneration!B459)))</xm:f>
            <x14:dxf>
              <font>
                <b/>
                <i val="0"/>
                <color theme="1" tint="0.34998626667073579"/>
              </font>
            </x14:dxf>
          </x14:cfRule>
          <xm:sqref>B498:D508 O498:O508 O401:O402</xm:sqref>
        </x14:conditionalFormatting>
        <x14:conditionalFormatting xmlns:xm="http://schemas.microsoft.com/office/excel/2006/main">
          <x14:cfRule type="containsText" priority="94601" operator="containsText" text="eSystems " id="{820E1607-B5F0-4185-96D0-6B384796BE5F}">
            <xm:f>NOT(ISERROR(SEARCH("eSystems ",Inputs_RecordsGeneration!B508)))</xm:f>
            <x14:dxf>
              <font>
                <b/>
                <i val="0"/>
                <color rgb="FFC00000"/>
              </font>
            </x14:dxf>
          </x14:cfRule>
          <x14:cfRule type="containsText" priority="94602" operator="containsText" text="hSystems " id="{35EAF413-2C5C-49AA-A416-549E9394BC8A}">
            <xm:f>NOT(ISERROR(SEARCH("hSystems ",Inputs_RecordsGeneration!B508)))</xm:f>
            <x14:dxf>
              <font>
                <b/>
                <i val="0"/>
                <color rgb="FF0070C0"/>
              </font>
            </x14:dxf>
          </x14:cfRule>
          <x14:cfRule type="containsText" priority="94603" operator="containsText" text="pSystems " id="{6EFFC7B4-0522-4E94-9EE8-FBAD7D68DF55}">
            <xm:f>NOT(ISERROR(SEARCH("pSystems ",Inputs_RecordsGeneration!B508)))</xm:f>
            <x14:dxf>
              <font>
                <b/>
                <i val="0"/>
                <color theme="1" tint="0.34998626667073579"/>
              </font>
            </x14:dxf>
          </x14:cfRule>
          <xm:sqref>O549:O560 O447:O451 B447:D451 B549:D560</xm:sqref>
        </x14:conditionalFormatting>
        <x14:conditionalFormatting xmlns:xm="http://schemas.microsoft.com/office/excel/2006/main">
          <x14:cfRule type="containsText" priority="94613" operator="containsText" text="eSystems " id="{7BB80493-4EA5-4D34-8197-B52352E839A0}">
            <xm:f>NOT(ISERROR(SEARCH("eSystems ",Inputs_RecordsGeneration!XFB556)))</xm:f>
            <x14:dxf>
              <font>
                <b/>
                <i val="0"/>
                <color rgb="FFC00000"/>
              </font>
            </x14:dxf>
          </x14:cfRule>
          <x14:cfRule type="containsText" priority="94614" operator="containsText" text="hSystems " id="{9744612D-FBA4-48D9-B887-983A366DBA52}">
            <xm:f>NOT(ISERROR(SEARCH("hSystems ",Inputs_RecordsGeneration!XFB556)))</xm:f>
            <x14:dxf>
              <font>
                <b/>
                <i val="0"/>
                <color rgb="FF0070C0"/>
              </font>
            </x14:dxf>
          </x14:cfRule>
          <x14:cfRule type="containsText" priority="94615" operator="containsText" text="pSystems " id="{EE86D31C-9C10-48CD-9A3B-A2514CBF663F}">
            <xm:f>NOT(ISERROR(SEARCH("pSystems ",Inputs_RecordsGeneration!XFB556)))</xm:f>
            <x14:dxf>
              <font>
                <b/>
                <i val="0"/>
                <color theme="1" tint="0.34998626667073579"/>
              </font>
            </x14:dxf>
          </x14:cfRule>
          <xm:sqref>XFC498:XFD509</xm:sqref>
        </x14:conditionalFormatting>
        <x14:conditionalFormatting xmlns:xm="http://schemas.microsoft.com/office/excel/2006/main">
          <x14:cfRule type="containsText" priority="94616" operator="containsText" text="eSystems " id="{1D98DE42-4691-4C03-A5D4-008B877322E2}">
            <xm:f>NOT(ISERROR(SEARCH("eSystems ",Inputs_RecordsGeneration!Q556)))</xm:f>
            <x14:dxf>
              <font>
                <b/>
                <i val="0"/>
                <color rgb="FFC00000"/>
              </font>
            </x14:dxf>
          </x14:cfRule>
          <x14:cfRule type="containsText" priority="94617" operator="containsText" text="hSystems " id="{1FFC0F63-8479-4E52-AEFF-F2A89F408E03}">
            <xm:f>NOT(ISERROR(SEARCH("hSystems ",Inputs_RecordsGeneration!Q556)))</xm:f>
            <x14:dxf>
              <font>
                <b/>
                <i val="0"/>
                <color rgb="FF0070C0"/>
              </font>
            </x14:dxf>
          </x14:cfRule>
          <x14:cfRule type="containsText" priority="94618" operator="containsText" text="pSystems " id="{02F63C73-F567-4F4D-BF0C-03EBDF6DB2D9}">
            <xm:f>NOT(ISERROR(SEARCH("pSystems ",Inputs_RecordsGeneration!Q556)))</xm:f>
            <x14:dxf>
              <font>
                <b/>
                <i val="0"/>
                <color theme="1" tint="0.34998626667073579"/>
              </font>
            </x14:dxf>
          </x14:cfRule>
          <xm:sqref>P498:XFB508</xm:sqref>
        </x14:conditionalFormatting>
        <x14:conditionalFormatting xmlns:xm="http://schemas.microsoft.com/office/excel/2006/main">
          <x14:cfRule type="containsText" priority="94631" operator="containsText" text="eSystems " id="{9915B1F5-2C6F-4C07-B768-0A8A935DBF9B}">
            <xm:f>NOT(ISERROR(SEARCH("eSystems ",Inputs_RecordsGeneration!B235)))</xm:f>
            <x14:dxf>
              <font>
                <b/>
                <i val="0"/>
                <color rgb="FFC00000"/>
              </font>
            </x14:dxf>
          </x14:cfRule>
          <x14:cfRule type="containsText" priority="94632" operator="containsText" text="hSystems " id="{8A940A0E-5BB3-47A3-8D38-720E046905AE}">
            <xm:f>NOT(ISERROR(SEARCH("hSystems ",Inputs_RecordsGeneration!B235)))</xm:f>
            <x14:dxf>
              <font>
                <b/>
                <i val="0"/>
                <color rgb="FF0070C0"/>
              </font>
            </x14:dxf>
          </x14:cfRule>
          <x14:cfRule type="containsText" priority="94633" operator="containsText" text="pSystems " id="{3011A043-22A5-4C0A-99A9-EC7AD6DE305C}">
            <xm:f>NOT(ISERROR(SEARCH("pSystems ",Inputs_RecordsGeneration!B235)))</xm:f>
            <x14:dxf>
              <font>
                <b/>
                <i val="0"/>
                <color theme="1" tint="0.34998626667073579"/>
              </font>
            </x14:dxf>
          </x14:cfRule>
          <xm:sqref>O291:O292 O187 B187:D187</xm:sqref>
        </x14:conditionalFormatting>
        <x14:conditionalFormatting xmlns:xm="http://schemas.microsoft.com/office/excel/2006/main">
          <x14:cfRule type="containsText" priority="95090" operator="containsText" text="eSystems " id="{9915B1F5-2C6F-4C07-B768-0A8A935DBF9B}">
            <xm:f>NOT(ISERROR(SEARCH("eSystems ",Inputs_RecordsGeneration!B110)))</xm:f>
            <x14:dxf>
              <font>
                <b/>
                <i val="0"/>
                <color rgb="FFC00000"/>
              </font>
            </x14:dxf>
          </x14:cfRule>
          <x14:cfRule type="containsText" priority="95091" operator="containsText" text="hSystems " id="{8A940A0E-5BB3-47A3-8D38-720E046905AE}">
            <xm:f>NOT(ISERROR(SEARCH("hSystems ",Inputs_RecordsGeneration!B110)))</xm:f>
            <x14:dxf>
              <font>
                <b/>
                <i val="0"/>
                <color rgb="FF0070C0"/>
              </font>
            </x14:dxf>
          </x14:cfRule>
          <x14:cfRule type="containsText" priority="95092" operator="containsText" text="pSystems " id="{3011A043-22A5-4C0A-99A9-EC7AD6DE305C}">
            <xm:f>NOT(ISERROR(SEARCH("pSystems ",Inputs_RecordsGeneration!B110)))</xm:f>
            <x14:dxf>
              <font>
                <b/>
                <i val="0"/>
                <color theme="1" tint="0.34998626667073579"/>
              </font>
            </x14:dxf>
          </x14:cfRule>
          <xm:sqref>C262:D270 B71:D82 O71:O82 O262:O270</xm:sqref>
        </x14:conditionalFormatting>
        <x14:conditionalFormatting xmlns:xm="http://schemas.microsoft.com/office/excel/2006/main">
          <x14:cfRule type="containsText" priority="96011" operator="containsText" text="eSystems " id="{9915B1F5-2C6F-4C07-B768-0A8A935DBF9B}">
            <xm:f>NOT(ISERROR(SEARCH("eSystems ",Inputs_RecordsGeneration!B338)))</xm:f>
            <x14:dxf>
              <font>
                <b/>
                <i val="0"/>
                <color rgb="FFC00000"/>
              </font>
            </x14:dxf>
          </x14:cfRule>
          <x14:cfRule type="containsText" priority="96012" operator="containsText" text="hSystems " id="{8A940A0E-5BB3-47A3-8D38-720E046905AE}">
            <xm:f>NOT(ISERROR(SEARCH("hSystems ",Inputs_RecordsGeneration!B338)))</xm:f>
            <x14:dxf>
              <font>
                <b/>
                <i val="0"/>
                <color rgb="FF0070C0"/>
              </font>
            </x14:dxf>
          </x14:cfRule>
          <x14:cfRule type="containsText" priority="96013" operator="containsText" text="pSystems " id="{3011A043-22A5-4C0A-99A9-EC7AD6DE305C}">
            <xm:f>NOT(ISERROR(SEARCH("pSystems ",Inputs_RecordsGeneration!B338)))</xm:f>
            <x14:dxf>
              <font>
                <b/>
                <i val="0"/>
                <color theme="1" tint="0.34998626667073579"/>
              </font>
            </x14:dxf>
          </x14:cfRule>
          <xm:sqref>O368:O380 B373:D380 C368:D372 B296:B308</xm:sqref>
        </x14:conditionalFormatting>
        <x14:conditionalFormatting xmlns:xm="http://schemas.microsoft.com/office/excel/2006/main">
          <x14:cfRule type="containsText" priority="96470" operator="containsText" text="eSystems " id="{9915B1F5-2C6F-4C07-B768-0A8A935DBF9B}">
            <xm:f>NOT(ISERROR(SEARCH("eSystems ",Inputs_RecordsGeneration!B176)))</xm:f>
            <x14:dxf>
              <font>
                <b/>
                <i val="0"/>
                <color rgb="FFC00000"/>
              </font>
            </x14:dxf>
          </x14:cfRule>
          <x14:cfRule type="containsText" priority="96471" operator="containsText" text="hSystems " id="{8A940A0E-5BB3-47A3-8D38-720E046905AE}">
            <xm:f>NOT(ISERROR(SEARCH("hSystems ",Inputs_RecordsGeneration!B176)))</xm:f>
            <x14:dxf>
              <font>
                <b/>
                <i val="0"/>
                <color rgb="FF0070C0"/>
              </font>
            </x14:dxf>
          </x14:cfRule>
          <x14:cfRule type="containsText" priority="96472" operator="containsText" text="pSystems " id="{3011A043-22A5-4C0A-99A9-EC7AD6DE305C}">
            <xm:f>NOT(ISERROR(SEARCH("pSystems ",Inputs_RecordsGeneration!B176)))</xm:f>
            <x14:dxf>
              <font>
                <b/>
                <i val="0"/>
                <color theme="1" tint="0.34998626667073579"/>
              </font>
            </x14:dxf>
          </x14:cfRule>
          <xm:sqref>B917:D929 O872:O881 O917:O929 B872:D881 B133:D145 O133:O145</xm:sqref>
        </x14:conditionalFormatting>
        <x14:conditionalFormatting xmlns:xm="http://schemas.microsoft.com/office/excel/2006/main">
          <x14:cfRule type="containsText" priority="96929" operator="containsText" text="eSystems " id="{9915B1F5-2C6F-4C07-B768-0A8A935DBF9B}">
            <xm:f>NOT(ISERROR(SEARCH("eSystems ",Inputs_RecordsGeneration!B220)))</xm:f>
            <x14:dxf>
              <font>
                <b/>
                <i val="0"/>
                <color rgb="FFC00000"/>
              </font>
            </x14:dxf>
          </x14:cfRule>
          <x14:cfRule type="containsText" priority="96930" operator="containsText" text="hSystems " id="{8A940A0E-5BB3-47A3-8D38-720E046905AE}">
            <xm:f>NOT(ISERROR(SEARCH("hSystems ",Inputs_RecordsGeneration!B220)))</xm:f>
            <x14:dxf>
              <font>
                <b/>
                <i val="0"/>
                <color rgb="FF0070C0"/>
              </font>
            </x14:dxf>
          </x14:cfRule>
          <x14:cfRule type="containsText" priority="96931" operator="containsText" text="pSystems " id="{3011A043-22A5-4C0A-99A9-EC7AD6DE305C}">
            <xm:f>NOT(ISERROR(SEARCH("pSystems ",Inputs_RecordsGeneration!B220)))</xm:f>
            <x14:dxf>
              <font>
                <b/>
                <i val="0"/>
                <color theme="1" tint="0.34998626667073579"/>
              </font>
            </x14:dxf>
          </x14:cfRule>
          <xm:sqref>O869:O870 B869:D870 B176:D183 O176:O183 O242:O251 C242:D251</xm:sqref>
        </x14:conditionalFormatting>
        <x14:conditionalFormatting xmlns:xm="http://schemas.microsoft.com/office/excel/2006/main">
          <x14:cfRule type="containsText" priority="97388" operator="containsText" text="eSystems " id="{9915B1F5-2C6F-4C07-B768-0A8A935DBF9B}">
            <xm:f>NOT(ISERROR(SEARCH("eSystems ",Inputs_RecordsGeneration!B165)))</xm:f>
            <x14:dxf>
              <font>
                <b/>
                <i val="0"/>
                <color rgb="FFC00000"/>
              </font>
            </x14:dxf>
          </x14:cfRule>
          <x14:cfRule type="containsText" priority="97389" operator="containsText" text="hSystems " id="{8A940A0E-5BB3-47A3-8D38-720E046905AE}">
            <xm:f>NOT(ISERROR(SEARCH("hSystems ",Inputs_RecordsGeneration!B165)))</xm:f>
            <x14:dxf>
              <font>
                <b/>
                <i val="0"/>
                <color rgb="FF0070C0"/>
              </font>
            </x14:dxf>
          </x14:cfRule>
          <x14:cfRule type="containsText" priority="97390" operator="containsText" text="pSystems " id="{3011A043-22A5-4C0A-99A9-EC7AD6DE305C}">
            <xm:f>NOT(ISERROR(SEARCH("pSystems ",Inputs_RecordsGeneration!B165)))</xm:f>
            <x14:dxf>
              <font>
                <b/>
                <i val="0"/>
                <color theme="1" tint="0.34998626667073579"/>
              </font>
            </x14:dxf>
          </x14:cfRule>
          <xm:sqref>B420:D432 B227:B238 B120:D129 O120:O129 O294:O306 C294:D306 O420:O432</xm:sqref>
        </x14:conditionalFormatting>
        <x14:conditionalFormatting xmlns:xm="http://schemas.microsoft.com/office/excel/2006/main">
          <x14:cfRule type="containsText" priority="97850" operator="containsText" text="eSystems " id="{9915B1F5-2C6F-4C07-B768-0A8A935DBF9B}">
            <xm:f>NOT(ISERROR(SEARCH("eSystems ",Inputs_RecordsGeneration!B233)))</xm:f>
            <x14:dxf>
              <font>
                <b/>
                <i val="0"/>
                <color rgb="FFC00000"/>
              </font>
            </x14:dxf>
          </x14:cfRule>
          <x14:cfRule type="containsText" priority="97851" operator="containsText" text="hSystems " id="{8A940A0E-5BB3-47A3-8D38-720E046905AE}">
            <xm:f>NOT(ISERROR(SEARCH("hSystems ",Inputs_RecordsGeneration!B233)))</xm:f>
            <x14:dxf>
              <font>
                <b/>
                <i val="0"/>
                <color rgb="FF0070C0"/>
              </font>
            </x14:dxf>
          </x14:cfRule>
          <x14:cfRule type="containsText" priority="97852" operator="containsText" text="pSystems " id="{3011A043-22A5-4C0A-99A9-EC7AD6DE305C}">
            <xm:f>NOT(ISERROR(SEARCH("pSystems ",Inputs_RecordsGeneration!B233)))</xm:f>
            <x14:dxf>
              <font>
                <b/>
                <i val="0"/>
                <color theme="1" tint="0.34998626667073579"/>
              </font>
            </x14:dxf>
          </x14:cfRule>
          <xm:sqref>O853:O858 B853:D858 B841:B842 O252:O254 O188:O189 O184:O185 B184:D185 C252:D254 O471:O483 B471:D483 B529:D541 O529:O541 O580:O586 B580:D586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sheetPr>
  <dimension ref="A1:AG96"/>
  <sheetViews>
    <sheetView zoomScaleNormal="100" workbookViewId="0"/>
  </sheetViews>
  <sheetFormatPr defaultRowHeight="12.75" outlineLevelRow="1" x14ac:dyDescent="0.2"/>
  <cols>
    <col min="1" max="1" width="80.7109375" customWidth="1"/>
    <col min="2" max="2" width="5.7109375" customWidth="1"/>
    <col min="3" max="3" width="50.7109375" customWidth="1"/>
    <col min="4" max="4" width="75.7109375" style="692" customWidth="1"/>
    <col min="5" max="14" width="15.7109375" customWidth="1"/>
    <col min="15" max="15" width="55.7109375" customWidth="1"/>
  </cols>
  <sheetData>
    <row r="1" spans="1:33" s="8" customFormat="1" ht="30" customHeight="1" x14ac:dyDescent="0.2">
      <c r="A1" s="1183" t="s">
        <v>66</v>
      </c>
      <c r="B1" s="155"/>
      <c r="C1" s="1182" t="s">
        <v>4374</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85" customFormat="1" x14ac:dyDescent="0.2">
      <c r="C5" s="20"/>
      <c r="D5" s="685"/>
      <c r="E5" s="90"/>
      <c r="F5" s="90"/>
      <c r="G5" s="90"/>
      <c r="H5" s="90"/>
      <c r="I5" s="90"/>
      <c r="J5" s="90"/>
      <c r="K5" s="90"/>
      <c r="L5" s="90"/>
      <c r="M5" s="90"/>
    </row>
    <row r="6" spans="1:33" s="85" customFormat="1" ht="15" x14ac:dyDescent="0.2">
      <c r="C6" s="119" t="str">
        <f>"All currency -  "&amp;CurrSymbol&amp;" in "&amp;CurrUnits&amp;"s"</f>
        <v>All currency -  US$ in 1000s</v>
      </c>
      <c r="D6" s="20" t="s">
        <v>69</v>
      </c>
      <c r="E6" s="90"/>
      <c r="F6" s="90"/>
      <c r="G6" s="90"/>
      <c r="H6" s="90"/>
      <c r="I6" s="90"/>
      <c r="J6" s="90"/>
      <c r="K6" s="90"/>
      <c r="L6" s="90"/>
      <c r="M6" s="90"/>
    </row>
    <row r="7" spans="1:33" s="85" customFormat="1" ht="15" customHeight="1" x14ac:dyDescent="0.2">
      <c r="D7" s="1045" t="s">
        <v>22</v>
      </c>
      <c r="E7" s="42" t="s">
        <v>12</v>
      </c>
      <c r="F7" s="42" t="s">
        <v>11</v>
      </c>
      <c r="G7" s="42" t="s">
        <v>10</v>
      </c>
      <c r="H7" s="42" t="s">
        <v>39</v>
      </c>
      <c r="I7" s="42" t="s">
        <v>40</v>
      </c>
      <c r="J7" s="42" t="s">
        <v>41</v>
      </c>
      <c r="K7" s="42" t="s">
        <v>42</v>
      </c>
      <c r="L7" s="42" t="s">
        <v>43</v>
      </c>
      <c r="M7" s="42" t="s">
        <v>44</v>
      </c>
      <c r="N7" s="42" t="s">
        <v>45</v>
      </c>
      <c r="O7" s="1426"/>
    </row>
    <row r="8" spans="1:33" s="85" customFormat="1" ht="15" customHeight="1" x14ac:dyDescent="0.2">
      <c r="A8" s="1423" t="s">
        <v>4211</v>
      </c>
      <c r="E8" s="43">
        <f>Yr1End</f>
        <v>43830</v>
      </c>
      <c r="F8" s="43">
        <f>Yr2End</f>
        <v>44196</v>
      </c>
      <c r="G8" s="43">
        <f>Yr3End</f>
        <v>44561</v>
      </c>
      <c r="H8" s="43">
        <f>Yr4end</f>
        <v>44926</v>
      </c>
      <c r="I8" s="43">
        <f>Yr5end</f>
        <v>45291</v>
      </c>
      <c r="J8" s="43">
        <f>Yr6end</f>
        <v>45657</v>
      </c>
      <c r="K8" s="43">
        <f>Yr7end</f>
        <v>46022</v>
      </c>
      <c r="L8" s="43">
        <f>Yr8end</f>
        <v>46387</v>
      </c>
      <c r="M8" s="43">
        <f>Yr9end</f>
        <v>46752</v>
      </c>
      <c r="N8" s="43">
        <f>Yr10end</f>
        <v>47118</v>
      </c>
      <c r="O8" s="1426"/>
    </row>
    <row r="9" spans="1:33" s="85" customFormat="1" ht="15" customHeight="1" x14ac:dyDescent="0.2">
      <c r="A9" s="1424"/>
      <c r="D9" s="685"/>
      <c r="E9" s="44">
        <f>Yr1End</f>
        <v>43830</v>
      </c>
      <c r="F9" s="44">
        <f>Yr2End</f>
        <v>44196</v>
      </c>
      <c r="G9" s="44">
        <f>Yr3End</f>
        <v>44561</v>
      </c>
      <c r="H9" s="44">
        <f>Yr4end</f>
        <v>44926</v>
      </c>
      <c r="I9" s="44">
        <f>Yr5end</f>
        <v>45291</v>
      </c>
      <c r="J9" s="44">
        <f>Yr6end</f>
        <v>45657</v>
      </c>
      <c r="K9" s="44">
        <f>Yr7end</f>
        <v>46022</v>
      </c>
      <c r="L9" s="44">
        <f>Yr8end</f>
        <v>46387</v>
      </c>
      <c r="M9" s="44">
        <f>Yr9end</f>
        <v>46752</v>
      </c>
      <c r="N9" s="44">
        <f>Yr10end</f>
        <v>47118</v>
      </c>
      <c r="O9" s="1426"/>
    </row>
    <row r="10" spans="1:33" s="87" customFormat="1" ht="15" customHeight="1" x14ac:dyDescent="0.2">
      <c r="A10" s="1424"/>
      <c r="B10" s="86"/>
      <c r="D10" s="686"/>
      <c r="H10" s="89"/>
    </row>
    <row r="11" spans="1:33" s="87" customFormat="1" ht="15" customHeight="1" x14ac:dyDescent="0.2">
      <c r="A11" s="1425"/>
      <c r="B11" s="86"/>
      <c r="D11" s="686"/>
      <c r="H11" s="88"/>
    </row>
    <row r="12" spans="1:33" s="87" customFormat="1" ht="15" customHeight="1" x14ac:dyDescent="0.2">
      <c r="A12" s="86"/>
      <c r="B12" s="86"/>
      <c r="D12" s="686"/>
      <c r="H12" s="88"/>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87" customFormat="1" ht="15" customHeight="1" x14ac:dyDescent="0.2">
      <c r="A14" s="86"/>
      <c r="B14" s="86"/>
      <c r="D14" s="686"/>
      <c r="H14" s="88"/>
    </row>
    <row r="15" spans="1:33" s="28" customFormat="1" ht="20.100000000000001" customHeight="1" x14ac:dyDescent="0.25">
      <c r="A15" s="1400" t="s">
        <v>4219</v>
      </c>
      <c r="C15" s="1415" t="s">
        <v>275</v>
      </c>
      <c r="D15" s="1416"/>
      <c r="O15" s="36"/>
      <c r="P15" s="29"/>
      <c r="Q15" s="29"/>
      <c r="R15" s="29"/>
      <c r="S15" s="29"/>
      <c r="T15" s="29"/>
      <c r="U15" s="29"/>
      <c r="V15" s="29"/>
      <c r="W15" s="29"/>
      <c r="X15" s="29"/>
      <c r="Y15" s="29"/>
      <c r="Z15" s="29"/>
      <c r="AA15" s="29"/>
      <c r="AB15" s="29"/>
      <c r="AC15" s="29"/>
      <c r="AD15" s="29"/>
    </row>
    <row r="16" spans="1:33" s="87" customFormat="1" ht="15" customHeight="1" x14ac:dyDescent="0.2">
      <c r="A16" s="1407"/>
      <c r="B16" s="86"/>
      <c r="D16" s="686"/>
      <c r="H16" s="88"/>
    </row>
    <row r="17" spans="1:17" s="87" customFormat="1" ht="15" customHeight="1" x14ac:dyDescent="0.2">
      <c r="A17" s="1408"/>
      <c r="B17" s="86"/>
      <c r="D17" s="686"/>
      <c r="H17" s="88"/>
    </row>
    <row r="18" spans="1:17" s="87" customFormat="1" ht="15" customHeight="1" x14ac:dyDescent="0.2">
      <c r="A18" s="86"/>
      <c r="B18" s="86"/>
      <c r="D18" s="686"/>
      <c r="H18" s="88"/>
    </row>
    <row r="19" spans="1:17" s="87" customFormat="1" ht="15" hidden="1" customHeight="1" outlineLevel="1" thickBot="1" x14ac:dyDescent="0.25">
      <c r="A19" s="86"/>
      <c r="B19" s="86"/>
      <c r="D19" s="686"/>
      <c r="H19" s="88"/>
    </row>
    <row r="20" spans="1:17" s="87" customFormat="1" ht="20.100000000000001" hidden="1" customHeight="1" outlineLevel="1" x14ac:dyDescent="0.2">
      <c r="A20" s="1397" t="s">
        <v>4221</v>
      </c>
      <c r="B20" s="86"/>
      <c r="C20" s="1008" t="str">
        <f>Scenario1&amp;" - Warranty Labor Cost Calculations"</f>
        <v>pSystems (Paper) - Warranty Labor Cost Calculations</v>
      </c>
      <c r="D20" s="687"/>
      <c r="E20" s="360"/>
      <c r="F20" s="360"/>
      <c r="G20" s="360"/>
      <c r="H20" s="360"/>
      <c r="I20" s="360"/>
      <c r="J20" s="360"/>
      <c r="K20" s="360"/>
      <c r="L20" s="360"/>
      <c r="M20" s="360"/>
      <c r="N20" s="360"/>
      <c r="O20" s="361"/>
    </row>
    <row r="21" spans="1:17" s="18" customFormat="1" ht="13.5" hidden="1" customHeight="1" outlineLevel="1" x14ac:dyDescent="0.25">
      <c r="A21" s="1398"/>
      <c r="B21" s="594"/>
      <c r="C21" s="71"/>
      <c r="D21" s="667"/>
      <c r="E21" s="39"/>
      <c r="F21" s="136"/>
      <c r="G21" s="23"/>
      <c r="H21" s="39"/>
      <c r="I21" s="136"/>
      <c r="J21" s="23"/>
      <c r="K21" s="39"/>
      <c r="L21" s="136"/>
      <c r="M21" s="23"/>
      <c r="N21" s="23"/>
      <c r="O21" s="362"/>
      <c r="P21" s="12"/>
      <c r="Q21" s="12"/>
    </row>
    <row r="22" spans="1:17" s="18" customFormat="1" ht="12.75" hidden="1" customHeight="1" outlineLevel="1" x14ac:dyDescent="0.25">
      <c r="A22" s="1398"/>
      <c r="B22" s="594"/>
      <c r="C22" s="71"/>
      <c r="D22" s="659" t="s">
        <v>250</v>
      </c>
      <c r="E22" s="329">
        <v>8</v>
      </c>
      <c r="F22" s="329">
        <v>8</v>
      </c>
      <c r="G22" s="329">
        <v>8</v>
      </c>
      <c r="H22" s="329">
        <v>8</v>
      </c>
      <c r="I22" s="329">
        <v>8</v>
      </c>
      <c r="J22" s="329">
        <v>8</v>
      </c>
      <c r="K22" s="329">
        <v>8</v>
      </c>
      <c r="L22" s="329">
        <v>8</v>
      </c>
      <c r="M22" s="329">
        <v>8</v>
      </c>
      <c r="N22" s="329">
        <v>8</v>
      </c>
      <c r="O22" s="362"/>
      <c r="P22" s="12"/>
      <c r="Q22" s="12"/>
    </row>
    <row r="23" spans="1:17" s="18" customFormat="1" ht="12.75" hidden="1" customHeight="1" outlineLevel="1" x14ac:dyDescent="0.25">
      <c r="A23" s="1398"/>
      <c r="B23" s="594"/>
      <c r="C23" s="71"/>
      <c r="D23" s="659" t="s">
        <v>251</v>
      </c>
      <c r="E23" s="363">
        <f t="shared" ref="E23:N23" si="0">SUM(E22*FleetSize_Total)</f>
        <v>1248</v>
      </c>
      <c r="F23" s="363">
        <f t="shared" si="0"/>
        <v>1248</v>
      </c>
      <c r="G23" s="363">
        <f t="shared" si="0"/>
        <v>1248</v>
      </c>
      <c r="H23" s="363">
        <f t="shared" si="0"/>
        <v>1248</v>
      </c>
      <c r="I23" s="363">
        <f t="shared" si="0"/>
        <v>1248</v>
      </c>
      <c r="J23" s="363">
        <f t="shared" si="0"/>
        <v>1248</v>
      </c>
      <c r="K23" s="363">
        <f t="shared" si="0"/>
        <v>1248</v>
      </c>
      <c r="L23" s="363">
        <f t="shared" si="0"/>
        <v>1248</v>
      </c>
      <c r="M23" s="363">
        <f t="shared" si="0"/>
        <v>1248</v>
      </c>
      <c r="N23" s="363">
        <f t="shared" si="0"/>
        <v>1248</v>
      </c>
      <c r="O23" s="362"/>
      <c r="P23" s="12"/>
      <c r="Q23" s="12"/>
    </row>
    <row r="24" spans="1:17" s="17" customFormat="1" ht="12.75" hidden="1" customHeight="1" outlineLevel="1" x14ac:dyDescent="0.25">
      <c r="A24" s="1398"/>
      <c r="B24" s="594"/>
      <c r="C24" s="71"/>
      <c r="D24" s="688" t="s">
        <v>3002</v>
      </c>
      <c r="E24" s="365">
        <v>6</v>
      </c>
      <c r="F24" s="365">
        <v>6</v>
      </c>
      <c r="G24" s="365">
        <v>6</v>
      </c>
      <c r="H24" s="365">
        <v>6</v>
      </c>
      <c r="I24" s="365">
        <v>6</v>
      </c>
      <c r="J24" s="365">
        <v>6</v>
      </c>
      <c r="K24" s="365">
        <v>6</v>
      </c>
      <c r="L24" s="365">
        <v>6</v>
      </c>
      <c r="M24" s="365">
        <v>6</v>
      </c>
      <c r="N24" s="365">
        <v>6</v>
      </c>
      <c r="O24" s="362"/>
      <c r="P24" s="23"/>
      <c r="Q24" s="23"/>
    </row>
    <row r="25" spans="1:17" s="7" customFormat="1" ht="14.1" hidden="1" customHeight="1" outlineLevel="1" x14ac:dyDescent="0.25">
      <c r="A25" s="1398"/>
      <c r="B25" s="595"/>
      <c r="C25" s="71"/>
      <c r="D25" s="689" t="s">
        <v>2999</v>
      </c>
      <c r="E25" s="366">
        <f>SUM(E23*E24)</f>
        <v>7488</v>
      </c>
      <c r="F25" s="366">
        <f t="shared" ref="F25:N25" si="1">SUM(F23*F24)</f>
        <v>7488</v>
      </c>
      <c r="G25" s="366">
        <f t="shared" si="1"/>
        <v>7488</v>
      </c>
      <c r="H25" s="366">
        <f t="shared" si="1"/>
        <v>7488</v>
      </c>
      <c r="I25" s="366">
        <f t="shared" si="1"/>
        <v>7488</v>
      </c>
      <c r="J25" s="366">
        <f t="shared" si="1"/>
        <v>7488</v>
      </c>
      <c r="K25" s="366">
        <f t="shared" si="1"/>
        <v>7488</v>
      </c>
      <c r="L25" s="366">
        <f t="shared" si="1"/>
        <v>7488</v>
      </c>
      <c r="M25" s="366">
        <f t="shared" si="1"/>
        <v>7488</v>
      </c>
      <c r="N25" s="366">
        <f t="shared" si="1"/>
        <v>7488</v>
      </c>
      <c r="O25" s="367"/>
    </row>
    <row r="26" spans="1:17" ht="12.75" hidden="1" customHeight="1" outlineLevel="1" x14ac:dyDescent="0.25">
      <c r="A26" s="1398"/>
      <c r="B26" s="595"/>
      <c r="C26" s="368"/>
      <c r="D26" s="690"/>
      <c r="E26" s="5"/>
      <c r="F26" s="5"/>
      <c r="G26" s="5"/>
      <c r="H26" s="5"/>
      <c r="I26" s="5"/>
      <c r="J26" s="5"/>
      <c r="K26" s="5"/>
      <c r="L26" s="5"/>
      <c r="M26" s="5"/>
      <c r="N26" s="5"/>
      <c r="O26" s="369"/>
    </row>
    <row r="27" spans="1:17" ht="12.75" hidden="1" customHeight="1" outlineLevel="1" x14ac:dyDescent="0.25">
      <c r="A27" s="1398"/>
      <c r="B27" s="595"/>
      <c r="C27" s="368"/>
      <c r="D27" s="680" t="s">
        <v>3000</v>
      </c>
      <c r="E27" s="370">
        <f t="shared" ref="E27:N27" si="2">SUM(E25/pSystemsTouchHourspaSCL)</f>
        <v>7.2684915550378566</v>
      </c>
      <c r="F27" s="370">
        <f t="shared" si="2"/>
        <v>7.2684915550378566</v>
      </c>
      <c r="G27" s="370">
        <f t="shared" si="2"/>
        <v>7.2684915550378566</v>
      </c>
      <c r="H27" s="370">
        <f t="shared" si="2"/>
        <v>7.2684915550378566</v>
      </c>
      <c r="I27" s="370">
        <f t="shared" si="2"/>
        <v>7.2684915550378566</v>
      </c>
      <c r="J27" s="370">
        <f t="shared" si="2"/>
        <v>7.2684915550378566</v>
      </c>
      <c r="K27" s="370">
        <f t="shared" si="2"/>
        <v>7.2684915550378566</v>
      </c>
      <c r="L27" s="370">
        <f t="shared" si="2"/>
        <v>7.2684915550378566</v>
      </c>
      <c r="M27" s="370">
        <f t="shared" si="2"/>
        <v>7.2684915550378566</v>
      </c>
      <c r="N27" s="370">
        <f t="shared" si="2"/>
        <v>7.2684915550378566</v>
      </c>
      <c r="O27" s="318" t="s">
        <v>345</v>
      </c>
    </row>
    <row r="28" spans="1:17" ht="12.75" hidden="1" customHeight="1" outlineLevel="1" x14ac:dyDescent="0.25">
      <c r="A28" s="1398"/>
      <c r="B28" s="595"/>
      <c r="C28" s="368"/>
      <c r="D28" s="690"/>
      <c r="E28" s="5"/>
      <c r="F28" s="5"/>
      <c r="G28" s="5"/>
      <c r="H28" s="5"/>
      <c r="I28" s="5"/>
      <c r="J28" s="5"/>
      <c r="K28" s="5"/>
      <c r="L28" s="5"/>
      <c r="M28" s="5"/>
      <c r="N28" s="5"/>
      <c r="O28" s="369"/>
    </row>
    <row r="29" spans="1:17" s="137" customFormat="1" ht="15.75" hidden="1" outlineLevel="1" x14ac:dyDescent="0.25">
      <c r="A29" s="1398"/>
      <c r="B29" s="595"/>
      <c r="C29" s="371"/>
      <c r="D29" s="681" t="s">
        <v>3001</v>
      </c>
      <c r="E29" s="372">
        <f t="shared" ref="E29:N29" si="3">(pSystemsTouchRateHourSCL*E25)</f>
        <v>607827.60629004077</v>
      </c>
      <c r="F29" s="372">
        <f t="shared" si="3"/>
        <v>607827.60629004077</v>
      </c>
      <c r="G29" s="372">
        <f t="shared" si="3"/>
        <v>607827.60629004077</v>
      </c>
      <c r="H29" s="372">
        <f t="shared" si="3"/>
        <v>607827.60629004077</v>
      </c>
      <c r="I29" s="372">
        <f t="shared" si="3"/>
        <v>607827.60629004077</v>
      </c>
      <c r="J29" s="372">
        <f t="shared" si="3"/>
        <v>607827.60629004077</v>
      </c>
      <c r="K29" s="372">
        <f t="shared" si="3"/>
        <v>607827.60629004077</v>
      </c>
      <c r="L29" s="372">
        <f t="shared" si="3"/>
        <v>607827.60629004077</v>
      </c>
      <c r="M29" s="372">
        <f t="shared" si="3"/>
        <v>607827.60629004077</v>
      </c>
      <c r="N29" s="372">
        <f t="shared" si="3"/>
        <v>607827.60629004077</v>
      </c>
      <c r="O29" s="318" t="s">
        <v>2993</v>
      </c>
    </row>
    <row r="30" spans="1:17" ht="12.75" hidden="1" customHeight="1" outlineLevel="1" thickBot="1" x14ac:dyDescent="0.3">
      <c r="A30" s="1398"/>
      <c r="B30" s="595"/>
      <c r="C30" s="373"/>
      <c r="D30" s="691"/>
      <c r="E30" s="374"/>
      <c r="F30" s="374"/>
      <c r="G30" s="374"/>
      <c r="H30" s="374"/>
      <c r="I30" s="374"/>
      <c r="J30" s="374"/>
      <c r="K30" s="374"/>
      <c r="L30" s="374"/>
      <c r="M30" s="374"/>
      <c r="N30" s="374"/>
      <c r="O30" s="375"/>
    </row>
    <row r="31" spans="1:17" ht="12.75" hidden="1" customHeight="1" outlineLevel="1" thickBot="1" x14ac:dyDescent="0.3">
      <c r="A31" s="1398"/>
      <c r="B31" s="595"/>
    </row>
    <row r="32" spans="1:17" ht="15.75" hidden="1" outlineLevel="1" x14ac:dyDescent="0.25">
      <c r="A32" s="1398"/>
      <c r="B32" s="595"/>
      <c r="C32" s="1010" t="str">
        <f>Scenario2&amp;" - Warranty Labor Cost Calculations"</f>
        <v>hSystems (Hybrid) - Warranty Labor Cost Calculations</v>
      </c>
      <c r="D32" s="693"/>
      <c r="E32" s="376"/>
      <c r="F32" s="376"/>
      <c r="G32" s="376"/>
      <c r="H32" s="376"/>
      <c r="I32" s="376"/>
      <c r="J32" s="376"/>
      <c r="K32" s="376"/>
      <c r="L32" s="376"/>
      <c r="M32" s="376"/>
      <c r="N32" s="376"/>
      <c r="O32" s="377"/>
    </row>
    <row r="33" spans="1:17" s="18" customFormat="1" ht="13.5" hidden="1" customHeight="1" outlineLevel="1" x14ac:dyDescent="0.25">
      <c r="A33" s="1398"/>
      <c r="B33" s="594"/>
      <c r="C33" s="71"/>
      <c r="D33" s="667"/>
      <c r="E33" s="39"/>
      <c r="F33" s="136"/>
      <c r="G33" s="23"/>
      <c r="H33" s="39"/>
      <c r="I33" s="136"/>
      <c r="J33" s="23"/>
      <c r="K33" s="39"/>
      <c r="L33" s="136"/>
      <c r="M33" s="23"/>
      <c r="N33" s="23"/>
      <c r="O33" s="362"/>
      <c r="P33" s="12"/>
      <c r="Q33" s="12"/>
    </row>
    <row r="34" spans="1:17" s="18" customFormat="1" ht="12.75" hidden="1" customHeight="1" outlineLevel="1" x14ac:dyDescent="0.25">
      <c r="A34" s="1398"/>
      <c r="B34" s="594"/>
      <c r="C34" s="71"/>
      <c r="D34" s="659" t="s">
        <v>252</v>
      </c>
      <c r="E34" s="329">
        <v>8</v>
      </c>
      <c r="F34" s="329">
        <v>8</v>
      </c>
      <c r="G34" s="329">
        <v>8</v>
      </c>
      <c r="H34" s="329">
        <v>8</v>
      </c>
      <c r="I34" s="329">
        <v>8</v>
      </c>
      <c r="J34" s="329">
        <v>8</v>
      </c>
      <c r="K34" s="329">
        <v>8</v>
      </c>
      <c r="L34" s="329">
        <v>8</v>
      </c>
      <c r="M34" s="329">
        <v>8</v>
      </c>
      <c r="N34" s="329">
        <v>8</v>
      </c>
      <c r="O34" s="362"/>
      <c r="P34" s="12"/>
      <c r="Q34" s="12"/>
    </row>
    <row r="35" spans="1:17" s="18" customFormat="1" ht="12.75" hidden="1" customHeight="1" outlineLevel="1" x14ac:dyDescent="0.25">
      <c r="A35" s="1398"/>
      <c r="B35" s="594"/>
      <c r="C35" s="71"/>
      <c r="D35" s="659" t="s">
        <v>253</v>
      </c>
      <c r="E35" s="363">
        <f t="shared" ref="E35:N35" si="4">SUM(E34*FleetSize_Total)</f>
        <v>1248</v>
      </c>
      <c r="F35" s="363">
        <f t="shared" si="4"/>
        <v>1248</v>
      </c>
      <c r="G35" s="363">
        <f t="shared" si="4"/>
        <v>1248</v>
      </c>
      <c r="H35" s="363">
        <f t="shared" si="4"/>
        <v>1248</v>
      </c>
      <c r="I35" s="363">
        <f t="shared" si="4"/>
        <v>1248</v>
      </c>
      <c r="J35" s="363">
        <f t="shared" si="4"/>
        <v>1248</v>
      </c>
      <c r="K35" s="363">
        <f t="shared" si="4"/>
        <v>1248</v>
      </c>
      <c r="L35" s="363">
        <f t="shared" si="4"/>
        <v>1248</v>
      </c>
      <c r="M35" s="363">
        <f t="shared" si="4"/>
        <v>1248</v>
      </c>
      <c r="N35" s="363">
        <f t="shared" si="4"/>
        <v>1248</v>
      </c>
      <c r="O35" s="362"/>
      <c r="P35" s="12"/>
      <c r="Q35" s="12"/>
    </row>
    <row r="36" spans="1:17" s="17" customFormat="1" ht="12.75" hidden="1" customHeight="1" outlineLevel="1" x14ac:dyDescent="0.25">
      <c r="A36" s="1398"/>
      <c r="B36" s="594"/>
      <c r="C36" s="364"/>
      <c r="D36" s="688" t="s">
        <v>3002</v>
      </c>
      <c r="E36" s="365">
        <v>4</v>
      </c>
      <c r="F36" s="365">
        <v>4</v>
      </c>
      <c r="G36" s="365">
        <v>4</v>
      </c>
      <c r="H36" s="365">
        <v>4</v>
      </c>
      <c r="I36" s="365">
        <v>4</v>
      </c>
      <c r="J36" s="365">
        <v>4</v>
      </c>
      <c r="K36" s="365">
        <v>4</v>
      </c>
      <c r="L36" s="365">
        <v>4</v>
      </c>
      <c r="M36" s="365">
        <v>4</v>
      </c>
      <c r="N36" s="365">
        <v>4</v>
      </c>
      <c r="O36" s="362"/>
      <c r="P36" s="23"/>
      <c r="Q36" s="23"/>
    </row>
    <row r="37" spans="1:17" s="7" customFormat="1" ht="14.1" hidden="1" customHeight="1" outlineLevel="1" x14ac:dyDescent="0.25">
      <c r="A37" s="1398"/>
      <c r="B37" s="595"/>
      <c r="C37" s="302"/>
      <c r="D37" s="689" t="s">
        <v>3003</v>
      </c>
      <c r="E37" s="366">
        <f>SUM(E35*E36)</f>
        <v>4992</v>
      </c>
      <c r="F37" s="366">
        <f t="shared" ref="F37" si="5">SUM(F35*F36)</f>
        <v>4992</v>
      </c>
      <c r="G37" s="366">
        <f t="shared" ref="G37" si="6">SUM(G35*G36)</f>
        <v>4992</v>
      </c>
      <c r="H37" s="366">
        <f t="shared" ref="H37" si="7">SUM(H35*H36)</f>
        <v>4992</v>
      </c>
      <c r="I37" s="366">
        <f t="shared" ref="I37" si="8">SUM(I35*I36)</f>
        <v>4992</v>
      </c>
      <c r="J37" s="366">
        <f t="shared" ref="J37" si="9">SUM(J35*J36)</f>
        <v>4992</v>
      </c>
      <c r="K37" s="366">
        <f t="shared" ref="K37" si="10">SUM(K35*K36)</f>
        <v>4992</v>
      </c>
      <c r="L37" s="366">
        <f t="shared" ref="L37" si="11">SUM(L35*L36)</f>
        <v>4992</v>
      </c>
      <c r="M37" s="366">
        <f t="shared" ref="M37" si="12">SUM(M35*M36)</f>
        <v>4992</v>
      </c>
      <c r="N37" s="366">
        <f t="shared" ref="N37" si="13">SUM(N35*N36)</f>
        <v>4992</v>
      </c>
      <c r="O37" s="367"/>
    </row>
    <row r="38" spans="1:17" ht="12.75" hidden="1" customHeight="1" outlineLevel="1" x14ac:dyDescent="0.25">
      <c r="A38" s="1398"/>
      <c r="B38" s="595"/>
      <c r="C38" s="368"/>
      <c r="D38" s="690"/>
      <c r="E38" s="5"/>
      <c r="F38" s="5"/>
      <c r="G38" s="5"/>
      <c r="H38" s="5"/>
      <c r="I38" s="5"/>
      <c r="J38" s="5"/>
      <c r="K38" s="5"/>
      <c r="L38" s="5"/>
      <c r="M38" s="5"/>
      <c r="N38" s="5"/>
      <c r="O38" s="369"/>
    </row>
    <row r="39" spans="1:17" ht="12.75" hidden="1" customHeight="1" outlineLevel="1" x14ac:dyDescent="0.25">
      <c r="A39" s="1398"/>
      <c r="B39" s="595"/>
      <c r="C39" s="368"/>
      <c r="D39" s="680" t="s">
        <v>3004</v>
      </c>
      <c r="E39" s="370">
        <f t="shared" ref="E39:N39" si="14">SUM(E37/hSystemsTouchHourspaSCL)</f>
        <v>4.1534237457359184</v>
      </c>
      <c r="F39" s="370">
        <f t="shared" si="14"/>
        <v>4.1534237457359184</v>
      </c>
      <c r="G39" s="370">
        <f t="shared" si="14"/>
        <v>4.1534237457359184</v>
      </c>
      <c r="H39" s="370">
        <f t="shared" si="14"/>
        <v>4.1534237457359184</v>
      </c>
      <c r="I39" s="370">
        <f t="shared" si="14"/>
        <v>4.1534237457359184</v>
      </c>
      <c r="J39" s="370">
        <f t="shared" si="14"/>
        <v>4.1534237457359184</v>
      </c>
      <c r="K39" s="370">
        <f t="shared" si="14"/>
        <v>4.1534237457359184</v>
      </c>
      <c r="L39" s="370">
        <f t="shared" si="14"/>
        <v>4.1534237457359184</v>
      </c>
      <c r="M39" s="370">
        <f t="shared" si="14"/>
        <v>4.1534237457359184</v>
      </c>
      <c r="N39" s="370">
        <f t="shared" si="14"/>
        <v>4.1534237457359184</v>
      </c>
      <c r="O39" s="318" t="s">
        <v>346</v>
      </c>
    </row>
    <row r="40" spans="1:17" ht="12.75" hidden="1" customHeight="1" outlineLevel="1" x14ac:dyDescent="0.25">
      <c r="A40" s="1398"/>
      <c r="B40" s="595"/>
      <c r="C40" s="368"/>
      <c r="D40" s="690"/>
      <c r="E40" s="5"/>
      <c r="F40" s="5"/>
      <c r="G40" s="5"/>
      <c r="H40" s="5"/>
      <c r="I40" s="5"/>
      <c r="J40" s="5"/>
      <c r="K40" s="5"/>
      <c r="L40" s="5"/>
      <c r="M40" s="5"/>
      <c r="N40" s="5"/>
      <c r="O40" s="369"/>
    </row>
    <row r="41" spans="1:17" s="137" customFormat="1" ht="15.75" hidden="1" outlineLevel="1" x14ac:dyDescent="0.25">
      <c r="A41" s="1398"/>
      <c r="B41" s="595"/>
      <c r="C41" s="371"/>
      <c r="D41" s="681" t="s">
        <v>3005</v>
      </c>
      <c r="E41" s="372">
        <f t="shared" ref="E41:N41" si="15">(hSystemsTouchRateHourSCL*E37)</f>
        <v>347330.06073716615</v>
      </c>
      <c r="F41" s="372">
        <f t="shared" si="15"/>
        <v>347330.06073716615</v>
      </c>
      <c r="G41" s="372">
        <f t="shared" si="15"/>
        <v>347330.06073716615</v>
      </c>
      <c r="H41" s="372">
        <f t="shared" si="15"/>
        <v>347330.06073716615</v>
      </c>
      <c r="I41" s="372">
        <f t="shared" si="15"/>
        <v>347330.06073716615</v>
      </c>
      <c r="J41" s="372">
        <f t="shared" si="15"/>
        <v>347330.06073716615</v>
      </c>
      <c r="K41" s="372">
        <f t="shared" si="15"/>
        <v>347330.06073716615</v>
      </c>
      <c r="L41" s="372">
        <f t="shared" si="15"/>
        <v>347330.06073716615</v>
      </c>
      <c r="M41" s="372">
        <f t="shared" si="15"/>
        <v>347330.06073716615</v>
      </c>
      <c r="N41" s="372">
        <f t="shared" si="15"/>
        <v>347330.06073716615</v>
      </c>
      <c r="O41" s="318" t="s">
        <v>2994</v>
      </c>
    </row>
    <row r="42" spans="1:17" ht="12.75" hidden="1" customHeight="1" outlineLevel="1" thickBot="1" x14ac:dyDescent="0.3">
      <c r="A42" s="1398"/>
      <c r="B42" s="595"/>
      <c r="C42" s="373"/>
      <c r="D42" s="691"/>
      <c r="E42" s="374"/>
      <c r="F42" s="374"/>
      <c r="G42" s="374"/>
      <c r="H42" s="374"/>
      <c r="I42" s="374"/>
      <c r="J42" s="374"/>
      <c r="K42" s="374"/>
      <c r="L42" s="374"/>
      <c r="M42" s="374"/>
      <c r="N42" s="374"/>
      <c r="O42" s="375"/>
    </row>
    <row r="43" spans="1:17" ht="12.75" hidden="1" customHeight="1" outlineLevel="1" thickBot="1" x14ac:dyDescent="0.3">
      <c r="A43" s="1398"/>
      <c r="B43" s="595"/>
    </row>
    <row r="44" spans="1:17" ht="15.75" hidden="1" outlineLevel="1" x14ac:dyDescent="0.2">
      <c r="A44" s="1398"/>
      <c r="C44" s="1012" t="str">
        <f>Scenario3&amp;" - Warranty Labor Cost Calculations"</f>
        <v>eSystems (Paperless) - Warranty Labor Cost Calculations</v>
      </c>
      <c r="D44" s="693"/>
      <c r="E44" s="376"/>
      <c r="F44" s="376"/>
      <c r="G44" s="376"/>
      <c r="H44" s="376"/>
      <c r="I44" s="376"/>
      <c r="J44" s="376"/>
      <c r="K44" s="376"/>
      <c r="L44" s="376"/>
      <c r="M44" s="376"/>
      <c r="N44" s="376"/>
      <c r="O44" s="377"/>
    </row>
    <row r="45" spans="1:17" s="18" customFormat="1" hidden="1" outlineLevel="1" x14ac:dyDescent="0.2">
      <c r="A45" s="1398"/>
      <c r="B45"/>
      <c r="C45" s="256"/>
      <c r="D45" s="671"/>
      <c r="E45" s="23"/>
      <c r="F45" s="23"/>
      <c r="G45" s="23"/>
      <c r="H45" s="23"/>
      <c r="I45" s="23"/>
      <c r="J45" s="23"/>
      <c r="K45" s="23"/>
      <c r="L45" s="23"/>
      <c r="M45" s="23"/>
      <c r="N45" s="23"/>
      <c r="O45" s="378"/>
      <c r="P45" s="12"/>
      <c r="Q45" s="12"/>
    </row>
    <row r="46" spans="1:17" s="18" customFormat="1" ht="12.75" hidden="1" customHeight="1" outlineLevel="1" x14ac:dyDescent="0.2">
      <c r="A46" s="1398"/>
      <c r="B46"/>
      <c r="C46" s="71"/>
      <c r="D46" s="659" t="s">
        <v>254</v>
      </c>
      <c r="E46" s="329">
        <v>8</v>
      </c>
      <c r="F46" s="329">
        <v>8</v>
      </c>
      <c r="G46" s="329">
        <v>8</v>
      </c>
      <c r="H46" s="329">
        <v>8</v>
      </c>
      <c r="I46" s="329">
        <v>8</v>
      </c>
      <c r="J46" s="329">
        <v>8</v>
      </c>
      <c r="K46" s="329">
        <v>8</v>
      </c>
      <c r="L46" s="329">
        <v>8</v>
      </c>
      <c r="M46" s="329">
        <v>8</v>
      </c>
      <c r="N46" s="329">
        <v>8</v>
      </c>
      <c r="O46" s="362"/>
      <c r="P46" s="12"/>
      <c r="Q46" s="12"/>
    </row>
    <row r="47" spans="1:17" s="18" customFormat="1" ht="12.75" hidden="1" customHeight="1" outlineLevel="1" x14ac:dyDescent="0.2">
      <c r="A47" s="1398"/>
      <c r="B47"/>
      <c r="C47" s="71"/>
      <c r="D47" s="659" t="s">
        <v>255</v>
      </c>
      <c r="E47" s="363">
        <f t="shared" ref="E47:N47" si="16">SUM(E46*FleetSize_Total)</f>
        <v>1248</v>
      </c>
      <c r="F47" s="363">
        <f t="shared" si="16"/>
        <v>1248</v>
      </c>
      <c r="G47" s="363">
        <f t="shared" si="16"/>
        <v>1248</v>
      </c>
      <c r="H47" s="363">
        <f t="shared" si="16"/>
        <v>1248</v>
      </c>
      <c r="I47" s="363">
        <f t="shared" si="16"/>
        <v>1248</v>
      </c>
      <c r="J47" s="363">
        <f t="shared" si="16"/>
        <v>1248</v>
      </c>
      <c r="K47" s="363">
        <f t="shared" si="16"/>
        <v>1248</v>
      </c>
      <c r="L47" s="363">
        <f t="shared" si="16"/>
        <v>1248</v>
      </c>
      <c r="M47" s="363">
        <f t="shared" si="16"/>
        <v>1248</v>
      </c>
      <c r="N47" s="363">
        <f t="shared" si="16"/>
        <v>1248</v>
      </c>
      <c r="O47" s="362"/>
      <c r="P47" s="12"/>
      <c r="Q47" s="12"/>
    </row>
    <row r="48" spans="1:17" s="17" customFormat="1" ht="12.75" hidden="1" customHeight="1" outlineLevel="1" x14ac:dyDescent="0.2">
      <c r="A48" s="1398"/>
      <c r="B48"/>
      <c r="C48" s="364"/>
      <c r="D48" s="688" t="s">
        <v>3002</v>
      </c>
      <c r="E48" s="365">
        <v>2</v>
      </c>
      <c r="F48" s="365">
        <v>2</v>
      </c>
      <c r="G48" s="365">
        <v>2</v>
      </c>
      <c r="H48" s="365">
        <v>2</v>
      </c>
      <c r="I48" s="365">
        <v>2</v>
      </c>
      <c r="J48" s="365">
        <v>2</v>
      </c>
      <c r="K48" s="365">
        <v>2</v>
      </c>
      <c r="L48" s="365">
        <v>2</v>
      </c>
      <c r="M48" s="365">
        <v>2</v>
      </c>
      <c r="N48" s="365">
        <v>2</v>
      </c>
      <c r="O48" s="362"/>
      <c r="P48" s="23"/>
      <c r="Q48" s="23"/>
    </row>
    <row r="49" spans="1:32" s="7" customFormat="1" ht="14.1" hidden="1" customHeight="1" outlineLevel="1" x14ac:dyDescent="0.2">
      <c r="A49" s="1398"/>
      <c r="B49"/>
      <c r="C49" s="302"/>
      <c r="D49" s="689" t="s">
        <v>3006</v>
      </c>
      <c r="E49" s="366">
        <f>SUM(E47*E48)</f>
        <v>2496</v>
      </c>
      <c r="F49" s="366">
        <f t="shared" ref="F49:N49" si="17">SUM(F47*F48)</f>
        <v>2496</v>
      </c>
      <c r="G49" s="366">
        <f t="shared" si="17"/>
        <v>2496</v>
      </c>
      <c r="H49" s="366">
        <f t="shared" si="17"/>
        <v>2496</v>
      </c>
      <c r="I49" s="366">
        <f t="shared" si="17"/>
        <v>2496</v>
      </c>
      <c r="J49" s="366">
        <f t="shared" si="17"/>
        <v>2496</v>
      </c>
      <c r="K49" s="366">
        <f t="shared" si="17"/>
        <v>2496</v>
      </c>
      <c r="L49" s="366">
        <f t="shared" si="17"/>
        <v>2496</v>
      </c>
      <c r="M49" s="366">
        <f t="shared" si="17"/>
        <v>2496</v>
      </c>
      <c r="N49" s="366">
        <f t="shared" si="17"/>
        <v>2496</v>
      </c>
      <c r="O49" s="367"/>
    </row>
    <row r="50" spans="1:32" ht="12.75" hidden="1" customHeight="1" outlineLevel="1" x14ac:dyDescent="0.2">
      <c r="A50" s="1398"/>
      <c r="C50" s="368"/>
      <c r="D50" s="690"/>
      <c r="E50" s="5"/>
      <c r="F50" s="5"/>
      <c r="G50" s="5"/>
      <c r="H50" s="5"/>
      <c r="I50" s="5"/>
      <c r="J50" s="5"/>
      <c r="K50" s="5"/>
      <c r="L50" s="5"/>
      <c r="M50" s="5"/>
      <c r="N50" s="5"/>
      <c r="O50" s="369"/>
    </row>
    <row r="51" spans="1:32" ht="12.75" hidden="1" customHeight="1" outlineLevel="1" x14ac:dyDescent="0.2">
      <c r="A51" s="1398"/>
      <c r="C51" s="368"/>
      <c r="D51" s="680" t="s">
        <v>3007</v>
      </c>
      <c r="E51" s="370">
        <f t="shared" ref="E51:N51" si="18">SUM(E49/eSystemsTouchHourspaSCL)</f>
        <v>1.8171228887594639</v>
      </c>
      <c r="F51" s="370">
        <f t="shared" si="18"/>
        <v>1.8171228887594639</v>
      </c>
      <c r="G51" s="370">
        <f t="shared" si="18"/>
        <v>1.8171228887594639</v>
      </c>
      <c r="H51" s="370">
        <f t="shared" si="18"/>
        <v>1.8171228887594639</v>
      </c>
      <c r="I51" s="370">
        <f t="shared" si="18"/>
        <v>1.8171228887594639</v>
      </c>
      <c r="J51" s="370">
        <f t="shared" si="18"/>
        <v>1.8171228887594639</v>
      </c>
      <c r="K51" s="370">
        <f t="shared" si="18"/>
        <v>1.8171228887594639</v>
      </c>
      <c r="L51" s="370">
        <f t="shared" si="18"/>
        <v>1.8171228887594639</v>
      </c>
      <c r="M51" s="370">
        <f t="shared" si="18"/>
        <v>1.8171228887594639</v>
      </c>
      <c r="N51" s="370">
        <f t="shared" si="18"/>
        <v>1.8171228887594639</v>
      </c>
      <c r="O51" s="318" t="s">
        <v>347</v>
      </c>
    </row>
    <row r="52" spans="1:32" ht="12.75" hidden="1" customHeight="1" outlineLevel="1" x14ac:dyDescent="0.2">
      <c r="A52" s="1398"/>
      <c r="C52" s="368"/>
      <c r="D52" s="690"/>
      <c r="E52" s="5"/>
      <c r="F52" s="5"/>
      <c r="G52" s="5"/>
      <c r="H52" s="5"/>
      <c r="I52" s="5"/>
      <c r="J52" s="5"/>
      <c r="K52" s="5"/>
      <c r="L52" s="5"/>
      <c r="M52" s="5"/>
      <c r="N52" s="5"/>
      <c r="O52" s="369"/>
    </row>
    <row r="53" spans="1:32" s="137" customFormat="1" ht="15.75" hidden="1" outlineLevel="1" x14ac:dyDescent="0.25">
      <c r="A53" s="1398"/>
      <c r="B53"/>
      <c r="C53" s="371"/>
      <c r="D53" s="681" t="s">
        <v>3008</v>
      </c>
      <c r="E53" s="372">
        <f t="shared" ref="E53:N53" si="19">(eSystemsTouchRateHourSCL*E49)</f>
        <v>151956.90157251019</v>
      </c>
      <c r="F53" s="372">
        <f t="shared" si="19"/>
        <v>151956.90157251019</v>
      </c>
      <c r="G53" s="372">
        <f t="shared" si="19"/>
        <v>151956.90157251019</v>
      </c>
      <c r="H53" s="372">
        <f t="shared" si="19"/>
        <v>151956.90157251019</v>
      </c>
      <c r="I53" s="372">
        <f t="shared" si="19"/>
        <v>151956.90157251019</v>
      </c>
      <c r="J53" s="372">
        <f t="shared" si="19"/>
        <v>151956.90157251019</v>
      </c>
      <c r="K53" s="372">
        <f t="shared" si="19"/>
        <v>151956.90157251019</v>
      </c>
      <c r="L53" s="372">
        <f t="shared" si="19"/>
        <v>151956.90157251019</v>
      </c>
      <c r="M53" s="372">
        <f t="shared" si="19"/>
        <v>151956.90157251019</v>
      </c>
      <c r="N53" s="372">
        <f t="shared" si="19"/>
        <v>151956.90157251019</v>
      </c>
      <c r="O53" s="318" t="s">
        <v>2995</v>
      </c>
    </row>
    <row r="54" spans="1:32" ht="12.75" hidden="1" customHeight="1" outlineLevel="1" thickBot="1" x14ac:dyDescent="0.25">
      <c r="A54" s="1399"/>
      <c r="C54" s="373"/>
      <c r="D54" s="691"/>
      <c r="E54" s="374"/>
      <c r="F54" s="374"/>
      <c r="G54" s="374"/>
      <c r="H54" s="374"/>
      <c r="I54" s="374"/>
      <c r="J54" s="374"/>
      <c r="K54" s="374"/>
      <c r="L54" s="374"/>
      <c r="M54" s="374"/>
      <c r="N54" s="374"/>
      <c r="O54" s="375"/>
    </row>
    <row r="55" spans="1:32" ht="12.75" hidden="1" customHeight="1" outlineLevel="1" x14ac:dyDescent="0.2">
      <c r="A55" s="86"/>
    </row>
    <row r="56" spans="1:32" s="122" customFormat="1" ht="15.75" collapsed="1" x14ac:dyDescent="0.2">
      <c r="A56" s="1043">
        <v>2</v>
      </c>
      <c r="B56" s="1039"/>
      <c r="C56" s="1039"/>
      <c r="D56" s="1039"/>
      <c r="E56" s="1039"/>
      <c r="F56" s="1039"/>
      <c r="G56" s="1039"/>
      <c r="H56" s="1039"/>
      <c r="I56" s="1039"/>
      <c r="J56" s="1039"/>
      <c r="K56" s="1039"/>
      <c r="L56" s="1039"/>
      <c r="M56" s="1039"/>
      <c r="N56" s="1039"/>
      <c r="O56" s="1039"/>
      <c r="P56" s="206"/>
      <c r="Q56" s="206"/>
      <c r="R56" s="206"/>
      <c r="S56" s="206"/>
      <c r="T56" s="206"/>
      <c r="U56" s="206"/>
      <c r="V56" s="206"/>
      <c r="W56" s="206"/>
      <c r="X56" s="206"/>
      <c r="Y56" s="206"/>
      <c r="Z56" s="206"/>
      <c r="AA56" s="206"/>
      <c r="AB56" s="206"/>
      <c r="AC56" s="206"/>
      <c r="AD56" s="206"/>
      <c r="AE56" s="206"/>
      <c r="AF56" s="206"/>
    </row>
    <row r="57" spans="1:32" ht="12.75" customHeight="1" x14ac:dyDescent="0.2">
      <c r="A57" s="86"/>
    </row>
    <row r="58" spans="1:32" s="206" customFormat="1" ht="20.100000000000001" customHeight="1" x14ac:dyDescent="0.2">
      <c r="A58" s="1397" t="s">
        <v>4216</v>
      </c>
      <c r="C58" s="974" t="s">
        <v>4217</v>
      </c>
      <c r="D58" s="187"/>
      <c r="E58" s="223"/>
      <c r="F58" s="223"/>
      <c r="G58" s="223"/>
      <c r="H58" s="223"/>
      <c r="I58" s="223"/>
      <c r="J58" s="223"/>
      <c r="K58" s="223"/>
      <c r="L58" s="223"/>
      <c r="M58" s="223"/>
      <c r="N58" s="223"/>
      <c r="O58" s="224"/>
      <c r="P58" s="210"/>
    </row>
    <row r="59" spans="1:32" s="203" customFormat="1" x14ac:dyDescent="0.2">
      <c r="A59" s="1398"/>
      <c r="B59" s="211"/>
      <c r="C59" s="211"/>
      <c r="D59" s="214"/>
      <c r="E59" s="210"/>
      <c r="F59" s="210"/>
      <c r="G59" s="210"/>
      <c r="H59" s="210"/>
      <c r="I59" s="210"/>
      <c r="J59" s="210"/>
      <c r="K59" s="210"/>
      <c r="L59" s="210"/>
      <c r="M59" s="210"/>
      <c r="N59" s="210"/>
      <c r="O59" s="209"/>
      <c r="P59" s="204"/>
    </row>
    <row r="60" spans="1:32" s="85" customFormat="1" ht="12.75" customHeight="1" x14ac:dyDescent="0.2">
      <c r="A60" s="1399"/>
      <c r="E60" s="62"/>
      <c r="F60" s="62"/>
      <c r="G60" s="62"/>
      <c r="H60" s="62"/>
      <c r="I60" s="62"/>
      <c r="J60" s="62"/>
      <c r="K60" s="62"/>
      <c r="L60" s="62"/>
      <c r="M60" s="62"/>
      <c r="N60" s="62"/>
      <c r="O60" s="134"/>
      <c r="P60" s="134"/>
      <c r="Q60" s="134"/>
      <c r="R60" s="134"/>
      <c r="S60" s="134"/>
      <c r="T60" s="134"/>
      <c r="U60" s="134"/>
      <c r="V60" s="134"/>
      <c r="W60" s="134"/>
      <c r="X60" s="134"/>
      <c r="Y60" s="134"/>
      <c r="Z60" s="134"/>
      <c r="AA60" s="134"/>
      <c r="AB60" s="134"/>
      <c r="AC60" s="134"/>
      <c r="AD60" s="134"/>
      <c r="AE60" s="134"/>
      <c r="AF60" s="134"/>
    </row>
    <row r="61" spans="1:32" s="85" customFormat="1" ht="14.25" customHeight="1" x14ac:dyDescent="0.2">
      <c r="E61" s="62"/>
      <c r="F61" s="62"/>
      <c r="G61" s="62"/>
      <c r="H61" s="62"/>
      <c r="I61" s="62"/>
      <c r="J61" s="62"/>
      <c r="K61" s="62"/>
      <c r="L61" s="62"/>
      <c r="M61" s="62"/>
      <c r="N61" s="62"/>
      <c r="O61" s="134"/>
      <c r="P61" s="134"/>
      <c r="Q61" s="134"/>
      <c r="R61" s="134"/>
      <c r="S61" s="134"/>
      <c r="T61" s="134"/>
      <c r="U61" s="134"/>
      <c r="V61" s="134"/>
      <c r="W61" s="134"/>
      <c r="X61" s="134"/>
      <c r="Y61" s="134"/>
      <c r="Z61" s="134"/>
      <c r="AA61" s="134"/>
      <c r="AB61" s="134"/>
      <c r="AC61" s="134"/>
      <c r="AD61" s="134"/>
      <c r="AE61" s="134"/>
      <c r="AF61" s="134"/>
    </row>
    <row r="62" spans="1:32" s="85" customFormat="1" ht="14.25" hidden="1" customHeight="1" outlineLevel="1" x14ac:dyDescent="0.2">
      <c r="E62" s="62"/>
      <c r="F62" s="62"/>
      <c r="G62" s="62"/>
      <c r="H62" s="62"/>
      <c r="I62" s="62"/>
      <c r="J62" s="62"/>
      <c r="K62" s="62"/>
      <c r="L62" s="62"/>
      <c r="M62" s="62"/>
      <c r="N62" s="62"/>
      <c r="O62" s="134"/>
      <c r="P62" s="134"/>
      <c r="Q62" s="134"/>
      <c r="R62" s="134"/>
      <c r="S62" s="134"/>
      <c r="T62" s="134"/>
      <c r="U62" s="134"/>
      <c r="V62" s="134"/>
      <c r="W62" s="134"/>
      <c r="X62" s="134"/>
      <c r="Y62" s="134"/>
      <c r="Z62" s="134"/>
      <c r="AA62" s="134"/>
      <c r="AB62" s="134"/>
      <c r="AC62" s="134"/>
      <c r="AD62" s="134"/>
      <c r="AE62" s="134"/>
      <c r="AF62" s="134"/>
    </row>
    <row r="63" spans="1:32" s="121" customFormat="1" ht="12.75" hidden="1" customHeight="1" outlineLevel="1" thickBot="1" x14ac:dyDescent="0.35">
      <c r="A63" s="346"/>
      <c r="B63" s="346"/>
      <c r="C63" s="347"/>
      <c r="D63" s="737"/>
      <c r="E63" s="129"/>
      <c r="F63" s="129"/>
      <c r="G63" s="129"/>
      <c r="H63" s="129"/>
      <c r="I63" s="129"/>
      <c r="J63" s="129"/>
      <c r="K63" s="129"/>
      <c r="L63" s="129"/>
      <c r="M63" s="129"/>
      <c r="N63" s="129"/>
      <c r="O63" s="348"/>
      <c r="P63" s="348"/>
      <c r="Q63" s="348"/>
      <c r="R63" s="348"/>
      <c r="S63" s="348"/>
      <c r="T63" s="348"/>
      <c r="U63" s="348"/>
      <c r="V63" s="348"/>
      <c r="W63" s="348"/>
      <c r="X63" s="348"/>
      <c r="Y63" s="348"/>
      <c r="Z63" s="348"/>
      <c r="AA63" s="348"/>
      <c r="AB63" s="348"/>
      <c r="AC63" s="348"/>
      <c r="AD63" s="348"/>
      <c r="AE63" s="348"/>
      <c r="AF63" s="348"/>
    </row>
    <row r="64" spans="1:32" ht="15.75" hidden="1" outlineLevel="1" x14ac:dyDescent="0.2">
      <c r="A64" s="86"/>
      <c r="B64" s="13"/>
      <c r="C64" s="379"/>
      <c r="D64" s="675" t="str">
        <f>Scenario1&amp;" Warranty Labor Costs"</f>
        <v>pSystems (Paper) Warranty Labor Costs</v>
      </c>
      <c r="E64" s="380"/>
      <c r="F64" s="380"/>
      <c r="G64" s="380"/>
      <c r="H64" s="380"/>
      <c r="I64" s="380"/>
      <c r="J64" s="380"/>
      <c r="K64" s="380"/>
      <c r="L64" s="380"/>
      <c r="M64" s="380"/>
      <c r="N64" s="380"/>
      <c r="O64" s="381"/>
    </row>
    <row r="65" spans="1:32" ht="12.75" hidden="1" customHeight="1" outlineLevel="1" x14ac:dyDescent="0.2">
      <c r="A65" s="86"/>
      <c r="B65" s="19"/>
      <c r="C65" s="165"/>
      <c r="D65" s="679" t="s">
        <v>4066</v>
      </c>
      <c r="E65" s="353">
        <f t="shared" ref="E65:N65" si="20">-E29</f>
        <v>-607827.60629004077</v>
      </c>
      <c r="F65" s="353">
        <f t="shared" si="20"/>
        <v>-607827.60629004077</v>
      </c>
      <c r="G65" s="353">
        <f t="shared" si="20"/>
        <v>-607827.60629004077</v>
      </c>
      <c r="H65" s="353">
        <f t="shared" si="20"/>
        <v>-607827.60629004077</v>
      </c>
      <c r="I65" s="353">
        <f t="shared" si="20"/>
        <v>-607827.60629004077</v>
      </c>
      <c r="J65" s="353">
        <f t="shared" si="20"/>
        <v>-607827.60629004077</v>
      </c>
      <c r="K65" s="353">
        <f t="shared" si="20"/>
        <v>-607827.60629004077</v>
      </c>
      <c r="L65" s="353">
        <f t="shared" si="20"/>
        <v>-607827.60629004077</v>
      </c>
      <c r="M65" s="353">
        <f t="shared" si="20"/>
        <v>-607827.60629004077</v>
      </c>
      <c r="N65" s="353">
        <f t="shared" si="20"/>
        <v>-607827.60629004077</v>
      </c>
      <c r="O65" s="318" t="s">
        <v>2996</v>
      </c>
    </row>
    <row r="66" spans="1:32" s="18" customFormat="1" ht="13.5" hidden="1" customHeight="1" outlineLevel="1" thickBot="1" x14ac:dyDescent="0.25">
      <c r="A66" s="86"/>
      <c r="B66" s="19"/>
      <c r="C66" s="170"/>
      <c r="D66" s="644"/>
      <c r="E66" s="171"/>
      <c r="F66" s="171"/>
      <c r="G66" s="171"/>
      <c r="H66" s="171"/>
      <c r="I66" s="171"/>
      <c r="J66" s="171"/>
      <c r="K66" s="171"/>
      <c r="L66" s="171"/>
      <c r="M66" s="171"/>
      <c r="N66" s="171"/>
      <c r="O66" s="309"/>
      <c r="P66" s="12"/>
      <c r="Q66" s="12"/>
    </row>
    <row r="67" spans="1:32" ht="13.5" hidden="1" outlineLevel="1" thickBot="1" x14ac:dyDescent="0.25">
      <c r="A67" s="86"/>
      <c r="B67" s="19"/>
    </row>
    <row r="68" spans="1:32" s="384" customFormat="1" ht="15.75" hidden="1" outlineLevel="1" x14ac:dyDescent="0.2">
      <c r="A68" s="382"/>
      <c r="B68" s="383"/>
      <c r="C68" s="385"/>
      <c r="D68" s="676" t="str">
        <f>Scenario2&amp;" Warranty Labor Costs"</f>
        <v>hSystems (Hybrid) Warranty Labor Costs</v>
      </c>
      <c r="E68" s="386"/>
      <c r="F68" s="386"/>
      <c r="G68" s="386"/>
      <c r="H68" s="386"/>
      <c r="I68" s="386"/>
      <c r="J68" s="386"/>
      <c r="K68" s="386"/>
      <c r="L68" s="386"/>
      <c r="M68" s="386"/>
      <c r="N68" s="386"/>
      <c r="O68" s="590"/>
    </row>
    <row r="69" spans="1:32" ht="12.75" hidden="1" customHeight="1" outlineLevel="1" x14ac:dyDescent="0.2">
      <c r="A69" s="86"/>
      <c r="B69" s="19"/>
      <c r="C69" s="165"/>
      <c r="D69" s="682" t="s">
        <v>4067</v>
      </c>
      <c r="E69" s="423">
        <f t="shared" ref="E69:N69" si="21">-E41</f>
        <v>-347330.06073716615</v>
      </c>
      <c r="F69" s="423">
        <f t="shared" si="21"/>
        <v>-347330.06073716615</v>
      </c>
      <c r="G69" s="423">
        <f t="shared" si="21"/>
        <v>-347330.06073716615</v>
      </c>
      <c r="H69" s="423">
        <f t="shared" si="21"/>
        <v>-347330.06073716615</v>
      </c>
      <c r="I69" s="423">
        <f t="shared" si="21"/>
        <v>-347330.06073716615</v>
      </c>
      <c r="J69" s="423">
        <f t="shared" si="21"/>
        <v>-347330.06073716615</v>
      </c>
      <c r="K69" s="423">
        <f t="shared" si="21"/>
        <v>-347330.06073716615</v>
      </c>
      <c r="L69" s="423">
        <f t="shared" si="21"/>
        <v>-347330.06073716615</v>
      </c>
      <c r="M69" s="423">
        <f t="shared" si="21"/>
        <v>-347330.06073716615</v>
      </c>
      <c r="N69" s="423">
        <f t="shared" si="21"/>
        <v>-347330.06073716615</v>
      </c>
      <c r="O69" s="318" t="s">
        <v>2997</v>
      </c>
    </row>
    <row r="70" spans="1:32" s="8" customFormat="1" ht="12.75" hidden="1" customHeight="1" outlineLevel="1" thickBot="1" x14ac:dyDescent="0.25">
      <c r="A70" s="130"/>
      <c r="B70" s="24"/>
      <c r="C70" s="591"/>
      <c r="D70" s="683"/>
      <c r="E70" s="592"/>
      <c r="F70" s="592"/>
      <c r="G70" s="592"/>
      <c r="H70" s="592"/>
      <c r="I70" s="592"/>
      <c r="J70" s="592"/>
      <c r="K70" s="592"/>
      <c r="L70" s="592"/>
      <c r="M70" s="592"/>
      <c r="N70" s="592"/>
      <c r="O70" s="593"/>
    </row>
    <row r="71" spans="1:32" ht="13.5" hidden="1" customHeight="1" outlineLevel="1" thickBot="1" x14ac:dyDescent="0.25">
      <c r="A71" s="86"/>
      <c r="B71" s="19"/>
    </row>
    <row r="72" spans="1:32" ht="15.75" hidden="1" outlineLevel="1" x14ac:dyDescent="0.2">
      <c r="A72" s="86"/>
      <c r="B72" s="19"/>
      <c r="C72" s="379"/>
      <c r="D72" s="694" t="str">
        <f>Scenario3&amp;" Warranty Labor Costs"</f>
        <v>eSystems (Paperless) Warranty Labor Costs</v>
      </c>
      <c r="E72" s="380"/>
      <c r="F72" s="380"/>
      <c r="G72" s="380"/>
      <c r="H72" s="380"/>
      <c r="I72" s="380"/>
      <c r="J72" s="380"/>
      <c r="K72" s="380"/>
      <c r="L72" s="380"/>
      <c r="M72" s="380"/>
      <c r="N72" s="380"/>
      <c r="O72" s="381"/>
    </row>
    <row r="73" spans="1:32" ht="12.75" hidden="1" customHeight="1" outlineLevel="1" x14ac:dyDescent="0.2">
      <c r="A73" s="86"/>
      <c r="B73" s="19"/>
      <c r="C73" s="165"/>
      <c r="D73" s="684" t="s">
        <v>4068</v>
      </c>
      <c r="E73" s="353">
        <f t="shared" ref="E73:N73" si="22">-E53</f>
        <v>-151956.90157251019</v>
      </c>
      <c r="F73" s="353">
        <f t="shared" si="22"/>
        <v>-151956.90157251019</v>
      </c>
      <c r="G73" s="353">
        <f t="shared" si="22"/>
        <v>-151956.90157251019</v>
      </c>
      <c r="H73" s="353">
        <f t="shared" si="22"/>
        <v>-151956.90157251019</v>
      </c>
      <c r="I73" s="353">
        <f t="shared" si="22"/>
        <v>-151956.90157251019</v>
      </c>
      <c r="J73" s="353">
        <f t="shared" si="22"/>
        <v>-151956.90157251019</v>
      </c>
      <c r="K73" s="353">
        <f t="shared" si="22"/>
        <v>-151956.90157251019</v>
      </c>
      <c r="L73" s="353">
        <f t="shared" si="22"/>
        <v>-151956.90157251019</v>
      </c>
      <c r="M73" s="353">
        <f t="shared" si="22"/>
        <v>-151956.90157251019</v>
      </c>
      <c r="N73" s="353">
        <f t="shared" si="22"/>
        <v>-151956.90157251019</v>
      </c>
      <c r="O73" s="318" t="s">
        <v>2998</v>
      </c>
    </row>
    <row r="74" spans="1:32" s="18" customFormat="1" ht="13.5" hidden="1" outlineLevel="1" thickBot="1" x14ac:dyDescent="0.25">
      <c r="A74" s="86"/>
      <c r="B74" s="19"/>
      <c r="C74" s="170"/>
      <c r="D74" s="644"/>
      <c r="E74" s="171"/>
      <c r="F74" s="171"/>
      <c r="G74" s="171"/>
      <c r="H74" s="171"/>
      <c r="I74" s="171"/>
      <c r="J74" s="171"/>
      <c r="K74" s="171"/>
      <c r="L74" s="171"/>
      <c r="M74" s="171"/>
      <c r="N74" s="171"/>
      <c r="O74" s="309"/>
      <c r="P74" s="12"/>
      <c r="Q74" s="12"/>
    </row>
    <row r="75" spans="1:32" hidden="1" outlineLevel="1" x14ac:dyDescent="0.2">
      <c r="B75" s="19"/>
    </row>
    <row r="76" spans="1:32" hidden="1" outlineLevel="1" x14ac:dyDescent="0.2">
      <c r="B76" s="19"/>
    </row>
    <row r="77" spans="1:32" s="122" customFormat="1" ht="15.75" collapsed="1" x14ac:dyDescent="0.2">
      <c r="A77" s="1043">
        <v>3</v>
      </c>
      <c r="B77" s="1039"/>
      <c r="C77" s="1039"/>
      <c r="D77" s="1039"/>
      <c r="E77" s="1039"/>
      <c r="F77" s="1039"/>
      <c r="G77" s="1039"/>
      <c r="H77" s="1039"/>
      <c r="I77" s="1039"/>
      <c r="J77" s="1039"/>
      <c r="K77" s="1039"/>
      <c r="L77" s="1039"/>
      <c r="M77" s="1039"/>
      <c r="N77" s="1039"/>
      <c r="O77" s="1039"/>
      <c r="P77" s="206"/>
      <c r="Q77" s="206"/>
      <c r="R77" s="206"/>
      <c r="S77" s="206"/>
      <c r="T77" s="206"/>
      <c r="U77" s="206"/>
      <c r="V77" s="206"/>
      <c r="W77" s="206"/>
      <c r="X77" s="206"/>
      <c r="Y77" s="206"/>
      <c r="Z77" s="206"/>
      <c r="AA77" s="206"/>
      <c r="AB77" s="206"/>
      <c r="AC77" s="206"/>
      <c r="AD77" s="206"/>
      <c r="AE77" s="206"/>
      <c r="AF77" s="206"/>
    </row>
    <row r="78" spans="1:32" x14ac:dyDescent="0.2">
      <c r="B78" s="19"/>
    </row>
    <row r="79" spans="1:32" s="87" customFormat="1" ht="20.100000000000001" customHeight="1" x14ac:dyDescent="0.2">
      <c r="A79" s="1397" t="s">
        <v>4218</v>
      </c>
      <c r="B79" s="134"/>
      <c r="C79" s="1019" t="s">
        <v>4215</v>
      </c>
      <c r="D79" s="1019"/>
    </row>
    <row r="80" spans="1:32" s="87" customFormat="1" x14ac:dyDescent="0.2">
      <c r="A80" s="1398"/>
      <c r="B80" s="134"/>
      <c r="D80" s="741"/>
    </row>
    <row r="81" spans="1:32" s="87" customFormat="1" x14ac:dyDescent="0.2">
      <c r="A81" s="1399"/>
      <c r="B81" s="134"/>
      <c r="D81" s="741"/>
    </row>
    <row r="82" spans="1:32" x14ac:dyDescent="0.2">
      <c r="B82" s="19"/>
    </row>
    <row r="83" spans="1:32" ht="13.5" hidden="1" outlineLevel="1" thickBot="1" x14ac:dyDescent="0.25">
      <c r="B83" s="19"/>
    </row>
    <row r="84" spans="1:32" hidden="1" outlineLevel="1" x14ac:dyDescent="0.2">
      <c r="B84" s="19"/>
      <c r="C84" s="427"/>
      <c r="D84" s="693"/>
      <c r="E84" s="376"/>
      <c r="F84" s="376"/>
      <c r="G84" s="376"/>
      <c r="H84" s="376"/>
      <c r="I84" s="376"/>
      <c r="J84" s="376"/>
      <c r="K84" s="376"/>
      <c r="L84" s="376"/>
      <c r="M84" s="376"/>
      <c r="N84" s="376"/>
      <c r="O84" s="428"/>
    </row>
    <row r="85" spans="1:32" ht="15.75" hidden="1" outlineLevel="1" x14ac:dyDescent="0.2">
      <c r="B85" s="19"/>
      <c r="C85" s="368"/>
      <c r="D85" s="264" t="str">
        <f>Scenario1&amp;" Warranty SCL FTEs"</f>
        <v>pSystems (Paper) Warranty SCL FTEs</v>
      </c>
      <c r="E85" s="431">
        <f t="shared" ref="E85:N85" si="23">pSystemsFTEWarranty</f>
        <v>7.2684915550378566</v>
      </c>
      <c r="F85" s="431">
        <f t="shared" si="23"/>
        <v>7.2684915550378566</v>
      </c>
      <c r="G85" s="431">
        <f t="shared" si="23"/>
        <v>7.2684915550378566</v>
      </c>
      <c r="H85" s="431">
        <f t="shared" si="23"/>
        <v>7.2684915550378566</v>
      </c>
      <c r="I85" s="431">
        <f t="shared" si="23"/>
        <v>7.2684915550378566</v>
      </c>
      <c r="J85" s="431">
        <f t="shared" si="23"/>
        <v>7.2684915550378566</v>
      </c>
      <c r="K85" s="431">
        <f t="shared" si="23"/>
        <v>7.2684915550378566</v>
      </c>
      <c r="L85" s="431">
        <f t="shared" si="23"/>
        <v>7.2684915550378566</v>
      </c>
      <c r="M85" s="431">
        <f t="shared" si="23"/>
        <v>7.2684915550378566</v>
      </c>
      <c r="N85" s="431">
        <f t="shared" si="23"/>
        <v>7.2684915550378566</v>
      </c>
      <c r="O85" s="318" t="s">
        <v>348</v>
      </c>
    </row>
    <row r="86" spans="1:32" ht="15.75" hidden="1" outlineLevel="1" x14ac:dyDescent="0.2">
      <c r="B86" s="19"/>
      <c r="C86" s="368"/>
      <c r="D86" s="660" t="str">
        <f>Scenario2&amp;" Warranty SCL FTEs"</f>
        <v>hSystems (Hybrid) Warranty SCL FTEs</v>
      </c>
      <c r="E86" s="431">
        <f t="shared" ref="E86:N86" si="24">hSystemsFTEWarranty</f>
        <v>4.1534237457359184</v>
      </c>
      <c r="F86" s="431">
        <f t="shared" si="24"/>
        <v>4.1534237457359184</v>
      </c>
      <c r="G86" s="431">
        <f t="shared" si="24"/>
        <v>4.1534237457359184</v>
      </c>
      <c r="H86" s="431">
        <f t="shared" si="24"/>
        <v>4.1534237457359184</v>
      </c>
      <c r="I86" s="431">
        <f t="shared" si="24"/>
        <v>4.1534237457359184</v>
      </c>
      <c r="J86" s="431">
        <f t="shared" si="24"/>
        <v>4.1534237457359184</v>
      </c>
      <c r="K86" s="431">
        <f t="shared" si="24"/>
        <v>4.1534237457359184</v>
      </c>
      <c r="L86" s="431">
        <f t="shared" si="24"/>
        <v>4.1534237457359184</v>
      </c>
      <c r="M86" s="431">
        <f t="shared" si="24"/>
        <v>4.1534237457359184</v>
      </c>
      <c r="N86" s="431">
        <f t="shared" si="24"/>
        <v>4.1534237457359184</v>
      </c>
      <c r="O86" s="318" t="s">
        <v>349</v>
      </c>
    </row>
    <row r="87" spans="1:32" ht="15.75" hidden="1" outlineLevel="1" x14ac:dyDescent="0.2">
      <c r="B87" s="19"/>
      <c r="C87" s="368"/>
      <c r="D87" s="695" t="str">
        <f>Scenario3&amp;" Warranty SCL FTEs"</f>
        <v>eSystems (Paperless) Warranty SCL FTEs</v>
      </c>
      <c r="E87" s="431">
        <f t="shared" ref="E87:N87" si="25">eSystemsFTEWarranty</f>
        <v>1.8171228887594639</v>
      </c>
      <c r="F87" s="431">
        <f t="shared" si="25"/>
        <v>1.8171228887594639</v>
      </c>
      <c r="G87" s="431">
        <f t="shared" si="25"/>
        <v>1.8171228887594639</v>
      </c>
      <c r="H87" s="431">
        <f t="shared" si="25"/>
        <v>1.8171228887594639</v>
      </c>
      <c r="I87" s="431">
        <f t="shared" si="25"/>
        <v>1.8171228887594639</v>
      </c>
      <c r="J87" s="431">
        <f t="shared" si="25"/>
        <v>1.8171228887594639</v>
      </c>
      <c r="K87" s="431">
        <f t="shared" si="25"/>
        <v>1.8171228887594639</v>
      </c>
      <c r="L87" s="431">
        <f t="shared" si="25"/>
        <v>1.8171228887594639</v>
      </c>
      <c r="M87" s="431">
        <f t="shared" si="25"/>
        <v>1.8171228887594639</v>
      </c>
      <c r="N87" s="431">
        <f t="shared" si="25"/>
        <v>1.8171228887594639</v>
      </c>
      <c r="O87" s="318" t="s">
        <v>350</v>
      </c>
    </row>
    <row r="88" spans="1:32" ht="13.5" hidden="1" outlineLevel="1" thickBot="1" x14ac:dyDescent="0.25">
      <c r="B88" s="19"/>
      <c r="C88" s="373"/>
      <c r="D88" s="696"/>
      <c r="E88" s="429"/>
      <c r="F88" s="429"/>
      <c r="G88" s="429"/>
      <c r="H88" s="429"/>
      <c r="I88" s="429"/>
      <c r="J88" s="429"/>
      <c r="K88" s="429"/>
      <c r="L88" s="429"/>
      <c r="M88" s="429"/>
      <c r="N88" s="429"/>
      <c r="O88" s="430"/>
    </row>
    <row r="89" spans="1:32" hidden="1" outlineLevel="1" x14ac:dyDescent="0.2">
      <c r="B89" s="19"/>
      <c r="C89" s="5"/>
      <c r="D89" s="690"/>
    </row>
    <row r="90" spans="1:32" s="122" customFormat="1" ht="15.75" collapsed="1" x14ac:dyDescent="0.2">
      <c r="A90" s="1043" t="s">
        <v>4214</v>
      </c>
      <c r="B90" s="1039"/>
      <c r="C90" s="1039"/>
      <c r="D90" s="1039"/>
      <c r="E90" s="1039"/>
      <c r="F90" s="1039"/>
      <c r="G90" s="1039"/>
      <c r="H90" s="1039"/>
      <c r="I90" s="1039"/>
      <c r="J90" s="1039"/>
      <c r="K90" s="1039"/>
      <c r="L90" s="1039"/>
      <c r="M90" s="1039"/>
      <c r="N90" s="1039"/>
      <c r="O90" s="1039"/>
      <c r="P90" s="206"/>
      <c r="Q90" s="206"/>
      <c r="R90" s="206"/>
      <c r="S90" s="206"/>
      <c r="T90" s="206"/>
      <c r="U90" s="206"/>
      <c r="V90" s="206"/>
      <c r="W90" s="206"/>
      <c r="X90" s="206"/>
      <c r="Y90" s="206"/>
      <c r="Z90" s="206"/>
      <c r="AA90" s="206"/>
      <c r="AB90" s="206"/>
      <c r="AC90" s="206"/>
      <c r="AD90" s="206"/>
      <c r="AE90" s="206"/>
      <c r="AF90" s="206"/>
    </row>
    <row r="91" spans="1:32" x14ac:dyDescent="0.2">
      <c r="B91" s="19"/>
    </row>
    <row r="92" spans="1:32" x14ac:dyDescent="0.2">
      <c r="B92" s="19"/>
    </row>
    <row r="93" spans="1:32" x14ac:dyDescent="0.2">
      <c r="B93" s="19"/>
    </row>
    <row r="94" spans="1:32" x14ac:dyDescent="0.2">
      <c r="B94" s="19"/>
    </row>
    <row r="95" spans="1:32" x14ac:dyDescent="0.2">
      <c r="B95" s="19"/>
    </row>
    <row r="96" spans="1:32" x14ac:dyDescent="0.2">
      <c r="B96" s="19"/>
    </row>
  </sheetData>
  <mergeCells count="12">
    <mergeCell ref="O7:O9"/>
    <mergeCell ref="A2:A4"/>
    <mergeCell ref="B2:L2"/>
    <mergeCell ref="M2:O2"/>
    <mergeCell ref="B3:L4"/>
    <mergeCell ref="M3:O4"/>
    <mergeCell ref="C15:D15"/>
    <mergeCell ref="A58:A60"/>
    <mergeCell ref="A79:A81"/>
    <mergeCell ref="A15:A17"/>
    <mergeCell ref="A8:A11"/>
    <mergeCell ref="A20:A54"/>
  </mergeCells>
  <conditionalFormatting sqref="O21:P24 O64 O68 O72">
    <cfRule type="containsText" dxfId="39" priority="33" operator="containsText" text="N">
      <formula>NOT(ISERROR(SEARCH("N",O21)))</formula>
    </cfRule>
    <cfRule type="containsText" dxfId="38" priority="34" operator="containsText" text="Y">
      <formula>NOT(ISERROR(SEARCH("Y",O21)))</formula>
    </cfRule>
  </conditionalFormatting>
  <conditionalFormatting sqref="O33:P33 P34:P36">
    <cfRule type="containsText" dxfId="37" priority="17" operator="containsText" text="N">
      <formula>NOT(ISERROR(SEARCH("N",O33)))</formula>
    </cfRule>
    <cfRule type="containsText" dxfId="36" priority="18" operator="containsText" text="Y">
      <formula>NOT(ISERROR(SEARCH("Y",O33)))</formula>
    </cfRule>
  </conditionalFormatting>
  <conditionalFormatting sqref="P46:P48">
    <cfRule type="containsText" dxfId="35" priority="9" operator="containsText" text="N">
      <formula>NOT(ISERROR(SEARCH("N",P46)))</formula>
    </cfRule>
    <cfRule type="containsText" dxfId="34" priority="10" operator="containsText" text="Y">
      <formula>NOT(ISERROR(SEARCH("Y",P46)))</formula>
    </cfRule>
  </conditionalFormatting>
  <conditionalFormatting sqref="O34:O36">
    <cfRule type="containsText" dxfId="33" priority="3" operator="containsText" text="N">
      <formula>NOT(ISERROR(SEARCH("N",O34)))</formula>
    </cfRule>
    <cfRule type="containsText" dxfId="32" priority="4" operator="containsText" text="Y">
      <formula>NOT(ISERROR(SEARCH("Y",O34)))</formula>
    </cfRule>
  </conditionalFormatting>
  <conditionalFormatting sqref="O46:O48">
    <cfRule type="containsText" dxfId="31" priority="1" operator="containsText" text="N">
      <formula>NOT(ISERROR(SEARCH("N",O46)))</formula>
    </cfRule>
    <cfRule type="containsText" dxfId="30" priority="2" operator="containsText" text="Y">
      <formula>NOT(ISERROR(SEARCH("Y",O46)))</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03" operator="containsText" text="N" id="{E392093E-6914-4CC9-A05C-112982D31B3F}">
            <xm:f>NOT(ISERROR(SEARCH("N",Costs_Training!P384)))</xm:f>
            <x14:dxf>
              <font>
                <b/>
                <i val="0"/>
              </font>
              <fill>
                <patternFill>
                  <bgColor rgb="FFFFC000"/>
                </patternFill>
              </fill>
            </x14:dxf>
          </x14:cfRule>
          <x14:cfRule type="containsText" priority="1404" operator="containsText" text="Y" id="{A83B5576-B4E3-416C-9593-3A9ACD5D0277}">
            <xm:f>NOT(ISERROR(SEARCH("Y",Costs_Training!P384)))</xm:f>
            <x14:dxf>
              <font>
                <b/>
                <i val="0"/>
              </font>
              <fill>
                <patternFill>
                  <bgColor rgb="FF00B050"/>
                </patternFill>
              </fill>
            </x14:dxf>
          </x14:cfRule>
          <xm:sqref>P66</xm:sqref>
        </x14:conditionalFormatting>
        <x14:conditionalFormatting xmlns:xm="http://schemas.microsoft.com/office/excel/2006/main">
          <x14:cfRule type="containsText" priority="1409" operator="containsText" text="N" id="{E392093E-6914-4CC9-A05C-112982D31B3F}">
            <xm:f>NOT(ISERROR(SEARCH("N",Costs_Training!#REF!)))</xm:f>
            <x14:dxf>
              <font>
                <b/>
                <i val="0"/>
              </font>
              <fill>
                <patternFill>
                  <bgColor rgb="FFFFC000"/>
                </patternFill>
              </fill>
            </x14:dxf>
          </x14:cfRule>
          <x14:cfRule type="containsText" priority="1410" operator="containsText" text="Y" id="{A83B5576-B4E3-416C-9593-3A9ACD5D0277}">
            <xm:f>NOT(ISERROR(SEARCH("Y",Costs_Training!#REF!)))</xm:f>
            <x14:dxf>
              <font>
                <b/>
                <i val="0"/>
              </font>
              <fill>
                <patternFill>
                  <bgColor rgb="FF00B050"/>
                </patternFill>
              </fill>
            </x14:dxf>
          </x14:cfRule>
          <xm:sqref>O45:P45</xm:sqref>
        </x14:conditionalFormatting>
        <x14:conditionalFormatting xmlns:xm="http://schemas.microsoft.com/office/excel/2006/main">
          <x14:cfRule type="containsText" priority="1413" operator="containsText" text="N" id="{E392093E-6914-4CC9-A05C-112982D31B3F}">
            <xm:f>NOT(ISERROR(SEARCH("N",Costs_Training!#REF!)))</xm:f>
            <x14:dxf>
              <font>
                <b/>
                <i val="0"/>
              </font>
              <fill>
                <patternFill>
                  <bgColor rgb="FFFFC000"/>
                </patternFill>
              </fill>
            </x14:dxf>
          </x14:cfRule>
          <x14:cfRule type="containsText" priority="1414" operator="containsText" text="Y" id="{A83B5576-B4E3-416C-9593-3A9ACD5D0277}">
            <xm:f>NOT(ISERROR(SEARCH("Y",Costs_Training!#REF!)))</xm:f>
            <x14:dxf>
              <font>
                <b/>
                <i val="0"/>
              </font>
              <fill>
                <patternFill>
                  <bgColor rgb="FF00B050"/>
                </patternFill>
              </fill>
            </x14:dxf>
          </x14:cfRule>
          <xm:sqref>P74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A1:AG263"/>
  <sheetViews>
    <sheetView zoomScaleNormal="100" workbookViewId="0"/>
  </sheetViews>
  <sheetFormatPr defaultRowHeight="12.75" outlineLevelRow="1" x14ac:dyDescent="0.2"/>
  <cols>
    <col min="1" max="1" width="75.5703125" customWidth="1"/>
    <col min="2" max="2" width="5.7109375" customWidth="1"/>
    <col min="3" max="3" width="50.5703125" customWidth="1"/>
    <col min="4" max="4" width="75.5703125" customWidth="1"/>
    <col min="5" max="14" width="20.7109375" customWidth="1"/>
    <col min="15" max="15" width="55.7109375" customWidth="1"/>
    <col min="16" max="16" width="12.42578125" bestFit="1" customWidth="1"/>
    <col min="17" max="17" width="9.140625" style="8"/>
  </cols>
  <sheetData>
    <row r="1" spans="1:33" s="8" customFormat="1" ht="30" customHeight="1" x14ac:dyDescent="0.2">
      <c r="A1" s="1183" t="s">
        <v>66</v>
      </c>
      <c r="B1" s="155"/>
      <c r="C1" s="1182" t="s">
        <v>4373</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3" customFormat="1" ht="14.1" customHeight="1" x14ac:dyDescent="0.2">
      <c r="A5" s="13"/>
      <c r="B5" s="13"/>
      <c r="C5" s="104"/>
      <c r="D5" s="13"/>
      <c r="E5" s="49"/>
      <c r="F5" s="49"/>
      <c r="G5" s="13"/>
      <c r="H5" s="13"/>
      <c r="I5" s="13"/>
      <c r="J5" s="13"/>
      <c r="K5" s="13"/>
      <c r="L5" s="13"/>
      <c r="M5" s="13"/>
      <c r="N5" s="13"/>
      <c r="O5" s="13"/>
      <c r="P5" s="132"/>
      <c r="Q5" s="19"/>
      <c r="R5" s="19"/>
      <c r="S5" s="19"/>
      <c r="T5" s="19"/>
      <c r="U5" s="19"/>
      <c r="V5" s="19"/>
      <c r="W5" s="19"/>
      <c r="X5" s="19"/>
      <c r="Y5" s="19"/>
      <c r="Z5" s="19"/>
      <c r="AA5" s="19"/>
      <c r="AB5" s="19"/>
      <c r="AC5" s="19"/>
      <c r="AD5" s="19"/>
      <c r="AE5" s="19"/>
      <c r="AF5" s="19"/>
    </row>
    <row r="6" spans="1:33" s="87" customFormat="1" ht="15" customHeight="1" x14ac:dyDescent="0.2">
      <c r="A6" s="86"/>
      <c r="C6" s="119" t="str">
        <f>"All currency -  "&amp;CurrSymbol&amp;" in "&amp;CurrUnits&amp;"s"</f>
        <v>All currency -  US$ in 1000s</v>
      </c>
      <c r="H6" s="89"/>
      <c r="Q6" s="122"/>
    </row>
    <row r="7" spans="1:33" s="28" customFormat="1" ht="15" x14ac:dyDescent="0.25">
      <c r="A7" s="17"/>
      <c r="P7" s="29"/>
      <c r="Q7" s="29"/>
      <c r="R7" s="29"/>
      <c r="S7" s="29"/>
      <c r="T7" s="29"/>
      <c r="U7" s="29"/>
      <c r="V7" s="29"/>
      <c r="W7" s="29"/>
      <c r="X7" s="29"/>
      <c r="Y7" s="29"/>
      <c r="Z7" s="29"/>
      <c r="AA7" s="29"/>
      <c r="AB7" s="29"/>
      <c r="AC7" s="29"/>
      <c r="AD7" s="29"/>
      <c r="AE7" s="29"/>
      <c r="AF7" s="29"/>
      <c r="AG7" s="29"/>
    </row>
    <row r="8" spans="1:33" s="87" customFormat="1" ht="15.75" x14ac:dyDescent="0.2">
      <c r="A8" s="1427" t="s">
        <v>4211</v>
      </c>
      <c r="D8" s="61" t="s">
        <v>22</v>
      </c>
      <c r="E8" s="42" t="s">
        <v>12</v>
      </c>
      <c r="F8" s="42" t="s">
        <v>11</v>
      </c>
      <c r="G8" s="42" t="s">
        <v>10</v>
      </c>
      <c r="H8" s="42" t="s">
        <v>39</v>
      </c>
      <c r="I8" s="42" t="s">
        <v>40</v>
      </c>
      <c r="J8" s="42" t="s">
        <v>41</v>
      </c>
      <c r="K8" s="42" t="s">
        <v>42</v>
      </c>
      <c r="L8" s="42" t="s">
        <v>43</v>
      </c>
      <c r="M8" s="42" t="s">
        <v>44</v>
      </c>
      <c r="N8" s="42" t="s">
        <v>45</v>
      </c>
      <c r="O8" s="1426" t="s">
        <v>0</v>
      </c>
      <c r="Q8" s="122"/>
    </row>
    <row r="9" spans="1:33" s="87" customFormat="1" x14ac:dyDescent="0.2">
      <c r="A9" s="1428"/>
      <c r="D9" s="85"/>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426"/>
      <c r="Q9" s="122"/>
    </row>
    <row r="10" spans="1:33" s="87" customFormat="1" x14ac:dyDescent="0.2">
      <c r="A10" s="1428"/>
      <c r="D10" s="85"/>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426"/>
      <c r="Q10" s="122"/>
    </row>
    <row r="11" spans="1:33" s="87" customFormat="1" ht="18" x14ac:dyDescent="0.2">
      <c r="A11" s="1429"/>
      <c r="B11" s="68"/>
      <c r="H11" s="88"/>
      <c r="Q11" s="122"/>
    </row>
    <row r="12" spans="1:33" s="87" customFormat="1" ht="18" x14ac:dyDescent="0.2">
      <c r="A12" s="86"/>
      <c r="B12" s="68"/>
      <c r="C12" s="97"/>
      <c r="H12" s="88"/>
      <c r="Q12" s="122"/>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88" customFormat="1" x14ac:dyDescent="0.2">
      <c r="D14" s="1038"/>
    </row>
    <row r="15" spans="1:33" s="217" customFormat="1" ht="20.100000000000001" customHeight="1" x14ac:dyDescent="0.2">
      <c r="A15" s="1400" t="s">
        <v>4223</v>
      </c>
      <c r="B15" s="72"/>
      <c r="C15" s="1415" t="s">
        <v>4222</v>
      </c>
      <c r="D15" s="1416"/>
      <c r="E15" s="218"/>
      <c r="F15" s="218"/>
      <c r="G15" s="218"/>
      <c r="H15" s="218"/>
      <c r="I15" s="218"/>
      <c r="J15" s="218"/>
      <c r="K15" s="218"/>
      <c r="L15" s="218"/>
      <c r="M15" s="218"/>
      <c r="N15" s="218"/>
      <c r="O15" s="219"/>
      <c r="P15" s="219"/>
    </row>
    <row r="16" spans="1:33" s="203" customFormat="1" x14ac:dyDescent="0.2">
      <c r="A16" s="1407"/>
      <c r="B16" s="72"/>
      <c r="C16" s="204"/>
      <c r="D16" s="723"/>
      <c r="E16" s="210"/>
      <c r="F16" s="210"/>
      <c r="G16" s="210"/>
      <c r="H16" s="210"/>
      <c r="I16" s="210"/>
      <c r="J16" s="210"/>
      <c r="K16" s="210"/>
      <c r="L16" s="210"/>
      <c r="M16" s="210"/>
      <c r="N16" s="210"/>
    </row>
    <row r="17" spans="1:32" s="203" customFormat="1" ht="53.25" customHeight="1" x14ac:dyDescent="0.2">
      <c r="A17" s="1408"/>
      <c r="B17" s="72"/>
      <c r="C17" s="723"/>
      <c r="D17" s="723"/>
      <c r="E17" s="210"/>
      <c r="F17" s="210"/>
      <c r="G17" s="210"/>
      <c r="H17" s="210"/>
      <c r="I17" s="210"/>
      <c r="J17" s="210"/>
      <c r="K17" s="210"/>
      <c r="L17" s="210"/>
      <c r="M17" s="210"/>
      <c r="N17" s="210"/>
    </row>
    <row r="18" spans="1:32" s="87" customFormat="1" x14ac:dyDescent="0.2">
      <c r="A18" s="86"/>
      <c r="H18" s="88"/>
      <c r="Q18" s="122"/>
    </row>
    <row r="19" spans="1:32" s="122" customFormat="1" ht="15.75" x14ac:dyDescent="0.2">
      <c r="A19" s="1043">
        <v>2</v>
      </c>
      <c r="B19" s="1039"/>
      <c r="C19" s="1039"/>
      <c r="D19" s="1039"/>
      <c r="E19" s="1039"/>
      <c r="F19" s="1039"/>
      <c r="G19" s="1039"/>
      <c r="H19" s="1039"/>
      <c r="I19" s="1039"/>
      <c r="J19" s="1039"/>
      <c r="K19" s="1039"/>
      <c r="L19" s="1039"/>
      <c r="M19" s="1039"/>
      <c r="N19" s="1039"/>
      <c r="O19" s="1039"/>
      <c r="P19" s="206"/>
      <c r="Q19" s="206"/>
      <c r="R19" s="206"/>
      <c r="S19" s="206"/>
      <c r="T19" s="206"/>
      <c r="U19" s="206"/>
      <c r="V19" s="206"/>
      <c r="W19" s="206"/>
      <c r="X19" s="206"/>
      <c r="Y19" s="206"/>
      <c r="Z19" s="206"/>
      <c r="AA19" s="206"/>
      <c r="AB19" s="206"/>
      <c r="AC19" s="206"/>
      <c r="AD19" s="206"/>
      <c r="AE19" s="206"/>
      <c r="AF19" s="206"/>
    </row>
    <row r="20" spans="1:32" s="87" customFormat="1" ht="13.5" thickBot="1" x14ac:dyDescent="0.25">
      <c r="A20" s="86"/>
      <c r="H20" s="88"/>
      <c r="Q20" s="122"/>
    </row>
    <row r="21" spans="1:32" s="217" customFormat="1" ht="20.100000000000001" customHeight="1" x14ac:dyDescent="0.2">
      <c r="A21" s="1400" t="s">
        <v>4225</v>
      </c>
      <c r="B21" s="72"/>
      <c r="C21" s="1413" t="s">
        <v>4224</v>
      </c>
      <c r="D21" s="1414"/>
      <c r="E21" s="218"/>
      <c r="F21" s="218"/>
      <c r="G21" s="218"/>
      <c r="H21" s="218"/>
      <c r="I21" s="218"/>
      <c r="J21" s="218"/>
      <c r="K21" s="218"/>
      <c r="L21" s="218"/>
      <c r="M21" s="218"/>
      <c r="N21" s="218"/>
      <c r="O21" s="219"/>
      <c r="P21" s="219"/>
    </row>
    <row r="22" spans="1:32" s="203" customFormat="1" ht="38.450000000000003" customHeight="1" x14ac:dyDescent="0.2">
      <c r="A22" s="1408"/>
      <c r="B22" s="72"/>
      <c r="C22" s="204"/>
      <c r="D22" s="204"/>
      <c r="E22" s="210"/>
      <c r="F22" s="210"/>
      <c r="G22" s="210"/>
      <c r="H22" s="210"/>
      <c r="I22" s="210"/>
      <c r="J22" s="210"/>
      <c r="K22" s="210"/>
      <c r="L22" s="210"/>
      <c r="M22" s="210"/>
      <c r="N22" s="210"/>
      <c r="O22" s="204"/>
      <c r="P22" s="204"/>
    </row>
    <row r="23" spans="1:32" s="203" customFormat="1" x14ac:dyDescent="0.2">
      <c r="A23" s="72"/>
      <c r="B23" s="72"/>
      <c r="C23" s="204"/>
      <c r="D23" s="204"/>
      <c r="E23" s="210"/>
      <c r="F23" s="210"/>
      <c r="G23" s="210"/>
      <c r="H23" s="210"/>
      <c r="I23" s="210"/>
      <c r="J23" s="210"/>
      <c r="K23" s="210"/>
      <c r="L23" s="210"/>
      <c r="M23" s="210"/>
      <c r="N23" s="210"/>
      <c r="O23" s="204"/>
      <c r="P23" s="204"/>
    </row>
    <row r="24" spans="1:32" s="203" customFormat="1" ht="13.5" hidden="1" outlineLevel="1" thickBot="1" x14ac:dyDescent="0.25">
      <c r="A24" s="72"/>
      <c r="B24" s="72"/>
      <c r="C24" s="204"/>
      <c r="D24" s="204"/>
      <c r="E24" s="210"/>
      <c r="F24" s="210"/>
      <c r="G24" s="210"/>
      <c r="H24" s="210"/>
      <c r="I24" s="210"/>
      <c r="J24" s="210"/>
      <c r="K24" s="210"/>
      <c r="L24" s="210"/>
      <c r="M24" s="210"/>
      <c r="N24" s="210"/>
      <c r="O24" s="204"/>
      <c r="P24" s="204"/>
    </row>
    <row r="25" spans="1:32" s="87" customFormat="1" ht="15" hidden="1" customHeight="1" outlineLevel="1" x14ac:dyDescent="0.2">
      <c r="A25" s="1397" t="s">
        <v>4226</v>
      </c>
      <c r="C25" s="1049" t="s">
        <v>296</v>
      </c>
      <c r="D25" s="1050" t="s">
        <v>297</v>
      </c>
      <c r="H25" s="88"/>
      <c r="Q25" s="122"/>
    </row>
    <row r="26" spans="1:32" s="87" customFormat="1" ht="15" hidden="1" customHeight="1" outlineLevel="1" x14ac:dyDescent="0.2">
      <c r="A26" s="1407"/>
      <c r="C26" s="1054" t="s">
        <v>311</v>
      </c>
      <c r="D26" s="1051" t="s">
        <v>291</v>
      </c>
      <c r="H26" s="88"/>
      <c r="Q26" s="122"/>
    </row>
    <row r="27" spans="1:32" s="87" customFormat="1" ht="15" hidden="1" customHeight="1" outlineLevel="1" x14ac:dyDescent="0.2">
      <c r="A27" s="1407"/>
      <c r="C27" s="1054" t="s">
        <v>312</v>
      </c>
      <c r="D27" s="1051" t="s">
        <v>292</v>
      </c>
      <c r="H27" s="88"/>
      <c r="Q27" s="122"/>
    </row>
    <row r="28" spans="1:32" s="87" customFormat="1" ht="15" hidden="1" customHeight="1" outlineLevel="1" x14ac:dyDescent="0.2">
      <c r="A28" s="1407"/>
      <c r="C28" s="1054" t="s">
        <v>313</v>
      </c>
      <c r="D28" s="1051" t="s">
        <v>293</v>
      </c>
      <c r="H28" s="88"/>
      <c r="Q28" s="122"/>
    </row>
    <row r="29" spans="1:32" s="87" customFormat="1" ht="15" hidden="1" customHeight="1" outlineLevel="1" x14ac:dyDescent="0.2">
      <c r="A29" s="1407"/>
      <c r="C29" s="1054" t="s">
        <v>314</v>
      </c>
      <c r="D29" s="1051" t="s">
        <v>302</v>
      </c>
      <c r="H29" s="88"/>
      <c r="Q29" s="122"/>
    </row>
    <row r="30" spans="1:32" s="87" customFormat="1" ht="15" hidden="1" customHeight="1" outlineLevel="1" x14ac:dyDescent="0.2">
      <c r="A30" s="1407"/>
      <c r="C30" s="1054" t="s">
        <v>315</v>
      </c>
      <c r="D30" s="1051" t="s">
        <v>303</v>
      </c>
      <c r="H30" s="88"/>
      <c r="Q30" s="122"/>
    </row>
    <row r="31" spans="1:32" s="87" customFormat="1" ht="15" hidden="1" customHeight="1" outlineLevel="1" x14ac:dyDescent="0.2">
      <c r="A31" s="1407"/>
      <c r="C31" s="1054" t="s">
        <v>316</v>
      </c>
      <c r="D31" s="1051" t="s">
        <v>294</v>
      </c>
      <c r="H31" s="88"/>
      <c r="Q31" s="122"/>
    </row>
    <row r="32" spans="1:32" s="87" customFormat="1" ht="15" hidden="1" customHeight="1" outlineLevel="1" x14ac:dyDescent="0.2">
      <c r="A32" s="1407"/>
      <c r="C32" s="1054" t="s">
        <v>317</v>
      </c>
      <c r="D32" s="1051" t="s">
        <v>295</v>
      </c>
      <c r="H32" s="88"/>
      <c r="Q32" s="122"/>
    </row>
    <row r="33" spans="1:32" s="122" customFormat="1" ht="15" hidden="1" customHeight="1" outlineLevel="1" thickBot="1" x14ac:dyDescent="0.25">
      <c r="A33" s="1408"/>
      <c r="C33" s="1052"/>
      <c r="D33" s="1053"/>
      <c r="H33" s="1047"/>
    </row>
    <row r="34" spans="1:32" s="122" customFormat="1" ht="15" hidden="1" customHeight="1" outlineLevel="1" x14ac:dyDescent="0.2">
      <c r="C34" s="1046"/>
      <c r="D34" s="1048"/>
      <c r="H34" s="1047"/>
    </row>
    <row r="35" spans="1:32" s="122" customFormat="1" ht="15.75" collapsed="1" x14ac:dyDescent="0.2">
      <c r="A35" s="1043">
        <v>3</v>
      </c>
      <c r="B35" s="1039"/>
      <c r="C35" s="1039"/>
      <c r="D35" s="1039"/>
      <c r="E35" s="1039"/>
      <c r="F35" s="1039"/>
      <c r="G35" s="1039"/>
      <c r="H35" s="1039"/>
      <c r="I35" s="1039"/>
      <c r="J35" s="1039"/>
      <c r="K35" s="1039"/>
      <c r="L35" s="1039"/>
      <c r="M35" s="1039"/>
      <c r="N35" s="1039"/>
      <c r="O35" s="1039"/>
      <c r="P35" s="206"/>
      <c r="Q35" s="206"/>
      <c r="R35" s="206"/>
      <c r="S35" s="206"/>
      <c r="T35" s="206"/>
      <c r="U35" s="206"/>
      <c r="V35" s="206"/>
      <c r="W35" s="206"/>
      <c r="X35" s="206"/>
      <c r="Y35" s="206"/>
      <c r="Z35" s="206"/>
      <c r="AA35" s="206"/>
      <c r="AB35" s="206"/>
      <c r="AC35" s="206"/>
      <c r="AD35" s="206"/>
      <c r="AE35" s="206"/>
      <c r="AF35" s="206"/>
    </row>
    <row r="36" spans="1:32" s="87" customFormat="1" ht="15" customHeight="1" x14ac:dyDescent="0.2">
      <c r="A36" s="86"/>
      <c r="H36" s="88"/>
      <c r="Q36" s="122"/>
    </row>
    <row r="37" spans="1:32" s="337" customFormat="1" ht="20.100000000000001" customHeight="1" x14ac:dyDescent="0.2">
      <c r="A37" s="1394" t="s">
        <v>4228</v>
      </c>
      <c r="C37" s="1415" t="s">
        <v>4227</v>
      </c>
      <c r="D37" s="1416"/>
      <c r="E37" s="211"/>
      <c r="F37" s="211"/>
      <c r="G37" s="211"/>
      <c r="H37" s="211"/>
      <c r="I37" s="211"/>
      <c r="J37" s="211"/>
      <c r="K37" s="211"/>
      <c r="L37" s="211"/>
      <c r="M37" s="211"/>
      <c r="N37" s="211"/>
      <c r="O37" s="211"/>
      <c r="P37" s="336"/>
    </row>
    <row r="38" spans="1:32" s="206" customFormat="1" ht="15" customHeight="1" x14ac:dyDescent="0.2">
      <c r="A38" s="1395"/>
      <c r="B38" s="222"/>
      <c r="C38" s="222"/>
      <c r="D38" s="214"/>
      <c r="E38" s="210"/>
      <c r="F38" s="210"/>
      <c r="G38" s="210"/>
      <c r="H38" s="210"/>
      <c r="I38" s="210"/>
      <c r="J38" s="210"/>
      <c r="K38" s="210"/>
      <c r="L38" s="210"/>
      <c r="M38" s="210"/>
      <c r="N38" s="210"/>
      <c r="O38" s="210"/>
      <c r="P38" s="210"/>
    </row>
    <row r="39" spans="1:32" s="206" customFormat="1" ht="23.25" customHeight="1" x14ac:dyDescent="0.2">
      <c r="A39" s="1396"/>
      <c r="B39" s="222"/>
      <c r="C39" s="222"/>
      <c r="D39" s="214"/>
      <c r="E39" s="210"/>
      <c r="F39" s="210"/>
      <c r="G39" s="210"/>
      <c r="H39" s="210"/>
      <c r="I39" s="210"/>
      <c r="J39" s="210"/>
      <c r="K39" s="210"/>
      <c r="L39" s="210"/>
      <c r="M39" s="210"/>
      <c r="N39" s="210"/>
      <c r="O39" s="210"/>
      <c r="P39" s="210"/>
    </row>
    <row r="40" spans="1:32" s="87" customFormat="1" ht="14.25" customHeight="1" x14ac:dyDescent="0.2">
      <c r="A40" s="86"/>
      <c r="B40" s="68"/>
      <c r="C40" s="97"/>
      <c r="H40" s="88"/>
      <c r="Q40" s="122"/>
    </row>
    <row r="41" spans="1:32" s="87" customFormat="1" ht="18.75" hidden="1" outlineLevel="1" thickBot="1" x14ac:dyDescent="0.25">
      <c r="A41" s="86"/>
      <c r="B41" s="68"/>
      <c r="C41" s="97"/>
      <c r="H41" s="88"/>
      <c r="Q41" s="122"/>
    </row>
    <row r="42" spans="1:32" s="87" customFormat="1" ht="20.25" hidden="1" customHeight="1" outlineLevel="1" x14ac:dyDescent="0.3">
      <c r="A42" s="1430" t="s">
        <v>4229</v>
      </c>
      <c r="B42" s="68"/>
      <c r="C42" s="275" t="str">
        <f>Scenario1&amp;" IT Requirements"</f>
        <v>pSystems (Paper) IT Requirements</v>
      </c>
      <c r="D42" s="360"/>
      <c r="E42" s="360"/>
      <c r="F42" s="360"/>
      <c r="G42" s="360"/>
      <c r="H42" s="360"/>
      <c r="I42" s="360"/>
      <c r="J42" s="360"/>
      <c r="K42" s="360"/>
      <c r="L42" s="360"/>
      <c r="M42" s="360"/>
      <c r="N42" s="360"/>
      <c r="O42" s="410"/>
      <c r="Q42" s="122"/>
    </row>
    <row r="43" spans="1:32" s="87" customFormat="1" ht="20.25" hidden="1" outlineLevel="1" x14ac:dyDescent="0.3">
      <c r="A43" s="1431"/>
      <c r="B43" s="68"/>
      <c r="C43" s="411"/>
      <c r="D43" s="404" t="str">
        <f>IT_CodeA</f>
        <v>Maintenance Information System</v>
      </c>
      <c r="E43" s="88"/>
      <c r="F43" s="88"/>
      <c r="G43" s="88"/>
      <c r="H43" s="88"/>
      <c r="I43" s="88"/>
      <c r="J43" s="88"/>
      <c r="K43" s="88"/>
      <c r="L43" s="88"/>
      <c r="M43" s="88"/>
      <c r="N43" s="88"/>
      <c r="O43" s="412"/>
      <c r="Q43" s="122"/>
    </row>
    <row r="44" spans="1:32" s="87" customFormat="1" ht="18" hidden="1" outlineLevel="1" x14ac:dyDescent="0.2">
      <c r="A44" s="1431"/>
      <c r="B44" s="68"/>
      <c r="C44" s="413"/>
      <c r="D44" s="414" t="s">
        <v>298</v>
      </c>
      <c r="E44" s="307">
        <v>10000000</v>
      </c>
      <c r="F44" s="307">
        <v>10000000</v>
      </c>
      <c r="G44" s="307">
        <v>10000000</v>
      </c>
      <c r="H44" s="307">
        <v>10000000</v>
      </c>
      <c r="I44" s="307">
        <v>10000000</v>
      </c>
      <c r="J44" s="307">
        <v>10000000</v>
      </c>
      <c r="K44" s="307">
        <v>10000000</v>
      </c>
      <c r="L44" s="307">
        <v>10000000</v>
      </c>
      <c r="M44" s="307">
        <v>10000000</v>
      </c>
      <c r="N44" s="307">
        <v>10000000</v>
      </c>
      <c r="O44" s="318" t="s">
        <v>3930</v>
      </c>
      <c r="Q44" s="122"/>
    </row>
    <row r="45" spans="1:32" s="87" customFormat="1" ht="18" hidden="1" outlineLevel="1" x14ac:dyDescent="0.2">
      <c r="A45" s="1431"/>
      <c r="B45" s="68"/>
      <c r="C45" s="415"/>
      <c r="D45" s="414" t="s">
        <v>299</v>
      </c>
      <c r="E45" s="307">
        <v>5000000</v>
      </c>
      <c r="F45" s="307">
        <v>5000000</v>
      </c>
      <c r="G45" s="307">
        <v>5000000</v>
      </c>
      <c r="H45" s="307">
        <v>5000000</v>
      </c>
      <c r="I45" s="307">
        <v>5000000</v>
      </c>
      <c r="J45" s="307">
        <v>5000000</v>
      </c>
      <c r="K45" s="307">
        <v>5000000</v>
      </c>
      <c r="L45" s="307">
        <v>5000000</v>
      </c>
      <c r="M45" s="307">
        <v>5000000</v>
      </c>
      <c r="N45" s="307">
        <v>5000000</v>
      </c>
      <c r="O45" s="318" t="s">
        <v>3931</v>
      </c>
      <c r="Q45" s="122"/>
    </row>
    <row r="46" spans="1:32" s="87" customFormat="1" ht="18" hidden="1" outlineLevel="1" x14ac:dyDescent="0.2">
      <c r="A46" s="1431"/>
      <c r="B46" s="68"/>
      <c r="C46" s="415"/>
      <c r="D46" s="414" t="s">
        <v>305</v>
      </c>
      <c r="E46" s="307">
        <v>5000000</v>
      </c>
      <c r="F46" s="307">
        <v>5000000</v>
      </c>
      <c r="G46" s="307">
        <v>5000000</v>
      </c>
      <c r="H46" s="307">
        <v>5000000</v>
      </c>
      <c r="I46" s="307">
        <v>5000000</v>
      </c>
      <c r="J46" s="307">
        <v>5000000</v>
      </c>
      <c r="K46" s="307">
        <v>5000000</v>
      </c>
      <c r="L46" s="307">
        <v>5000000</v>
      </c>
      <c r="M46" s="307">
        <v>5000000</v>
      </c>
      <c r="N46" s="307">
        <v>5000000</v>
      </c>
      <c r="O46" s="318" t="s">
        <v>3932</v>
      </c>
      <c r="Q46" s="122"/>
    </row>
    <row r="47" spans="1:32" s="87" customFormat="1" ht="18" hidden="1" outlineLevel="1" x14ac:dyDescent="0.2">
      <c r="A47" s="1431"/>
      <c r="B47" s="68"/>
      <c r="C47" s="415"/>
      <c r="D47" s="414" t="s">
        <v>300</v>
      </c>
      <c r="E47" s="307">
        <v>1000000</v>
      </c>
      <c r="F47" s="307">
        <v>1000000</v>
      </c>
      <c r="G47" s="307">
        <v>1000000</v>
      </c>
      <c r="H47" s="307">
        <v>1000000</v>
      </c>
      <c r="I47" s="307">
        <v>1000000</v>
      </c>
      <c r="J47" s="307">
        <v>1000000</v>
      </c>
      <c r="K47" s="307">
        <v>1000000</v>
      </c>
      <c r="L47" s="307">
        <v>1000000</v>
      </c>
      <c r="M47" s="307">
        <v>1000000</v>
      </c>
      <c r="N47" s="307">
        <v>1000000</v>
      </c>
      <c r="O47" s="318" t="s">
        <v>3933</v>
      </c>
      <c r="Q47" s="122"/>
    </row>
    <row r="48" spans="1:32" s="87" customFormat="1" ht="18" hidden="1" outlineLevel="1" x14ac:dyDescent="0.2">
      <c r="A48" s="1431"/>
      <c r="B48" s="68"/>
      <c r="C48" s="415"/>
      <c r="D48" s="414" t="s">
        <v>301</v>
      </c>
      <c r="E48" s="307">
        <v>500000</v>
      </c>
      <c r="F48" s="307">
        <v>500000</v>
      </c>
      <c r="G48" s="307">
        <v>500000</v>
      </c>
      <c r="H48" s="307">
        <v>500000</v>
      </c>
      <c r="I48" s="307">
        <v>500000</v>
      </c>
      <c r="J48" s="307">
        <v>500000</v>
      </c>
      <c r="K48" s="307">
        <v>500000</v>
      </c>
      <c r="L48" s="307">
        <v>500000</v>
      </c>
      <c r="M48" s="307">
        <v>500000</v>
      </c>
      <c r="N48" s="307">
        <v>500000</v>
      </c>
      <c r="O48" s="318" t="s">
        <v>3934</v>
      </c>
      <c r="Q48" s="122"/>
    </row>
    <row r="49" spans="1:17" s="87" customFormat="1" ht="18" hidden="1" outlineLevel="1" x14ac:dyDescent="0.2">
      <c r="A49" s="1431"/>
      <c r="B49" s="68"/>
      <c r="C49" s="415"/>
      <c r="D49" s="405" t="str">
        <f>"Total "&amp;(IT_CodeA) &amp; " Costs"</f>
        <v>Total Maintenance Information System Costs</v>
      </c>
      <c r="E49" s="425">
        <f t="shared" ref="E49" si="0">SUM(E44:E48)</f>
        <v>21500000</v>
      </c>
      <c r="F49" s="425">
        <f>SUM(F44:F48)*(1+Inflation)</f>
        <v>21930000</v>
      </c>
      <c r="G49" s="425">
        <f>SUM(G44:G48)*(1+Inflation)^2</f>
        <v>22368600</v>
      </c>
      <c r="H49" s="425">
        <f>SUM(H44:H48)*(1+Inflation)^3</f>
        <v>22815972</v>
      </c>
      <c r="I49" s="425">
        <f>SUM(I44:I48)*(1+Inflation)^4</f>
        <v>23272291.440000001</v>
      </c>
      <c r="J49" s="425">
        <f>SUM(J44:J48)*(1+Inflation)^5</f>
        <v>23737737.268800002</v>
      </c>
      <c r="K49" s="425">
        <f>SUM(K44:K48)*(1+Inflation)^6</f>
        <v>24212492.014176</v>
      </c>
      <c r="L49" s="425">
        <f>SUM(L44:L48)*(1+Inflation)^7</f>
        <v>24696741.854459517</v>
      </c>
      <c r="M49" s="425">
        <f>SUM(M44:M48)*(1+Inflation)^8</f>
        <v>25190676.691548709</v>
      </c>
      <c r="N49" s="425">
        <f>SUM(N44:N48)*(1+Inflation)^9</f>
        <v>25694490.225379683</v>
      </c>
      <c r="O49" s="318" t="s">
        <v>3935</v>
      </c>
      <c r="Q49" s="122"/>
    </row>
    <row r="50" spans="1:17" s="87" customFormat="1" ht="18" hidden="1" outlineLevel="1" x14ac:dyDescent="0.2">
      <c r="A50" s="1431"/>
      <c r="B50" s="68"/>
      <c r="C50" s="415"/>
      <c r="D50" s="416"/>
      <c r="E50" s="88"/>
      <c r="F50" s="88"/>
      <c r="G50" s="88"/>
      <c r="H50" s="88"/>
      <c r="I50" s="88"/>
      <c r="J50" s="88"/>
      <c r="K50" s="88"/>
      <c r="L50" s="88"/>
      <c r="M50" s="88"/>
      <c r="N50" s="88"/>
      <c r="O50" s="412"/>
      <c r="Q50" s="122"/>
    </row>
    <row r="51" spans="1:17" s="87" customFormat="1" ht="20.25" hidden="1" outlineLevel="1" x14ac:dyDescent="0.3">
      <c r="A51" s="1431"/>
      <c r="B51" s="68"/>
      <c r="C51" s="411"/>
      <c r="D51" s="404" t="str">
        <f>IT_CodeB</f>
        <v>Document Management System</v>
      </c>
      <c r="E51" s="88"/>
      <c r="F51" s="88"/>
      <c r="G51" s="88"/>
      <c r="H51" s="88"/>
      <c r="I51" s="88"/>
      <c r="J51" s="88"/>
      <c r="K51" s="88"/>
      <c r="L51" s="88"/>
      <c r="M51" s="88"/>
      <c r="N51" s="88"/>
      <c r="O51" s="412"/>
      <c r="Q51" s="122"/>
    </row>
    <row r="52" spans="1:17" s="87" customFormat="1" ht="18" hidden="1" outlineLevel="1" x14ac:dyDescent="0.2">
      <c r="A52" s="1431"/>
      <c r="B52" s="68"/>
      <c r="C52" s="413"/>
      <c r="D52" s="414" t="s">
        <v>298</v>
      </c>
      <c r="E52" s="307">
        <v>5000000</v>
      </c>
      <c r="F52" s="307">
        <v>5000000</v>
      </c>
      <c r="G52" s="307">
        <v>5000000</v>
      </c>
      <c r="H52" s="307">
        <v>5000000</v>
      </c>
      <c r="I52" s="307">
        <v>5000000</v>
      </c>
      <c r="J52" s="307">
        <v>5000000</v>
      </c>
      <c r="K52" s="307">
        <v>5000000</v>
      </c>
      <c r="L52" s="307">
        <v>5000000</v>
      </c>
      <c r="M52" s="307">
        <v>5000000</v>
      </c>
      <c r="N52" s="307">
        <v>5000000</v>
      </c>
      <c r="O52" s="318" t="s">
        <v>3936</v>
      </c>
      <c r="Q52" s="122"/>
    </row>
    <row r="53" spans="1:17" s="87" customFormat="1" ht="18" hidden="1" outlineLevel="1" x14ac:dyDescent="0.2">
      <c r="A53" s="1431"/>
      <c r="B53" s="68"/>
      <c r="C53" s="415"/>
      <c r="D53" s="414" t="s">
        <v>299</v>
      </c>
      <c r="E53" s="307">
        <v>1000000</v>
      </c>
      <c r="F53" s="307">
        <v>1000000</v>
      </c>
      <c r="G53" s="307">
        <v>1000000</v>
      </c>
      <c r="H53" s="307">
        <v>1000000</v>
      </c>
      <c r="I53" s="307">
        <v>1000000</v>
      </c>
      <c r="J53" s="307">
        <v>1000000</v>
      </c>
      <c r="K53" s="307">
        <v>1000000</v>
      </c>
      <c r="L53" s="307">
        <v>1000000</v>
      </c>
      <c r="M53" s="307">
        <v>1000000</v>
      </c>
      <c r="N53" s="307">
        <v>1000000</v>
      </c>
      <c r="O53" s="318" t="s">
        <v>3937</v>
      </c>
      <c r="Q53" s="122"/>
    </row>
    <row r="54" spans="1:17" s="87" customFormat="1" ht="18" hidden="1" outlineLevel="1" x14ac:dyDescent="0.2">
      <c r="A54" s="1431"/>
      <c r="B54" s="68"/>
      <c r="C54" s="415"/>
      <c r="D54" s="414" t="s">
        <v>305</v>
      </c>
      <c r="E54" s="307">
        <v>1000000</v>
      </c>
      <c r="F54" s="307">
        <v>1000000</v>
      </c>
      <c r="G54" s="307">
        <v>1000000</v>
      </c>
      <c r="H54" s="307">
        <v>1000000</v>
      </c>
      <c r="I54" s="307">
        <v>1000000</v>
      </c>
      <c r="J54" s="307">
        <v>1000000</v>
      </c>
      <c r="K54" s="307">
        <v>1000000</v>
      </c>
      <c r="L54" s="307">
        <v>1000000</v>
      </c>
      <c r="M54" s="307">
        <v>1000000</v>
      </c>
      <c r="N54" s="307">
        <v>1000000</v>
      </c>
      <c r="O54" s="318" t="s">
        <v>3938</v>
      </c>
      <c r="Q54" s="122"/>
    </row>
    <row r="55" spans="1:17" s="87" customFormat="1" ht="18" hidden="1" outlineLevel="1" x14ac:dyDescent="0.2">
      <c r="A55" s="1431"/>
      <c r="B55" s="68"/>
      <c r="C55" s="415"/>
      <c r="D55" s="414" t="s">
        <v>300</v>
      </c>
      <c r="E55" s="307">
        <v>500000</v>
      </c>
      <c r="F55" s="307">
        <v>500000</v>
      </c>
      <c r="G55" s="307">
        <v>500000</v>
      </c>
      <c r="H55" s="307">
        <v>500000</v>
      </c>
      <c r="I55" s="307">
        <v>500000</v>
      </c>
      <c r="J55" s="307">
        <v>500000</v>
      </c>
      <c r="K55" s="307">
        <v>500000</v>
      </c>
      <c r="L55" s="307">
        <v>500000</v>
      </c>
      <c r="M55" s="307">
        <v>500000</v>
      </c>
      <c r="N55" s="307">
        <v>500000</v>
      </c>
      <c r="O55" s="318" t="s">
        <v>3939</v>
      </c>
      <c r="Q55" s="122"/>
    </row>
    <row r="56" spans="1:17" s="87" customFormat="1" ht="18" hidden="1" outlineLevel="1" x14ac:dyDescent="0.2">
      <c r="A56" s="1431"/>
      <c r="B56" s="68"/>
      <c r="C56" s="415"/>
      <c r="D56" s="414" t="s">
        <v>301</v>
      </c>
      <c r="E56" s="307">
        <v>250000</v>
      </c>
      <c r="F56" s="307">
        <v>250000</v>
      </c>
      <c r="G56" s="307">
        <v>250000</v>
      </c>
      <c r="H56" s="307">
        <v>250000</v>
      </c>
      <c r="I56" s="307">
        <v>250000</v>
      </c>
      <c r="J56" s="307">
        <v>250000</v>
      </c>
      <c r="K56" s="307">
        <v>250000</v>
      </c>
      <c r="L56" s="307">
        <v>250000</v>
      </c>
      <c r="M56" s="307">
        <v>250000</v>
      </c>
      <c r="N56" s="307">
        <v>250000</v>
      </c>
      <c r="O56" s="318" t="s">
        <v>3940</v>
      </c>
      <c r="Q56" s="122"/>
    </row>
    <row r="57" spans="1:17" s="87" customFormat="1" ht="18" hidden="1" outlineLevel="1" x14ac:dyDescent="0.2">
      <c r="A57" s="1431"/>
      <c r="B57" s="68"/>
      <c r="C57" s="415"/>
      <c r="D57" s="405" t="str">
        <f>"Total "&amp;(IT_CodeB) &amp; " Costs"</f>
        <v>Total Document Management System Costs</v>
      </c>
      <c r="E57" s="425">
        <f t="shared" ref="E57:N57" si="1">SUM(E52:E56)</f>
        <v>7750000</v>
      </c>
      <c r="F57" s="425">
        <f t="shared" si="1"/>
        <v>7750000</v>
      </c>
      <c r="G57" s="425">
        <f t="shared" si="1"/>
        <v>7750000</v>
      </c>
      <c r="H57" s="425">
        <f t="shared" si="1"/>
        <v>7750000</v>
      </c>
      <c r="I57" s="425">
        <f t="shared" si="1"/>
        <v>7750000</v>
      </c>
      <c r="J57" s="425">
        <f t="shared" si="1"/>
        <v>7750000</v>
      </c>
      <c r="K57" s="425">
        <f t="shared" si="1"/>
        <v>7750000</v>
      </c>
      <c r="L57" s="425">
        <f t="shared" si="1"/>
        <v>7750000</v>
      </c>
      <c r="M57" s="425">
        <f t="shared" si="1"/>
        <v>7750000</v>
      </c>
      <c r="N57" s="425">
        <f t="shared" si="1"/>
        <v>7750000</v>
      </c>
      <c r="O57" s="318" t="s">
        <v>3941</v>
      </c>
      <c r="Q57" s="122"/>
    </row>
    <row r="58" spans="1:17" s="122" customFormat="1" ht="18" hidden="1" outlineLevel="1" x14ac:dyDescent="0.2">
      <c r="A58" s="1431"/>
      <c r="B58" s="68"/>
      <c r="C58" s="415"/>
      <c r="D58" s="406"/>
      <c r="E58" s="407"/>
      <c r="F58" s="407"/>
      <c r="G58" s="407"/>
      <c r="H58" s="407"/>
      <c r="I58" s="407"/>
      <c r="J58" s="407"/>
      <c r="K58" s="407"/>
      <c r="L58" s="407"/>
      <c r="M58" s="407"/>
      <c r="N58" s="407"/>
      <c r="O58" s="417"/>
    </row>
    <row r="59" spans="1:17" s="87" customFormat="1" ht="20.25" hidden="1" outlineLevel="1" x14ac:dyDescent="0.3">
      <c r="A59" s="1431"/>
      <c r="B59" s="68"/>
      <c r="C59" s="411"/>
      <c r="D59" s="404" t="str">
        <f>IT_CodeC</f>
        <v>SCL Management System</v>
      </c>
      <c r="E59" s="88"/>
      <c r="F59" s="88"/>
      <c r="G59" s="88"/>
      <c r="H59" s="88"/>
      <c r="I59" s="88"/>
      <c r="J59" s="88"/>
      <c r="K59" s="88"/>
      <c r="L59" s="88"/>
      <c r="M59" s="88"/>
      <c r="N59" s="88"/>
      <c r="O59" s="412"/>
      <c r="Q59" s="122"/>
    </row>
    <row r="60" spans="1:17" s="87" customFormat="1" ht="18" hidden="1" outlineLevel="1" x14ac:dyDescent="0.2">
      <c r="A60" s="1431"/>
      <c r="B60" s="68"/>
      <c r="C60" s="413"/>
      <c r="D60" s="414" t="s">
        <v>298</v>
      </c>
      <c r="E60" s="307">
        <v>5000000</v>
      </c>
      <c r="F60" s="307">
        <v>5000000</v>
      </c>
      <c r="G60" s="307">
        <v>5000000</v>
      </c>
      <c r="H60" s="307">
        <v>5000000</v>
      </c>
      <c r="I60" s="307">
        <v>5000000</v>
      </c>
      <c r="J60" s="307">
        <v>5000000</v>
      </c>
      <c r="K60" s="307">
        <v>5000000</v>
      </c>
      <c r="L60" s="307">
        <v>5000000</v>
      </c>
      <c r="M60" s="307">
        <v>5000000</v>
      </c>
      <c r="N60" s="307">
        <v>5000000</v>
      </c>
      <c r="O60" s="318" t="s">
        <v>3942</v>
      </c>
      <c r="Q60" s="122"/>
    </row>
    <row r="61" spans="1:17" s="87" customFormat="1" ht="18" hidden="1" outlineLevel="1" x14ac:dyDescent="0.2">
      <c r="A61" s="1431"/>
      <c r="B61" s="68"/>
      <c r="C61" s="415"/>
      <c r="D61" s="414" t="s">
        <v>299</v>
      </c>
      <c r="E61" s="307">
        <v>1500000</v>
      </c>
      <c r="F61" s="307">
        <v>1500000</v>
      </c>
      <c r="G61" s="307">
        <v>1500000</v>
      </c>
      <c r="H61" s="307">
        <v>1500000</v>
      </c>
      <c r="I61" s="307">
        <v>1500000</v>
      </c>
      <c r="J61" s="307">
        <v>1500000</v>
      </c>
      <c r="K61" s="307">
        <v>1500000</v>
      </c>
      <c r="L61" s="307">
        <v>1500000</v>
      </c>
      <c r="M61" s="307">
        <v>1500000</v>
      </c>
      <c r="N61" s="307">
        <v>1500000</v>
      </c>
      <c r="O61" s="318" t="s">
        <v>3943</v>
      </c>
      <c r="Q61" s="122"/>
    </row>
    <row r="62" spans="1:17" s="87" customFormat="1" ht="18" hidden="1" outlineLevel="1" x14ac:dyDescent="0.2">
      <c r="A62" s="1431"/>
      <c r="B62" s="68"/>
      <c r="C62" s="415"/>
      <c r="D62" s="414" t="s">
        <v>305</v>
      </c>
      <c r="E62" s="307">
        <v>2000000</v>
      </c>
      <c r="F62" s="307">
        <v>2000000</v>
      </c>
      <c r="G62" s="307">
        <v>2000000</v>
      </c>
      <c r="H62" s="307">
        <v>2000000</v>
      </c>
      <c r="I62" s="307">
        <v>2000000</v>
      </c>
      <c r="J62" s="307">
        <v>2000000</v>
      </c>
      <c r="K62" s="307">
        <v>2000000</v>
      </c>
      <c r="L62" s="307">
        <v>2000000</v>
      </c>
      <c r="M62" s="307">
        <v>2000000</v>
      </c>
      <c r="N62" s="307">
        <v>2000000</v>
      </c>
      <c r="O62" s="318" t="s">
        <v>3944</v>
      </c>
      <c r="Q62" s="122"/>
    </row>
    <row r="63" spans="1:17" s="87" customFormat="1" ht="18" hidden="1" outlineLevel="1" x14ac:dyDescent="0.2">
      <c r="A63" s="1431"/>
      <c r="B63" s="68"/>
      <c r="C63" s="415"/>
      <c r="D63" s="414" t="s">
        <v>300</v>
      </c>
      <c r="E63" s="307">
        <v>500000</v>
      </c>
      <c r="F63" s="307">
        <v>500000</v>
      </c>
      <c r="G63" s="307">
        <v>500000</v>
      </c>
      <c r="H63" s="307">
        <v>500000</v>
      </c>
      <c r="I63" s="307">
        <v>500000</v>
      </c>
      <c r="J63" s="307">
        <v>500000</v>
      </c>
      <c r="K63" s="307">
        <v>500000</v>
      </c>
      <c r="L63" s="307">
        <v>500000</v>
      </c>
      <c r="M63" s="307">
        <v>500000</v>
      </c>
      <c r="N63" s="307">
        <v>500000</v>
      </c>
      <c r="O63" s="318" t="s">
        <v>3945</v>
      </c>
      <c r="Q63" s="122"/>
    </row>
    <row r="64" spans="1:17" s="87" customFormat="1" ht="18" hidden="1" outlineLevel="1" x14ac:dyDescent="0.2">
      <c r="A64" s="1431"/>
      <c r="B64" s="68"/>
      <c r="C64" s="415"/>
      <c r="D64" s="414" t="s">
        <v>301</v>
      </c>
      <c r="E64" s="307">
        <v>100000</v>
      </c>
      <c r="F64" s="307">
        <v>100000</v>
      </c>
      <c r="G64" s="307">
        <v>100000</v>
      </c>
      <c r="H64" s="307">
        <v>100000</v>
      </c>
      <c r="I64" s="307">
        <v>100000</v>
      </c>
      <c r="J64" s="307">
        <v>100000</v>
      </c>
      <c r="K64" s="307">
        <v>100000</v>
      </c>
      <c r="L64" s="307">
        <v>100000</v>
      </c>
      <c r="M64" s="307">
        <v>100000</v>
      </c>
      <c r="N64" s="307">
        <v>100000</v>
      </c>
      <c r="O64" s="318" t="s">
        <v>3946</v>
      </c>
      <c r="Q64" s="122"/>
    </row>
    <row r="65" spans="1:17" s="87" customFormat="1" ht="18" hidden="1" outlineLevel="1" x14ac:dyDescent="0.2">
      <c r="A65" s="1431"/>
      <c r="B65" s="68"/>
      <c r="C65" s="415"/>
      <c r="D65" s="405" t="str">
        <f>"Total "&amp;(IT_CodeC) &amp; " Costs"</f>
        <v>Total SCL Management System Costs</v>
      </c>
      <c r="E65" s="425">
        <f t="shared" ref="E65" si="2">SUM(E60:E64)</f>
        <v>9100000</v>
      </c>
      <c r="F65" s="425">
        <f>SUM(F60:F64)*(1+Inflation)</f>
        <v>9282000</v>
      </c>
      <c r="G65" s="425">
        <f>SUM(G60:G64)*(1+Inflation)^2</f>
        <v>9467640</v>
      </c>
      <c r="H65" s="425">
        <f>SUM(H60:H64)*(1+Inflation)^3</f>
        <v>9656992.7999999989</v>
      </c>
      <c r="I65" s="425">
        <f>SUM(I60:I64)*(1+Inflation)^4</f>
        <v>9850132.6559999995</v>
      </c>
      <c r="J65" s="425">
        <f>SUM(J60:J64)*(1+Inflation)^5</f>
        <v>10047135.309119999</v>
      </c>
      <c r="K65" s="425">
        <f>SUM(K60:K64)*(1+Inflation)^6</f>
        <v>10248078.015302401</v>
      </c>
      <c r="L65" s="425">
        <f>SUM(L60:L64)*(1+Inflation)^7</f>
        <v>10453039.575608447</v>
      </c>
      <c r="M65" s="425">
        <f>SUM(M60:M64)*(1+Inflation)^8</f>
        <v>10662100.367120616</v>
      </c>
      <c r="N65" s="425">
        <f>SUM(N60:N64)*(1+Inflation)^9</f>
        <v>10875342.374463029</v>
      </c>
      <c r="O65" s="318" t="s">
        <v>3947</v>
      </c>
      <c r="Q65" s="122"/>
    </row>
    <row r="66" spans="1:17" s="122" customFormat="1" ht="18" hidden="1" outlineLevel="1" x14ac:dyDescent="0.2">
      <c r="A66" s="1431"/>
      <c r="B66" s="68"/>
      <c r="C66" s="415"/>
      <c r="D66" s="406"/>
      <c r="E66" s="407"/>
      <c r="F66" s="407"/>
      <c r="G66" s="407"/>
      <c r="H66" s="407"/>
      <c r="I66" s="407"/>
      <c r="J66" s="407"/>
      <c r="K66" s="407"/>
      <c r="L66" s="407"/>
      <c r="M66" s="407"/>
      <c r="N66" s="407"/>
      <c r="O66" s="417"/>
    </row>
    <row r="67" spans="1:17" s="87" customFormat="1" ht="20.25" hidden="1" outlineLevel="1" x14ac:dyDescent="0.3">
      <c r="A67" s="1431"/>
      <c r="B67" s="68"/>
      <c r="C67" s="411"/>
      <c r="D67" s="404" t="str">
        <f>IT_CodeD</f>
        <v>Mobility System</v>
      </c>
      <c r="E67" s="88"/>
      <c r="F67" s="88"/>
      <c r="G67" s="88"/>
      <c r="H67" s="88"/>
      <c r="I67" s="88"/>
      <c r="J67" s="88"/>
      <c r="K67" s="88"/>
      <c r="L67" s="88"/>
      <c r="M67" s="88"/>
      <c r="N67" s="88"/>
      <c r="O67" s="412"/>
      <c r="Q67" s="122"/>
    </row>
    <row r="68" spans="1:17" s="87" customFormat="1" ht="18" hidden="1" outlineLevel="1" x14ac:dyDescent="0.2">
      <c r="A68" s="1431"/>
      <c r="B68" s="68"/>
      <c r="C68" s="413"/>
      <c r="D68" s="414" t="s">
        <v>298</v>
      </c>
      <c r="E68" s="307">
        <v>500000</v>
      </c>
      <c r="F68" s="307">
        <v>500000</v>
      </c>
      <c r="G68" s="307">
        <v>500000</v>
      </c>
      <c r="H68" s="307">
        <v>500000</v>
      </c>
      <c r="I68" s="307">
        <v>500000</v>
      </c>
      <c r="J68" s="307">
        <v>500000</v>
      </c>
      <c r="K68" s="307">
        <v>500000</v>
      </c>
      <c r="L68" s="307">
        <v>500000</v>
      </c>
      <c r="M68" s="307">
        <v>500000</v>
      </c>
      <c r="N68" s="307">
        <v>500000</v>
      </c>
      <c r="O68" s="318" t="s">
        <v>3948</v>
      </c>
      <c r="Q68" s="122"/>
    </row>
    <row r="69" spans="1:17" s="87" customFormat="1" ht="18" hidden="1" outlineLevel="1" x14ac:dyDescent="0.2">
      <c r="A69" s="1431"/>
      <c r="B69" s="68"/>
      <c r="C69" s="415"/>
      <c r="D69" s="414" t="s">
        <v>299</v>
      </c>
      <c r="E69" s="307">
        <v>250000</v>
      </c>
      <c r="F69" s="307">
        <v>250000</v>
      </c>
      <c r="G69" s="307">
        <v>250000</v>
      </c>
      <c r="H69" s="307">
        <v>250000</v>
      </c>
      <c r="I69" s="307">
        <v>250000</v>
      </c>
      <c r="J69" s="307">
        <v>250000</v>
      </c>
      <c r="K69" s="307">
        <v>250000</v>
      </c>
      <c r="L69" s="307">
        <v>250000</v>
      </c>
      <c r="M69" s="307">
        <v>250000</v>
      </c>
      <c r="N69" s="307">
        <v>250000</v>
      </c>
      <c r="O69" s="318" t="s">
        <v>3949</v>
      </c>
      <c r="Q69" s="122"/>
    </row>
    <row r="70" spans="1:17" s="87" customFormat="1" ht="18" hidden="1" outlineLevel="1" x14ac:dyDescent="0.2">
      <c r="A70" s="1431"/>
      <c r="B70" s="68"/>
      <c r="C70" s="415"/>
      <c r="D70" s="414" t="s">
        <v>305</v>
      </c>
      <c r="E70" s="307">
        <v>100000</v>
      </c>
      <c r="F70" s="307">
        <v>100000</v>
      </c>
      <c r="G70" s="307">
        <v>100000</v>
      </c>
      <c r="H70" s="307">
        <v>100000</v>
      </c>
      <c r="I70" s="307">
        <v>100000</v>
      </c>
      <c r="J70" s="307">
        <v>100000</v>
      </c>
      <c r="K70" s="307">
        <v>100000</v>
      </c>
      <c r="L70" s="307">
        <v>100000</v>
      </c>
      <c r="M70" s="307">
        <v>100000</v>
      </c>
      <c r="N70" s="307">
        <v>100000</v>
      </c>
      <c r="O70" s="318" t="s">
        <v>3950</v>
      </c>
      <c r="Q70" s="122"/>
    </row>
    <row r="71" spans="1:17" s="87" customFormat="1" ht="18" hidden="1" outlineLevel="1" x14ac:dyDescent="0.2">
      <c r="A71" s="1431"/>
      <c r="B71" s="68"/>
      <c r="C71" s="415"/>
      <c r="D71" s="414" t="s">
        <v>300</v>
      </c>
      <c r="E71" s="307">
        <v>50000</v>
      </c>
      <c r="F71" s="307">
        <v>50000</v>
      </c>
      <c r="G71" s="307">
        <v>50000</v>
      </c>
      <c r="H71" s="307">
        <v>50000</v>
      </c>
      <c r="I71" s="307">
        <v>50000</v>
      </c>
      <c r="J71" s="307">
        <v>50000</v>
      </c>
      <c r="K71" s="307">
        <v>50000</v>
      </c>
      <c r="L71" s="307">
        <v>50000</v>
      </c>
      <c r="M71" s="307">
        <v>50000</v>
      </c>
      <c r="N71" s="307">
        <v>50000</v>
      </c>
      <c r="O71" s="318" t="s">
        <v>3951</v>
      </c>
      <c r="Q71" s="122"/>
    </row>
    <row r="72" spans="1:17" s="87" customFormat="1" ht="18" hidden="1" outlineLevel="1" x14ac:dyDescent="0.2">
      <c r="A72" s="1431"/>
      <c r="B72" s="68"/>
      <c r="C72" s="415"/>
      <c r="D72" s="414" t="s">
        <v>301</v>
      </c>
      <c r="E72" s="307">
        <v>200000</v>
      </c>
      <c r="F72" s="307">
        <v>200000</v>
      </c>
      <c r="G72" s="307">
        <v>200000</v>
      </c>
      <c r="H72" s="307">
        <v>200000</v>
      </c>
      <c r="I72" s="307">
        <v>200000</v>
      </c>
      <c r="J72" s="307">
        <v>200000</v>
      </c>
      <c r="K72" s="307">
        <v>200000</v>
      </c>
      <c r="L72" s="307">
        <v>200000</v>
      </c>
      <c r="M72" s="307">
        <v>200000</v>
      </c>
      <c r="N72" s="307">
        <v>200000</v>
      </c>
      <c r="O72" s="318" t="s">
        <v>3952</v>
      </c>
      <c r="Q72" s="122"/>
    </row>
    <row r="73" spans="1:17" s="87" customFormat="1" ht="18" hidden="1" outlineLevel="1" x14ac:dyDescent="0.2">
      <c r="A73" s="1431"/>
      <c r="B73" s="68"/>
      <c r="C73" s="415"/>
      <c r="D73" s="405" t="str">
        <f>"Total "&amp;(IT_CodeD) &amp; " Costs"</f>
        <v>Total Mobility System Costs</v>
      </c>
      <c r="E73" s="425">
        <f t="shared" ref="E73" si="3">SUM(E68:E72)</f>
        <v>1100000</v>
      </c>
      <c r="F73" s="425">
        <f>SUM(F68:F72)*(1+Inflation)</f>
        <v>1122000</v>
      </c>
      <c r="G73" s="425">
        <f>SUM(G68:G72)*(1+Inflation)^2</f>
        <v>1144440</v>
      </c>
      <c r="H73" s="425">
        <f>SUM(H68:H72)*(1+Inflation)^3</f>
        <v>1167328.7999999998</v>
      </c>
      <c r="I73" s="425">
        <f>SUM(I68:I72)*(1+Inflation)^4</f>
        <v>1190675.3759999999</v>
      </c>
      <c r="J73" s="425">
        <f>SUM(J68:J72)*(1+Inflation)^5</f>
        <v>1214488.8835199999</v>
      </c>
      <c r="K73" s="425">
        <f>SUM(K68:K72)*(1+Inflation)^6</f>
        <v>1238778.6611904001</v>
      </c>
      <c r="L73" s="425">
        <f>SUM(L68:L72)*(1+Inflation)^7</f>
        <v>1263554.2344142077</v>
      </c>
      <c r="M73" s="425">
        <f>SUM(M68:M72)*(1+Inflation)^8</f>
        <v>1288825.3191024922</v>
      </c>
      <c r="N73" s="425">
        <f>SUM(N68:N72)*(1+Inflation)^9</f>
        <v>1314601.8254845419</v>
      </c>
      <c r="O73" s="318" t="s">
        <v>3953</v>
      </c>
      <c r="Q73" s="122"/>
    </row>
    <row r="74" spans="1:17" s="122" customFormat="1" ht="18" hidden="1" outlineLevel="1" x14ac:dyDescent="0.2">
      <c r="A74" s="1431"/>
      <c r="B74" s="68"/>
      <c r="C74" s="415"/>
      <c r="D74" s="406"/>
      <c r="E74" s="407"/>
      <c r="F74" s="407"/>
      <c r="G74" s="407"/>
      <c r="H74" s="407"/>
      <c r="I74" s="407"/>
      <c r="J74" s="407"/>
      <c r="K74" s="407"/>
      <c r="L74" s="407"/>
      <c r="M74" s="407"/>
      <c r="N74" s="407"/>
      <c r="O74" s="417"/>
    </row>
    <row r="75" spans="1:17" s="87" customFormat="1" ht="20.25" hidden="1" outlineLevel="1" x14ac:dyDescent="0.3">
      <c r="A75" s="1431"/>
      <c r="B75" s="68"/>
      <c r="C75" s="411"/>
      <c r="D75" s="404" t="str">
        <f>IT_CodeE</f>
        <v>eTechnical Logbook</v>
      </c>
      <c r="E75" s="88"/>
      <c r="F75" s="88"/>
      <c r="G75" s="88"/>
      <c r="H75" s="88"/>
      <c r="I75" s="88"/>
      <c r="J75" s="88"/>
      <c r="K75" s="88"/>
      <c r="L75" s="88"/>
      <c r="M75" s="88"/>
      <c r="N75" s="88"/>
      <c r="O75" s="412"/>
      <c r="Q75" s="122"/>
    </row>
    <row r="76" spans="1:17" s="87" customFormat="1" ht="18" hidden="1" outlineLevel="1" x14ac:dyDescent="0.2">
      <c r="A76" s="1431"/>
      <c r="B76" s="68"/>
      <c r="C76" s="413"/>
      <c r="D76" s="414" t="s">
        <v>298</v>
      </c>
      <c r="E76" s="307">
        <v>0</v>
      </c>
      <c r="F76" s="307">
        <v>0</v>
      </c>
      <c r="G76" s="307">
        <v>0</v>
      </c>
      <c r="H76" s="307">
        <v>0</v>
      </c>
      <c r="I76" s="307">
        <v>0</v>
      </c>
      <c r="J76" s="307">
        <v>0</v>
      </c>
      <c r="K76" s="307">
        <v>0</v>
      </c>
      <c r="L76" s="307">
        <v>0</v>
      </c>
      <c r="M76" s="307">
        <v>0</v>
      </c>
      <c r="N76" s="307">
        <v>0</v>
      </c>
      <c r="O76" s="318" t="s">
        <v>3954</v>
      </c>
      <c r="Q76" s="122"/>
    </row>
    <row r="77" spans="1:17" s="87" customFormat="1" ht="18" hidden="1" outlineLevel="1" x14ac:dyDescent="0.2">
      <c r="A77" s="1431"/>
      <c r="B77" s="68"/>
      <c r="C77" s="415"/>
      <c r="D77" s="414" t="s">
        <v>299</v>
      </c>
      <c r="E77" s="307">
        <v>0</v>
      </c>
      <c r="F77" s="307">
        <v>0</v>
      </c>
      <c r="G77" s="307">
        <v>0</v>
      </c>
      <c r="H77" s="307">
        <v>0</v>
      </c>
      <c r="I77" s="307">
        <v>0</v>
      </c>
      <c r="J77" s="307">
        <v>0</v>
      </c>
      <c r="K77" s="307">
        <v>0</v>
      </c>
      <c r="L77" s="307">
        <v>0</v>
      </c>
      <c r="M77" s="307">
        <v>0</v>
      </c>
      <c r="N77" s="307">
        <v>0</v>
      </c>
      <c r="O77" s="318" t="s">
        <v>3955</v>
      </c>
      <c r="Q77" s="122"/>
    </row>
    <row r="78" spans="1:17" s="87" customFormat="1" ht="18" hidden="1" outlineLevel="1" x14ac:dyDescent="0.2">
      <c r="A78" s="1431"/>
      <c r="B78" s="68"/>
      <c r="C78" s="415"/>
      <c r="D78" s="414" t="s">
        <v>305</v>
      </c>
      <c r="E78" s="307">
        <v>0</v>
      </c>
      <c r="F78" s="307">
        <v>0</v>
      </c>
      <c r="G78" s="307">
        <v>0</v>
      </c>
      <c r="H78" s="307">
        <v>0</v>
      </c>
      <c r="I78" s="307">
        <v>0</v>
      </c>
      <c r="J78" s="307">
        <v>0</v>
      </c>
      <c r="K78" s="307">
        <v>0</v>
      </c>
      <c r="L78" s="307">
        <v>0</v>
      </c>
      <c r="M78" s="307">
        <v>0</v>
      </c>
      <c r="N78" s="307">
        <v>0</v>
      </c>
      <c r="O78" s="318" t="s">
        <v>3956</v>
      </c>
      <c r="Q78" s="122"/>
    </row>
    <row r="79" spans="1:17" s="87" customFormat="1" ht="18" hidden="1" outlineLevel="1" x14ac:dyDescent="0.2">
      <c r="A79" s="1431"/>
      <c r="B79" s="68"/>
      <c r="C79" s="415"/>
      <c r="D79" s="414" t="s">
        <v>300</v>
      </c>
      <c r="E79" s="307">
        <v>0</v>
      </c>
      <c r="F79" s="307">
        <v>0</v>
      </c>
      <c r="G79" s="307">
        <v>0</v>
      </c>
      <c r="H79" s="307">
        <v>0</v>
      </c>
      <c r="I79" s="307">
        <v>0</v>
      </c>
      <c r="J79" s="307">
        <v>0</v>
      </c>
      <c r="K79" s="307">
        <v>0</v>
      </c>
      <c r="L79" s="307">
        <v>0</v>
      </c>
      <c r="M79" s="307">
        <v>0</v>
      </c>
      <c r="N79" s="307">
        <v>0</v>
      </c>
      <c r="O79" s="318" t="s">
        <v>3957</v>
      </c>
      <c r="Q79" s="122"/>
    </row>
    <row r="80" spans="1:17" s="87" customFormat="1" ht="18" hidden="1" outlineLevel="1" x14ac:dyDescent="0.2">
      <c r="A80" s="1431"/>
      <c r="B80" s="68"/>
      <c r="C80" s="415"/>
      <c r="D80" s="414" t="s">
        <v>301</v>
      </c>
      <c r="E80" s="307">
        <v>0</v>
      </c>
      <c r="F80" s="307">
        <v>0</v>
      </c>
      <c r="G80" s="307">
        <v>0</v>
      </c>
      <c r="H80" s="307">
        <v>0</v>
      </c>
      <c r="I80" s="307">
        <v>0</v>
      </c>
      <c r="J80" s="307">
        <v>0</v>
      </c>
      <c r="K80" s="307">
        <v>0</v>
      </c>
      <c r="L80" s="307">
        <v>0</v>
      </c>
      <c r="M80" s="307">
        <v>0</v>
      </c>
      <c r="N80" s="307">
        <v>0</v>
      </c>
      <c r="O80" s="318" t="s">
        <v>3958</v>
      </c>
      <c r="Q80" s="122"/>
    </row>
    <row r="81" spans="1:17" s="87" customFormat="1" ht="18" hidden="1" outlineLevel="1" x14ac:dyDescent="0.2">
      <c r="A81" s="1431"/>
      <c r="B81" s="68"/>
      <c r="C81" s="415"/>
      <c r="D81" s="405" t="str">
        <f>"Total "&amp;(IT_CodeE) &amp; " Costs"</f>
        <v>Total eTechnical Logbook Costs</v>
      </c>
      <c r="E81" s="425">
        <f t="shared" ref="E81" si="4">SUM(E76:E80)</f>
        <v>0</v>
      </c>
      <c r="F81" s="425">
        <f>SUM(F76:F80)*(1+Inflation)</f>
        <v>0</v>
      </c>
      <c r="G81" s="425">
        <f>SUM(G76:G80)*(1+Inflation)^2</f>
        <v>0</v>
      </c>
      <c r="H81" s="425">
        <f>SUM(H76:H80)*(1+Inflation)^3</f>
        <v>0</v>
      </c>
      <c r="I81" s="425">
        <f>SUM(I76:I80)*(1+Inflation)^4</f>
        <v>0</v>
      </c>
      <c r="J81" s="425">
        <f>SUM(J76:J80)*(1+Inflation)^5</f>
        <v>0</v>
      </c>
      <c r="K81" s="425">
        <f>SUM(K76:K80)*(1+Inflation)^6</f>
        <v>0</v>
      </c>
      <c r="L81" s="425">
        <f>SUM(L76:L80)*(1+Inflation)^7</f>
        <v>0</v>
      </c>
      <c r="M81" s="425">
        <f>SUM(M76:M80)*(1+Inflation)^8</f>
        <v>0</v>
      </c>
      <c r="N81" s="425">
        <f>SUM(N76:N80)*(1+Inflation)^9</f>
        <v>0</v>
      </c>
      <c r="O81" s="318" t="s">
        <v>3959</v>
      </c>
      <c r="Q81" s="122"/>
    </row>
    <row r="82" spans="1:17" s="87" customFormat="1" ht="18" hidden="1" outlineLevel="1" x14ac:dyDescent="0.2">
      <c r="A82" s="1431"/>
      <c r="B82" s="68"/>
      <c r="C82" s="415"/>
      <c r="D82" s="88"/>
      <c r="E82" s="88"/>
      <c r="F82" s="88"/>
      <c r="G82" s="88"/>
      <c r="H82" s="88"/>
      <c r="I82" s="88"/>
      <c r="J82" s="88"/>
      <c r="K82" s="88"/>
      <c r="L82" s="88"/>
      <c r="M82" s="88"/>
      <c r="N82" s="88"/>
      <c r="O82" s="412"/>
      <c r="Q82" s="122"/>
    </row>
    <row r="83" spans="1:17" s="87" customFormat="1" ht="20.25" hidden="1" outlineLevel="1" x14ac:dyDescent="0.3">
      <c r="A83" s="1431"/>
      <c r="B83" s="68"/>
      <c r="C83" s="411"/>
      <c r="D83" s="404" t="str">
        <f>IT_CodeF</f>
        <v>Other System 1</v>
      </c>
      <c r="E83" s="88"/>
      <c r="F83" s="88"/>
      <c r="G83" s="88"/>
      <c r="H83" s="88"/>
      <c r="I83" s="88"/>
      <c r="J83" s="88"/>
      <c r="K83" s="88"/>
      <c r="L83" s="88"/>
      <c r="M83" s="88"/>
      <c r="N83" s="88"/>
      <c r="O83" s="412"/>
      <c r="Q83" s="122"/>
    </row>
    <row r="84" spans="1:17" s="87" customFormat="1" ht="18" hidden="1" outlineLevel="1" x14ac:dyDescent="0.2">
      <c r="A84" s="1431"/>
      <c r="B84" s="68"/>
      <c r="C84" s="413"/>
      <c r="D84" s="414" t="s">
        <v>298</v>
      </c>
      <c r="E84" s="307">
        <v>0</v>
      </c>
      <c r="F84" s="307">
        <v>0</v>
      </c>
      <c r="G84" s="307">
        <v>0</v>
      </c>
      <c r="H84" s="307">
        <v>0</v>
      </c>
      <c r="I84" s="307">
        <v>0</v>
      </c>
      <c r="J84" s="307">
        <v>0</v>
      </c>
      <c r="K84" s="307">
        <v>0</v>
      </c>
      <c r="L84" s="307">
        <v>0</v>
      </c>
      <c r="M84" s="307">
        <v>0</v>
      </c>
      <c r="N84" s="307">
        <v>0</v>
      </c>
      <c r="O84" s="318" t="s">
        <v>3960</v>
      </c>
      <c r="Q84" s="122"/>
    </row>
    <row r="85" spans="1:17" s="87" customFormat="1" ht="18" hidden="1" outlineLevel="1" x14ac:dyDescent="0.2">
      <c r="A85" s="1431"/>
      <c r="B85" s="68"/>
      <c r="C85" s="415"/>
      <c r="D85" s="414" t="s">
        <v>299</v>
      </c>
      <c r="E85" s="307">
        <v>0</v>
      </c>
      <c r="F85" s="307">
        <v>0</v>
      </c>
      <c r="G85" s="307">
        <v>0</v>
      </c>
      <c r="H85" s="307">
        <v>0</v>
      </c>
      <c r="I85" s="307">
        <v>0</v>
      </c>
      <c r="J85" s="307">
        <v>0</v>
      </c>
      <c r="K85" s="307">
        <v>0</v>
      </c>
      <c r="L85" s="307">
        <v>0</v>
      </c>
      <c r="M85" s="307">
        <v>0</v>
      </c>
      <c r="N85" s="307">
        <v>0</v>
      </c>
      <c r="O85" s="318" t="s">
        <v>3961</v>
      </c>
      <c r="Q85" s="122"/>
    </row>
    <row r="86" spans="1:17" s="87" customFormat="1" ht="18" hidden="1" outlineLevel="1" x14ac:dyDescent="0.2">
      <c r="A86" s="1431"/>
      <c r="B86" s="68"/>
      <c r="C86" s="415"/>
      <c r="D86" s="414" t="s">
        <v>305</v>
      </c>
      <c r="E86" s="307">
        <v>0</v>
      </c>
      <c r="F86" s="307">
        <v>0</v>
      </c>
      <c r="G86" s="307">
        <v>0</v>
      </c>
      <c r="H86" s="307">
        <v>0</v>
      </c>
      <c r="I86" s="307">
        <v>0</v>
      </c>
      <c r="J86" s="307">
        <v>0</v>
      </c>
      <c r="K86" s="307">
        <v>0</v>
      </c>
      <c r="L86" s="307">
        <v>0</v>
      </c>
      <c r="M86" s="307">
        <v>0</v>
      </c>
      <c r="N86" s="307">
        <v>0</v>
      </c>
      <c r="O86" s="318" t="s">
        <v>3962</v>
      </c>
      <c r="Q86" s="122"/>
    </row>
    <row r="87" spans="1:17" s="87" customFormat="1" ht="18" hidden="1" outlineLevel="1" x14ac:dyDescent="0.2">
      <c r="A87" s="1431"/>
      <c r="B87" s="68"/>
      <c r="C87" s="415"/>
      <c r="D87" s="414" t="s">
        <v>300</v>
      </c>
      <c r="E87" s="307">
        <v>0</v>
      </c>
      <c r="F87" s="307">
        <v>0</v>
      </c>
      <c r="G87" s="307">
        <v>0</v>
      </c>
      <c r="H87" s="307">
        <v>0</v>
      </c>
      <c r="I87" s="307">
        <v>0</v>
      </c>
      <c r="J87" s="307">
        <v>0</v>
      </c>
      <c r="K87" s="307">
        <v>0</v>
      </c>
      <c r="L87" s="307">
        <v>0</v>
      </c>
      <c r="M87" s="307">
        <v>0</v>
      </c>
      <c r="N87" s="307">
        <v>0</v>
      </c>
      <c r="O87" s="318" t="s">
        <v>3963</v>
      </c>
      <c r="Q87" s="122"/>
    </row>
    <row r="88" spans="1:17" s="87" customFormat="1" ht="18" hidden="1" outlineLevel="1" x14ac:dyDescent="0.2">
      <c r="A88" s="1431"/>
      <c r="B88" s="68"/>
      <c r="C88" s="415"/>
      <c r="D88" s="414" t="s">
        <v>301</v>
      </c>
      <c r="E88" s="307">
        <v>0</v>
      </c>
      <c r="F88" s="307">
        <v>0</v>
      </c>
      <c r="G88" s="307">
        <v>0</v>
      </c>
      <c r="H88" s="307">
        <v>0</v>
      </c>
      <c r="I88" s="307">
        <v>0</v>
      </c>
      <c r="J88" s="307">
        <v>0</v>
      </c>
      <c r="K88" s="307">
        <v>0</v>
      </c>
      <c r="L88" s="307">
        <v>0</v>
      </c>
      <c r="M88" s="307">
        <v>0</v>
      </c>
      <c r="N88" s="307">
        <v>0</v>
      </c>
      <c r="O88" s="318" t="s">
        <v>3964</v>
      </c>
      <c r="Q88" s="122"/>
    </row>
    <row r="89" spans="1:17" s="87" customFormat="1" ht="18" hidden="1" outlineLevel="1" x14ac:dyDescent="0.2">
      <c r="A89" s="1431"/>
      <c r="B89" s="68"/>
      <c r="C89" s="415"/>
      <c r="D89" s="405" t="str">
        <f>"Total "&amp;(IT_CodeF) &amp; " Costs"</f>
        <v>Total Other System 1 Costs</v>
      </c>
      <c r="E89" s="425">
        <f t="shared" ref="E89" si="5">SUM(E84:E88)</f>
        <v>0</v>
      </c>
      <c r="F89" s="425">
        <f>SUM(F84:F88)*(1+Inflation)</f>
        <v>0</v>
      </c>
      <c r="G89" s="425">
        <f>SUM(G84:G88)*(1+Inflation)^2</f>
        <v>0</v>
      </c>
      <c r="H89" s="425">
        <f>SUM(H84:H88)*(1+Inflation)^3</f>
        <v>0</v>
      </c>
      <c r="I89" s="425">
        <f>SUM(I84:I88)*(1+Inflation)^4</f>
        <v>0</v>
      </c>
      <c r="J89" s="425">
        <f>SUM(J84:J88)*(1+Inflation)^5</f>
        <v>0</v>
      </c>
      <c r="K89" s="425">
        <f>SUM(K84:K88)*(1+Inflation)^6</f>
        <v>0</v>
      </c>
      <c r="L89" s="425">
        <f>SUM(L84:L88)*(1+Inflation)^7</f>
        <v>0</v>
      </c>
      <c r="M89" s="425">
        <f>SUM(M84:M88)*(1+Inflation)^8</f>
        <v>0</v>
      </c>
      <c r="N89" s="425">
        <f>SUM(N84:N88)*(1+Inflation)^9</f>
        <v>0</v>
      </c>
      <c r="O89" s="318" t="s">
        <v>3965</v>
      </c>
      <c r="Q89" s="122"/>
    </row>
    <row r="90" spans="1:17" s="87" customFormat="1" ht="18" hidden="1" outlineLevel="1" x14ac:dyDescent="0.2">
      <c r="A90" s="1431"/>
      <c r="B90" s="68"/>
      <c r="C90" s="413"/>
      <c r="D90" s="88"/>
      <c r="E90" s="88"/>
      <c r="F90" s="88"/>
      <c r="G90" s="88"/>
      <c r="H90" s="88"/>
      <c r="I90" s="88"/>
      <c r="J90" s="88"/>
      <c r="K90" s="88"/>
      <c r="L90" s="88"/>
      <c r="M90" s="88"/>
      <c r="N90" s="88"/>
      <c r="O90" s="412"/>
      <c r="Q90" s="122"/>
    </row>
    <row r="91" spans="1:17" s="87" customFormat="1" ht="20.25" hidden="1" outlineLevel="1" x14ac:dyDescent="0.3">
      <c r="A91" s="1431"/>
      <c r="B91" s="68"/>
      <c r="C91" s="411"/>
      <c r="D91" s="404" t="str">
        <f>IT_CodeG</f>
        <v>Other System 2</v>
      </c>
      <c r="E91" s="88"/>
      <c r="F91" s="88"/>
      <c r="G91" s="88"/>
      <c r="H91" s="88"/>
      <c r="I91" s="88"/>
      <c r="J91" s="88"/>
      <c r="K91" s="88"/>
      <c r="L91" s="88"/>
      <c r="M91" s="88"/>
      <c r="N91" s="88"/>
      <c r="O91" s="412"/>
      <c r="Q91" s="122"/>
    </row>
    <row r="92" spans="1:17" s="87" customFormat="1" ht="18" hidden="1" outlineLevel="1" x14ac:dyDescent="0.2">
      <c r="A92" s="1431"/>
      <c r="B92" s="68"/>
      <c r="C92" s="413"/>
      <c r="D92" s="414" t="s">
        <v>298</v>
      </c>
      <c r="E92" s="307">
        <v>0</v>
      </c>
      <c r="F92" s="307">
        <v>0</v>
      </c>
      <c r="G92" s="307">
        <v>0</v>
      </c>
      <c r="H92" s="307">
        <v>0</v>
      </c>
      <c r="I92" s="307">
        <v>0</v>
      </c>
      <c r="J92" s="307">
        <v>0</v>
      </c>
      <c r="K92" s="307">
        <v>0</v>
      </c>
      <c r="L92" s="307">
        <v>0</v>
      </c>
      <c r="M92" s="307">
        <v>0</v>
      </c>
      <c r="N92" s="307">
        <v>0</v>
      </c>
      <c r="O92" s="318" t="s">
        <v>3966</v>
      </c>
      <c r="Q92" s="122"/>
    </row>
    <row r="93" spans="1:17" s="87" customFormat="1" ht="18" hidden="1" outlineLevel="1" x14ac:dyDescent="0.2">
      <c r="A93" s="1431"/>
      <c r="B93" s="68"/>
      <c r="C93" s="415"/>
      <c r="D93" s="414" t="s">
        <v>299</v>
      </c>
      <c r="E93" s="307">
        <v>0</v>
      </c>
      <c r="F93" s="307">
        <v>0</v>
      </c>
      <c r="G93" s="307">
        <v>0</v>
      </c>
      <c r="H93" s="307">
        <v>0</v>
      </c>
      <c r="I93" s="307">
        <v>0</v>
      </c>
      <c r="J93" s="307">
        <v>0</v>
      </c>
      <c r="K93" s="307">
        <v>0</v>
      </c>
      <c r="L93" s="307">
        <v>0</v>
      </c>
      <c r="M93" s="307">
        <v>0</v>
      </c>
      <c r="N93" s="307">
        <v>0</v>
      </c>
      <c r="O93" s="318" t="s">
        <v>3967</v>
      </c>
      <c r="Q93" s="122"/>
    </row>
    <row r="94" spans="1:17" s="87" customFormat="1" ht="18" hidden="1" outlineLevel="1" x14ac:dyDescent="0.2">
      <c r="A94" s="1431"/>
      <c r="B94" s="68"/>
      <c r="C94" s="415"/>
      <c r="D94" s="414" t="s">
        <v>305</v>
      </c>
      <c r="E94" s="307">
        <v>0</v>
      </c>
      <c r="F94" s="307">
        <v>0</v>
      </c>
      <c r="G94" s="307">
        <v>0</v>
      </c>
      <c r="H94" s="307">
        <v>0</v>
      </c>
      <c r="I94" s="307">
        <v>0</v>
      </c>
      <c r="J94" s="307">
        <v>0</v>
      </c>
      <c r="K94" s="307">
        <v>0</v>
      </c>
      <c r="L94" s="307">
        <v>0</v>
      </c>
      <c r="M94" s="307">
        <v>0</v>
      </c>
      <c r="N94" s="307">
        <v>0</v>
      </c>
      <c r="O94" s="318" t="s">
        <v>3968</v>
      </c>
      <c r="Q94" s="122"/>
    </row>
    <row r="95" spans="1:17" s="87" customFormat="1" ht="18" hidden="1" outlineLevel="1" x14ac:dyDescent="0.2">
      <c r="A95" s="1431"/>
      <c r="B95" s="68"/>
      <c r="C95" s="415"/>
      <c r="D95" s="414" t="s">
        <v>300</v>
      </c>
      <c r="E95" s="307">
        <v>0</v>
      </c>
      <c r="F95" s="307">
        <v>0</v>
      </c>
      <c r="G95" s="307">
        <v>0</v>
      </c>
      <c r="H95" s="307">
        <v>0</v>
      </c>
      <c r="I95" s="307">
        <v>0</v>
      </c>
      <c r="J95" s="307">
        <v>0</v>
      </c>
      <c r="K95" s="307">
        <v>0</v>
      </c>
      <c r="L95" s="307">
        <v>0</v>
      </c>
      <c r="M95" s="307">
        <v>0</v>
      </c>
      <c r="N95" s="307">
        <v>0</v>
      </c>
      <c r="O95" s="318" t="s">
        <v>3969</v>
      </c>
      <c r="Q95" s="122"/>
    </row>
    <row r="96" spans="1:17" s="87" customFormat="1" ht="18" hidden="1" outlineLevel="1" x14ac:dyDescent="0.2">
      <c r="A96" s="1431"/>
      <c r="B96" s="68"/>
      <c r="C96" s="415"/>
      <c r="D96" s="414" t="s">
        <v>301</v>
      </c>
      <c r="E96" s="307">
        <v>0</v>
      </c>
      <c r="F96" s="307">
        <v>0</v>
      </c>
      <c r="G96" s="307">
        <v>0</v>
      </c>
      <c r="H96" s="307">
        <v>0</v>
      </c>
      <c r="I96" s="307">
        <v>0</v>
      </c>
      <c r="J96" s="307">
        <v>0</v>
      </c>
      <c r="K96" s="307">
        <v>0</v>
      </c>
      <c r="L96" s="307">
        <v>0</v>
      </c>
      <c r="M96" s="307">
        <v>0</v>
      </c>
      <c r="N96" s="307">
        <v>0</v>
      </c>
      <c r="O96" s="318" t="s">
        <v>3970</v>
      </c>
      <c r="Q96" s="122"/>
    </row>
    <row r="97" spans="1:17" s="87" customFormat="1" ht="18" hidden="1" outlineLevel="1" x14ac:dyDescent="0.2">
      <c r="A97" s="1431"/>
      <c r="B97" s="68"/>
      <c r="C97" s="415"/>
      <c r="D97" s="405" t="str">
        <f>"Total "&amp;(IT_CodeG) &amp; " Costs"</f>
        <v>Total Other System 2 Costs</v>
      </c>
      <c r="E97" s="425">
        <f t="shared" ref="E97" si="6">SUM(E92:E96)</f>
        <v>0</v>
      </c>
      <c r="F97" s="425">
        <f>SUM(F92:F96)*(1+Inflation)</f>
        <v>0</v>
      </c>
      <c r="G97" s="425">
        <f>SUM(G92:G96)*(1+Inflation)^2</f>
        <v>0</v>
      </c>
      <c r="H97" s="425">
        <f>SUM(H92:H96)*(1+Inflation)^3</f>
        <v>0</v>
      </c>
      <c r="I97" s="425">
        <f>SUM(I92:I96)*(1+Inflation)^4</f>
        <v>0</v>
      </c>
      <c r="J97" s="425">
        <f>SUM(J92:J96)*(1+Inflation)^5</f>
        <v>0</v>
      </c>
      <c r="K97" s="425">
        <f>SUM(K92:K96)*(1+Inflation)^6</f>
        <v>0</v>
      </c>
      <c r="L97" s="425">
        <f>SUM(L92:L96)*(1+Inflation)^7</f>
        <v>0</v>
      </c>
      <c r="M97" s="425">
        <f>SUM(M92:M96)*(1+Inflation)^8</f>
        <v>0</v>
      </c>
      <c r="N97" s="425">
        <f>SUM(N92:N96)*(1+Inflation)^9</f>
        <v>0</v>
      </c>
      <c r="O97" s="318" t="s">
        <v>3971</v>
      </c>
      <c r="Q97" s="122"/>
    </row>
    <row r="98" spans="1:17" s="87" customFormat="1" ht="18" hidden="1" outlineLevel="1" x14ac:dyDescent="0.2">
      <c r="A98" s="1431"/>
      <c r="B98" s="68"/>
      <c r="C98" s="413"/>
      <c r="D98" s="88"/>
      <c r="E98" s="88"/>
      <c r="F98" s="88"/>
      <c r="G98" s="88"/>
      <c r="H98" s="88"/>
      <c r="I98" s="88"/>
      <c r="J98" s="88"/>
      <c r="K98" s="88"/>
      <c r="L98" s="88"/>
      <c r="M98" s="88"/>
      <c r="N98" s="88"/>
      <c r="O98" s="412"/>
      <c r="Q98" s="122"/>
    </row>
    <row r="99" spans="1:17" s="87" customFormat="1" ht="20.25" hidden="1" outlineLevel="1" x14ac:dyDescent="0.3">
      <c r="A99" s="1431"/>
      <c r="B99" s="68"/>
      <c r="C99" s="413"/>
      <c r="D99" s="408" t="s">
        <v>304</v>
      </c>
      <c r="E99" s="409">
        <f t="shared" ref="E99:N99" si="7">SUM(pSystemsCostIT_CodeA_Total+pSystemsCostIT_CodeB_Total+pSystemsCostIT_CodeC_Total+pSystemsCostIT_CodeD_Total+pSystemsCostIT_CodeE_Total+pSystemsCostIT_CodeF_Total+pSystemsCostIT_CodeG_Total)</f>
        <v>39450000</v>
      </c>
      <c r="F99" s="409">
        <f t="shared" si="7"/>
        <v>40084000</v>
      </c>
      <c r="G99" s="409">
        <f t="shared" si="7"/>
        <v>40730680</v>
      </c>
      <c r="H99" s="409">
        <f t="shared" si="7"/>
        <v>41390293.599999994</v>
      </c>
      <c r="I99" s="409">
        <f t="shared" si="7"/>
        <v>42063099.472000003</v>
      </c>
      <c r="J99" s="409">
        <f t="shared" si="7"/>
        <v>42749361.461440004</v>
      </c>
      <c r="K99" s="409">
        <f t="shared" si="7"/>
        <v>43449348.690668799</v>
      </c>
      <c r="L99" s="409">
        <f t="shared" si="7"/>
        <v>44163335.664482169</v>
      </c>
      <c r="M99" s="409">
        <f t="shared" si="7"/>
        <v>44891602.377771825</v>
      </c>
      <c r="N99" s="409">
        <f t="shared" si="7"/>
        <v>45634434.425327256</v>
      </c>
      <c r="O99" s="318" t="s">
        <v>318</v>
      </c>
      <c r="Q99" s="122"/>
    </row>
    <row r="100" spans="1:17" s="87" customFormat="1" ht="18.75" hidden="1" outlineLevel="1" thickBot="1" x14ac:dyDescent="0.25">
      <c r="A100" s="1431"/>
      <c r="B100" s="68"/>
      <c r="C100" s="418"/>
      <c r="D100" s="420"/>
      <c r="E100" s="420"/>
      <c r="F100" s="420"/>
      <c r="G100" s="420"/>
      <c r="H100" s="420"/>
      <c r="I100" s="420"/>
      <c r="J100" s="420"/>
      <c r="K100" s="420"/>
      <c r="L100" s="420"/>
      <c r="M100" s="420"/>
      <c r="N100" s="420"/>
      <c r="O100" s="419"/>
      <c r="Q100" s="122"/>
    </row>
    <row r="101" spans="1:17" s="87" customFormat="1" ht="18.75" hidden="1" outlineLevel="1" thickBot="1" x14ac:dyDescent="0.25">
      <c r="A101" s="86"/>
      <c r="B101" s="68"/>
      <c r="H101" s="88"/>
      <c r="Q101" s="122"/>
    </row>
    <row r="102" spans="1:17" s="87" customFormat="1" ht="20.25" hidden="1" outlineLevel="1" x14ac:dyDescent="0.3">
      <c r="A102" s="86"/>
      <c r="B102" s="68"/>
      <c r="C102" s="276" t="str">
        <f>Scenario2&amp;" IT Requirements"</f>
        <v>hSystems (Hybrid) IT Requirements</v>
      </c>
      <c r="D102" s="360"/>
      <c r="E102" s="360"/>
      <c r="F102" s="360"/>
      <c r="G102" s="360"/>
      <c r="H102" s="360"/>
      <c r="I102" s="360"/>
      <c r="J102" s="360"/>
      <c r="K102" s="360"/>
      <c r="L102" s="360"/>
      <c r="M102" s="360"/>
      <c r="N102" s="360"/>
      <c r="O102" s="410"/>
      <c r="Q102" s="122"/>
    </row>
    <row r="103" spans="1:17" s="87" customFormat="1" ht="20.25" hidden="1" outlineLevel="1" x14ac:dyDescent="0.3">
      <c r="A103" s="86"/>
      <c r="B103" s="68"/>
      <c r="C103" s="411"/>
      <c r="D103" s="404" t="str">
        <f>IT_CodeA</f>
        <v>Maintenance Information System</v>
      </c>
      <c r="E103" s="88"/>
      <c r="F103" s="88"/>
      <c r="G103" s="88"/>
      <c r="H103" s="88"/>
      <c r="I103" s="88"/>
      <c r="J103" s="88"/>
      <c r="K103" s="88"/>
      <c r="L103" s="88"/>
      <c r="M103" s="88"/>
      <c r="N103" s="88"/>
      <c r="O103" s="412"/>
      <c r="Q103" s="122"/>
    </row>
    <row r="104" spans="1:17" s="87" customFormat="1" ht="18" hidden="1" outlineLevel="1" x14ac:dyDescent="0.2">
      <c r="A104" s="86"/>
      <c r="B104" s="68"/>
      <c r="C104" s="413"/>
      <c r="D104" s="414" t="s">
        <v>298</v>
      </c>
      <c r="E104" s="307">
        <v>20000000</v>
      </c>
      <c r="F104" s="307">
        <v>20000000</v>
      </c>
      <c r="G104" s="307">
        <v>20000000</v>
      </c>
      <c r="H104" s="307">
        <v>20000000</v>
      </c>
      <c r="I104" s="307">
        <v>20000000</v>
      </c>
      <c r="J104" s="307">
        <v>20000000</v>
      </c>
      <c r="K104" s="307">
        <v>20000000</v>
      </c>
      <c r="L104" s="307">
        <v>20000000</v>
      </c>
      <c r="M104" s="307">
        <v>20000000</v>
      </c>
      <c r="N104" s="307">
        <v>20000000</v>
      </c>
      <c r="O104" s="318" t="s">
        <v>3972</v>
      </c>
      <c r="Q104" s="122"/>
    </row>
    <row r="105" spans="1:17" s="87" customFormat="1" ht="18" hidden="1" outlineLevel="1" x14ac:dyDescent="0.2">
      <c r="A105" s="86"/>
      <c r="B105" s="68"/>
      <c r="C105" s="415"/>
      <c r="D105" s="414" t="s">
        <v>299</v>
      </c>
      <c r="E105" s="307">
        <v>5000000</v>
      </c>
      <c r="F105" s="307">
        <v>5000000</v>
      </c>
      <c r="G105" s="307">
        <v>5000000</v>
      </c>
      <c r="H105" s="307">
        <v>5000000</v>
      </c>
      <c r="I105" s="307">
        <v>5000000</v>
      </c>
      <c r="J105" s="307">
        <v>5000000</v>
      </c>
      <c r="K105" s="307">
        <v>5000000</v>
      </c>
      <c r="L105" s="307">
        <v>5000000</v>
      </c>
      <c r="M105" s="307">
        <v>5000000</v>
      </c>
      <c r="N105" s="307">
        <v>5000000</v>
      </c>
      <c r="O105" s="318" t="s">
        <v>3973</v>
      </c>
      <c r="Q105" s="122"/>
    </row>
    <row r="106" spans="1:17" s="87" customFormat="1" ht="18" hidden="1" outlineLevel="1" x14ac:dyDescent="0.2">
      <c r="A106" s="86"/>
      <c r="B106" s="68"/>
      <c r="C106" s="415"/>
      <c r="D106" s="414" t="s">
        <v>305</v>
      </c>
      <c r="E106" s="307">
        <v>5000000</v>
      </c>
      <c r="F106" s="307">
        <v>10000000</v>
      </c>
      <c r="G106" s="307">
        <v>10000000</v>
      </c>
      <c r="H106" s="307">
        <v>10000000</v>
      </c>
      <c r="I106" s="307">
        <v>10000000</v>
      </c>
      <c r="J106" s="307">
        <v>10000000</v>
      </c>
      <c r="K106" s="307">
        <v>10000000</v>
      </c>
      <c r="L106" s="307">
        <v>10000000</v>
      </c>
      <c r="M106" s="307">
        <v>10000000</v>
      </c>
      <c r="N106" s="307">
        <v>10000000</v>
      </c>
      <c r="O106" s="318" t="s">
        <v>3974</v>
      </c>
      <c r="Q106" s="122"/>
    </row>
    <row r="107" spans="1:17" s="87" customFormat="1" ht="18" hidden="1" outlineLevel="1" x14ac:dyDescent="0.2">
      <c r="A107" s="86"/>
      <c r="B107" s="68"/>
      <c r="C107" s="415"/>
      <c r="D107" s="414" t="s">
        <v>300</v>
      </c>
      <c r="E107" s="307">
        <v>1000000</v>
      </c>
      <c r="F107" s="307">
        <v>1000000</v>
      </c>
      <c r="G107" s="307">
        <v>1000000</v>
      </c>
      <c r="H107" s="307">
        <v>1000000</v>
      </c>
      <c r="I107" s="307">
        <v>1000000</v>
      </c>
      <c r="J107" s="307">
        <v>1000000</v>
      </c>
      <c r="K107" s="307">
        <v>1000000</v>
      </c>
      <c r="L107" s="307">
        <v>1000000</v>
      </c>
      <c r="M107" s="307">
        <v>1000000</v>
      </c>
      <c r="N107" s="307">
        <v>1000000</v>
      </c>
      <c r="O107" s="318" t="s">
        <v>3975</v>
      </c>
      <c r="Q107" s="122"/>
    </row>
    <row r="108" spans="1:17" s="87" customFormat="1" ht="18" hidden="1" outlineLevel="1" x14ac:dyDescent="0.2">
      <c r="A108" s="86"/>
      <c r="B108" s="68"/>
      <c r="C108" s="415"/>
      <c r="D108" s="414" t="s">
        <v>301</v>
      </c>
      <c r="E108" s="307">
        <v>500000</v>
      </c>
      <c r="F108" s="307">
        <v>500000</v>
      </c>
      <c r="G108" s="307">
        <v>500000</v>
      </c>
      <c r="H108" s="307">
        <v>500000</v>
      </c>
      <c r="I108" s="307">
        <v>500000</v>
      </c>
      <c r="J108" s="307">
        <v>500000</v>
      </c>
      <c r="K108" s="307">
        <v>500000</v>
      </c>
      <c r="L108" s="307">
        <v>500000</v>
      </c>
      <c r="M108" s="307">
        <v>500000</v>
      </c>
      <c r="N108" s="307">
        <v>500000</v>
      </c>
      <c r="O108" s="318" t="s">
        <v>3976</v>
      </c>
      <c r="Q108" s="122"/>
    </row>
    <row r="109" spans="1:17" s="87" customFormat="1" ht="18" hidden="1" outlineLevel="1" x14ac:dyDescent="0.2">
      <c r="A109" s="86"/>
      <c r="B109" s="68"/>
      <c r="C109" s="415"/>
      <c r="D109" s="405" t="str">
        <f>"Total "&amp;(IT_CodeA) &amp; " Costs"</f>
        <v>Total Maintenance Information System Costs</v>
      </c>
      <c r="E109" s="425">
        <f t="shared" ref="E109" si="8">SUM(E104:E108)</f>
        <v>31500000</v>
      </c>
      <c r="F109" s="425">
        <f>SUM(F104:F108)*(1+Inflation)</f>
        <v>37230000</v>
      </c>
      <c r="G109" s="425">
        <f>SUM(G104:G108)*(1+Inflation)^2</f>
        <v>37974600</v>
      </c>
      <c r="H109" s="425">
        <f>SUM(H104:H108)*(1+Inflation)^3</f>
        <v>38734092</v>
      </c>
      <c r="I109" s="425">
        <f>SUM(I104:I108)*(1+Inflation)^4</f>
        <v>39508773.839999996</v>
      </c>
      <c r="J109" s="425">
        <f>SUM(J104:J108)*(1+Inflation)^5</f>
        <v>40298949.316799998</v>
      </c>
      <c r="K109" s="425">
        <f>SUM(K104:K108)*(1+Inflation)^6</f>
        <v>41104928.303136006</v>
      </c>
      <c r="L109" s="425">
        <f>SUM(L104:L108)*(1+Inflation)^7</f>
        <v>41927026.86919871</v>
      </c>
      <c r="M109" s="425">
        <f>SUM(M104:M108)*(1+Inflation)^8</f>
        <v>42765567.406582691</v>
      </c>
      <c r="N109" s="425">
        <f>SUM(N104:N108)*(1+Inflation)^9</f>
        <v>43620878.754714347</v>
      </c>
      <c r="O109" s="318" t="s">
        <v>3977</v>
      </c>
      <c r="Q109" s="122"/>
    </row>
    <row r="110" spans="1:17" s="87" customFormat="1" ht="18" hidden="1" outlineLevel="1" x14ac:dyDescent="0.2">
      <c r="A110" s="86"/>
      <c r="B110" s="68"/>
      <c r="C110" s="415"/>
      <c r="D110" s="416"/>
      <c r="E110" s="88"/>
      <c r="F110" s="88"/>
      <c r="G110" s="88"/>
      <c r="H110" s="88"/>
      <c r="I110" s="88"/>
      <c r="J110" s="88"/>
      <c r="K110" s="88"/>
      <c r="L110" s="88"/>
      <c r="M110" s="88"/>
      <c r="N110" s="88"/>
      <c r="O110" s="412"/>
      <c r="Q110" s="122"/>
    </row>
    <row r="111" spans="1:17" s="87" customFormat="1" ht="20.25" hidden="1" outlineLevel="1" x14ac:dyDescent="0.3">
      <c r="A111" s="86"/>
      <c r="B111" s="68"/>
      <c r="C111" s="411"/>
      <c r="D111" s="404" t="str">
        <f>IT_CodeB</f>
        <v>Document Management System</v>
      </c>
      <c r="E111" s="88"/>
      <c r="F111" s="88"/>
      <c r="G111" s="88"/>
      <c r="H111" s="88"/>
      <c r="I111" s="88"/>
      <c r="J111" s="88"/>
      <c r="K111" s="88"/>
      <c r="L111" s="88"/>
      <c r="M111" s="88"/>
      <c r="N111" s="88"/>
      <c r="O111" s="412"/>
      <c r="Q111" s="122"/>
    </row>
    <row r="112" spans="1:17" s="87" customFormat="1" ht="18" hidden="1" outlineLevel="1" x14ac:dyDescent="0.2">
      <c r="A112" s="86"/>
      <c r="B112" s="68"/>
      <c r="C112" s="413"/>
      <c r="D112" s="414" t="s">
        <v>298</v>
      </c>
      <c r="E112" s="307">
        <v>10000000</v>
      </c>
      <c r="F112" s="307">
        <v>10000000</v>
      </c>
      <c r="G112" s="307">
        <v>10000000</v>
      </c>
      <c r="H112" s="307">
        <v>10000000</v>
      </c>
      <c r="I112" s="307">
        <v>10000000</v>
      </c>
      <c r="J112" s="307">
        <v>10000000</v>
      </c>
      <c r="K112" s="307">
        <v>10000000</v>
      </c>
      <c r="L112" s="307">
        <v>10000000</v>
      </c>
      <c r="M112" s="307">
        <v>10000000</v>
      </c>
      <c r="N112" s="307">
        <v>10000000</v>
      </c>
      <c r="O112" s="318" t="s">
        <v>3978</v>
      </c>
      <c r="Q112" s="122"/>
    </row>
    <row r="113" spans="1:17" s="87" customFormat="1" ht="18" hidden="1" outlineLevel="1" x14ac:dyDescent="0.2">
      <c r="A113" s="86"/>
      <c r="B113" s="68"/>
      <c r="C113" s="415"/>
      <c r="D113" s="414" t="s">
        <v>299</v>
      </c>
      <c r="E113" s="307">
        <v>1000000</v>
      </c>
      <c r="F113" s="307">
        <v>1000000</v>
      </c>
      <c r="G113" s="307">
        <v>1000000</v>
      </c>
      <c r="H113" s="307">
        <v>1000000</v>
      </c>
      <c r="I113" s="307">
        <v>1000000</v>
      </c>
      <c r="J113" s="307">
        <v>1000000</v>
      </c>
      <c r="K113" s="307">
        <v>1000000</v>
      </c>
      <c r="L113" s="307">
        <v>1000000</v>
      </c>
      <c r="M113" s="307">
        <v>1000000</v>
      </c>
      <c r="N113" s="307">
        <v>1000000</v>
      </c>
      <c r="O113" s="318" t="s">
        <v>3979</v>
      </c>
      <c r="Q113" s="122"/>
    </row>
    <row r="114" spans="1:17" s="87" customFormat="1" ht="18" hidden="1" outlineLevel="1" x14ac:dyDescent="0.2">
      <c r="A114" s="86"/>
      <c r="B114" s="68"/>
      <c r="C114" s="415"/>
      <c r="D114" s="414" t="s">
        <v>305</v>
      </c>
      <c r="E114" s="307">
        <v>1000000</v>
      </c>
      <c r="F114" s="307">
        <v>1000000</v>
      </c>
      <c r="G114" s="307">
        <v>1000000</v>
      </c>
      <c r="H114" s="307">
        <v>1000000</v>
      </c>
      <c r="I114" s="307">
        <v>1000000</v>
      </c>
      <c r="J114" s="307">
        <v>1000000</v>
      </c>
      <c r="K114" s="307">
        <v>1000000</v>
      </c>
      <c r="L114" s="307">
        <v>1000000</v>
      </c>
      <c r="M114" s="307">
        <v>1000000</v>
      </c>
      <c r="N114" s="307">
        <v>1000000</v>
      </c>
      <c r="O114" s="318" t="s">
        <v>3980</v>
      </c>
      <c r="Q114" s="122"/>
    </row>
    <row r="115" spans="1:17" s="87" customFormat="1" ht="18" hidden="1" outlineLevel="1" x14ac:dyDescent="0.2">
      <c r="A115" s="86"/>
      <c r="B115" s="68"/>
      <c r="C115" s="415"/>
      <c r="D115" s="414" t="s">
        <v>300</v>
      </c>
      <c r="E115" s="307">
        <v>500000</v>
      </c>
      <c r="F115" s="307">
        <v>500000</v>
      </c>
      <c r="G115" s="307">
        <v>500000</v>
      </c>
      <c r="H115" s="307">
        <v>500000</v>
      </c>
      <c r="I115" s="307">
        <v>500000</v>
      </c>
      <c r="J115" s="307">
        <v>500000</v>
      </c>
      <c r="K115" s="307">
        <v>500000</v>
      </c>
      <c r="L115" s="307">
        <v>500000</v>
      </c>
      <c r="M115" s="307">
        <v>500000</v>
      </c>
      <c r="N115" s="307">
        <v>500000</v>
      </c>
      <c r="O115" s="318" t="s">
        <v>3981</v>
      </c>
      <c r="Q115" s="122"/>
    </row>
    <row r="116" spans="1:17" s="87" customFormat="1" ht="18" hidden="1" outlineLevel="1" x14ac:dyDescent="0.2">
      <c r="A116" s="86"/>
      <c r="B116" s="68"/>
      <c r="C116" s="415"/>
      <c r="D116" s="414" t="s">
        <v>301</v>
      </c>
      <c r="E116" s="307">
        <v>250000</v>
      </c>
      <c r="F116" s="307">
        <v>250000</v>
      </c>
      <c r="G116" s="307">
        <v>250000</v>
      </c>
      <c r="H116" s="307">
        <v>250000</v>
      </c>
      <c r="I116" s="307">
        <v>250000</v>
      </c>
      <c r="J116" s="307">
        <v>250000</v>
      </c>
      <c r="K116" s="307">
        <v>250000</v>
      </c>
      <c r="L116" s="307">
        <v>250000</v>
      </c>
      <c r="M116" s="307">
        <v>250000</v>
      </c>
      <c r="N116" s="307">
        <v>250000</v>
      </c>
      <c r="O116" s="318" t="s">
        <v>3982</v>
      </c>
      <c r="Q116" s="122"/>
    </row>
    <row r="117" spans="1:17" s="87" customFormat="1" ht="18" hidden="1" outlineLevel="1" x14ac:dyDescent="0.2">
      <c r="A117" s="86"/>
      <c r="B117" s="68"/>
      <c r="C117" s="415"/>
      <c r="D117" s="405" t="str">
        <f>"Total "&amp;(IT_CodeB) &amp; " Costs"</f>
        <v>Total Document Management System Costs</v>
      </c>
      <c r="E117" s="425">
        <f t="shared" ref="E117:N117" si="9">SUM(E112:E116)</f>
        <v>12750000</v>
      </c>
      <c r="F117" s="425">
        <f t="shared" si="9"/>
        <v>12750000</v>
      </c>
      <c r="G117" s="425">
        <f t="shared" si="9"/>
        <v>12750000</v>
      </c>
      <c r="H117" s="425">
        <f t="shared" si="9"/>
        <v>12750000</v>
      </c>
      <c r="I117" s="425">
        <f t="shared" si="9"/>
        <v>12750000</v>
      </c>
      <c r="J117" s="425">
        <f t="shared" si="9"/>
        <v>12750000</v>
      </c>
      <c r="K117" s="425">
        <f t="shared" si="9"/>
        <v>12750000</v>
      </c>
      <c r="L117" s="425">
        <f t="shared" si="9"/>
        <v>12750000</v>
      </c>
      <c r="M117" s="425">
        <f t="shared" si="9"/>
        <v>12750000</v>
      </c>
      <c r="N117" s="425">
        <f t="shared" si="9"/>
        <v>12750000</v>
      </c>
      <c r="O117" s="318" t="s">
        <v>3983</v>
      </c>
      <c r="Q117" s="122"/>
    </row>
    <row r="118" spans="1:17" s="122" customFormat="1" ht="18" hidden="1" outlineLevel="1" x14ac:dyDescent="0.2">
      <c r="A118" s="130"/>
      <c r="B118" s="68"/>
      <c r="C118" s="415"/>
      <c r="D118" s="406"/>
      <c r="E118" s="407"/>
      <c r="F118" s="407"/>
      <c r="G118" s="407"/>
      <c r="H118" s="407"/>
      <c r="I118" s="407"/>
      <c r="J118" s="407"/>
      <c r="K118" s="407"/>
      <c r="L118" s="407"/>
      <c r="M118" s="407"/>
      <c r="N118" s="407"/>
      <c r="O118" s="417"/>
    </row>
    <row r="119" spans="1:17" s="87" customFormat="1" ht="20.25" hidden="1" outlineLevel="1" x14ac:dyDescent="0.3">
      <c r="A119" s="86"/>
      <c r="B119" s="68"/>
      <c r="C119" s="411"/>
      <c r="D119" s="404" t="str">
        <f>IT_CodeC</f>
        <v>SCL Management System</v>
      </c>
      <c r="E119" s="88"/>
      <c r="F119" s="88"/>
      <c r="G119" s="88"/>
      <c r="H119" s="88"/>
      <c r="I119" s="88"/>
      <c r="J119" s="88"/>
      <c r="K119" s="88"/>
      <c r="L119" s="88"/>
      <c r="M119" s="88"/>
      <c r="N119" s="88"/>
      <c r="O119" s="412"/>
      <c r="Q119" s="122"/>
    </row>
    <row r="120" spans="1:17" s="87" customFormat="1" ht="18" hidden="1" outlineLevel="1" x14ac:dyDescent="0.2">
      <c r="A120" s="86"/>
      <c r="B120" s="68"/>
      <c r="C120" s="413"/>
      <c r="D120" s="414" t="s">
        <v>298</v>
      </c>
      <c r="E120" s="307">
        <v>10000000</v>
      </c>
      <c r="F120" s="307">
        <v>10000000</v>
      </c>
      <c r="G120" s="307">
        <v>10000000</v>
      </c>
      <c r="H120" s="307">
        <v>10000000</v>
      </c>
      <c r="I120" s="307">
        <v>10000000</v>
      </c>
      <c r="J120" s="307">
        <v>10000000</v>
      </c>
      <c r="K120" s="307">
        <v>10000000</v>
      </c>
      <c r="L120" s="307">
        <v>10000000</v>
      </c>
      <c r="M120" s="307">
        <v>10000000</v>
      </c>
      <c r="N120" s="307">
        <v>10000000</v>
      </c>
      <c r="O120" s="318" t="s">
        <v>3984</v>
      </c>
      <c r="Q120" s="122"/>
    </row>
    <row r="121" spans="1:17" s="87" customFormat="1" ht="18" hidden="1" outlineLevel="1" x14ac:dyDescent="0.2">
      <c r="A121" s="86"/>
      <c r="B121" s="68"/>
      <c r="C121" s="415"/>
      <c r="D121" s="414" t="s">
        <v>299</v>
      </c>
      <c r="E121" s="307">
        <v>1500000</v>
      </c>
      <c r="F121" s="307">
        <v>1500000</v>
      </c>
      <c r="G121" s="307">
        <v>1500000</v>
      </c>
      <c r="H121" s="307">
        <v>1500000</v>
      </c>
      <c r="I121" s="307">
        <v>1500000</v>
      </c>
      <c r="J121" s="307">
        <v>1500000</v>
      </c>
      <c r="K121" s="307">
        <v>1500000</v>
      </c>
      <c r="L121" s="307">
        <v>1500000</v>
      </c>
      <c r="M121" s="307">
        <v>1500000</v>
      </c>
      <c r="N121" s="307">
        <v>1500000</v>
      </c>
      <c r="O121" s="318" t="s">
        <v>3985</v>
      </c>
      <c r="Q121" s="122"/>
    </row>
    <row r="122" spans="1:17" s="87" customFormat="1" ht="18" hidden="1" outlineLevel="1" x14ac:dyDescent="0.2">
      <c r="A122" s="86"/>
      <c r="B122" s="68"/>
      <c r="C122" s="415"/>
      <c r="D122" s="414" t="s">
        <v>305</v>
      </c>
      <c r="E122" s="307">
        <v>2000000</v>
      </c>
      <c r="F122" s="307">
        <v>2000000</v>
      </c>
      <c r="G122" s="307">
        <v>2000000</v>
      </c>
      <c r="H122" s="307">
        <v>2000000</v>
      </c>
      <c r="I122" s="307">
        <v>2000000</v>
      </c>
      <c r="J122" s="307">
        <v>2000000</v>
      </c>
      <c r="K122" s="307">
        <v>2000000</v>
      </c>
      <c r="L122" s="307">
        <v>2000000</v>
      </c>
      <c r="M122" s="307">
        <v>2000000</v>
      </c>
      <c r="N122" s="307">
        <v>2000000</v>
      </c>
      <c r="O122" s="318" t="s">
        <v>3986</v>
      </c>
      <c r="Q122" s="122"/>
    </row>
    <row r="123" spans="1:17" s="87" customFormat="1" ht="18" hidden="1" outlineLevel="1" x14ac:dyDescent="0.2">
      <c r="A123" s="86"/>
      <c r="B123" s="68"/>
      <c r="C123" s="415"/>
      <c r="D123" s="414" t="s">
        <v>300</v>
      </c>
      <c r="E123" s="307">
        <v>500000</v>
      </c>
      <c r="F123" s="307">
        <v>500000</v>
      </c>
      <c r="G123" s="307">
        <v>500000</v>
      </c>
      <c r="H123" s="307">
        <v>500000</v>
      </c>
      <c r="I123" s="307">
        <v>500000</v>
      </c>
      <c r="J123" s="307">
        <v>500000</v>
      </c>
      <c r="K123" s="307">
        <v>500000</v>
      </c>
      <c r="L123" s="307">
        <v>500000</v>
      </c>
      <c r="M123" s="307">
        <v>500000</v>
      </c>
      <c r="N123" s="307">
        <v>500000</v>
      </c>
      <c r="O123" s="318" t="s">
        <v>3987</v>
      </c>
      <c r="Q123" s="122"/>
    </row>
    <row r="124" spans="1:17" s="87" customFormat="1" ht="18" hidden="1" outlineLevel="1" x14ac:dyDescent="0.2">
      <c r="A124" s="86"/>
      <c r="B124" s="68"/>
      <c r="C124" s="415"/>
      <c r="D124" s="414" t="s">
        <v>301</v>
      </c>
      <c r="E124" s="307">
        <v>100000</v>
      </c>
      <c r="F124" s="307">
        <v>100000</v>
      </c>
      <c r="G124" s="307">
        <v>100000</v>
      </c>
      <c r="H124" s="307">
        <v>100000</v>
      </c>
      <c r="I124" s="307">
        <v>100000</v>
      </c>
      <c r="J124" s="307">
        <v>100000</v>
      </c>
      <c r="K124" s="307">
        <v>100000</v>
      </c>
      <c r="L124" s="307">
        <v>100000</v>
      </c>
      <c r="M124" s="307">
        <v>100000</v>
      </c>
      <c r="N124" s="307">
        <v>100000</v>
      </c>
      <c r="O124" s="318" t="s">
        <v>3988</v>
      </c>
      <c r="Q124" s="122"/>
    </row>
    <row r="125" spans="1:17" s="87" customFormat="1" ht="18" hidden="1" outlineLevel="1" x14ac:dyDescent="0.2">
      <c r="A125" s="86"/>
      <c r="B125" s="68"/>
      <c r="C125" s="415"/>
      <c r="D125" s="405" t="str">
        <f>"Total "&amp;(IT_CodeC) &amp; " Costs"</f>
        <v>Total SCL Management System Costs</v>
      </c>
      <c r="E125" s="425">
        <f t="shared" ref="E125" si="10">SUM(E120:E124)</f>
        <v>14100000</v>
      </c>
      <c r="F125" s="425">
        <f>SUM(F120:F124)*(1+Inflation)</f>
        <v>14382000</v>
      </c>
      <c r="G125" s="425">
        <f>SUM(G120:G124)*(1+Inflation)^2</f>
        <v>14669640</v>
      </c>
      <c r="H125" s="425">
        <f>SUM(H120:H124)*(1+Inflation)^3</f>
        <v>14963032.799999999</v>
      </c>
      <c r="I125" s="425">
        <f>SUM(I120:I124)*(1+Inflation)^4</f>
        <v>15262293.456</v>
      </c>
      <c r="J125" s="425">
        <f>SUM(J120:J124)*(1+Inflation)^5</f>
        <v>15567539.32512</v>
      </c>
      <c r="K125" s="425">
        <f>SUM(K120:K124)*(1+Inflation)^6</f>
        <v>15878890.111622401</v>
      </c>
      <c r="L125" s="425">
        <f>SUM(L120:L124)*(1+Inflation)^7</f>
        <v>16196467.913854845</v>
      </c>
      <c r="M125" s="425">
        <f>SUM(M120:M124)*(1+Inflation)^8</f>
        <v>16520397.272131944</v>
      </c>
      <c r="N125" s="425">
        <f>SUM(N120:N124)*(1+Inflation)^9</f>
        <v>16850805.217574582</v>
      </c>
      <c r="O125" s="318" t="s">
        <v>3989</v>
      </c>
      <c r="Q125" s="122"/>
    </row>
    <row r="126" spans="1:17" s="122" customFormat="1" ht="18" hidden="1" outlineLevel="1" x14ac:dyDescent="0.2">
      <c r="A126" s="130"/>
      <c r="B126" s="68"/>
      <c r="C126" s="415"/>
      <c r="D126" s="406"/>
      <c r="E126" s="407"/>
      <c r="F126" s="407"/>
      <c r="G126" s="407"/>
      <c r="H126" s="407"/>
      <c r="I126" s="407"/>
      <c r="J126" s="407"/>
      <c r="K126" s="407"/>
      <c r="L126" s="407"/>
      <c r="M126" s="407"/>
      <c r="N126" s="407"/>
      <c r="O126" s="417"/>
    </row>
    <row r="127" spans="1:17" s="87" customFormat="1" ht="20.25" hidden="1" outlineLevel="1" x14ac:dyDescent="0.3">
      <c r="A127" s="86"/>
      <c r="B127" s="68"/>
      <c r="C127" s="411"/>
      <c r="D127" s="404" t="str">
        <f>IT_CodeD</f>
        <v>Mobility System</v>
      </c>
      <c r="E127" s="88"/>
      <c r="F127" s="88"/>
      <c r="G127" s="88"/>
      <c r="H127" s="88"/>
      <c r="I127" s="88"/>
      <c r="J127" s="88"/>
      <c r="K127" s="88"/>
      <c r="L127" s="88"/>
      <c r="M127" s="88"/>
      <c r="N127" s="88"/>
      <c r="O127" s="412"/>
      <c r="Q127" s="122"/>
    </row>
    <row r="128" spans="1:17" s="87" customFormat="1" ht="18" hidden="1" outlineLevel="1" x14ac:dyDescent="0.2">
      <c r="A128" s="86"/>
      <c r="B128" s="68"/>
      <c r="C128" s="413"/>
      <c r="D128" s="414" t="s">
        <v>298</v>
      </c>
      <c r="E128" s="307">
        <v>500000</v>
      </c>
      <c r="F128" s="307">
        <v>500000</v>
      </c>
      <c r="G128" s="307">
        <v>500000</v>
      </c>
      <c r="H128" s="307">
        <v>500000</v>
      </c>
      <c r="I128" s="307">
        <v>500000</v>
      </c>
      <c r="J128" s="307">
        <v>500000</v>
      </c>
      <c r="K128" s="307">
        <v>500000</v>
      </c>
      <c r="L128" s="307">
        <v>500000</v>
      </c>
      <c r="M128" s="307">
        <v>500000</v>
      </c>
      <c r="N128" s="307">
        <v>500000</v>
      </c>
      <c r="O128" s="318" t="s">
        <v>3990</v>
      </c>
      <c r="Q128" s="122"/>
    </row>
    <row r="129" spans="1:17" s="87" customFormat="1" ht="18" hidden="1" outlineLevel="1" x14ac:dyDescent="0.2">
      <c r="A129" s="86"/>
      <c r="B129" s="68"/>
      <c r="C129" s="415"/>
      <c r="D129" s="414" t="s">
        <v>299</v>
      </c>
      <c r="E129" s="307">
        <v>250000</v>
      </c>
      <c r="F129" s="307">
        <v>250000</v>
      </c>
      <c r="G129" s="307">
        <v>250000</v>
      </c>
      <c r="H129" s="307">
        <v>250000</v>
      </c>
      <c r="I129" s="307">
        <v>250000</v>
      </c>
      <c r="J129" s="307">
        <v>250000</v>
      </c>
      <c r="K129" s="307">
        <v>250000</v>
      </c>
      <c r="L129" s="307">
        <v>250000</v>
      </c>
      <c r="M129" s="307">
        <v>250000</v>
      </c>
      <c r="N129" s="307">
        <v>250000</v>
      </c>
      <c r="O129" s="318" t="s">
        <v>3991</v>
      </c>
      <c r="Q129" s="122"/>
    </row>
    <row r="130" spans="1:17" s="87" customFormat="1" ht="18" hidden="1" outlineLevel="1" x14ac:dyDescent="0.2">
      <c r="A130" s="86"/>
      <c r="B130" s="68"/>
      <c r="C130" s="415"/>
      <c r="D130" s="414" t="s">
        <v>305</v>
      </c>
      <c r="E130" s="307">
        <v>100000</v>
      </c>
      <c r="F130" s="307">
        <v>100000</v>
      </c>
      <c r="G130" s="307">
        <v>100000</v>
      </c>
      <c r="H130" s="307">
        <v>100000</v>
      </c>
      <c r="I130" s="307">
        <v>100000</v>
      </c>
      <c r="J130" s="307">
        <v>100000</v>
      </c>
      <c r="K130" s="307">
        <v>100000</v>
      </c>
      <c r="L130" s="307">
        <v>100000</v>
      </c>
      <c r="M130" s="307">
        <v>100000</v>
      </c>
      <c r="N130" s="307">
        <v>100000</v>
      </c>
      <c r="O130" s="318" t="s">
        <v>3992</v>
      </c>
      <c r="Q130" s="122"/>
    </row>
    <row r="131" spans="1:17" s="87" customFormat="1" ht="18" hidden="1" outlineLevel="1" x14ac:dyDescent="0.2">
      <c r="A131" s="86"/>
      <c r="B131" s="68"/>
      <c r="C131" s="415"/>
      <c r="D131" s="414" t="s">
        <v>300</v>
      </c>
      <c r="E131" s="307">
        <v>50000</v>
      </c>
      <c r="F131" s="307">
        <v>50000</v>
      </c>
      <c r="G131" s="307">
        <v>50000</v>
      </c>
      <c r="H131" s="307">
        <v>50000</v>
      </c>
      <c r="I131" s="307">
        <v>50000</v>
      </c>
      <c r="J131" s="307">
        <v>50000</v>
      </c>
      <c r="K131" s="307">
        <v>50000</v>
      </c>
      <c r="L131" s="307">
        <v>50000</v>
      </c>
      <c r="M131" s="307">
        <v>50000</v>
      </c>
      <c r="N131" s="307">
        <v>50000</v>
      </c>
      <c r="O131" s="318" t="s">
        <v>3993</v>
      </c>
      <c r="Q131" s="122"/>
    </row>
    <row r="132" spans="1:17" s="87" customFormat="1" ht="18" hidden="1" outlineLevel="1" x14ac:dyDescent="0.2">
      <c r="A132" s="86"/>
      <c r="B132" s="68"/>
      <c r="C132" s="415"/>
      <c r="D132" s="414" t="s">
        <v>301</v>
      </c>
      <c r="E132" s="307">
        <v>200000</v>
      </c>
      <c r="F132" s="307">
        <v>200000</v>
      </c>
      <c r="G132" s="307">
        <v>200000</v>
      </c>
      <c r="H132" s="307">
        <v>200000</v>
      </c>
      <c r="I132" s="307">
        <v>200000</v>
      </c>
      <c r="J132" s="307">
        <v>200000</v>
      </c>
      <c r="K132" s="307">
        <v>200000</v>
      </c>
      <c r="L132" s="307">
        <v>200000</v>
      </c>
      <c r="M132" s="307">
        <v>200000</v>
      </c>
      <c r="N132" s="307">
        <v>200000</v>
      </c>
      <c r="O132" s="318" t="s">
        <v>3994</v>
      </c>
      <c r="Q132" s="122"/>
    </row>
    <row r="133" spans="1:17" s="87" customFormat="1" ht="18" hidden="1" outlineLevel="1" x14ac:dyDescent="0.2">
      <c r="A133" s="86"/>
      <c r="B133" s="68"/>
      <c r="C133" s="415"/>
      <c r="D133" s="405" t="str">
        <f>"Total "&amp;(IT_CodeD) &amp; " Costs"</f>
        <v>Total Mobility System Costs</v>
      </c>
      <c r="E133" s="425">
        <f t="shared" ref="E133" si="11">SUM(E128:E132)</f>
        <v>1100000</v>
      </c>
      <c r="F133" s="425">
        <f>SUM(F128:F132)*(1+Inflation)</f>
        <v>1122000</v>
      </c>
      <c r="G133" s="425">
        <f>SUM(G128:G132)*(1+Inflation)^2</f>
        <v>1144440</v>
      </c>
      <c r="H133" s="425">
        <f>SUM(H128:H132)*(1+Inflation)^3</f>
        <v>1167328.7999999998</v>
      </c>
      <c r="I133" s="425">
        <f>SUM(I128:I132)*(1+Inflation)^4</f>
        <v>1190675.3759999999</v>
      </c>
      <c r="J133" s="425">
        <f>SUM(J128:J132)*(1+Inflation)^5</f>
        <v>1214488.8835199999</v>
      </c>
      <c r="K133" s="425">
        <f>SUM(K128:K132)*(1+Inflation)^6</f>
        <v>1238778.6611904001</v>
      </c>
      <c r="L133" s="425">
        <f>SUM(L128:L132)*(1+Inflation)^7</f>
        <v>1263554.2344142077</v>
      </c>
      <c r="M133" s="425">
        <f>SUM(M128:M132)*(1+Inflation)^8</f>
        <v>1288825.3191024922</v>
      </c>
      <c r="N133" s="425">
        <f>SUM(N128:N132)*(1+Inflation)^9</f>
        <v>1314601.8254845419</v>
      </c>
      <c r="O133" s="318" t="s">
        <v>3995</v>
      </c>
      <c r="Q133" s="122"/>
    </row>
    <row r="134" spans="1:17" s="122" customFormat="1" ht="18" hidden="1" outlineLevel="1" x14ac:dyDescent="0.2">
      <c r="A134" s="130"/>
      <c r="B134" s="68"/>
      <c r="C134" s="415"/>
      <c r="D134" s="406"/>
      <c r="E134" s="407"/>
      <c r="F134" s="407"/>
      <c r="G134" s="407"/>
      <c r="H134" s="407"/>
      <c r="I134" s="407"/>
      <c r="J134" s="407"/>
      <c r="K134" s="407"/>
      <c r="L134" s="407"/>
      <c r="M134" s="407"/>
      <c r="N134" s="407"/>
      <c r="O134" s="417"/>
    </row>
    <row r="135" spans="1:17" s="87" customFormat="1" ht="20.25" hidden="1" outlineLevel="1" x14ac:dyDescent="0.3">
      <c r="A135" s="86"/>
      <c r="B135" s="68"/>
      <c r="C135" s="411"/>
      <c r="D135" s="404" t="str">
        <f>IT_CodeE</f>
        <v>eTechnical Logbook</v>
      </c>
      <c r="E135" s="88"/>
      <c r="F135" s="88"/>
      <c r="G135" s="88"/>
      <c r="H135" s="88"/>
      <c r="I135" s="88"/>
      <c r="J135" s="88"/>
      <c r="K135" s="88"/>
      <c r="L135" s="88"/>
      <c r="M135" s="88"/>
      <c r="N135" s="88"/>
      <c r="O135" s="412"/>
      <c r="Q135" s="122"/>
    </row>
    <row r="136" spans="1:17" s="87" customFormat="1" ht="18" hidden="1" outlineLevel="1" x14ac:dyDescent="0.2">
      <c r="A136" s="86"/>
      <c r="B136" s="68"/>
      <c r="C136" s="413"/>
      <c r="D136" s="414" t="s">
        <v>298</v>
      </c>
      <c r="E136" s="307">
        <v>0</v>
      </c>
      <c r="F136" s="307">
        <v>0</v>
      </c>
      <c r="G136" s="307">
        <v>0</v>
      </c>
      <c r="H136" s="307">
        <v>0</v>
      </c>
      <c r="I136" s="307">
        <v>0</v>
      </c>
      <c r="J136" s="307">
        <v>0</v>
      </c>
      <c r="K136" s="307">
        <v>0</v>
      </c>
      <c r="L136" s="307">
        <v>0</v>
      </c>
      <c r="M136" s="307">
        <v>0</v>
      </c>
      <c r="N136" s="307">
        <v>0</v>
      </c>
      <c r="O136" s="318" t="s">
        <v>3996</v>
      </c>
      <c r="Q136" s="122"/>
    </row>
    <row r="137" spans="1:17" s="87" customFormat="1" ht="18" hidden="1" outlineLevel="1" x14ac:dyDescent="0.2">
      <c r="A137" s="86"/>
      <c r="B137" s="68"/>
      <c r="C137" s="415"/>
      <c r="D137" s="414" t="s">
        <v>299</v>
      </c>
      <c r="E137" s="307">
        <v>0</v>
      </c>
      <c r="F137" s="307">
        <v>0</v>
      </c>
      <c r="G137" s="307">
        <v>0</v>
      </c>
      <c r="H137" s="307">
        <v>0</v>
      </c>
      <c r="I137" s="307">
        <v>0</v>
      </c>
      <c r="J137" s="307">
        <v>0</v>
      </c>
      <c r="K137" s="307">
        <v>0</v>
      </c>
      <c r="L137" s="307">
        <v>0</v>
      </c>
      <c r="M137" s="307">
        <v>0</v>
      </c>
      <c r="N137" s="307">
        <v>0</v>
      </c>
      <c r="O137" s="318" t="s">
        <v>3997</v>
      </c>
      <c r="Q137" s="122"/>
    </row>
    <row r="138" spans="1:17" s="87" customFormat="1" ht="18" hidden="1" outlineLevel="1" x14ac:dyDescent="0.2">
      <c r="A138" s="86"/>
      <c r="B138" s="68"/>
      <c r="C138" s="415"/>
      <c r="D138" s="414" t="s">
        <v>305</v>
      </c>
      <c r="E138" s="307">
        <v>0</v>
      </c>
      <c r="F138" s="307">
        <v>0</v>
      </c>
      <c r="G138" s="307">
        <v>0</v>
      </c>
      <c r="H138" s="307">
        <v>0</v>
      </c>
      <c r="I138" s="307">
        <v>0</v>
      </c>
      <c r="J138" s="307">
        <v>0</v>
      </c>
      <c r="K138" s="307">
        <v>0</v>
      </c>
      <c r="L138" s="307">
        <v>0</v>
      </c>
      <c r="M138" s="307">
        <v>0</v>
      </c>
      <c r="N138" s="307">
        <v>0</v>
      </c>
      <c r="O138" s="318" t="s">
        <v>3998</v>
      </c>
      <c r="Q138" s="122"/>
    </row>
    <row r="139" spans="1:17" s="87" customFormat="1" ht="18" hidden="1" outlineLevel="1" x14ac:dyDescent="0.2">
      <c r="A139" s="86"/>
      <c r="B139" s="68"/>
      <c r="C139" s="415"/>
      <c r="D139" s="414" t="s">
        <v>300</v>
      </c>
      <c r="E139" s="307">
        <v>0</v>
      </c>
      <c r="F139" s="307">
        <v>0</v>
      </c>
      <c r="G139" s="307">
        <v>0</v>
      </c>
      <c r="H139" s="307">
        <v>0</v>
      </c>
      <c r="I139" s="307">
        <v>0</v>
      </c>
      <c r="J139" s="307">
        <v>0</v>
      </c>
      <c r="K139" s="307">
        <v>0</v>
      </c>
      <c r="L139" s="307">
        <v>0</v>
      </c>
      <c r="M139" s="307">
        <v>0</v>
      </c>
      <c r="N139" s="307">
        <v>0</v>
      </c>
      <c r="O139" s="318" t="s">
        <v>3999</v>
      </c>
      <c r="Q139" s="122"/>
    </row>
    <row r="140" spans="1:17" s="87" customFormat="1" ht="18" hidden="1" outlineLevel="1" x14ac:dyDescent="0.2">
      <c r="A140" s="86"/>
      <c r="B140" s="68"/>
      <c r="C140" s="415"/>
      <c r="D140" s="414" t="s">
        <v>301</v>
      </c>
      <c r="E140" s="307">
        <v>0</v>
      </c>
      <c r="F140" s="307">
        <v>0</v>
      </c>
      <c r="G140" s="307">
        <v>0</v>
      </c>
      <c r="H140" s="307">
        <v>0</v>
      </c>
      <c r="I140" s="307">
        <v>0</v>
      </c>
      <c r="J140" s="307">
        <v>0</v>
      </c>
      <c r="K140" s="307">
        <v>0</v>
      </c>
      <c r="L140" s="307">
        <v>0</v>
      </c>
      <c r="M140" s="307">
        <v>0</v>
      </c>
      <c r="N140" s="307">
        <v>0</v>
      </c>
      <c r="O140" s="318" t="s">
        <v>4000</v>
      </c>
      <c r="Q140" s="122"/>
    </row>
    <row r="141" spans="1:17" s="87" customFormat="1" ht="18" hidden="1" outlineLevel="1" x14ac:dyDescent="0.2">
      <c r="A141" s="86"/>
      <c r="B141" s="68"/>
      <c r="C141" s="415"/>
      <c r="D141" s="405" t="str">
        <f>"Total "&amp;(IT_CodeE) &amp; " Costs"</f>
        <v>Total eTechnical Logbook Costs</v>
      </c>
      <c r="E141" s="425">
        <f t="shared" ref="E141" si="12">SUM(E136:E140)</f>
        <v>0</v>
      </c>
      <c r="F141" s="425">
        <f>SUM(F136:F140)*(1+Inflation)</f>
        <v>0</v>
      </c>
      <c r="G141" s="425">
        <f>SUM(G136:G140)*(1+Inflation)^2</f>
        <v>0</v>
      </c>
      <c r="H141" s="425">
        <f>SUM(H136:H140)*(1+Inflation)^3</f>
        <v>0</v>
      </c>
      <c r="I141" s="425">
        <f>SUM(I136:I140)*(1+Inflation)^4</f>
        <v>0</v>
      </c>
      <c r="J141" s="425">
        <f>SUM(J136:J140)*(1+Inflation)^5</f>
        <v>0</v>
      </c>
      <c r="K141" s="425">
        <f>SUM(K136:K140)*(1+Inflation)^6</f>
        <v>0</v>
      </c>
      <c r="L141" s="425">
        <f>SUM(L136:L140)*(1+Inflation)^7</f>
        <v>0</v>
      </c>
      <c r="M141" s="425">
        <f>SUM(M136:M140)*(1+Inflation)^8</f>
        <v>0</v>
      </c>
      <c r="N141" s="425">
        <f>SUM(N136:N140)*(1+Inflation)^9</f>
        <v>0</v>
      </c>
      <c r="O141" s="318" t="s">
        <v>4001</v>
      </c>
      <c r="Q141" s="122"/>
    </row>
    <row r="142" spans="1:17" s="87" customFormat="1" ht="18" hidden="1" outlineLevel="1" x14ac:dyDescent="0.2">
      <c r="A142" s="86"/>
      <c r="B142" s="68"/>
      <c r="C142" s="415"/>
      <c r="D142" s="88"/>
      <c r="E142" s="88"/>
      <c r="F142" s="88"/>
      <c r="G142" s="88"/>
      <c r="H142" s="88"/>
      <c r="I142" s="88"/>
      <c r="J142" s="88"/>
      <c r="K142" s="88"/>
      <c r="L142" s="88"/>
      <c r="M142" s="88"/>
      <c r="N142" s="88"/>
      <c r="O142" s="412"/>
      <c r="Q142" s="122"/>
    </row>
    <row r="143" spans="1:17" s="87" customFormat="1" ht="20.25" hidden="1" outlineLevel="1" x14ac:dyDescent="0.3">
      <c r="A143" s="86"/>
      <c r="B143" s="68"/>
      <c r="C143" s="411"/>
      <c r="D143" s="404" t="str">
        <f>IT_CodeF</f>
        <v>Other System 1</v>
      </c>
      <c r="E143" s="88"/>
      <c r="F143" s="88"/>
      <c r="G143" s="88"/>
      <c r="H143" s="88"/>
      <c r="I143" s="88"/>
      <c r="J143" s="88"/>
      <c r="K143" s="88"/>
      <c r="L143" s="88"/>
      <c r="M143" s="88"/>
      <c r="N143" s="88"/>
      <c r="O143" s="412"/>
      <c r="Q143" s="122"/>
    </row>
    <row r="144" spans="1:17" s="87" customFormat="1" ht="18" hidden="1" outlineLevel="1" x14ac:dyDescent="0.2">
      <c r="A144" s="86"/>
      <c r="B144" s="68"/>
      <c r="C144" s="413"/>
      <c r="D144" s="414" t="s">
        <v>298</v>
      </c>
      <c r="E144" s="307">
        <v>0</v>
      </c>
      <c r="F144" s="307">
        <v>0</v>
      </c>
      <c r="G144" s="307">
        <v>0</v>
      </c>
      <c r="H144" s="307">
        <v>0</v>
      </c>
      <c r="I144" s="307">
        <v>0</v>
      </c>
      <c r="J144" s="307">
        <v>0</v>
      </c>
      <c r="K144" s="307">
        <v>0</v>
      </c>
      <c r="L144" s="307">
        <v>0</v>
      </c>
      <c r="M144" s="307">
        <v>0</v>
      </c>
      <c r="N144" s="307">
        <v>0</v>
      </c>
      <c r="O144" s="318" t="s">
        <v>4002</v>
      </c>
      <c r="Q144" s="122"/>
    </row>
    <row r="145" spans="1:17" s="87" customFormat="1" ht="18" hidden="1" outlineLevel="1" x14ac:dyDescent="0.2">
      <c r="A145" s="86"/>
      <c r="B145" s="68"/>
      <c r="C145" s="415"/>
      <c r="D145" s="414" t="s">
        <v>299</v>
      </c>
      <c r="E145" s="307">
        <v>0</v>
      </c>
      <c r="F145" s="307">
        <v>0</v>
      </c>
      <c r="G145" s="307">
        <v>0</v>
      </c>
      <c r="H145" s="307">
        <v>0</v>
      </c>
      <c r="I145" s="307">
        <v>0</v>
      </c>
      <c r="J145" s="307">
        <v>0</v>
      </c>
      <c r="K145" s="307">
        <v>0</v>
      </c>
      <c r="L145" s="307">
        <v>0</v>
      </c>
      <c r="M145" s="307">
        <v>0</v>
      </c>
      <c r="N145" s="307">
        <v>0</v>
      </c>
      <c r="O145" s="318" t="s">
        <v>4003</v>
      </c>
      <c r="Q145" s="122"/>
    </row>
    <row r="146" spans="1:17" s="87" customFormat="1" ht="18" hidden="1" outlineLevel="1" x14ac:dyDescent="0.2">
      <c r="A146" s="86"/>
      <c r="B146" s="68"/>
      <c r="C146" s="415"/>
      <c r="D146" s="414" t="s">
        <v>305</v>
      </c>
      <c r="E146" s="307">
        <v>0</v>
      </c>
      <c r="F146" s="307">
        <v>0</v>
      </c>
      <c r="G146" s="307">
        <v>0</v>
      </c>
      <c r="H146" s="307">
        <v>0</v>
      </c>
      <c r="I146" s="307">
        <v>0</v>
      </c>
      <c r="J146" s="307">
        <v>0</v>
      </c>
      <c r="K146" s="307">
        <v>0</v>
      </c>
      <c r="L146" s="307">
        <v>0</v>
      </c>
      <c r="M146" s="307">
        <v>0</v>
      </c>
      <c r="N146" s="307">
        <v>0</v>
      </c>
      <c r="O146" s="318" t="s">
        <v>4004</v>
      </c>
      <c r="Q146" s="122"/>
    </row>
    <row r="147" spans="1:17" s="87" customFormat="1" ht="18" hidden="1" outlineLevel="1" x14ac:dyDescent="0.2">
      <c r="A147" s="86"/>
      <c r="B147" s="68"/>
      <c r="C147" s="415"/>
      <c r="D147" s="414" t="s">
        <v>300</v>
      </c>
      <c r="E147" s="307">
        <v>0</v>
      </c>
      <c r="F147" s="307">
        <v>0</v>
      </c>
      <c r="G147" s="307">
        <v>0</v>
      </c>
      <c r="H147" s="307">
        <v>0</v>
      </c>
      <c r="I147" s="307">
        <v>0</v>
      </c>
      <c r="J147" s="307">
        <v>0</v>
      </c>
      <c r="K147" s="307">
        <v>0</v>
      </c>
      <c r="L147" s="307">
        <v>0</v>
      </c>
      <c r="M147" s="307">
        <v>0</v>
      </c>
      <c r="N147" s="307">
        <v>0</v>
      </c>
      <c r="O147" s="318" t="s">
        <v>4005</v>
      </c>
      <c r="Q147" s="122"/>
    </row>
    <row r="148" spans="1:17" s="87" customFormat="1" ht="18" hidden="1" outlineLevel="1" x14ac:dyDescent="0.2">
      <c r="A148" s="86"/>
      <c r="B148" s="68"/>
      <c r="C148" s="415"/>
      <c r="D148" s="414" t="s">
        <v>301</v>
      </c>
      <c r="E148" s="307">
        <v>0</v>
      </c>
      <c r="F148" s="307">
        <v>0</v>
      </c>
      <c r="G148" s="307">
        <v>0</v>
      </c>
      <c r="H148" s="307">
        <v>0</v>
      </c>
      <c r="I148" s="307">
        <v>0</v>
      </c>
      <c r="J148" s="307">
        <v>0</v>
      </c>
      <c r="K148" s="307">
        <v>0</v>
      </c>
      <c r="L148" s="307">
        <v>0</v>
      </c>
      <c r="M148" s="307">
        <v>0</v>
      </c>
      <c r="N148" s="307">
        <v>0</v>
      </c>
      <c r="O148" s="318" t="s">
        <v>4006</v>
      </c>
      <c r="Q148" s="122"/>
    </row>
    <row r="149" spans="1:17" s="87" customFormat="1" ht="18" hidden="1" outlineLevel="1" x14ac:dyDescent="0.2">
      <c r="A149" s="86"/>
      <c r="B149" s="68"/>
      <c r="C149" s="415"/>
      <c r="D149" s="405" t="str">
        <f>"Total "&amp;(IT_CodeF) &amp; " Costs"</f>
        <v>Total Other System 1 Costs</v>
      </c>
      <c r="E149" s="425">
        <f t="shared" ref="E149" si="13">SUM(E144:E148)</f>
        <v>0</v>
      </c>
      <c r="F149" s="425">
        <f>SUM(F144:F148)*(1+Inflation)</f>
        <v>0</v>
      </c>
      <c r="G149" s="425">
        <f>SUM(G144:G148)*(1+Inflation)^2</f>
        <v>0</v>
      </c>
      <c r="H149" s="425">
        <f>SUM(H144:H148)*(1+Inflation)^3</f>
        <v>0</v>
      </c>
      <c r="I149" s="425">
        <f>SUM(I144:I148)*(1+Inflation)^4</f>
        <v>0</v>
      </c>
      <c r="J149" s="425">
        <f>SUM(J144:J148)*(1+Inflation)^5</f>
        <v>0</v>
      </c>
      <c r="K149" s="425">
        <f>SUM(K144:K148)*(1+Inflation)^6</f>
        <v>0</v>
      </c>
      <c r="L149" s="425">
        <f>SUM(L144:L148)*(1+Inflation)^7</f>
        <v>0</v>
      </c>
      <c r="M149" s="425">
        <f>SUM(M144:M148)*(1+Inflation)^8</f>
        <v>0</v>
      </c>
      <c r="N149" s="425">
        <f>SUM(N144:N148)*(1+Inflation)^9</f>
        <v>0</v>
      </c>
      <c r="O149" s="318" t="s">
        <v>4007</v>
      </c>
      <c r="Q149" s="122"/>
    </row>
    <row r="150" spans="1:17" s="87" customFormat="1" ht="18" hidden="1" outlineLevel="1" x14ac:dyDescent="0.2">
      <c r="A150" s="86"/>
      <c r="B150" s="68"/>
      <c r="C150" s="413"/>
      <c r="D150" s="88"/>
      <c r="E150" s="88"/>
      <c r="F150" s="88"/>
      <c r="G150" s="88"/>
      <c r="H150" s="88"/>
      <c r="I150" s="88"/>
      <c r="J150" s="88"/>
      <c r="K150" s="88"/>
      <c r="L150" s="88"/>
      <c r="M150" s="88"/>
      <c r="N150" s="88"/>
      <c r="O150" s="412"/>
      <c r="Q150" s="122"/>
    </row>
    <row r="151" spans="1:17" s="87" customFormat="1" ht="20.25" hidden="1" outlineLevel="1" x14ac:dyDescent="0.3">
      <c r="A151" s="86"/>
      <c r="B151" s="68"/>
      <c r="C151" s="411"/>
      <c r="D151" s="404" t="str">
        <f>IT_CodeG</f>
        <v>Other System 2</v>
      </c>
      <c r="E151" s="88"/>
      <c r="F151" s="88"/>
      <c r="G151" s="88"/>
      <c r="H151" s="88"/>
      <c r="I151" s="88"/>
      <c r="J151" s="88"/>
      <c r="K151" s="88"/>
      <c r="L151" s="88"/>
      <c r="M151" s="88"/>
      <c r="N151" s="88"/>
      <c r="O151" s="412"/>
      <c r="Q151" s="122"/>
    </row>
    <row r="152" spans="1:17" s="87" customFormat="1" ht="18" hidden="1" outlineLevel="1" x14ac:dyDescent="0.2">
      <c r="A152" s="86"/>
      <c r="B152" s="68"/>
      <c r="C152" s="413"/>
      <c r="D152" s="414" t="s">
        <v>298</v>
      </c>
      <c r="E152" s="307">
        <v>0</v>
      </c>
      <c r="F152" s="307">
        <v>0</v>
      </c>
      <c r="G152" s="307">
        <v>0</v>
      </c>
      <c r="H152" s="307">
        <v>0</v>
      </c>
      <c r="I152" s="307">
        <v>0</v>
      </c>
      <c r="J152" s="307">
        <v>0</v>
      </c>
      <c r="K152" s="307">
        <v>0</v>
      </c>
      <c r="L152" s="307">
        <v>0</v>
      </c>
      <c r="M152" s="307">
        <v>0</v>
      </c>
      <c r="N152" s="307">
        <v>0</v>
      </c>
      <c r="O152" s="318" t="s">
        <v>4008</v>
      </c>
      <c r="Q152" s="122"/>
    </row>
    <row r="153" spans="1:17" s="87" customFormat="1" ht="18" hidden="1" outlineLevel="1" x14ac:dyDescent="0.2">
      <c r="A153" s="86"/>
      <c r="B153" s="68"/>
      <c r="C153" s="415"/>
      <c r="D153" s="414" t="s">
        <v>299</v>
      </c>
      <c r="E153" s="307">
        <v>0</v>
      </c>
      <c r="F153" s="307">
        <v>0</v>
      </c>
      <c r="G153" s="307">
        <v>0</v>
      </c>
      <c r="H153" s="307">
        <v>0</v>
      </c>
      <c r="I153" s="307">
        <v>0</v>
      </c>
      <c r="J153" s="307">
        <v>0</v>
      </c>
      <c r="K153" s="307">
        <v>0</v>
      </c>
      <c r="L153" s="307">
        <v>0</v>
      </c>
      <c r="M153" s="307">
        <v>0</v>
      </c>
      <c r="N153" s="307">
        <v>0</v>
      </c>
      <c r="O153" s="318" t="s">
        <v>4009</v>
      </c>
      <c r="Q153" s="122"/>
    </row>
    <row r="154" spans="1:17" s="87" customFormat="1" ht="18" hidden="1" outlineLevel="1" x14ac:dyDescent="0.2">
      <c r="A154" s="86"/>
      <c r="B154" s="68"/>
      <c r="C154" s="415"/>
      <c r="D154" s="414" t="s">
        <v>305</v>
      </c>
      <c r="E154" s="307">
        <v>0</v>
      </c>
      <c r="F154" s="307">
        <v>0</v>
      </c>
      <c r="G154" s="307">
        <v>0</v>
      </c>
      <c r="H154" s="307">
        <v>0</v>
      </c>
      <c r="I154" s="307">
        <v>0</v>
      </c>
      <c r="J154" s="307">
        <v>0</v>
      </c>
      <c r="K154" s="307">
        <v>0</v>
      </c>
      <c r="L154" s="307">
        <v>0</v>
      </c>
      <c r="M154" s="307">
        <v>0</v>
      </c>
      <c r="N154" s="307">
        <v>0</v>
      </c>
      <c r="O154" s="318" t="s">
        <v>4010</v>
      </c>
      <c r="Q154" s="122"/>
    </row>
    <row r="155" spans="1:17" s="87" customFormat="1" ht="18" hidden="1" outlineLevel="1" x14ac:dyDescent="0.2">
      <c r="A155" s="86"/>
      <c r="B155" s="68"/>
      <c r="C155" s="415"/>
      <c r="D155" s="414" t="s">
        <v>300</v>
      </c>
      <c r="E155" s="307">
        <v>0</v>
      </c>
      <c r="F155" s="307">
        <v>0</v>
      </c>
      <c r="G155" s="307">
        <v>0</v>
      </c>
      <c r="H155" s="307">
        <v>0</v>
      </c>
      <c r="I155" s="307">
        <v>0</v>
      </c>
      <c r="J155" s="307">
        <v>0</v>
      </c>
      <c r="K155" s="307">
        <v>0</v>
      </c>
      <c r="L155" s="307">
        <v>0</v>
      </c>
      <c r="M155" s="307">
        <v>0</v>
      </c>
      <c r="N155" s="307">
        <v>0</v>
      </c>
      <c r="O155" s="318" t="s">
        <v>4011</v>
      </c>
      <c r="Q155" s="122"/>
    </row>
    <row r="156" spans="1:17" s="87" customFormat="1" ht="18" hidden="1" outlineLevel="1" x14ac:dyDescent="0.2">
      <c r="A156" s="86"/>
      <c r="B156" s="68"/>
      <c r="C156" s="415"/>
      <c r="D156" s="414" t="s">
        <v>301</v>
      </c>
      <c r="E156" s="307">
        <v>0</v>
      </c>
      <c r="F156" s="307">
        <v>0</v>
      </c>
      <c r="G156" s="307">
        <v>0</v>
      </c>
      <c r="H156" s="307">
        <v>0</v>
      </c>
      <c r="I156" s="307">
        <v>0</v>
      </c>
      <c r="J156" s="307">
        <v>0</v>
      </c>
      <c r="K156" s="307">
        <v>0</v>
      </c>
      <c r="L156" s="307">
        <v>0</v>
      </c>
      <c r="M156" s="307">
        <v>0</v>
      </c>
      <c r="N156" s="307">
        <v>0</v>
      </c>
      <c r="O156" s="318" t="s">
        <v>4012</v>
      </c>
      <c r="Q156" s="122"/>
    </row>
    <row r="157" spans="1:17" s="87" customFormat="1" ht="18" hidden="1" outlineLevel="1" x14ac:dyDescent="0.2">
      <c r="A157" s="86"/>
      <c r="B157" s="68"/>
      <c r="C157" s="415"/>
      <c r="D157" s="405" t="str">
        <f>"Total "&amp;(IT_CodeG) &amp; " Costs"</f>
        <v>Total Other System 2 Costs</v>
      </c>
      <c r="E157" s="425">
        <f t="shared" ref="E157" si="14">SUM(E152:E156)</f>
        <v>0</v>
      </c>
      <c r="F157" s="425">
        <f>SUM(F152:F156)*(1+Inflation)</f>
        <v>0</v>
      </c>
      <c r="G157" s="425">
        <f>SUM(G152:G156)*(1+Inflation)^2</f>
        <v>0</v>
      </c>
      <c r="H157" s="425">
        <f>SUM(H152:H156)*(1+Inflation)^3</f>
        <v>0</v>
      </c>
      <c r="I157" s="425">
        <f>SUM(I152:I156)*(1+Inflation)^4</f>
        <v>0</v>
      </c>
      <c r="J157" s="425">
        <f>SUM(J152:J156)*(1+Inflation)^5</f>
        <v>0</v>
      </c>
      <c r="K157" s="425">
        <f>SUM(K152:K156)*(1+Inflation)^6</f>
        <v>0</v>
      </c>
      <c r="L157" s="425">
        <f>SUM(L152:L156)*(1+Inflation)^7</f>
        <v>0</v>
      </c>
      <c r="M157" s="425">
        <f>SUM(M152:M156)*(1+Inflation)^8</f>
        <v>0</v>
      </c>
      <c r="N157" s="425">
        <f>SUM(N152:N156)*(1+Inflation)^9</f>
        <v>0</v>
      </c>
      <c r="O157" s="318" t="s">
        <v>4013</v>
      </c>
      <c r="Q157" s="122"/>
    </row>
    <row r="158" spans="1:17" s="87" customFormat="1" ht="18" hidden="1" outlineLevel="1" x14ac:dyDescent="0.2">
      <c r="A158" s="86"/>
      <c r="B158" s="68"/>
      <c r="C158" s="413"/>
      <c r="D158" s="88"/>
      <c r="E158" s="88"/>
      <c r="F158" s="88"/>
      <c r="G158" s="88"/>
      <c r="H158" s="88"/>
      <c r="I158" s="88"/>
      <c r="J158" s="88"/>
      <c r="K158" s="88"/>
      <c r="L158" s="88"/>
      <c r="M158" s="88"/>
      <c r="N158" s="88"/>
      <c r="O158" s="412"/>
      <c r="Q158" s="122"/>
    </row>
    <row r="159" spans="1:17" s="87" customFormat="1" ht="20.25" hidden="1" outlineLevel="1" x14ac:dyDescent="0.3">
      <c r="A159" s="86"/>
      <c r="B159" s="68"/>
      <c r="C159" s="413"/>
      <c r="D159" s="421" t="s">
        <v>306</v>
      </c>
      <c r="E159" s="409">
        <f t="shared" ref="E159:N159" si="15">SUM(hSystemsCostIT_CodeA_Total+hSystemsCostIT_CodeB_Total+hSystemsCostIT_CodeC_Total+hSystemsCostIT_CodeD_Total+hSystemsCostIT_CodeE_Total+hSystemsCostIT_CodeF_Total+hSystemsCostIT_CodeG_Total)</f>
        <v>59450000</v>
      </c>
      <c r="F159" s="409">
        <f t="shared" si="15"/>
        <v>65484000</v>
      </c>
      <c r="G159" s="409">
        <f t="shared" si="15"/>
        <v>66538680</v>
      </c>
      <c r="H159" s="409">
        <f t="shared" si="15"/>
        <v>67614453.599999994</v>
      </c>
      <c r="I159" s="409">
        <f t="shared" si="15"/>
        <v>68711742.672000006</v>
      </c>
      <c r="J159" s="409">
        <f t="shared" si="15"/>
        <v>69830977.525440007</v>
      </c>
      <c r="K159" s="409">
        <f t="shared" si="15"/>
        <v>70972597.07594882</v>
      </c>
      <c r="L159" s="409">
        <f t="shared" si="15"/>
        <v>72137049.017467752</v>
      </c>
      <c r="M159" s="409">
        <f t="shared" si="15"/>
        <v>73324789.997817129</v>
      </c>
      <c r="N159" s="409">
        <f t="shared" si="15"/>
        <v>74536285.79777348</v>
      </c>
      <c r="O159" s="318" t="s">
        <v>319</v>
      </c>
      <c r="Q159" s="122"/>
    </row>
    <row r="160" spans="1:17" s="87" customFormat="1" ht="18.75" hidden="1" outlineLevel="1" thickBot="1" x14ac:dyDescent="0.25">
      <c r="A160" s="86"/>
      <c r="B160" s="68"/>
      <c r="C160" s="418"/>
      <c r="D160" s="420"/>
      <c r="E160" s="420"/>
      <c r="F160" s="420"/>
      <c r="G160" s="420"/>
      <c r="H160" s="420"/>
      <c r="I160" s="420"/>
      <c r="J160" s="420"/>
      <c r="K160" s="420"/>
      <c r="L160" s="420"/>
      <c r="M160" s="420"/>
      <c r="N160" s="420"/>
      <c r="O160" s="419"/>
      <c r="Q160" s="122"/>
    </row>
    <row r="161" spans="1:17" s="87" customFormat="1" ht="18.75" hidden="1" outlineLevel="1" thickBot="1" x14ac:dyDescent="0.25">
      <c r="A161" s="86"/>
      <c r="B161" s="68"/>
      <c r="H161" s="88"/>
      <c r="Q161" s="122"/>
    </row>
    <row r="162" spans="1:17" s="87" customFormat="1" ht="20.25" hidden="1" outlineLevel="1" x14ac:dyDescent="0.3">
      <c r="A162" s="86"/>
      <c r="B162" s="68"/>
      <c r="C162" s="422" t="str">
        <f>Scenario3&amp;" IT Requirements"</f>
        <v>eSystems (Paperless) IT Requirements</v>
      </c>
      <c r="D162" s="360"/>
      <c r="E162" s="360"/>
      <c r="F162" s="360"/>
      <c r="G162" s="360"/>
      <c r="H162" s="360"/>
      <c r="I162" s="360"/>
      <c r="J162" s="360"/>
      <c r="K162" s="360"/>
      <c r="L162" s="360"/>
      <c r="M162" s="360"/>
      <c r="N162" s="360"/>
      <c r="O162" s="410"/>
      <c r="Q162" s="122"/>
    </row>
    <row r="163" spans="1:17" s="87" customFormat="1" ht="20.25" hidden="1" outlineLevel="1" x14ac:dyDescent="0.3">
      <c r="A163" s="86"/>
      <c r="B163" s="68"/>
      <c r="C163" s="411"/>
      <c r="D163" s="404" t="str">
        <f>IT_CodeA</f>
        <v>Maintenance Information System</v>
      </c>
      <c r="E163" s="88"/>
      <c r="F163" s="88"/>
      <c r="G163" s="88"/>
      <c r="H163" s="88"/>
      <c r="I163" s="88"/>
      <c r="J163" s="88"/>
      <c r="K163" s="88"/>
      <c r="L163" s="88"/>
      <c r="M163" s="88"/>
      <c r="N163" s="88"/>
      <c r="O163" s="412"/>
      <c r="Q163" s="122"/>
    </row>
    <row r="164" spans="1:17" s="87" customFormat="1" ht="18" hidden="1" outlineLevel="1" x14ac:dyDescent="0.2">
      <c r="A164" s="86"/>
      <c r="B164" s="68"/>
      <c r="C164" s="413"/>
      <c r="D164" s="414" t="s">
        <v>298</v>
      </c>
      <c r="E164" s="307">
        <v>40000000</v>
      </c>
      <c r="F164" s="307">
        <v>40000000</v>
      </c>
      <c r="G164" s="307">
        <v>40000000</v>
      </c>
      <c r="H164" s="307">
        <v>40000000</v>
      </c>
      <c r="I164" s="307">
        <v>40000000</v>
      </c>
      <c r="J164" s="307">
        <v>40000000</v>
      </c>
      <c r="K164" s="307">
        <v>40000000</v>
      </c>
      <c r="L164" s="307">
        <v>40000000</v>
      </c>
      <c r="M164" s="307">
        <v>40000000</v>
      </c>
      <c r="N164" s="307">
        <v>40000000</v>
      </c>
      <c r="O164" s="318" t="s">
        <v>4014</v>
      </c>
      <c r="Q164" s="122"/>
    </row>
    <row r="165" spans="1:17" s="87" customFormat="1" ht="18" hidden="1" outlineLevel="1" x14ac:dyDescent="0.2">
      <c r="A165" s="86"/>
      <c r="B165" s="68"/>
      <c r="C165" s="415"/>
      <c r="D165" s="414" t="s">
        <v>299</v>
      </c>
      <c r="E165" s="307">
        <v>10000000</v>
      </c>
      <c r="F165" s="307">
        <v>10000000</v>
      </c>
      <c r="G165" s="307">
        <v>10000000</v>
      </c>
      <c r="H165" s="307">
        <v>10000000</v>
      </c>
      <c r="I165" s="307">
        <v>10000000</v>
      </c>
      <c r="J165" s="307">
        <v>10000000</v>
      </c>
      <c r="K165" s="307">
        <v>10000000</v>
      </c>
      <c r="L165" s="307">
        <v>10000000</v>
      </c>
      <c r="M165" s="307">
        <v>10000000</v>
      </c>
      <c r="N165" s="307">
        <v>10000000</v>
      </c>
      <c r="O165" s="318" t="s">
        <v>4015</v>
      </c>
      <c r="Q165" s="122"/>
    </row>
    <row r="166" spans="1:17" s="87" customFormat="1" ht="18" hidden="1" outlineLevel="1" x14ac:dyDescent="0.2">
      <c r="A166" s="86"/>
      <c r="B166" s="68"/>
      <c r="C166" s="415"/>
      <c r="D166" s="414" t="s">
        <v>305</v>
      </c>
      <c r="E166" s="307">
        <v>10000000</v>
      </c>
      <c r="F166" s="307">
        <v>10000000</v>
      </c>
      <c r="G166" s="307">
        <v>10000000</v>
      </c>
      <c r="H166" s="307">
        <v>10000000</v>
      </c>
      <c r="I166" s="307">
        <v>10000000</v>
      </c>
      <c r="J166" s="307">
        <v>10000000</v>
      </c>
      <c r="K166" s="307">
        <v>10000000</v>
      </c>
      <c r="L166" s="307">
        <v>10000000</v>
      </c>
      <c r="M166" s="307">
        <v>10000000</v>
      </c>
      <c r="N166" s="307">
        <v>10000000</v>
      </c>
      <c r="O166" s="318" t="s">
        <v>4016</v>
      </c>
      <c r="Q166" s="122"/>
    </row>
    <row r="167" spans="1:17" s="87" customFormat="1" ht="18" hidden="1" outlineLevel="1" x14ac:dyDescent="0.2">
      <c r="A167" s="86"/>
      <c r="B167" s="68"/>
      <c r="C167" s="415"/>
      <c r="D167" s="414" t="s">
        <v>300</v>
      </c>
      <c r="E167" s="307">
        <v>1000000</v>
      </c>
      <c r="F167" s="307">
        <v>1000000</v>
      </c>
      <c r="G167" s="307">
        <v>1000000</v>
      </c>
      <c r="H167" s="307">
        <v>1000000</v>
      </c>
      <c r="I167" s="307">
        <v>1000000</v>
      </c>
      <c r="J167" s="307">
        <v>1000000</v>
      </c>
      <c r="K167" s="307">
        <v>1000000</v>
      </c>
      <c r="L167" s="307">
        <v>1000000</v>
      </c>
      <c r="M167" s="307">
        <v>1000000</v>
      </c>
      <c r="N167" s="307">
        <v>1000000</v>
      </c>
      <c r="O167" s="318" t="s">
        <v>4017</v>
      </c>
      <c r="Q167" s="122"/>
    </row>
    <row r="168" spans="1:17" s="87" customFormat="1" ht="18" hidden="1" outlineLevel="1" x14ac:dyDescent="0.2">
      <c r="A168" s="86"/>
      <c r="B168" s="68"/>
      <c r="C168" s="415"/>
      <c r="D168" s="414" t="s">
        <v>301</v>
      </c>
      <c r="E168" s="307">
        <v>500000</v>
      </c>
      <c r="F168" s="307">
        <v>500000</v>
      </c>
      <c r="G168" s="307">
        <v>500000</v>
      </c>
      <c r="H168" s="307">
        <v>500000</v>
      </c>
      <c r="I168" s="307">
        <v>500000</v>
      </c>
      <c r="J168" s="307">
        <v>500000</v>
      </c>
      <c r="K168" s="307">
        <v>500000</v>
      </c>
      <c r="L168" s="307">
        <v>500000</v>
      </c>
      <c r="M168" s="307">
        <v>500000</v>
      </c>
      <c r="N168" s="307">
        <v>500000</v>
      </c>
      <c r="O168" s="318" t="s">
        <v>4018</v>
      </c>
      <c r="Q168" s="122"/>
    </row>
    <row r="169" spans="1:17" s="87" customFormat="1" ht="18" hidden="1" outlineLevel="1" x14ac:dyDescent="0.2">
      <c r="A169" s="86"/>
      <c r="B169" s="68"/>
      <c r="C169" s="415"/>
      <c r="D169" s="405" t="str">
        <f>"Total "&amp;(IT_CodeA) &amp; " Costs"</f>
        <v>Total Maintenance Information System Costs</v>
      </c>
      <c r="E169" s="425">
        <f t="shared" ref="E169" si="16">SUM(E164:E168)</f>
        <v>61500000</v>
      </c>
      <c r="F169" s="425">
        <f>SUM(F164:F168)*(1+Inflation)</f>
        <v>62730000</v>
      </c>
      <c r="G169" s="425">
        <f>SUM(G164:G168)*(1+Inflation)^2</f>
        <v>63984600</v>
      </c>
      <c r="H169" s="425">
        <f>SUM(H164:H168)*(1+Inflation)^3</f>
        <v>65264291.999999993</v>
      </c>
      <c r="I169" s="425">
        <f>SUM(I164:I168)*(1+Inflation)^4</f>
        <v>66569577.839999996</v>
      </c>
      <c r="J169" s="425">
        <f>SUM(J164:J168)*(1+Inflation)^5</f>
        <v>67900969.396799996</v>
      </c>
      <c r="K169" s="425">
        <f>SUM(K164:K168)*(1+Inflation)^6</f>
        <v>69258988.784736007</v>
      </c>
      <c r="L169" s="425">
        <f>SUM(L164:L168)*(1+Inflation)^7</f>
        <v>70644168.560430706</v>
      </c>
      <c r="M169" s="425">
        <f>SUM(M164:M168)*(1+Inflation)^8</f>
        <v>72057051.931639329</v>
      </c>
      <c r="N169" s="425">
        <f>SUM(N164:N168)*(1+Inflation)^9</f>
        <v>73498192.970272124</v>
      </c>
      <c r="O169" s="318" t="s">
        <v>4019</v>
      </c>
      <c r="Q169" s="122"/>
    </row>
    <row r="170" spans="1:17" s="87" customFormat="1" ht="18" hidden="1" outlineLevel="1" x14ac:dyDescent="0.2">
      <c r="A170" s="86"/>
      <c r="B170" s="68"/>
      <c r="C170" s="415"/>
      <c r="D170" s="416"/>
      <c r="E170" s="88"/>
      <c r="F170" s="88"/>
      <c r="G170" s="88"/>
      <c r="H170" s="88"/>
      <c r="I170" s="88"/>
      <c r="J170" s="88"/>
      <c r="K170" s="88"/>
      <c r="L170" s="88"/>
      <c r="M170" s="88"/>
      <c r="N170" s="88"/>
      <c r="O170" s="412"/>
      <c r="Q170" s="122"/>
    </row>
    <row r="171" spans="1:17" s="87" customFormat="1" ht="20.25" hidden="1" outlineLevel="1" x14ac:dyDescent="0.3">
      <c r="A171" s="86"/>
      <c r="B171" s="68"/>
      <c r="C171" s="411"/>
      <c r="D171" s="404" t="str">
        <f>IT_CodeB</f>
        <v>Document Management System</v>
      </c>
      <c r="E171" s="88"/>
      <c r="F171" s="88"/>
      <c r="G171" s="88"/>
      <c r="H171" s="88"/>
      <c r="I171" s="88"/>
      <c r="J171" s="88"/>
      <c r="K171" s="88"/>
      <c r="L171" s="88"/>
      <c r="M171" s="88"/>
      <c r="N171" s="88"/>
      <c r="O171" s="412"/>
      <c r="Q171" s="122"/>
    </row>
    <row r="172" spans="1:17" s="87" customFormat="1" ht="18" hidden="1" outlineLevel="1" x14ac:dyDescent="0.2">
      <c r="A172" s="86"/>
      <c r="B172" s="68"/>
      <c r="C172" s="413"/>
      <c r="D172" s="414" t="s">
        <v>298</v>
      </c>
      <c r="E172" s="307">
        <v>10000000</v>
      </c>
      <c r="F172" s="307">
        <v>10000000</v>
      </c>
      <c r="G172" s="307">
        <v>10000000</v>
      </c>
      <c r="H172" s="307">
        <v>10000000</v>
      </c>
      <c r="I172" s="307">
        <v>10000000</v>
      </c>
      <c r="J172" s="307">
        <v>10000000</v>
      </c>
      <c r="K172" s="307">
        <v>10000000</v>
      </c>
      <c r="L172" s="307">
        <v>10000000</v>
      </c>
      <c r="M172" s="307">
        <v>10000000</v>
      </c>
      <c r="N172" s="307">
        <v>10000000</v>
      </c>
      <c r="O172" s="318" t="s">
        <v>4020</v>
      </c>
      <c r="Q172" s="122"/>
    </row>
    <row r="173" spans="1:17" s="87" customFormat="1" ht="18" hidden="1" outlineLevel="1" x14ac:dyDescent="0.2">
      <c r="A173" s="86"/>
      <c r="B173" s="68"/>
      <c r="C173" s="415"/>
      <c r="D173" s="414" t="s">
        <v>299</v>
      </c>
      <c r="E173" s="307">
        <v>1000000</v>
      </c>
      <c r="F173" s="307">
        <v>1000000</v>
      </c>
      <c r="G173" s="307">
        <v>1000000</v>
      </c>
      <c r="H173" s="307">
        <v>1000000</v>
      </c>
      <c r="I173" s="307">
        <v>1000000</v>
      </c>
      <c r="J173" s="307">
        <v>1000000</v>
      </c>
      <c r="K173" s="307">
        <v>1000000</v>
      </c>
      <c r="L173" s="307">
        <v>1000000</v>
      </c>
      <c r="M173" s="307">
        <v>1000000</v>
      </c>
      <c r="N173" s="307">
        <v>1000000</v>
      </c>
      <c r="O173" s="318" t="s">
        <v>4021</v>
      </c>
      <c r="Q173" s="122"/>
    </row>
    <row r="174" spans="1:17" s="87" customFormat="1" ht="18" hidden="1" outlineLevel="1" x14ac:dyDescent="0.2">
      <c r="A174" s="86"/>
      <c r="B174" s="68"/>
      <c r="C174" s="415"/>
      <c r="D174" s="414" t="s">
        <v>305</v>
      </c>
      <c r="E174" s="307">
        <v>1000000</v>
      </c>
      <c r="F174" s="307">
        <v>1000000</v>
      </c>
      <c r="G174" s="307">
        <v>1000000</v>
      </c>
      <c r="H174" s="307">
        <v>1000000</v>
      </c>
      <c r="I174" s="307">
        <v>1000000</v>
      </c>
      <c r="J174" s="307">
        <v>1000000</v>
      </c>
      <c r="K174" s="307">
        <v>1000000</v>
      </c>
      <c r="L174" s="307">
        <v>1000000</v>
      </c>
      <c r="M174" s="307">
        <v>1000000</v>
      </c>
      <c r="N174" s="307">
        <v>1000000</v>
      </c>
      <c r="O174" s="318" t="s">
        <v>4022</v>
      </c>
      <c r="Q174" s="122"/>
    </row>
    <row r="175" spans="1:17" s="87" customFormat="1" ht="18" hidden="1" outlineLevel="1" x14ac:dyDescent="0.2">
      <c r="A175" s="86"/>
      <c r="B175" s="68"/>
      <c r="C175" s="415"/>
      <c r="D175" s="414" t="s">
        <v>300</v>
      </c>
      <c r="E175" s="307">
        <v>500000</v>
      </c>
      <c r="F175" s="307">
        <v>500000</v>
      </c>
      <c r="G175" s="307">
        <v>500000</v>
      </c>
      <c r="H175" s="307">
        <v>500000</v>
      </c>
      <c r="I175" s="307">
        <v>500000</v>
      </c>
      <c r="J175" s="307">
        <v>500000</v>
      </c>
      <c r="K175" s="307">
        <v>500000</v>
      </c>
      <c r="L175" s="307">
        <v>500000</v>
      </c>
      <c r="M175" s="307">
        <v>500000</v>
      </c>
      <c r="N175" s="307">
        <v>500000</v>
      </c>
      <c r="O175" s="318" t="s">
        <v>4023</v>
      </c>
      <c r="Q175" s="122"/>
    </row>
    <row r="176" spans="1:17" s="87" customFormat="1" ht="18" hidden="1" outlineLevel="1" x14ac:dyDescent="0.2">
      <c r="A176" s="86"/>
      <c r="B176" s="68"/>
      <c r="C176" s="415"/>
      <c r="D176" s="414" t="s">
        <v>301</v>
      </c>
      <c r="E176" s="307">
        <v>250000</v>
      </c>
      <c r="F176" s="307">
        <v>250000</v>
      </c>
      <c r="G176" s="307">
        <v>250000</v>
      </c>
      <c r="H176" s="307">
        <v>250000</v>
      </c>
      <c r="I176" s="307">
        <v>250000</v>
      </c>
      <c r="J176" s="307">
        <v>250000</v>
      </c>
      <c r="K176" s="307">
        <v>250000</v>
      </c>
      <c r="L176" s="307">
        <v>250000</v>
      </c>
      <c r="M176" s="307">
        <v>250000</v>
      </c>
      <c r="N176" s="307">
        <v>250000</v>
      </c>
      <c r="O176" s="318" t="s">
        <v>4024</v>
      </c>
      <c r="Q176" s="122"/>
    </row>
    <row r="177" spans="1:17" s="87" customFormat="1" ht="18" hidden="1" outlineLevel="1" x14ac:dyDescent="0.2">
      <c r="A177" s="86"/>
      <c r="B177" s="68"/>
      <c r="C177" s="415"/>
      <c r="D177" s="405" t="str">
        <f>"Total "&amp;(IT_CodeB) &amp; " Costs"</f>
        <v>Total Document Management System Costs</v>
      </c>
      <c r="E177" s="425">
        <f t="shared" ref="E177:N177" si="17">SUM(E172:E176)</f>
        <v>12750000</v>
      </c>
      <c r="F177" s="425">
        <f t="shared" si="17"/>
        <v>12750000</v>
      </c>
      <c r="G177" s="425">
        <f t="shared" si="17"/>
        <v>12750000</v>
      </c>
      <c r="H177" s="425">
        <f t="shared" si="17"/>
        <v>12750000</v>
      </c>
      <c r="I177" s="425">
        <f t="shared" si="17"/>
        <v>12750000</v>
      </c>
      <c r="J177" s="425">
        <f t="shared" si="17"/>
        <v>12750000</v>
      </c>
      <c r="K177" s="425">
        <f t="shared" si="17"/>
        <v>12750000</v>
      </c>
      <c r="L177" s="425">
        <f t="shared" si="17"/>
        <v>12750000</v>
      </c>
      <c r="M177" s="425">
        <f t="shared" si="17"/>
        <v>12750000</v>
      </c>
      <c r="N177" s="425">
        <f t="shared" si="17"/>
        <v>12750000</v>
      </c>
      <c r="O177" s="318" t="s">
        <v>4025</v>
      </c>
      <c r="Q177" s="122"/>
    </row>
    <row r="178" spans="1:17" s="122" customFormat="1" ht="18" hidden="1" outlineLevel="1" x14ac:dyDescent="0.2">
      <c r="A178" s="130"/>
      <c r="B178" s="68"/>
      <c r="C178" s="415"/>
      <c r="D178" s="406"/>
      <c r="E178" s="407"/>
      <c r="F178" s="407"/>
      <c r="G178" s="407"/>
      <c r="H178" s="407"/>
      <c r="I178" s="407"/>
      <c r="J178" s="407"/>
      <c r="K178" s="407"/>
      <c r="L178" s="407"/>
      <c r="M178" s="407"/>
      <c r="N178" s="407"/>
      <c r="O178" s="417"/>
    </row>
    <row r="179" spans="1:17" s="87" customFormat="1" ht="20.25" hidden="1" outlineLevel="1" x14ac:dyDescent="0.3">
      <c r="A179" s="86"/>
      <c r="B179" s="68"/>
      <c r="C179" s="411"/>
      <c r="D179" s="404" t="str">
        <f>IT_CodeC</f>
        <v>SCL Management System</v>
      </c>
      <c r="E179" s="88"/>
      <c r="F179" s="88"/>
      <c r="G179" s="88"/>
      <c r="H179" s="88"/>
      <c r="I179" s="88"/>
      <c r="J179" s="88"/>
      <c r="K179" s="88"/>
      <c r="L179" s="88"/>
      <c r="M179" s="88"/>
      <c r="N179" s="88"/>
      <c r="O179" s="412"/>
      <c r="Q179" s="122"/>
    </row>
    <row r="180" spans="1:17" s="87" customFormat="1" ht="18" hidden="1" outlineLevel="1" x14ac:dyDescent="0.2">
      <c r="A180" s="86"/>
      <c r="B180" s="68"/>
      <c r="C180" s="413"/>
      <c r="D180" s="414" t="s">
        <v>298</v>
      </c>
      <c r="E180" s="307">
        <v>10000000</v>
      </c>
      <c r="F180" s="307">
        <v>10000000</v>
      </c>
      <c r="G180" s="307">
        <v>10000000</v>
      </c>
      <c r="H180" s="307">
        <v>10000000</v>
      </c>
      <c r="I180" s="307">
        <v>10000000</v>
      </c>
      <c r="J180" s="307">
        <v>10000000</v>
      </c>
      <c r="K180" s="307">
        <v>10000000</v>
      </c>
      <c r="L180" s="307">
        <v>10000000</v>
      </c>
      <c r="M180" s="307">
        <v>10000000</v>
      </c>
      <c r="N180" s="307">
        <v>10000000</v>
      </c>
      <c r="O180" s="318" t="s">
        <v>4026</v>
      </c>
      <c r="Q180" s="122"/>
    </row>
    <row r="181" spans="1:17" s="87" customFormat="1" ht="18" hidden="1" outlineLevel="1" x14ac:dyDescent="0.2">
      <c r="A181" s="86"/>
      <c r="B181" s="68"/>
      <c r="C181" s="415"/>
      <c r="D181" s="414" t="s">
        <v>299</v>
      </c>
      <c r="E181" s="307">
        <v>1500000</v>
      </c>
      <c r="F181" s="307">
        <v>1500000</v>
      </c>
      <c r="G181" s="307">
        <v>1500000</v>
      </c>
      <c r="H181" s="307">
        <v>1500000</v>
      </c>
      <c r="I181" s="307">
        <v>1500000</v>
      </c>
      <c r="J181" s="307">
        <v>1500000</v>
      </c>
      <c r="K181" s="307">
        <v>1500000</v>
      </c>
      <c r="L181" s="307">
        <v>1500000</v>
      </c>
      <c r="M181" s="307">
        <v>1500000</v>
      </c>
      <c r="N181" s="307">
        <v>1500000</v>
      </c>
      <c r="O181" s="318" t="s">
        <v>4027</v>
      </c>
      <c r="Q181" s="122"/>
    </row>
    <row r="182" spans="1:17" s="87" customFormat="1" ht="18" hidden="1" outlineLevel="1" x14ac:dyDescent="0.2">
      <c r="A182" s="86"/>
      <c r="B182" s="68"/>
      <c r="C182" s="415"/>
      <c r="D182" s="414" t="s">
        <v>305</v>
      </c>
      <c r="E182" s="307">
        <v>2000000</v>
      </c>
      <c r="F182" s="307">
        <v>2000000</v>
      </c>
      <c r="G182" s="307">
        <v>2000000</v>
      </c>
      <c r="H182" s="307">
        <v>2000000</v>
      </c>
      <c r="I182" s="307">
        <v>2000000</v>
      </c>
      <c r="J182" s="307">
        <v>2000000</v>
      </c>
      <c r="K182" s="307">
        <v>2000000</v>
      </c>
      <c r="L182" s="307">
        <v>2000000</v>
      </c>
      <c r="M182" s="307">
        <v>2000000</v>
      </c>
      <c r="N182" s="307">
        <v>2000000</v>
      </c>
      <c r="O182" s="318" t="s">
        <v>4028</v>
      </c>
      <c r="Q182" s="122"/>
    </row>
    <row r="183" spans="1:17" s="87" customFormat="1" ht="18" hidden="1" outlineLevel="1" x14ac:dyDescent="0.2">
      <c r="A183" s="86"/>
      <c r="B183" s="68"/>
      <c r="C183" s="415"/>
      <c r="D183" s="414" t="s">
        <v>300</v>
      </c>
      <c r="E183" s="307">
        <v>500000</v>
      </c>
      <c r="F183" s="307">
        <v>500000</v>
      </c>
      <c r="G183" s="307">
        <v>500000</v>
      </c>
      <c r="H183" s="307">
        <v>500000</v>
      </c>
      <c r="I183" s="307">
        <v>500000</v>
      </c>
      <c r="J183" s="307">
        <v>500000</v>
      </c>
      <c r="K183" s="307">
        <v>500000</v>
      </c>
      <c r="L183" s="307">
        <v>500000</v>
      </c>
      <c r="M183" s="307">
        <v>500000</v>
      </c>
      <c r="N183" s="307">
        <v>500000</v>
      </c>
      <c r="O183" s="318" t="s">
        <v>4029</v>
      </c>
      <c r="Q183" s="122"/>
    </row>
    <row r="184" spans="1:17" s="87" customFormat="1" ht="18" hidden="1" outlineLevel="1" x14ac:dyDescent="0.2">
      <c r="A184" s="86"/>
      <c r="B184" s="68"/>
      <c r="C184" s="415"/>
      <c r="D184" s="414" t="s">
        <v>301</v>
      </c>
      <c r="E184" s="307">
        <v>100000</v>
      </c>
      <c r="F184" s="307">
        <v>100000</v>
      </c>
      <c r="G184" s="307">
        <v>100000</v>
      </c>
      <c r="H184" s="307">
        <v>100000</v>
      </c>
      <c r="I184" s="307">
        <v>100000</v>
      </c>
      <c r="J184" s="307">
        <v>100000</v>
      </c>
      <c r="K184" s="307">
        <v>100000</v>
      </c>
      <c r="L184" s="307">
        <v>100000</v>
      </c>
      <c r="M184" s="307">
        <v>100000</v>
      </c>
      <c r="N184" s="307">
        <v>100000</v>
      </c>
      <c r="O184" s="318" t="s">
        <v>4030</v>
      </c>
      <c r="Q184" s="122"/>
    </row>
    <row r="185" spans="1:17" s="87" customFormat="1" ht="18" hidden="1" outlineLevel="1" x14ac:dyDescent="0.2">
      <c r="A185" s="86"/>
      <c r="B185" s="68"/>
      <c r="C185" s="415"/>
      <c r="D185" s="405" t="str">
        <f>"Total "&amp;(IT_CodeC) &amp; " Costs"</f>
        <v>Total SCL Management System Costs</v>
      </c>
      <c r="E185" s="425">
        <f t="shared" ref="E185" si="18">SUM(E180:E184)</f>
        <v>14100000</v>
      </c>
      <c r="F185" s="425">
        <f>SUM(F180:F184)*(1+Inflation)</f>
        <v>14382000</v>
      </c>
      <c r="G185" s="425">
        <f>SUM(G180:G184)*(1+Inflation)^2</f>
        <v>14669640</v>
      </c>
      <c r="H185" s="425">
        <f>SUM(H180:H184)*(1+Inflation)^3</f>
        <v>14963032.799999999</v>
      </c>
      <c r="I185" s="425">
        <f>SUM(I180:I184)*(1+Inflation)^4</f>
        <v>15262293.456</v>
      </c>
      <c r="J185" s="425">
        <f>SUM(J180:J184)*(1+Inflation)^5</f>
        <v>15567539.32512</v>
      </c>
      <c r="K185" s="425">
        <f>SUM(K180:K184)*(1+Inflation)^6</f>
        <v>15878890.111622401</v>
      </c>
      <c r="L185" s="425">
        <f>SUM(L180:L184)*(1+Inflation)^7</f>
        <v>16196467.913854845</v>
      </c>
      <c r="M185" s="425">
        <f>SUM(M180:M184)*(1+Inflation)^8</f>
        <v>16520397.272131944</v>
      </c>
      <c r="N185" s="425">
        <f>SUM(N180:N184)*(1+Inflation)^9</f>
        <v>16850805.217574582</v>
      </c>
      <c r="O185" s="318" t="s">
        <v>4031</v>
      </c>
      <c r="Q185" s="122"/>
    </row>
    <row r="186" spans="1:17" s="122" customFormat="1" ht="18" hidden="1" outlineLevel="1" x14ac:dyDescent="0.2">
      <c r="A186" s="130"/>
      <c r="B186" s="68"/>
      <c r="C186" s="415"/>
      <c r="D186" s="406"/>
      <c r="E186" s="407"/>
      <c r="F186" s="407"/>
      <c r="G186" s="407"/>
      <c r="H186" s="407"/>
      <c r="I186" s="407"/>
      <c r="J186" s="407"/>
      <c r="K186" s="407"/>
      <c r="L186" s="407"/>
      <c r="M186" s="407"/>
      <c r="N186" s="407"/>
      <c r="O186" s="417"/>
    </row>
    <row r="187" spans="1:17" s="87" customFormat="1" ht="20.25" hidden="1" outlineLevel="1" x14ac:dyDescent="0.3">
      <c r="A187" s="86"/>
      <c r="B187" s="68"/>
      <c r="C187" s="411"/>
      <c r="D187" s="404" t="str">
        <f>IT_CodeD</f>
        <v>Mobility System</v>
      </c>
      <c r="E187" s="88"/>
      <c r="F187" s="88"/>
      <c r="G187" s="88"/>
      <c r="H187" s="88"/>
      <c r="I187" s="88"/>
      <c r="J187" s="88"/>
      <c r="K187" s="88"/>
      <c r="L187" s="88"/>
      <c r="M187" s="88"/>
      <c r="N187" s="88"/>
      <c r="O187" s="412"/>
      <c r="Q187" s="122"/>
    </row>
    <row r="188" spans="1:17" s="87" customFormat="1" ht="18" hidden="1" outlineLevel="1" x14ac:dyDescent="0.2">
      <c r="A188" s="86"/>
      <c r="B188" s="68"/>
      <c r="C188" s="413"/>
      <c r="D188" s="414" t="s">
        <v>298</v>
      </c>
      <c r="E188" s="307">
        <v>500000</v>
      </c>
      <c r="F188" s="307">
        <v>500000</v>
      </c>
      <c r="G188" s="307">
        <v>500000</v>
      </c>
      <c r="H188" s="307">
        <v>500000</v>
      </c>
      <c r="I188" s="307">
        <v>500000</v>
      </c>
      <c r="J188" s="307">
        <v>500000</v>
      </c>
      <c r="K188" s="307">
        <v>500000</v>
      </c>
      <c r="L188" s="307">
        <v>500000</v>
      </c>
      <c r="M188" s="307">
        <v>500000</v>
      </c>
      <c r="N188" s="307">
        <v>500000</v>
      </c>
      <c r="O188" s="318" t="s">
        <v>4032</v>
      </c>
      <c r="Q188" s="122"/>
    </row>
    <row r="189" spans="1:17" s="87" customFormat="1" ht="18" hidden="1" outlineLevel="1" x14ac:dyDescent="0.2">
      <c r="A189" s="86"/>
      <c r="B189" s="68"/>
      <c r="C189" s="415"/>
      <c r="D189" s="414" t="s">
        <v>299</v>
      </c>
      <c r="E189" s="307">
        <v>250000</v>
      </c>
      <c r="F189" s="307">
        <v>250000</v>
      </c>
      <c r="G189" s="307">
        <v>250000</v>
      </c>
      <c r="H189" s="307">
        <v>250000</v>
      </c>
      <c r="I189" s="307">
        <v>250000</v>
      </c>
      <c r="J189" s="307">
        <v>250000</v>
      </c>
      <c r="K189" s="307">
        <v>250000</v>
      </c>
      <c r="L189" s="307">
        <v>250000</v>
      </c>
      <c r="M189" s="307">
        <v>250000</v>
      </c>
      <c r="N189" s="307">
        <v>250000</v>
      </c>
      <c r="O189" s="318" t="s">
        <v>4033</v>
      </c>
      <c r="Q189" s="122"/>
    </row>
    <row r="190" spans="1:17" s="87" customFormat="1" ht="18" hidden="1" outlineLevel="1" x14ac:dyDescent="0.2">
      <c r="A190" s="86"/>
      <c r="B190" s="68"/>
      <c r="C190" s="415"/>
      <c r="D190" s="414" t="s">
        <v>305</v>
      </c>
      <c r="E190" s="307">
        <v>100000</v>
      </c>
      <c r="F190" s="307">
        <v>100000</v>
      </c>
      <c r="G190" s="307">
        <v>100000</v>
      </c>
      <c r="H190" s="307">
        <v>100000</v>
      </c>
      <c r="I190" s="307">
        <v>100000</v>
      </c>
      <c r="J190" s="307">
        <v>100000</v>
      </c>
      <c r="K190" s="307">
        <v>100000</v>
      </c>
      <c r="L190" s="307">
        <v>100000</v>
      </c>
      <c r="M190" s="307">
        <v>100000</v>
      </c>
      <c r="N190" s="307">
        <v>100000</v>
      </c>
      <c r="O190" s="318" t="s">
        <v>4034</v>
      </c>
      <c r="Q190" s="122"/>
    </row>
    <row r="191" spans="1:17" s="87" customFormat="1" ht="18" hidden="1" outlineLevel="1" x14ac:dyDescent="0.2">
      <c r="A191" s="86"/>
      <c r="B191" s="68"/>
      <c r="C191" s="415"/>
      <c r="D191" s="414" t="s">
        <v>300</v>
      </c>
      <c r="E191" s="307">
        <v>50000</v>
      </c>
      <c r="F191" s="307">
        <v>50000</v>
      </c>
      <c r="G191" s="307">
        <v>50000</v>
      </c>
      <c r="H191" s="307">
        <v>50000</v>
      </c>
      <c r="I191" s="307">
        <v>50000</v>
      </c>
      <c r="J191" s="307">
        <v>50000</v>
      </c>
      <c r="K191" s="307">
        <v>50000</v>
      </c>
      <c r="L191" s="307">
        <v>50000</v>
      </c>
      <c r="M191" s="307">
        <v>50000</v>
      </c>
      <c r="N191" s="307">
        <v>50000</v>
      </c>
      <c r="O191" s="318" t="s">
        <v>4035</v>
      </c>
      <c r="Q191" s="122"/>
    </row>
    <row r="192" spans="1:17" s="87" customFormat="1" ht="18" hidden="1" outlineLevel="1" x14ac:dyDescent="0.2">
      <c r="A192" s="86"/>
      <c r="B192" s="68"/>
      <c r="C192" s="415"/>
      <c r="D192" s="414" t="s">
        <v>301</v>
      </c>
      <c r="E192" s="307">
        <v>200000</v>
      </c>
      <c r="F192" s="307">
        <v>200000</v>
      </c>
      <c r="G192" s="307">
        <v>200000</v>
      </c>
      <c r="H192" s="307">
        <v>200000</v>
      </c>
      <c r="I192" s="307">
        <v>200000</v>
      </c>
      <c r="J192" s="307">
        <v>200000</v>
      </c>
      <c r="K192" s="307">
        <v>200000</v>
      </c>
      <c r="L192" s="307">
        <v>200000</v>
      </c>
      <c r="M192" s="307">
        <v>200000</v>
      </c>
      <c r="N192" s="307">
        <v>200000</v>
      </c>
      <c r="O192" s="318" t="s">
        <v>4036</v>
      </c>
      <c r="Q192" s="122"/>
    </row>
    <row r="193" spans="1:17" s="87" customFormat="1" ht="18" hidden="1" outlineLevel="1" x14ac:dyDescent="0.2">
      <c r="A193" s="86"/>
      <c r="B193" s="68"/>
      <c r="C193" s="415"/>
      <c r="D193" s="405" t="str">
        <f>"Total "&amp;(IT_CodeD) &amp; " Costs"</f>
        <v>Total Mobility System Costs</v>
      </c>
      <c r="E193" s="425">
        <f t="shared" ref="E193" si="19">SUM(E188:E192)</f>
        <v>1100000</v>
      </c>
      <c r="F193" s="425">
        <f>SUM(F188:F192)*(1+Inflation)</f>
        <v>1122000</v>
      </c>
      <c r="G193" s="425">
        <f>SUM(G188:G192)*(1+Inflation)^2</f>
        <v>1144440</v>
      </c>
      <c r="H193" s="425">
        <f>SUM(H188:H192)*(1+Inflation)^3</f>
        <v>1167328.7999999998</v>
      </c>
      <c r="I193" s="425">
        <f>SUM(I188:I192)*(1+Inflation)^4</f>
        <v>1190675.3759999999</v>
      </c>
      <c r="J193" s="425">
        <f>SUM(J188:J192)*(1+Inflation)^5</f>
        <v>1214488.8835199999</v>
      </c>
      <c r="K193" s="425">
        <f>SUM(K188:K192)*(1+Inflation)^6</f>
        <v>1238778.6611904001</v>
      </c>
      <c r="L193" s="425">
        <f>SUM(L188:L192)*(1+Inflation)^7</f>
        <v>1263554.2344142077</v>
      </c>
      <c r="M193" s="425">
        <f>SUM(M188:M192)*(1+Inflation)^8</f>
        <v>1288825.3191024922</v>
      </c>
      <c r="N193" s="425">
        <f>SUM(N188:N192)*(1+Inflation)^9</f>
        <v>1314601.8254845419</v>
      </c>
      <c r="O193" s="318" t="s">
        <v>4037</v>
      </c>
      <c r="Q193" s="122"/>
    </row>
    <row r="194" spans="1:17" s="122" customFormat="1" ht="18" hidden="1" outlineLevel="1" x14ac:dyDescent="0.2">
      <c r="A194" s="130"/>
      <c r="B194" s="68"/>
      <c r="C194" s="415"/>
      <c r="D194" s="406"/>
      <c r="E194" s="407"/>
      <c r="F194" s="407"/>
      <c r="G194" s="407"/>
      <c r="H194" s="407"/>
      <c r="I194" s="407"/>
      <c r="J194" s="407"/>
      <c r="K194" s="407"/>
      <c r="L194" s="407"/>
      <c r="M194" s="407"/>
      <c r="N194" s="407"/>
      <c r="O194" s="417"/>
    </row>
    <row r="195" spans="1:17" s="87" customFormat="1" ht="20.25" hidden="1" outlineLevel="1" x14ac:dyDescent="0.3">
      <c r="A195" s="86"/>
      <c r="B195" s="68"/>
      <c r="C195" s="411"/>
      <c r="D195" s="404" t="str">
        <f>IT_CodeE</f>
        <v>eTechnical Logbook</v>
      </c>
      <c r="E195" s="88"/>
      <c r="F195" s="88"/>
      <c r="G195" s="88"/>
      <c r="H195" s="88"/>
      <c r="I195" s="88"/>
      <c r="J195" s="88"/>
      <c r="K195" s="88"/>
      <c r="L195" s="88"/>
      <c r="M195" s="88"/>
      <c r="N195" s="88"/>
      <c r="O195" s="412"/>
      <c r="Q195" s="122"/>
    </row>
    <row r="196" spans="1:17" s="87" customFormat="1" ht="18" hidden="1" outlineLevel="1" x14ac:dyDescent="0.2">
      <c r="A196" s="86"/>
      <c r="B196" s="68"/>
      <c r="C196" s="413"/>
      <c r="D196" s="414" t="s">
        <v>298</v>
      </c>
      <c r="E196" s="307">
        <v>500000</v>
      </c>
      <c r="F196" s="307">
        <v>500000</v>
      </c>
      <c r="G196" s="307">
        <v>500000</v>
      </c>
      <c r="H196" s="307">
        <v>500000</v>
      </c>
      <c r="I196" s="307">
        <v>500000</v>
      </c>
      <c r="J196" s="307">
        <v>500000</v>
      </c>
      <c r="K196" s="307">
        <v>500000</v>
      </c>
      <c r="L196" s="307">
        <v>500000</v>
      </c>
      <c r="M196" s="307">
        <v>500000</v>
      </c>
      <c r="N196" s="307">
        <v>500000</v>
      </c>
      <c r="O196" s="318" t="s">
        <v>4038</v>
      </c>
      <c r="Q196" s="122"/>
    </row>
    <row r="197" spans="1:17" s="87" customFormat="1" ht="18" hidden="1" outlineLevel="1" x14ac:dyDescent="0.2">
      <c r="A197" s="86"/>
      <c r="B197" s="68"/>
      <c r="C197" s="415"/>
      <c r="D197" s="414" t="s">
        <v>299</v>
      </c>
      <c r="E197" s="307">
        <v>250000</v>
      </c>
      <c r="F197" s="307">
        <v>250000</v>
      </c>
      <c r="G197" s="307">
        <v>250000</v>
      </c>
      <c r="H197" s="307">
        <v>250000</v>
      </c>
      <c r="I197" s="307">
        <v>250000</v>
      </c>
      <c r="J197" s="307">
        <v>250000</v>
      </c>
      <c r="K197" s="307">
        <v>250000</v>
      </c>
      <c r="L197" s="307">
        <v>250000</v>
      </c>
      <c r="M197" s="307">
        <v>250000</v>
      </c>
      <c r="N197" s="307">
        <v>250000</v>
      </c>
      <c r="O197" s="318" t="s">
        <v>4039</v>
      </c>
      <c r="Q197" s="122"/>
    </row>
    <row r="198" spans="1:17" s="87" customFormat="1" ht="18" hidden="1" outlineLevel="1" x14ac:dyDescent="0.2">
      <c r="A198" s="86"/>
      <c r="B198" s="68"/>
      <c r="C198" s="415"/>
      <c r="D198" s="414" t="s">
        <v>305</v>
      </c>
      <c r="E198" s="307">
        <v>100000</v>
      </c>
      <c r="F198" s="307">
        <v>100000</v>
      </c>
      <c r="G198" s="307">
        <v>100000</v>
      </c>
      <c r="H198" s="307">
        <v>100000</v>
      </c>
      <c r="I198" s="307">
        <v>100000</v>
      </c>
      <c r="J198" s="307">
        <v>100000</v>
      </c>
      <c r="K198" s="307">
        <v>100000</v>
      </c>
      <c r="L198" s="307">
        <v>100000</v>
      </c>
      <c r="M198" s="307">
        <v>100000</v>
      </c>
      <c r="N198" s="307">
        <v>100000</v>
      </c>
      <c r="O198" s="318" t="s">
        <v>4040</v>
      </c>
      <c r="Q198" s="122"/>
    </row>
    <row r="199" spans="1:17" s="87" customFormat="1" ht="18" hidden="1" outlineLevel="1" x14ac:dyDescent="0.2">
      <c r="A199" s="86"/>
      <c r="B199" s="68"/>
      <c r="C199" s="415"/>
      <c r="D199" s="414" t="s">
        <v>300</v>
      </c>
      <c r="E199" s="307">
        <v>50000</v>
      </c>
      <c r="F199" s="307">
        <v>50000</v>
      </c>
      <c r="G199" s="307">
        <v>50000</v>
      </c>
      <c r="H199" s="307">
        <v>50000</v>
      </c>
      <c r="I199" s="307">
        <v>50000</v>
      </c>
      <c r="J199" s="307">
        <v>50000</v>
      </c>
      <c r="K199" s="307">
        <v>50000</v>
      </c>
      <c r="L199" s="307">
        <v>50000</v>
      </c>
      <c r="M199" s="307">
        <v>50000</v>
      </c>
      <c r="N199" s="307">
        <v>50000</v>
      </c>
      <c r="O199" s="318" t="s">
        <v>4041</v>
      </c>
      <c r="Q199" s="122"/>
    </row>
    <row r="200" spans="1:17" s="87" customFormat="1" ht="18" hidden="1" outlineLevel="1" x14ac:dyDescent="0.2">
      <c r="A200" s="86"/>
      <c r="B200" s="68"/>
      <c r="C200" s="415"/>
      <c r="D200" s="414" t="s">
        <v>301</v>
      </c>
      <c r="E200" s="307">
        <v>200000</v>
      </c>
      <c r="F200" s="307">
        <v>200000</v>
      </c>
      <c r="G200" s="307">
        <v>200000</v>
      </c>
      <c r="H200" s="307">
        <v>200000</v>
      </c>
      <c r="I200" s="307">
        <v>200000</v>
      </c>
      <c r="J200" s="307">
        <v>200000</v>
      </c>
      <c r="K200" s="307">
        <v>200000</v>
      </c>
      <c r="L200" s="307">
        <v>200000</v>
      </c>
      <c r="M200" s="307">
        <v>200000</v>
      </c>
      <c r="N200" s="307">
        <v>200000</v>
      </c>
      <c r="O200" s="318" t="s">
        <v>4042</v>
      </c>
      <c r="Q200" s="122"/>
    </row>
    <row r="201" spans="1:17" s="87" customFormat="1" ht="18" hidden="1" outlineLevel="1" x14ac:dyDescent="0.2">
      <c r="A201" s="86"/>
      <c r="B201" s="68"/>
      <c r="C201" s="415"/>
      <c r="D201" s="405" t="str">
        <f>"Total "&amp;(IT_CodeE) &amp; " Costs"</f>
        <v>Total eTechnical Logbook Costs</v>
      </c>
      <c r="E201" s="425">
        <f t="shared" ref="E201" si="20">SUM(E196:E200)</f>
        <v>1100000</v>
      </c>
      <c r="F201" s="425">
        <f>SUM(F196:F200)*(1+Inflation)</f>
        <v>1122000</v>
      </c>
      <c r="G201" s="425">
        <f>SUM(G196:G200)*(1+Inflation)^2</f>
        <v>1144440</v>
      </c>
      <c r="H201" s="425">
        <f>SUM(H196:H200)*(1+Inflation)^3</f>
        <v>1167328.7999999998</v>
      </c>
      <c r="I201" s="425">
        <f>SUM(I196:I200)*(1+Inflation)^4</f>
        <v>1190675.3759999999</v>
      </c>
      <c r="J201" s="425">
        <f>SUM(J196:J200)*(1+Inflation)^5</f>
        <v>1214488.8835199999</v>
      </c>
      <c r="K201" s="425">
        <f>SUM(K196:K200)*(1+Inflation)^6</f>
        <v>1238778.6611904001</v>
      </c>
      <c r="L201" s="425">
        <f>SUM(L196:L200)*(1+Inflation)^7</f>
        <v>1263554.2344142077</v>
      </c>
      <c r="M201" s="425">
        <f>SUM(M196:M200)*(1+Inflation)^8</f>
        <v>1288825.3191024922</v>
      </c>
      <c r="N201" s="425">
        <f>SUM(N196:N200)*(1+Inflation)^9</f>
        <v>1314601.8254845419</v>
      </c>
      <c r="O201" s="318" t="s">
        <v>4043</v>
      </c>
      <c r="Q201" s="122"/>
    </row>
    <row r="202" spans="1:17" s="87" customFormat="1" ht="18" hidden="1" outlineLevel="1" x14ac:dyDescent="0.2">
      <c r="A202" s="86"/>
      <c r="B202" s="68"/>
      <c r="C202" s="415"/>
      <c r="D202" s="88"/>
      <c r="E202" s="88"/>
      <c r="F202" s="88"/>
      <c r="G202" s="88"/>
      <c r="H202" s="88"/>
      <c r="I202" s="88"/>
      <c r="J202" s="88"/>
      <c r="K202" s="88"/>
      <c r="L202" s="88"/>
      <c r="M202" s="88"/>
      <c r="N202" s="88"/>
      <c r="O202" s="412"/>
      <c r="Q202" s="122"/>
    </row>
    <row r="203" spans="1:17" s="87" customFormat="1" ht="20.25" hidden="1" outlineLevel="1" x14ac:dyDescent="0.3">
      <c r="A203" s="86"/>
      <c r="B203" s="68"/>
      <c r="C203" s="411"/>
      <c r="D203" s="404" t="str">
        <f>IT_CodeF</f>
        <v>Other System 1</v>
      </c>
      <c r="E203" s="88"/>
      <c r="F203" s="88"/>
      <c r="G203" s="88"/>
      <c r="H203" s="88"/>
      <c r="I203" s="88"/>
      <c r="J203" s="88"/>
      <c r="K203" s="88"/>
      <c r="L203" s="88"/>
      <c r="M203" s="88"/>
      <c r="N203" s="88"/>
      <c r="O203" s="412"/>
      <c r="Q203" s="122"/>
    </row>
    <row r="204" spans="1:17" s="87" customFormat="1" ht="18" hidden="1" outlineLevel="1" x14ac:dyDescent="0.2">
      <c r="A204" s="86"/>
      <c r="B204" s="68"/>
      <c r="C204" s="413"/>
      <c r="D204" s="414" t="s">
        <v>298</v>
      </c>
      <c r="E204" s="307">
        <v>0</v>
      </c>
      <c r="F204" s="307">
        <v>0</v>
      </c>
      <c r="G204" s="307">
        <v>0</v>
      </c>
      <c r="H204" s="307">
        <v>0</v>
      </c>
      <c r="I204" s="307">
        <v>0</v>
      </c>
      <c r="J204" s="307">
        <v>0</v>
      </c>
      <c r="K204" s="307">
        <v>0</v>
      </c>
      <c r="L204" s="307">
        <v>0</v>
      </c>
      <c r="M204" s="307">
        <v>0</v>
      </c>
      <c r="N204" s="307">
        <v>0</v>
      </c>
      <c r="O204" s="318" t="s">
        <v>4044</v>
      </c>
      <c r="Q204" s="122"/>
    </row>
    <row r="205" spans="1:17" s="87" customFormat="1" ht="18" hidden="1" outlineLevel="1" x14ac:dyDescent="0.2">
      <c r="A205" s="86"/>
      <c r="B205" s="68"/>
      <c r="C205" s="415"/>
      <c r="D205" s="414" t="s">
        <v>299</v>
      </c>
      <c r="E205" s="307">
        <v>0</v>
      </c>
      <c r="F205" s="307">
        <v>0</v>
      </c>
      <c r="G205" s="307">
        <v>0</v>
      </c>
      <c r="H205" s="307">
        <v>0</v>
      </c>
      <c r="I205" s="307">
        <v>0</v>
      </c>
      <c r="J205" s="307">
        <v>0</v>
      </c>
      <c r="K205" s="307">
        <v>0</v>
      </c>
      <c r="L205" s="307">
        <v>0</v>
      </c>
      <c r="M205" s="307">
        <v>0</v>
      </c>
      <c r="N205" s="307">
        <v>0</v>
      </c>
      <c r="O205" s="318" t="s">
        <v>4045</v>
      </c>
      <c r="Q205" s="122"/>
    </row>
    <row r="206" spans="1:17" s="87" customFormat="1" ht="18" hidden="1" outlineLevel="1" x14ac:dyDescent="0.2">
      <c r="A206" s="86"/>
      <c r="B206" s="68"/>
      <c r="C206" s="415"/>
      <c r="D206" s="414" t="s">
        <v>305</v>
      </c>
      <c r="E206" s="307">
        <v>0</v>
      </c>
      <c r="F206" s="307">
        <v>0</v>
      </c>
      <c r="G206" s="307">
        <v>0</v>
      </c>
      <c r="H206" s="307">
        <v>0</v>
      </c>
      <c r="I206" s="307">
        <v>0</v>
      </c>
      <c r="J206" s="307">
        <v>0</v>
      </c>
      <c r="K206" s="307">
        <v>0</v>
      </c>
      <c r="L206" s="307">
        <v>0</v>
      </c>
      <c r="M206" s="307">
        <v>0</v>
      </c>
      <c r="N206" s="307">
        <v>0</v>
      </c>
      <c r="O206" s="318" t="s">
        <v>4046</v>
      </c>
      <c r="Q206" s="122"/>
    </row>
    <row r="207" spans="1:17" s="87" customFormat="1" ht="18" hidden="1" outlineLevel="1" x14ac:dyDescent="0.2">
      <c r="A207" s="86"/>
      <c r="B207" s="68"/>
      <c r="C207" s="415"/>
      <c r="D207" s="414" t="s">
        <v>300</v>
      </c>
      <c r="E207" s="307">
        <v>0</v>
      </c>
      <c r="F207" s="307">
        <v>0</v>
      </c>
      <c r="G207" s="307">
        <v>0</v>
      </c>
      <c r="H207" s="307">
        <v>0</v>
      </c>
      <c r="I207" s="307">
        <v>0</v>
      </c>
      <c r="J207" s="307">
        <v>0</v>
      </c>
      <c r="K207" s="307">
        <v>0</v>
      </c>
      <c r="L207" s="307">
        <v>0</v>
      </c>
      <c r="M207" s="307">
        <v>0</v>
      </c>
      <c r="N207" s="307">
        <v>0</v>
      </c>
      <c r="O207" s="318" t="s">
        <v>4047</v>
      </c>
      <c r="Q207" s="122"/>
    </row>
    <row r="208" spans="1:17" s="87" customFormat="1" ht="18" hidden="1" outlineLevel="1" x14ac:dyDescent="0.2">
      <c r="A208" s="86"/>
      <c r="B208" s="68"/>
      <c r="C208" s="415"/>
      <c r="D208" s="414" t="s">
        <v>301</v>
      </c>
      <c r="E208" s="307">
        <v>0</v>
      </c>
      <c r="F208" s="307">
        <v>0</v>
      </c>
      <c r="G208" s="307">
        <v>0</v>
      </c>
      <c r="H208" s="307">
        <v>0</v>
      </c>
      <c r="I208" s="307">
        <v>0</v>
      </c>
      <c r="J208" s="307">
        <v>0</v>
      </c>
      <c r="K208" s="307">
        <v>0</v>
      </c>
      <c r="L208" s="307">
        <v>0</v>
      </c>
      <c r="M208" s="307">
        <v>0</v>
      </c>
      <c r="N208" s="307">
        <v>0</v>
      </c>
      <c r="O208" s="318" t="s">
        <v>4048</v>
      </c>
      <c r="Q208" s="122"/>
    </row>
    <row r="209" spans="1:32" s="87" customFormat="1" ht="18" hidden="1" outlineLevel="1" x14ac:dyDescent="0.2">
      <c r="A209" s="86"/>
      <c r="B209" s="68"/>
      <c r="C209" s="415"/>
      <c r="D209" s="405" t="str">
        <f>"Total "&amp;(IT_CodeF) &amp; " Costs"</f>
        <v>Total Other System 1 Costs</v>
      </c>
      <c r="E209" s="425">
        <f t="shared" ref="E209" si="21">SUM(E204:E208)</f>
        <v>0</v>
      </c>
      <c r="F209" s="425">
        <f>SUM(F204:F208)*(1+Inflation)</f>
        <v>0</v>
      </c>
      <c r="G209" s="425">
        <f>SUM(G204:G208)*(1+Inflation)^2</f>
        <v>0</v>
      </c>
      <c r="H209" s="425">
        <f>SUM(H204:H208)*(1+Inflation)^3</f>
        <v>0</v>
      </c>
      <c r="I209" s="425">
        <f>SUM(I204:I208)*(1+Inflation)^4</f>
        <v>0</v>
      </c>
      <c r="J209" s="425">
        <f>SUM(J204:J208)*(1+Inflation)^5</f>
        <v>0</v>
      </c>
      <c r="K209" s="425">
        <f>SUM(K204:K208)*(1+Inflation)^6</f>
        <v>0</v>
      </c>
      <c r="L209" s="425">
        <f>SUM(L204:L208)*(1+Inflation)^7</f>
        <v>0</v>
      </c>
      <c r="M209" s="425">
        <f>SUM(M204:M208)*(1+Inflation)^8</f>
        <v>0</v>
      </c>
      <c r="N209" s="425">
        <f>SUM(N204:N208)*(1+Inflation)^9</f>
        <v>0</v>
      </c>
      <c r="O209" s="318" t="s">
        <v>4049</v>
      </c>
      <c r="Q209" s="122"/>
    </row>
    <row r="210" spans="1:32" s="87" customFormat="1" ht="18" hidden="1" outlineLevel="1" x14ac:dyDescent="0.2">
      <c r="A210" s="86"/>
      <c r="B210" s="68"/>
      <c r="C210" s="413"/>
      <c r="D210" s="88"/>
      <c r="E210" s="88"/>
      <c r="F210" s="88"/>
      <c r="G210" s="88"/>
      <c r="H210" s="88"/>
      <c r="I210" s="88"/>
      <c r="J210" s="88"/>
      <c r="K210" s="88"/>
      <c r="L210" s="88"/>
      <c r="M210" s="88"/>
      <c r="N210" s="88"/>
      <c r="O210" s="412"/>
      <c r="Q210" s="122"/>
    </row>
    <row r="211" spans="1:32" s="87" customFormat="1" ht="20.25" hidden="1" outlineLevel="1" x14ac:dyDescent="0.3">
      <c r="A211" s="86"/>
      <c r="B211" s="68"/>
      <c r="C211" s="411"/>
      <c r="D211" s="404" t="str">
        <f>IT_CodeG</f>
        <v>Other System 2</v>
      </c>
      <c r="E211" s="88"/>
      <c r="F211" s="88"/>
      <c r="G211" s="88"/>
      <c r="H211" s="88"/>
      <c r="I211" s="88"/>
      <c r="J211" s="88"/>
      <c r="K211" s="88"/>
      <c r="L211" s="88"/>
      <c r="M211" s="88"/>
      <c r="N211" s="88"/>
      <c r="O211" s="412"/>
      <c r="Q211" s="122"/>
    </row>
    <row r="212" spans="1:32" s="87" customFormat="1" ht="18" hidden="1" outlineLevel="1" x14ac:dyDescent="0.2">
      <c r="A212" s="86"/>
      <c r="B212" s="68"/>
      <c r="C212" s="413"/>
      <c r="D212" s="414" t="s">
        <v>298</v>
      </c>
      <c r="E212" s="307">
        <v>0</v>
      </c>
      <c r="F212" s="307">
        <v>0</v>
      </c>
      <c r="G212" s="307">
        <v>0</v>
      </c>
      <c r="H212" s="307">
        <v>0</v>
      </c>
      <c r="I212" s="307">
        <v>0</v>
      </c>
      <c r="J212" s="307">
        <v>0</v>
      </c>
      <c r="K212" s="307">
        <v>0</v>
      </c>
      <c r="L212" s="307">
        <v>0</v>
      </c>
      <c r="M212" s="307">
        <v>0</v>
      </c>
      <c r="N212" s="307">
        <v>0</v>
      </c>
      <c r="O212" s="318" t="s">
        <v>4050</v>
      </c>
      <c r="Q212" s="122"/>
    </row>
    <row r="213" spans="1:32" s="87" customFormat="1" ht="18" hidden="1" outlineLevel="1" x14ac:dyDescent="0.2">
      <c r="A213" s="86"/>
      <c r="B213" s="68"/>
      <c r="C213" s="415"/>
      <c r="D213" s="414" t="s">
        <v>299</v>
      </c>
      <c r="E213" s="307">
        <v>0</v>
      </c>
      <c r="F213" s="307">
        <v>0</v>
      </c>
      <c r="G213" s="307">
        <v>0</v>
      </c>
      <c r="H213" s="307">
        <v>0</v>
      </c>
      <c r="I213" s="307">
        <v>0</v>
      </c>
      <c r="J213" s="307">
        <v>0</v>
      </c>
      <c r="K213" s="307">
        <v>0</v>
      </c>
      <c r="L213" s="307">
        <v>0</v>
      </c>
      <c r="M213" s="307">
        <v>0</v>
      </c>
      <c r="N213" s="307">
        <v>0</v>
      </c>
      <c r="O213" s="318" t="s">
        <v>4051</v>
      </c>
      <c r="Q213" s="122"/>
    </row>
    <row r="214" spans="1:32" s="87" customFormat="1" ht="18" hidden="1" outlineLevel="1" x14ac:dyDescent="0.2">
      <c r="A214" s="86"/>
      <c r="B214" s="68"/>
      <c r="C214" s="415"/>
      <c r="D214" s="414" t="s">
        <v>305</v>
      </c>
      <c r="E214" s="307">
        <v>0</v>
      </c>
      <c r="F214" s="307">
        <v>0</v>
      </c>
      <c r="G214" s="307">
        <v>0</v>
      </c>
      <c r="H214" s="307">
        <v>0</v>
      </c>
      <c r="I214" s="307">
        <v>0</v>
      </c>
      <c r="J214" s="307">
        <v>0</v>
      </c>
      <c r="K214" s="307">
        <v>0</v>
      </c>
      <c r="L214" s="307">
        <v>0</v>
      </c>
      <c r="M214" s="307">
        <v>0</v>
      </c>
      <c r="N214" s="307">
        <v>0</v>
      </c>
      <c r="O214" s="318" t="s">
        <v>4052</v>
      </c>
      <c r="Q214" s="122"/>
    </row>
    <row r="215" spans="1:32" s="87" customFormat="1" ht="18" hidden="1" outlineLevel="1" x14ac:dyDescent="0.2">
      <c r="A215" s="86"/>
      <c r="B215" s="68"/>
      <c r="C215" s="415"/>
      <c r="D215" s="414" t="s">
        <v>300</v>
      </c>
      <c r="E215" s="307">
        <v>0</v>
      </c>
      <c r="F215" s="307">
        <v>0</v>
      </c>
      <c r="G215" s="307">
        <v>0</v>
      </c>
      <c r="H215" s="307">
        <v>0</v>
      </c>
      <c r="I215" s="307">
        <v>0</v>
      </c>
      <c r="J215" s="307">
        <v>0</v>
      </c>
      <c r="K215" s="307">
        <v>0</v>
      </c>
      <c r="L215" s="307">
        <v>0</v>
      </c>
      <c r="M215" s="307">
        <v>0</v>
      </c>
      <c r="N215" s="307">
        <v>0</v>
      </c>
      <c r="O215" s="318" t="s">
        <v>4053</v>
      </c>
      <c r="Q215" s="122"/>
    </row>
    <row r="216" spans="1:32" s="87" customFormat="1" ht="18" hidden="1" outlineLevel="1" x14ac:dyDescent="0.2">
      <c r="A216" s="86"/>
      <c r="B216" s="68"/>
      <c r="C216" s="415"/>
      <c r="D216" s="414" t="s">
        <v>301</v>
      </c>
      <c r="E216" s="307">
        <v>0</v>
      </c>
      <c r="F216" s="307">
        <v>0</v>
      </c>
      <c r="G216" s="307">
        <v>0</v>
      </c>
      <c r="H216" s="307">
        <v>0</v>
      </c>
      <c r="I216" s="307">
        <v>0</v>
      </c>
      <c r="J216" s="307">
        <v>0</v>
      </c>
      <c r="K216" s="307">
        <v>0</v>
      </c>
      <c r="L216" s="307">
        <v>0</v>
      </c>
      <c r="M216" s="307">
        <v>0</v>
      </c>
      <c r="N216" s="307">
        <v>0</v>
      </c>
      <c r="O216" s="318" t="s">
        <v>4054</v>
      </c>
      <c r="Q216" s="122"/>
    </row>
    <row r="217" spans="1:32" s="87" customFormat="1" ht="18" hidden="1" outlineLevel="1" x14ac:dyDescent="0.2">
      <c r="A217" s="86"/>
      <c r="B217" s="68"/>
      <c r="C217" s="415"/>
      <c r="D217" s="405" t="str">
        <f>"Total "&amp;(IT_CodeG) &amp; " Costs"</f>
        <v>Total Other System 2 Costs</v>
      </c>
      <c r="E217" s="425">
        <f t="shared" ref="E217" si="22">SUM(E212:E216)</f>
        <v>0</v>
      </c>
      <c r="F217" s="425">
        <f>SUM(F212:F216)*(1+Inflation)</f>
        <v>0</v>
      </c>
      <c r="G217" s="425">
        <f>SUM(G212:G216)*(1+Inflation)^2</f>
        <v>0</v>
      </c>
      <c r="H217" s="425">
        <f>SUM(H212:H216)*(1+Inflation)^3</f>
        <v>0</v>
      </c>
      <c r="I217" s="425">
        <f>SUM(I212:I216)*(1+Inflation)^4</f>
        <v>0</v>
      </c>
      <c r="J217" s="425">
        <f>SUM(J212:J216)*(1+Inflation)^5</f>
        <v>0</v>
      </c>
      <c r="K217" s="425">
        <f>SUM(K212:K216)*(1+Inflation)^6</f>
        <v>0</v>
      </c>
      <c r="L217" s="425">
        <f>SUM(L212:L216)*(1+Inflation)^7</f>
        <v>0</v>
      </c>
      <c r="M217" s="425">
        <f>SUM(M212:M216)*(1+Inflation)^8</f>
        <v>0</v>
      </c>
      <c r="N217" s="425">
        <f>SUM(N212:N216)*(1+Inflation)^9</f>
        <v>0</v>
      </c>
      <c r="O217" s="318" t="s">
        <v>4055</v>
      </c>
      <c r="Q217" s="122"/>
    </row>
    <row r="218" spans="1:32" s="87" customFormat="1" ht="18" hidden="1" outlineLevel="1" x14ac:dyDescent="0.2">
      <c r="A218" s="86"/>
      <c r="B218" s="68"/>
      <c r="C218" s="413"/>
      <c r="D218" s="88"/>
      <c r="E218" s="88"/>
      <c r="F218" s="88"/>
      <c r="G218" s="88"/>
      <c r="H218" s="88"/>
      <c r="I218" s="88"/>
      <c r="J218" s="88"/>
      <c r="K218" s="88"/>
      <c r="L218" s="88"/>
      <c r="M218" s="88"/>
      <c r="N218" s="88"/>
      <c r="O218" s="412"/>
      <c r="Q218" s="122"/>
    </row>
    <row r="219" spans="1:32" s="87" customFormat="1" ht="20.25" hidden="1" outlineLevel="1" x14ac:dyDescent="0.3">
      <c r="A219" s="86"/>
      <c r="B219" s="68"/>
      <c r="C219" s="413"/>
      <c r="D219" s="638" t="s">
        <v>307</v>
      </c>
      <c r="E219" s="409">
        <f t="shared" ref="E219:N219" si="23">SUM(eSystemsCostIT_CodeA_Total+eSystemsCostIT_CodeB_Total+eSystemsCostIT_CodeC_Total+eSystemsCostIT_CodeD_Total+eSystemsCostIT_CodeE_Total+eSystemsCostIT_CodeF_Total+eSystemsCostIT_CodeG_Total)</f>
        <v>90550000</v>
      </c>
      <c r="F219" s="409">
        <f t="shared" si="23"/>
        <v>92106000</v>
      </c>
      <c r="G219" s="409">
        <f t="shared" si="23"/>
        <v>93693120</v>
      </c>
      <c r="H219" s="409">
        <f t="shared" si="23"/>
        <v>95311982.399999991</v>
      </c>
      <c r="I219" s="409">
        <f t="shared" si="23"/>
        <v>96963222.048000008</v>
      </c>
      <c r="J219" s="409">
        <f t="shared" si="23"/>
        <v>98647486.488960013</v>
      </c>
      <c r="K219" s="409">
        <f t="shared" si="23"/>
        <v>100365436.21873921</v>
      </c>
      <c r="L219" s="409">
        <f t="shared" si="23"/>
        <v>102117744.94311395</v>
      </c>
      <c r="M219" s="409">
        <f t="shared" si="23"/>
        <v>103905099.84197627</v>
      </c>
      <c r="N219" s="409">
        <f t="shared" si="23"/>
        <v>105728201.83881579</v>
      </c>
      <c r="O219" s="318" t="s">
        <v>320</v>
      </c>
      <c r="Q219" s="122"/>
    </row>
    <row r="220" spans="1:32" s="87" customFormat="1" ht="18.75" hidden="1" outlineLevel="1" thickBot="1" x14ac:dyDescent="0.25">
      <c r="A220" s="86"/>
      <c r="B220" s="68"/>
      <c r="C220" s="418"/>
      <c r="D220" s="420"/>
      <c r="E220" s="420"/>
      <c r="F220" s="420"/>
      <c r="G220" s="420"/>
      <c r="H220" s="420"/>
      <c r="I220" s="420"/>
      <c r="J220" s="420"/>
      <c r="K220" s="420"/>
      <c r="L220" s="420"/>
      <c r="M220" s="420"/>
      <c r="N220" s="420"/>
      <c r="O220" s="419"/>
      <c r="Q220" s="122"/>
    </row>
    <row r="221" spans="1:32" s="87" customFormat="1" ht="18" hidden="1" outlineLevel="1" x14ac:dyDescent="0.2">
      <c r="A221" s="86"/>
      <c r="B221" s="68"/>
      <c r="H221" s="88"/>
      <c r="Q221" s="122"/>
    </row>
    <row r="222" spans="1:32" s="122" customFormat="1" ht="15.75" collapsed="1" x14ac:dyDescent="0.2">
      <c r="A222" s="1043">
        <v>4</v>
      </c>
      <c r="B222" s="1039"/>
      <c r="C222" s="1039"/>
      <c r="D222" s="1039"/>
      <c r="E222" s="1039"/>
      <c r="F222" s="1039"/>
      <c r="G222" s="1039"/>
      <c r="H222" s="1039"/>
      <c r="I222" s="1039"/>
      <c r="J222" s="1039"/>
      <c r="K222" s="1039"/>
      <c r="L222" s="1039"/>
      <c r="M222" s="1039"/>
      <c r="N222" s="1039"/>
      <c r="O222" s="1039"/>
      <c r="P222" s="206"/>
      <c r="Q222" s="206"/>
      <c r="R222" s="206"/>
      <c r="S222" s="206"/>
      <c r="T222" s="206"/>
      <c r="U222" s="206"/>
      <c r="V222" s="206"/>
      <c r="W222" s="206"/>
      <c r="X222" s="206"/>
      <c r="Y222" s="206"/>
      <c r="Z222" s="206"/>
      <c r="AA222" s="206"/>
      <c r="AB222" s="206"/>
      <c r="AC222" s="206"/>
      <c r="AD222" s="206"/>
      <c r="AE222" s="206"/>
      <c r="AF222" s="206"/>
    </row>
    <row r="223" spans="1:32" s="87" customFormat="1" ht="18" x14ac:dyDescent="0.2">
      <c r="A223" s="86"/>
      <c r="B223" s="68"/>
      <c r="H223" s="88"/>
      <c r="Q223" s="122"/>
    </row>
    <row r="224" spans="1:32" s="206" customFormat="1" ht="20.100000000000001" customHeight="1" x14ac:dyDescent="0.2">
      <c r="A224" s="1397" t="s">
        <v>4230</v>
      </c>
      <c r="C224" s="974" t="s">
        <v>4231</v>
      </c>
      <c r="D224" s="187"/>
      <c r="E224" s="223"/>
      <c r="F224" s="223"/>
      <c r="G224" s="223"/>
      <c r="H224" s="223"/>
      <c r="I224" s="223"/>
      <c r="J224" s="223"/>
      <c r="K224" s="223"/>
      <c r="L224" s="223"/>
      <c r="M224" s="223"/>
      <c r="N224" s="223"/>
      <c r="O224" s="224"/>
      <c r="P224" s="210"/>
    </row>
    <row r="225" spans="1:32" s="203" customFormat="1" x14ac:dyDescent="0.2">
      <c r="A225" s="1398"/>
      <c r="B225" s="211"/>
      <c r="C225" s="211"/>
      <c r="D225" s="214"/>
      <c r="E225" s="210"/>
      <c r="F225" s="210"/>
      <c r="G225" s="210"/>
      <c r="H225" s="210"/>
      <c r="I225" s="210"/>
      <c r="J225" s="210"/>
      <c r="K225" s="210"/>
      <c r="L225" s="210"/>
      <c r="M225" s="210"/>
      <c r="N225" s="210"/>
      <c r="O225" s="209"/>
      <c r="P225" s="204"/>
    </row>
    <row r="226" spans="1:32" s="85" customFormat="1" ht="12.75" customHeight="1" x14ac:dyDescent="0.2">
      <c r="A226" s="1399"/>
      <c r="E226" s="62"/>
      <c r="F226" s="62"/>
      <c r="G226" s="62"/>
      <c r="H226" s="62"/>
      <c r="I226" s="62"/>
      <c r="J226" s="62"/>
      <c r="K226" s="62"/>
      <c r="L226" s="62"/>
      <c r="M226" s="62"/>
      <c r="N226" s="62"/>
      <c r="O226" s="134"/>
      <c r="P226" s="134"/>
      <c r="Q226" s="134"/>
      <c r="R226" s="134"/>
      <c r="S226" s="134"/>
      <c r="T226" s="134"/>
      <c r="U226" s="134"/>
      <c r="V226" s="134"/>
      <c r="W226" s="134"/>
      <c r="X226" s="134"/>
      <c r="Y226" s="134"/>
      <c r="Z226" s="134"/>
      <c r="AA226" s="134"/>
      <c r="AB226" s="134"/>
      <c r="AC226" s="134"/>
      <c r="AD226" s="134"/>
      <c r="AE226" s="134"/>
      <c r="AF226" s="134"/>
    </row>
    <row r="227" spans="1:32" s="85" customFormat="1" ht="14.25" customHeight="1" x14ac:dyDescent="0.2">
      <c r="E227" s="62"/>
      <c r="F227" s="62"/>
      <c r="G227" s="62"/>
      <c r="H227" s="62"/>
      <c r="I227" s="62"/>
      <c r="J227" s="62"/>
      <c r="K227" s="62"/>
      <c r="L227" s="62"/>
      <c r="M227" s="62"/>
      <c r="N227" s="62"/>
      <c r="O227" s="134"/>
      <c r="P227" s="134"/>
      <c r="Q227" s="134"/>
      <c r="R227" s="134"/>
      <c r="S227" s="134"/>
      <c r="T227" s="134"/>
      <c r="U227" s="134"/>
      <c r="V227" s="134"/>
      <c r="W227" s="134"/>
      <c r="X227" s="134"/>
      <c r="Y227" s="134"/>
      <c r="Z227" s="134"/>
      <c r="AA227" s="134"/>
      <c r="AB227" s="134"/>
      <c r="AC227" s="134"/>
      <c r="AD227" s="134"/>
      <c r="AE227" s="134"/>
      <c r="AF227" s="134"/>
    </row>
    <row r="228" spans="1:32" s="85" customFormat="1" ht="14.25" hidden="1" customHeight="1" outlineLevel="1" x14ac:dyDescent="0.2">
      <c r="E228" s="62"/>
      <c r="F228" s="62"/>
      <c r="G228" s="62"/>
      <c r="H228" s="62"/>
      <c r="I228" s="62"/>
      <c r="J228" s="62"/>
      <c r="K228" s="62"/>
      <c r="L228" s="62"/>
      <c r="M228" s="62"/>
      <c r="N228" s="62"/>
      <c r="O228" s="134"/>
      <c r="P228" s="134"/>
      <c r="Q228" s="134"/>
      <c r="R228" s="134"/>
      <c r="S228" s="134"/>
      <c r="T228" s="134"/>
      <c r="U228" s="134"/>
      <c r="V228" s="134"/>
      <c r="W228" s="134"/>
      <c r="X228" s="134"/>
      <c r="Y228" s="134"/>
      <c r="Z228" s="134"/>
      <c r="AA228" s="134"/>
      <c r="AB228" s="134"/>
      <c r="AC228" s="134"/>
      <c r="AD228" s="134"/>
      <c r="AE228" s="134"/>
      <c r="AF228" s="134"/>
    </row>
    <row r="229" spans="1:32" s="121" customFormat="1" ht="12.75" hidden="1" customHeight="1" outlineLevel="1" thickBot="1" x14ac:dyDescent="0.35">
      <c r="A229" s="346"/>
      <c r="B229" s="346"/>
      <c r="C229" s="347"/>
      <c r="D229" s="737"/>
      <c r="E229" s="129"/>
      <c r="F229" s="129"/>
      <c r="G229" s="129"/>
      <c r="H229" s="129"/>
      <c r="I229" s="129"/>
      <c r="J229" s="129"/>
      <c r="K229" s="129"/>
      <c r="L229" s="129"/>
      <c r="M229" s="129"/>
      <c r="N229" s="129"/>
      <c r="O229" s="348"/>
      <c r="P229" s="348"/>
      <c r="Q229" s="348"/>
      <c r="R229" s="348"/>
      <c r="S229" s="348"/>
      <c r="T229" s="348"/>
      <c r="U229" s="348"/>
      <c r="V229" s="348"/>
      <c r="W229" s="348"/>
      <c r="X229" s="348"/>
      <c r="Y229" s="348"/>
      <c r="Z229" s="348"/>
      <c r="AA229" s="348"/>
      <c r="AB229" s="348"/>
      <c r="AC229" s="348"/>
      <c r="AD229" s="348"/>
      <c r="AE229" s="348"/>
      <c r="AF229" s="348"/>
    </row>
    <row r="230" spans="1:32" ht="15.75" hidden="1" outlineLevel="1" x14ac:dyDescent="0.25">
      <c r="A230" s="1397" t="s">
        <v>4232</v>
      </c>
      <c r="B230" s="13"/>
      <c r="C230" s="379"/>
      <c r="D230" s="300" t="str">
        <f>Scenario1&amp;" IT Related Costs"</f>
        <v>pSystems (Paper) IT Related Costs</v>
      </c>
      <c r="E230" s="380"/>
      <c r="F230" s="380"/>
      <c r="G230" s="380"/>
      <c r="H230" s="380"/>
      <c r="I230" s="380"/>
      <c r="J230" s="380"/>
      <c r="K230" s="380"/>
      <c r="L230" s="380"/>
      <c r="M230" s="380"/>
      <c r="N230" s="380"/>
      <c r="O230" s="381"/>
      <c r="Q230"/>
    </row>
    <row r="231" spans="1:32" ht="15" hidden="1" outlineLevel="1" x14ac:dyDescent="0.2">
      <c r="A231" s="1399"/>
      <c r="B231" s="13"/>
      <c r="C231" s="165"/>
      <c r="D231" s="424" t="str">
        <f>"Total "&amp;(IT_CodeA) &amp; " Costs"</f>
        <v>Total Maintenance Information System Costs</v>
      </c>
      <c r="E231" s="423">
        <f t="shared" ref="E231:N231" si="24">-pSystemsCostIT_CodeA_Total</f>
        <v>-21500000</v>
      </c>
      <c r="F231" s="423">
        <f t="shared" si="24"/>
        <v>-21930000</v>
      </c>
      <c r="G231" s="423">
        <f t="shared" si="24"/>
        <v>-22368600</v>
      </c>
      <c r="H231" s="423">
        <f t="shared" si="24"/>
        <v>-22815972</v>
      </c>
      <c r="I231" s="423">
        <f t="shared" si="24"/>
        <v>-23272291.440000001</v>
      </c>
      <c r="J231" s="423">
        <f t="shared" si="24"/>
        <v>-23737737.268800002</v>
      </c>
      <c r="K231" s="423">
        <f t="shared" si="24"/>
        <v>-24212492.014176</v>
      </c>
      <c r="L231" s="423">
        <f t="shared" si="24"/>
        <v>-24696741.854459517</v>
      </c>
      <c r="M231" s="423">
        <f t="shared" si="24"/>
        <v>-25190676.691548709</v>
      </c>
      <c r="N231" s="423">
        <f t="shared" si="24"/>
        <v>-25694490.225379683</v>
      </c>
      <c r="O231" s="318" t="s">
        <v>321</v>
      </c>
      <c r="Q231"/>
    </row>
    <row r="232" spans="1:32" ht="15" hidden="1" outlineLevel="1" x14ac:dyDescent="0.2">
      <c r="A232" s="86"/>
      <c r="B232" s="13"/>
      <c r="C232" s="165"/>
      <c r="D232" s="424" t="str">
        <f>"Total "&amp;(IT_CodeB) &amp; " Costs"</f>
        <v>Total Document Management System Costs</v>
      </c>
      <c r="E232" s="423">
        <f t="shared" ref="E232:N232" si="25">-pSystemsCostIT_CodeB</f>
        <v>-7750000</v>
      </c>
      <c r="F232" s="423">
        <f t="shared" si="25"/>
        <v>-7750000</v>
      </c>
      <c r="G232" s="423">
        <f t="shared" si="25"/>
        <v>-7750000</v>
      </c>
      <c r="H232" s="423">
        <f t="shared" si="25"/>
        <v>-7750000</v>
      </c>
      <c r="I232" s="423">
        <f t="shared" si="25"/>
        <v>-7750000</v>
      </c>
      <c r="J232" s="423">
        <f t="shared" si="25"/>
        <v>-7750000</v>
      </c>
      <c r="K232" s="423">
        <f t="shared" si="25"/>
        <v>-7750000</v>
      </c>
      <c r="L232" s="423">
        <f t="shared" si="25"/>
        <v>-7750000</v>
      </c>
      <c r="M232" s="423">
        <f t="shared" si="25"/>
        <v>-7750000</v>
      </c>
      <c r="N232" s="423">
        <f t="shared" si="25"/>
        <v>-7750000</v>
      </c>
      <c r="O232" s="318" t="s">
        <v>322</v>
      </c>
      <c r="Q232"/>
    </row>
    <row r="233" spans="1:32" ht="15" hidden="1" outlineLevel="1" x14ac:dyDescent="0.2">
      <c r="A233" s="86"/>
      <c r="B233" s="13"/>
      <c r="C233" s="165"/>
      <c r="D233" s="424" t="str">
        <f>"Total "&amp;(IT_CodeC) &amp; " Costs"</f>
        <v>Total SCL Management System Costs</v>
      </c>
      <c r="E233" s="423">
        <f t="shared" ref="E233:N233" si="26">-pSystemsCostIT_CodeC</f>
        <v>-9100000</v>
      </c>
      <c r="F233" s="423">
        <f t="shared" si="26"/>
        <v>-9282000</v>
      </c>
      <c r="G233" s="423">
        <f t="shared" si="26"/>
        <v>-9467640</v>
      </c>
      <c r="H233" s="423">
        <f t="shared" si="26"/>
        <v>-9656992.7999999989</v>
      </c>
      <c r="I233" s="423">
        <f t="shared" si="26"/>
        <v>-9850132.6559999995</v>
      </c>
      <c r="J233" s="423">
        <f t="shared" si="26"/>
        <v>-10047135.309119999</v>
      </c>
      <c r="K233" s="423">
        <f t="shared" si="26"/>
        <v>-10248078.015302401</v>
      </c>
      <c r="L233" s="423">
        <f t="shared" si="26"/>
        <v>-10453039.575608447</v>
      </c>
      <c r="M233" s="423">
        <f t="shared" si="26"/>
        <v>-10662100.367120616</v>
      </c>
      <c r="N233" s="423">
        <f t="shared" si="26"/>
        <v>-10875342.374463029</v>
      </c>
      <c r="O233" s="318" t="s">
        <v>323</v>
      </c>
      <c r="Q233"/>
    </row>
    <row r="234" spans="1:32" ht="15" hidden="1" outlineLevel="1" x14ac:dyDescent="0.2">
      <c r="A234" s="86"/>
      <c r="B234" s="13"/>
      <c r="C234" s="165"/>
      <c r="D234" s="424" t="str">
        <f>"Total "&amp;(IT_CodeD) &amp; " Costs"</f>
        <v>Total Mobility System Costs</v>
      </c>
      <c r="E234" s="423">
        <f t="shared" ref="E234:N234" si="27">-pSystemsCostIT_CodeD</f>
        <v>-1100000</v>
      </c>
      <c r="F234" s="423">
        <f t="shared" si="27"/>
        <v>-1122000</v>
      </c>
      <c r="G234" s="423">
        <f t="shared" si="27"/>
        <v>-1144440</v>
      </c>
      <c r="H234" s="423">
        <f t="shared" si="27"/>
        <v>-1167328.7999999998</v>
      </c>
      <c r="I234" s="423">
        <f t="shared" si="27"/>
        <v>-1190675.3759999999</v>
      </c>
      <c r="J234" s="423">
        <f t="shared" si="27"/>
        <v>-1214488.8835199999</v>
      </c>
      <c r="K234" s="423">
        <f t="shared" si="27"/>
        <v>-1238778.6611904001</v>
      </c>
      <c r="L234" s="423">
        <f t="shared" si="27"/>
        <v>-1263554.2344142077</v>
      </c>
      <c r="M234" s="423">
        <f t="shared" si="27"/>
        <v>-1288825.3191024922</v>
      </c>
      <c r="N234" s="423">
        <f t="shared" si="27"/>
        <v>-1314601.8254845419</v>
      </c>
      <c r="O234" s="318" t="s">
        <v>324</v>
      </c>
      <c r="Q234"/>
    </row>
    <row r="235" spans="1:32" ht="15" hidden="1" outlineLevel="1" x14ac:dyDescent="0.2">
      <c r="A235" s="86"/>
      <c r="B235" s="13"/>
      <c r="C235" s="165"/>
      <c r="D235" s="424" t="str">
        <f>"Total "&amp;(IT_CodeE) &amp; " Costs"</f>
        <v>Total eTechnical Logbook Costs</v>
      </c>
      <c r="E235" s="423">
        <f t="shared" ref="E235:N235" si="28">-pSystemsCostIT_CodeE</f>
        <v>0</v>
      </c>
      <c r="F235" s="423">
        <f t="shared" si="28"/>
        <v>0</v>
      </c>
      <c r="G235" s="423">
        <f t="shared" si="28"/>
        <v>0</v>
      </c>
      <c r="H235" s="423">
        <f t="shared" si="28"/>
        <v>0</v>
      </c>
      <c r="I235" s="423">
        <f t="shared" si="28"/>
        <v>0</v>
      </c>
      <c r="J235" s="423">
        <f t="shared" si="28"/>
        <v>0</v>
      </c>
      <c r="K235" s="423">
        <f t="shared" si="28"/>
        <v>0</v>
      </c>
      <c r="L235" s="423">
        <f t="shared" si="28"/>
        <v>0</v>
      </c>
      <c r="M235" s="423">
        <f t="shared" si="28"/>
        <v>0</v>
      </c>
      <c r="N235" s="423">
        <f t="shared" si="28"/>
        <v>0</v>
      </c>
      <c r="O235" s="318" t="s">
        <v>325</v>
      </c>
      <c r="Q235"/>
    </row>
    <row r="236" spans="1:32" ht="15" hidden="1" outlineLevel="1" x14ac:dyDescent="0.2">
      <c r="A236" s="86"/>
      <c r="B236" s="13"/>
      <c r="C236" s="165"/>
      <c r="D236" s="424" t="str">
        <f>"Total "&amp;(IT_CodeF) &amp; " Costs"</f>
        <v>Total Other System 1 Costs</v>
      </c>
      <c r="E236" s="423">
        <f t="shared" ref="E236:N236" si="29">-pSystemsCostIT_CodeF</f>
        <v>0</v>
      </c>
      <c r="F236" s="423">
        <f t="shared" si="29"/>
        <v>0</v>
      </c>
      <c r="G236" s="423">
        <f t="shared" si="29"/>
        <v>0</v>
      </c>
      <c r="H236" s="423">
        <f t="shared" si="29"/>
        <v>0</v>
      </c>
      <c r="I236" s="423">
        <f t="shared" si="29"/>
        <v>0</v>
      </c>
      <c r="J236" s="423">
        <f t="shared" si="29"/>
        <v>0</v>
      </c>
      <c r="K236" s="423">
        <f t="shared" si="29"/>
        <v>0</v>
      </c>
      <c r="L236" s="423">
        <f t="shared" si="29"/>
        <v>0</v>
      </c>
      <c r="M236" s="423">
        <f t="shared" si="29"/>
        <v>0</v>
      </c>
      <c r="N236" s="423">
        <f t="shared" si="29"/>
        <v>0</v>
      </c>
      <c r="O236" s="318" t="s">
        <v>326</v>
      </c>
      <c r="Q236"/>
    </row>
    <row r="237" spans="1:32" ht="15" hidden="1" outlineLevel="1" x14ac:dyDescent="0.2">
      <c r="A237" s="86"/>
      <c r="B237" s="13"/>
      <c r="C237" s="165"/>
      <c r="D237" s="424" t="str">
        <f>"Total "&amp;(IT_CodeG) &amp; " Costs"</f>
        <v>Total Other System 2 Costs</v>
      </c>
      <c r="E237" s="423">
        <f t="shared" ref="E237:N237" si="30">-pSystemsCostIT_CodeG</f>
        <v>0</v>
      </c>
      <c r="F237" s="423">
        <f t="shared" si="30"/>
        <v>0</v>
      </c>
      <c r="G237" s="423">
        <f t="shared" si="30"/>
        <v>0</v>
      </c>
      <c r="H237" s="423">
        <f t="shared" si="30"/>
        <v>0</v>
      </c>
      <c r="I237" s="423">
        <f t="shared" si="30"/>
        <v>0</v>
      </c>
      <c r="J237" s="423">
        <f t="shared" si="30"/>
        <v>0</v>
      </c>
      <c r="K237" s="423">
        <f t="shared" si="30"/>
        <v>0</v>
      </c>
      <c r="L237" s="423">
        <f t="shared" si="30"/>
        <v>0</v>
      </c>
      <c r="M237" s="423">
        <f t="shared" si="30"/>
        <v>0</v>
      </c>
      <c r="N237" s="423">
        <f t="shared" si="30"/>
        <v>0</v>
      </c>
      <c r="O237" s="318" t="s">
        <v>327</v>
      </c>
      <c r="Q237"/>
    </row>
    <row r="238" spans="1:32" ht="15.75" hidden="1" outlineLevel="1" x14ac:dyDescent="0.25">
      <c r="A238" s="86"/>
      <c r="B238" s="19"/>
      <c r="C238" s="165"/>
      <c r="D238" s="1055" t="s">
        <v>4078</v>
      </c>
      <c r="E238" s="354">
        <f t="shared" ref="E238:N238" si="31">-(pSystemsCostIT_Total)</f>
        <v>-39450000</v>
      </c>
      <c r="F238" s="354">
        <f t="shared" si="31"/>
        <v>-40084000</v>
      </c>
      <c r="G238" s="354">
        <f t="shared" si="31"/>
        <v>-40730680</v>
      </c>
      <c r="H238" s="354">
        <f t="shared" si="31"/>
        <v>-41390293.599999994</v>
      </c>
      <c r="I238" s="354">
        <f t="shared" si="31"/>
        <v>-42063099.472000003</v>
      </c>
      <c r="J238" s="354">
        <f t="shared" si="31"/>
        <v>-42749361.461440004</v>
      </c>
      <c r="K238" s="354">
        <f t="shared" si="31"/>
        <v>-43449348.690668799</v>
      </c>
      <c r="L238" s="354">
        <f t="shared" si="31"/>
        <v>-44163335.664482169</v>
      </c>
      <c r="M238" s="354">
        <f t="shared" si="31"/>
        <v>-44891602.377771825</v>
      </c>
      <c r="N238" s="354">
        <f t="shared" si="31"/>
        <v>-45634434.425327256</v>
      </c>
      <c r="O238" s="318" t="s">
        <v>308</v>
      </c>
      <c r="Q238"/>
    </row>
    <row r="239" spans="1:32" s="18" customFormat="1" ht="13.5" hidden="1" customHeight="1" outlineLevel="1" thickBot="1" x14ac:dyDescent="0.25">
      <c r="A239" s="86"/>
      <c r="B239" s="19"/>
      <c r="C239" s="170"/>
      <c r="D239" s="278"/>
      <c r="E239" s="171"/>
      <c r="F239" s="171"/>
      <c r="G239" s="171"/>
      <c r="H239" s="171"/>
      <c r="I239" s="171"/>
      <c r="J239" s="171"/>
      <c r="K239" s="171"/>
      <c r="L239" s="171"/>
      <c r="M239" s="171"/>
      <c r="N239" s="171"/>
      <c r="O239" s="309"/>
      <c r="P239" s="12"/>
      <c r="Q239" s="12"/>
    </row>
    <row r="240" spans="1:32" ht="13.5" hidden="1" outlineLevel="1" thickBot="1" x14ac:dyDescent="0.25">
      <c r="A240" s="86"/>
      <c r="B240" s="19"/>
      <c r="Q240"/>
    </row>
    <row r="241" spans="1:17" s="384" customFormat="1" ht="15.75" hidden="1" outlineLevel="1" x14ac:dyDescent="0.25">
      <c r="A241" s="382"/>
      <c r="B241" s="383"/>
      <c r="C241" s="385"/>
      <c r="D241" s="304" t="str">
        <f>Scenario2&amp;" IT Related Costs"</f>
        <v>hSystems (Hybrid) IT Related Costs</v>
      </c>
      <c r="E241" s="386"/>
      <c r="F241" s="386"/>
      <c r="G241" s="386"/>
      <c r="H241" s="386"/>
      <c r="I241" s="386"/>
      <c r="J241" s="386"/>
      <c r="K241" s="386"/>
      <c r="L241" s="386"/>
      <c r="M241" s="386"/>
      <c r="N241" s="386"/>
      <c r="O241" s="387"/>
    </row>
    <row r="242" spans="1:17" ht="15" hidden="1" outlineLevel="1" x14ac:dyDescent="0.2">
      <c r="A242" s="86"/>
      <c r="B242" s="13"/>
      <c r="C242" s="165"/>
      <c r="D242" s="424" t="str">
        <f>"Total "&amp;(IT_CodeA) &amp; " Costs"</f>
        <v>Total Maintenance Information System Costs</v>
      </c>
      <c r="E242" s="423">
        <f t="shared" ref="E242:N242" si="32">-pSystemsCostIT_CodeA_Total</f>
        <v>-21500000</v>
      </c>
      <c r="F242" s="423">
        <f t="shared" si="32"/>
        <v>-21930000</v>
      </c>
      <c r="G242" s="423">
        <f t="shared" si="32"/>
        <v>-22368600</v>
      </c>
      <c r="H242" s="423">
        <f t="shared" si="32"/>
        <v>-22815972</v>
      </c>
      <c r="I242" s="423">
        <f t="shared" si="32"/>
        <v>-23272291.440000001</v>
      </c>
      <c r="J242" s="423">
        <f t="shared" si="32"/>
        <v>-23737737.268800002</v>
      </c>
      <c r="K242" s="423">
        <f t="shared" si="32"/>
        <v>-24212492.014176</v>
      </c>
      <c r="L242" s="423">
        <f t="shared" si="32"/>
        <v>-24696741.854459517</v>
      </c>
      <c r="M242" s="423">
        <f t="shared" si="32"/>
        <v>-25190676.691548709</v>
      </c>
      <c r="N242" s="423">
        <f t="shared" si="32"/>
        <v>-25694490.225379683</v>
      </c>
      <c r="O242" s="318" t="s">
        <v>328</v>
      </c>
      <c r="Q242"/>
    </row>
    <row r="243" spans="1:17" ht="15" hidden="1" outlineLevel="1" x14ac:dyDescent="0.2">
      <c r="A243" s="86"/>
      <c r="B243" s="13"/>
      <c r="C243" s="165"/>
      <c r="D243" s="424" t="str">
        <f>"Total "&amp;(IT_CodeB) &amp; " Costs"</f>
        <v>Total Document Management System Costs</v>
      </c>
      <c r="E243" s="423">
        <f t="shared" ref="E243:N243" si="33">-pSystemsCostIT_CodeB</f>
        <v>-7750000</v>
      </c>
      <c r="F243" s="423">
        <f t="shared" si="33"/>
        <v>-7750000</v>
      </c>
      <c r="G243" s="423">
        <f t="shared" si="33"/>
        <v>-7750000</v>
      </c>
      <c r="H243" s="423">
        <f t="shared" si="33"/>
        <v>-7750000</v>
      </c>
      <c r="I243" s="423">
        <f t="shared" si="33"/>
        <v>-7750000</v>
      </c>
      <c r="J243" s="423">
        <f t="shared" si="33"/>
        <v>-7750000</v>
      </c>
      <c r="K243" s="423">
        <f t="shared" si="33"/>
        <v>-7750000</v>
      </c>
      <c r="L243" s="423">
        <f t="shared" si="33"/>
        <v>-7750000</v>
      </c>
      <c r="M243" s="423">
        <f t="shared" si="33"/>
        <v>-7750000</v>
      </c>
      <c r="N243" s="423">
        <f t="shared" si="33"/>
        <v>-7750000</v>
      </c>
      <c r="O243" s="318" t="s">
        <v>329</v>
      </c>
      <c r="Q243"/>
    </row>
    <row r="244" spans="1:17" ht="15" hidden="1" outlineLevel="1" x14ac:dyDescent="0.2">
      <c r="A244" s="86"/>
      <c r="B244" s="13"/>
      <c r="C244" s="165"/>
      <c r="D244" s="424" t="str">
        <f>"Total "&amp;(IT_CodeC) &amp; " Costs"</f>
        <v>Total SCL Management System Costs</v>
      </c>
      <c r="E244" s="423">
        <f t="shared" ref="E244:N244" si="34">-pSystemsCostIT_CodeC</f>
        <v>-9100000</v>
      </c>
      <c r="F244" s="423">
        <f t="shared" si="34"/>
        <v>-9282000</v>
      </c>
      <c r="G244" s="423">
        <f t="shared" si="34"/>
        <v>-9467640</v>
      </c>
      <c r="H244" s="423">
        <f t="shared" si="34"/>
        <v>-9656992.7999999989</v>
      </c>
      <c r="I244" s="423">
        <f t="shared" si="34"/>
        <v>-9850132.6559999995</v>
      </c>
      <c r="J244" s="423">
        <f t="shared" si="34"/>
        <v>-10047135.309119999</v>
      </c>
      <c r="K244" s="423">
        <f t="shared" si="34"/>
        <v>-10248078.015302401</v>
      </c>
      <c r="L244" s="423">
        <f t="shared" si="34"/>
        <v>-10453039.575608447</v>
      </c>
      <c r="M244" s="423">
        <f t="shared" si="34"/>
        <v>-10662100.367120616</v>
      </c>
      <c r="N244" s="423">
        <f t="shared" si="34"/>
        <v>-10875342.374463029</v>
      </c>
      <c r="O244" s="318" t="s">
        <v>330</v>
      </c>
      <c r="Q244"/>
    </row>
    <row r="245" spans="1:17" ht="15" hidden="1" outlineLevel="1" x14ac:dyDescent="0.2">
      <c r="A245" s="86"/>
      <c r="B245" s="13"/>
      <c r="C245" s="165"/>
      <c r="D245" s="424" t="str">
        <f>"Total "&amp;(IT_CodeD) &amp; " Costs"</f>
        <v>Total Mobility System Costs</v>
      </c>
      <c r="E245" s="423">
        <f t="shared" ref="E245:N245" si="35">-pSystemsCostIT_CodeD</f>
        <v>-1100000</v>
      </c>
      <c r="F245" s="423">
        <f t="shared" si="35"/>
        <v>-1122000</v>
      </c>
      <c r="G245" s="423">
        <f t="shared" si="35"/>
        <v>-1144440</v>
      </c>
      <c r="H245" s="423">
        <f t="shared" si="35"/>
        <v>-1167328.7999999998</v>
      </c>
      <c r="I245" s="423">
        <f t="shared" si="35"/>
        <v>-1190675.3759999999</v>
      </c>
      <c r="J245" s="423">
        <f t="shared" si="35"/>
        <v>-1214488.8835199999</v>
      </c>
      <c r="K245" s="423">
        <f t="shared" si="35"/>
        <v>-1238778.6611904001</v>
      </c>
      <c r="L245" s="423">
        <f t="shared" si="35"/>
        <v>-1263554.2344142077</v>
      </c>
      <c r="M245" s="423">
        <f t="shared" si="35"/>
        <v>-1288825.3191024922</v>
      </c>
      <c r="N245" s="423">
        <f t="shared" si="35"/>
        <v>-1314601.8254845419</v>
      </c>
      <c r="O245" s="318" t="s">
        <v>331</v>
      </c>
      <c r="Q245"/>
    </row>
    <row r="246" spans="1:17" ht="15" hidden="1" outlineLevel="1" x14ac:dyDescent="0.2">
      <c r="A246" s="86"/>
      <c r="B246" s="13"/>
      <c r="C246" s="165"/>
      <c r="D246" s="424" t="str">
        <f>"Total "&amp;(IT_CodeE) &amp; " Costs"</f>
        <v>Total eTechnical Logbook Costs</v>
      </c>
      <c r="E246" s="423">
        <f t="shared" ref="E246:N246" si="36">-pSystemsCostIT_CodeE</f>
        <v>0</v>
      </c>
      <c r="F246" s="423">
        <f t="shared" si="36"/>
        <v>0</v>
      </c>
      <c r="G246" s="423">
        <f t="shared" si="36"/>
        <v>0</v>
      </c>
      <c r="H246" s="423">
        <f t="shared" si="36"/>
        <v>0</v>
      </c>
      <c r="I246" s="423">
        <f t="shared" si="36"/>
        <v>0</v>
      </c>
      <c r="J246" s="423">
        <f t="shared" si="36"/>
        <v>0</v>
      </c>
      <c r="K246" s="423">
        <f t="shared" si="36"/>
        <v>0</v>
      </c>
      <c r="L246" s="423">
        <f t="shared" si="36"/>
        <v>0</v>
      </c>
      <c r="M246" s="423">
        <f t="shared" si="36"/>
        <v>0</v>
      </c>
      <c r="N246" s="423">
        <f t="shared" si="36"/>
        <v>0</v>
      </c>
      <c r="O246" s="318" t="s">
        <v>332</v>
      </c>
      <c r="Q246"/>
    </row>
    <row r="247" spans="1:17" ht="15" hidden="1" outlineLevel="1" x14ac:dyDescent="0.2">
      <c r="A247" s="86"/>
      <c r="B247" s="13"/>
      <c r="C247" s="165"/>
      <c r="D247" s="424" t="str">
        <f>"Total "&amp;(IT_CodeF) &amp; " Costs"</f>
        <v>Total Other System 1 Costs</v>
      </c>
      <c r="E247" s="423">
        <f t="shared" ref="E247:N247" si="37">-pSystemsCostIT_CodeF</f>
        <v>0</v>
      </c>
      <c r="F247" s="423">
        <f t="shared" si="37"/>
        <v>0</v>
      </c>
      <c r="G247" s="423">
        <f t="shared" si="37"/>
        <v>0</v>
      </c>
      <c r="H247" s="423">
        <f t="shared" si="37"/>
        <v>0</v>
      </c>
      <c r="I247" s="423">
        <f t="shared" si="37"/>
        <v>0</v>
      </c>
      <c r="J247" s="423">
        <f t="shared" si="37"/>
        <v>0</v>
      </c>
      <c r="K247" s="423">
        <f t="shared" si="37"/>
        <v>0</v>
      </c>
      <c r="L247" s="423">
        <f t="shared" si="37"/>
        <v>0</v>
      </c>
      <c r="M247" s="423">
        <f t="shared" si="37"/>
        <v>0</v>
      </c>
      <c r="N247" s="423">
        <f t="shared" si="37"/>
        <v>0</v>
      </c>
      <c r="O247" s="318" t="s">
        <v>333</v>
      </c>
      <c r="Q247"/>
    </row>
    <row r="248" spans="1:17" ht="15" hidden="1" outlineLevel="1" x14ac:dyDescent="0.2">
      <c r="A248" s="86"/>
      <c r="B248" s="13"/>
      <c r="C248" s="165"/>
      <c r="D248" s="424" t="str">
        <f>"Total "&amp;(IT_CodeG) &amp; " Costs"</f>
        <v>Total Other System 2 Costs</v>
      </c>
      <c r="E248" s="423">
        <f t="shared" ref="E248:N248" si="38">-pSystemsCostIT_CodeG</f>
        <v>0</v>
      </c>
      <c r="F248" s="423">
        <f t="shared" si="38"/>
        <v>0</v>
      </c>
      <c r="G248" s="423">
        <f t="shared" si="38"/>
        <v>0</v>
      </c>
      <c r="H248" s="423">
        <f t="shared" si="38"/>
        <v>0</v>
      </c>
      <c r="I248" s="423">
        <f t="shared" si="38"/>
        <v>0</v>
      </c>
      <c r="J248" s="423">
        <f t="shared" si="38"/>
        <v>0</v>
      </c>
      <c r="K248" s="423">
        <f t="shared" si="38"/>
        <v>0</v>
      </c>
      <c r="L248" s="423">
        <f t="shared" si="38"/>
        <v>0</v>
      </c>
      <c r="M248" s="423">
        <f t="shared" si="38"/>
        <v>0</v>
      </c>
      <c r="N248" s="423">
        <f t="shared" si="38"/>
        <v>0</v>
      </c>
      <c r="O248" s="318" t="s">
        <v>334</v>
      </c>
      <c r="Q248"/>
    </row>
    <row r="249" spans="1:17" ht="16.5" hidden="1" outlineLevel="1" thickBot="1" x14ac:dyDescent="0.3">
      <c r="A249" s="86"/>
      <c r="B249" s="19"/>
      <c r="C249" s="298"/>
      <c r="D249" s="1056" t="s">
        <v>4091</v>
      </c>
      <c r="E249" s="388">
        <f t="shared" ref="E249:N249" si="39">-(hSystemsCostIT_Total)</f>
        <v>-59450000</v>
      </c>
      <c r="F249" s="388">
        <f t="shared" si="39"/>
        <v>-65484000</v>
      </c>
      <c r="G249" s="388">
        <f t="shared" si="39"/>
        <v>-66538680</v>
      </c>
      <c r="H249" s="388">
        <f t="shared" si="39"/>
        <v>-67614453.599999994</v>
      </c>
      <c r="I249" s="388">
        <f t="shared" si="39"/>
        <v>-68711742.672000006</v>
      </c>
      <c r="J249" s="388">
        <f t="shared" si="39"/>
        <v>-69830977.525440007</v>
      </c>
      <c r="K249" s="388">
        <f t="shared" si="39"/>
        <v>-70972597.07594882</v>
      </c>
      <c r="L249" s="388">
        <f t="shared" si="39"/>
        <v>-72137049.017467752</v>
      </c>
      <c r="M249" s="388">
        <f t="shared" si="39"/>
        <v>-73324789.997817129</v>
      </c>
      <c r="N249" s="388">
        <f t="shared" si="39"/>
        <v>-74536285.79777348</v>
      </c>
      <c r="O249" s="389" t="s">
        <v>309</v>
      </c>
      <c r="Q249"/>
    </row>
    <row r="250" spans="1:17" ht="13.5" hidden="1" customHeight="1" outlineLevel="1" thickBot="1" x14ac:dyDescent="0.25">
      <c r="A250" s="86"/>
      <c r="B250" s="19"/>
      <c r="Q250"/>
    </row>
    <row r="251" spans="1:17" ht="15.75" hidden="1" outlineLevel="1" x14ac:dyDescent="0.25">
      <c r="A251" s="86"/>
      <c r="B251" s="19"/>
      <c r="C251" s="379"/>
      <c r="D251" s="358" t="str">
        <f>Scenario3&amp;" IT Related Costs"</f>
        <v>eSystems (Paperless) IT Related Costs</v>
      </c>
      <c r="E251" s="380"/>
      <c r="F251" s="380"/>
      <c r="G251" s="380"/>
      <c r="H251" s="380"/>
      <c r="I251" s="380"/>
      <c r="J251" s="380"/>
      <c r="K251" s="380"/>
      <c r="L251" s="380"/>
      <c r="M251" s="380"/>
      <c r="N251" s="380"/>
      <c r="O251" s="381"/>
      <c r="Q251"/>
    </row>
    <row r="252" spans="1:17" ht="15" hidden="1" outlineLevel="1" x14ac:dyDescent="0.2">
      <c r="A252" s="86"/>
      <c r="B252" s="13"/>
      <c r="C252" s="165"/>
      <c r="D252" s="424" t="str">
        <f>"Total "&amp;(IT_CodeA) &amp; " Costs"</f>
        <v>Total Maintenance Information System Costs</v>
      </c>
      <c r="E252" s="423">
        <f t="shared" ref="E252:N252" si="40">-eSystemsCostIT_CodeA</f>
        <v>-61500000</v>
      </c>
      <c r="F252" s="423">
        <f t="shared" si="40"/>
        <v>-62730000</v>
      </c>
      <c r="G252" s="423">
        <f t="shared" si="40"/>
        <v>-63984600</v>
      </c>
      <c r="H252" s="423">
        <f t="shared" si="40"/>
        <v>-65264291.999999993</v>
      </c>
      <c r="I252" s="423">
        <f t="shared" si="40"/>
        <v>-66569577.839999996</v>
      </c>
      <c r="J252" s="423">
        <f t="shared" si="40"/>
        <v>-67900969.396799996</v>
      </c>
      <c r="K252" s="423">
        <f t="shared" si="40"/>
        <v>-69258988.784736007</v>
      </c>
      <c r="L252" s="423">
        <f t="shared" si="40"/>
        <v>-70644168.560430706</v>
      </c>
      <c r="M252" s="423">
        <f t="shared" si="40"/>
        <v>-72057051.931639329</v>
      </c>
      <c r="N252" s="423">
        <f t="shared" si="40"/>
        <v>-73498192.970272124</v>
      </c>
      <c r="O252" s="318" t="s">
        <v>335</v>
      </c>
      <c r="Q252"/>
    </row>
    <row r="253" spans="1:17" ht="15" hidden="1" outlineLevel="1" x14ac:dyDescent="0.2">
      <c r="A253" s="86"/>
      <c r="B253" s="13"/>
      <c r="C253" s="165"/>
      <c r="D253" s="424" t="str">
        <f>"Total "&amp;(IT_CodeB) &amp; " Costs"</f>
        <v>Total Document Management System Costs</v>
      </c>
      <c r="E253" s="423">
        <f t="shared" ref="E253:N253" si="41">-eSystemsCostIT_CodeB</f>
        <v>-12750000</v>
      </c>
      <c r="F253" s="423">
        <f t="shared" si="41"/>
        <v>-12750000</v>
      </c>
      <c r="G253" s="423">
        <f t="shared" si="41"/>
        <v>-12750000</v>
      </c>
      <c r="H253" s="423">
        <f t="shared" si="41"/>
        <v>-12750000</v>
      </c>
      <c r="I253" s="423">
        <f t="shared" si="41"/>
        <v>-12750000</v>
      </c>
      <c r="J253" s="423">
        <f t="shared" si="41"/>
        <v>-12750000</v>
      </c>
      <c r="K253" s="423">
        <f t="shared" si="41"/>
        <v>-12750000</v>
      </c>
      <c r="L253" s="423">
        <f t="shared" si="41"/>
        <v>-12750000</v>
      </c>
      <c r="M253" s="423">
        <f t="shared" si="41"/>
        <v>-12750000</v>
      </c>
      <c r="N253" s="423">
        <f t="shared" si="41"/>
        <v>-12750000</v>
      </c>
      <c r="O253" s="318" t="s">
        <v>336</v>
      </c>
      <c r="Q253"/>
    </row>
    <row r="254" spans="1:17" ht="15" hidden="1" outlineLevel="1" x14ac:dyDescent="0.2">
      <c r="A254" s="86"/>
      <c r="B254" s="13"/>
      <c r="C254" s="165"/>
      <c r="D254" s="424" t="str">
        <f>"Total "&amp;(IT_CodeC) &amp; " Costs"</f>
        <v>Total SCL Management System Costs</v>
      </c>
      <c r="E254" s="423">
        <f t="shared" ref="E254:N254" si="42">-eSystemsCostIT_CodeC</f>
        <v>-14100000</v>
      </c>
      <c r="F254" s="423">
        <f t="shared" si="42"/>
        <v>-14382000</v>
      </c>
      <c r="G254" s="423">
        <f t="shared" si="42"/>
        <v>-14669640</v>
      </c>
      <c r="H254" s="423">
        <f t="shared" si="42"/>
        <v>-14963032.799999999</v>
      </c>
      <c r="I254" s="423">
        <f t="shared" si="42"/>
        <v>-15262293.456</v>
      </c>
      <c r="J254" s="423">
        <f t="shared" si="42"/>
        <v>-15567539.32512</v>
      </c>
      <c r="K254" s="423">
        <f t="shared" si="42"/>
        <v>-15878890.111622401</v>
      </c>
      <c r="L254" s="423">
        <f t="shared" si="42"/>
        <v>-16196467.913854845</v>
      </c>
      <c r="M254" s="423">
        <f t="shared" si="42"/>
        <v>-16520397.272131944</v>
      </c>
      <c r="N254" s="423">
        <f t="shared" si="42"/>
        <v>-16850805.217574582</v>
      </c>
      <c r="O254" s="318" t="s">
        <v>337</v>
      </c>
      <c r="Q254"/>
    </row>
    <row r="255" spans="1:17" ht="15" hidden="1" outlineLevel="1" x14ac:dyDescent="0.2">
      <c r="A255" s="86"/>
      <c r="B255" s="13"/>
      <c r="C255" s="165"/>
      <c r="D255" s="424" t="str">
        <f>"Total "&amp;(IT_CodeD) &amp; " Costs"</f>
        <v>Total Mobility System Costs</v>
      </c>
      <c r="E255" s="423">
        <f t="shared" ref="E255:N255" si="43">-eSystemsCostIT_CodeD</f>
        <v>-1100000</v>
      </c>
      <c r="F255" s="423">
        <f t="shared" si="43"/>
        <v>-1122000</v>
      </c>
      <c r="G255" s="423">
        <f t="shared" si="43"/>
        <v>-1144440</v>
      </c>
      <c r="H255" s="423">
        <f t="shared" si="43"/>
        <v>-1167328.7999999998</v>
      </c>
      <c r="I255" s="423">
        <f t="shared" si="43"/>
        <v>-1190675.3759999999</v>
      </c>
      <c r="J255" s="423">
        <f t="shared" si="43"/>
        <v>-1214488.8835199999</v>
      </c>
      <c r="K255" s="423">
        <f t="shared" si="43"/>
        <v>-1238778.6611904001</v>
      </c>
      <c r="L255" s="423">
        <f t="shared" si="43"/>
        <v>-1263554.2344142077</v>
      </c>
      <c r="M255" s="423">
        <f t="shared" si="43"/>
        <v>-1288825.3191024922</v>
      </c>
      <c r="N255" s="423">
        <f t="shared" si="43"/>
        <v>-1314601.8254845419</v>
      </c>
      <c r="O255" s="318" t="s">
        <v>338</v>
      </c>
      <c r="Q255"/>
    </row>
    <row r="256" spans="1:17" ht="15" hidden="1" outlineLevel="1" x14ac:dyDescent="0.2">
      <c r="A256" s="86"/>
      <c r="B256" s="13"/>
      <c r="C256" s="165"/>
      <c r="D256" s="424" t="str">
        <f>"Total "&amp;(IT_CodeE) &amp; " Costs"</f>
        <v>Total eTechnical Logbook Costs</v>
      </c>
      <c r="E256" s="423">
        <f t="shared" ref="E256:N256" si="44">-eSystemsCostIT_CodeE</f>
        <v>-1100000</v>
      </c>
      <c r="F256" s="423">
        <f t="shared" si="44"/>
        <v>-1122000</v>
      </c>
      <c r="G256" s="423">
        <f t="shared" si="44"/>
        <v>-1144440</v>
      </c>
      <c r="H256" s="423">
        <f t="shared" si="44"/>
        <v>-1167328.7999999998</v>
      </c>
      <c r="I256" s="423">
        <f t="shared" si="44"/>
        <v>-1190675.3759999999</v>
      </c>
      <c r="J256" s="423">
        <f t="shared" si="44"/>
        <v>-1214488.8835199999</v>
      </c>
      <c r="K256" s="423">
        <f t="shared" si="44"/>
        <v>-1238778.6611904001</v>
      </c>
      <c r="L256" s="423">
        <f t="shared" si="44"/>
        <v>-1263554.2344142077</v>
      </c>
      <c r="M256" s="423">
        <f t="shared" si="44"/>
        <v>-1288825.3191024922</v>
      </c>
      <c r="N256" s="423">
        <f t="shared" si="44"/>
        <v>-1314601.8254845419</v>
      </c>
      <c r="O256" s="318" t="s">
        <v>339</v>
      </c>
      <c r="Q256"/>
    </row>
    <row r="257" spans="1:33" ht="15" hidden="1" outlineLevel="1" x14ac:dyDescent="0.2">
      <c r="A257" s="86"/>
      <c r="B257" s="13"/>
      <c r="C257" s="165"/>
      <c r="D257" s="424" t="str">
        <f>"Total "&amp;(IT_CodeF) &amp; " Costs"</f>
        <v>Total Other System 1 Costs</v>
      </c>
      <c r="E257" s="423">
        <f t="shared" ref="E257:N257" si="45">-eSystemsCostIT_CodeF</f>
        <v>0</v>
      </c>
      <c r="F257" s="423">
        <f t="shared" si="45"/>
        <v>0</v>
      </c>
      <c r="G257" s="423">
        <f t="shared" si="45"/>
        <v>0</v>
      </c>
      <c r="H257" s="423">
        <f t="shared" si="45"/>
        <v>0</v>
      </c>
      <c r="I257" s="423">
        <f t="shared" si="45"/>
        <v>0</v>
      </c>
      <c r="J257" s="423">
        <f t="shared" si="45"/>
        <v>0</v>
      </c>
      <c r="K257" s="423">
        <f t="shared" si="45"/>
        <v>0</v>
      </c>
      <c r="L257" s="423">
        <f t="shared" si="45"/>
        <v>0</v>
      </c>
      <c r="M257" s="423">
        <f t="shared" si="45"/>
        <v>0</v>
      </c>
      <c r="N257" s="423">
        <f t="shared" si="45"/>
        <v>0</v>
      </c>
      <c r="O257" s="318" t="s">
        <v>340</v>
      </c>
      <c r="Q257"/>
    </row>
    <row r="258" spans="1:33" ht="15" hidden="1" outlineLevel="1" x14ac:dyDescent="0.2">
      <c r="A258" s="86"/>
      <c r="B258" s="13"/>
      <c r="C258" s="165"/>
      <c r="D258" s="424" t="str">
        <f>"Total "&amp;(IT_CodeG) &amp; " Costs"</f>
        <v>Total Other System 2 Costs</v>
      </c>
      <c r="E258" s="423">
        <f t="shared" ref="E258:N258" si="46">-eSystemsCostIT_CodeG</f>
        <v>0</v>
      </c>
      <c r="F258" s="423">
        <f t="shared" si="46"/>
        <v>0</v>
      </c>
      <c r="G258" s="423">
        <f t="shared" si="46"/>
        <v>0</v>
      </c>
      <c r="H258" s="423">
        <f t="shared" si="46"/>
        <v>0</v>
      </c>
      <c r="I258" s="423">
        <f t="shared" si="46"/>
        <v>0</v>
      </c>
      <c r="J258" s="423">
        <f t="shared" si="46"/>
        <v>0</v>
      </c>
      <c r="K258" s="423">
        <f t="shared" si="46"/>
        <v>0</v>
      </c>
      <c r="L258" s="423">
        <f t="shared" si="46"/>
        <v>0</v>
      </c>
      <c r="M258" s="423">
        <f t="shared" si="46"/>
        <v>0</v>
      </c>
      <c r="N258" s="423">
        <f t="shared" si="46"/>
        <v>0</v>
      </c>
      <c r="O258" s="318" t="s">
        <v>341</v>
      </c>
      <c r="Q258"/>
    </row>
    <row r="259" spans="1:33" ht="15.75" hidden="1" outlineLevel="1" x14ac:dyDescent="0.25">
      <c r="A259" s="86"/>
      <c r="B259" s="19"/>
      <c r="C259" s="165"/>
      <c r="D259" s="1057" t="s">
        <v>4092</v>
      </c>
      <c r="E259" s="354">
        <f t="shared" ref="E259:N259" si="47">-(eSystemsCostIT_Total)</f>
        <v>-90550000</v>
      </c>
      <c r="F259" s="354">
        <f t="shared" si="47"/>
        <v>-92106000</v>
      </c>
      <c r="G259" s="354">
        <f t="shared" si="47"/>
        <v>-93693120</v>
      </c>
      <c r="H259" s="354">
        <f t="shared" si="47"/>
        <v>-95311982.399999991</v>
      </c>
      <c r="I259" s="354">
        <f t="shared" si="47"/>
        <v>-96963222.048000008</v>
      </c>
      <c r="J259" s="354">
        <f t="shared" si="47"/>
        <v>-98647486.488960013</v>
      </c>
      <c r="K259" s="354">
        <f t="shared" si="47"/>
        <v>-100365436.21873921</v>
      </c>
      <c r="L259" s="354">
        <f t="shared" si="47"/>
        <v>-102117744.94311395</v>
      </c>
      <c r="M259" s="354">
        <f t="shared" si="47"/>
        <v>-103905099.84197627</v>
      </c>
      <c r="N259" s="354">
        <f t="shared" si="47"/>
        <v>-105728201.83881579</v>
      </c>
      <c r="O259" s="318" t="s">
        <v>310</v>
      </c>
      <c r="Q259"/>
    </row>
    <row r="260" spans="1:33" s="18" customFormat="1" ht="13.5" hidden="1" outlineLevel="1" thickBot="1" x14ac:dyDescent="0.25">
      <c r="A260" s="86"/>
      <c r="B260" s="19"/>
      <c r="C260" s="170"/>
      <c r="D260" s="278"/>
      <c r="E260" s="171"/>
      <c r="F260" s="171"/>
      <c r="G260" s="171"/>
      <c r="H260" s="171"/>
      <c r="I260" s="171"/>
      <c r="J260" s="171"/>
      <c r="K260" s="171"/>
      <c r="L260" s="171"/>
      <c r="M260" s="171"/>
      <c r="N260" s="171"/>
      <c r="O260" s="309"/>
      <c r="P260" s="12"/>
      <c r="Q260" s="12"/>
    </row>
    <row r="261" spans="1:33" hidden="1" outlineLevel="1" x14ac:dyDescent="0.2">
      <c r="B261" s="7"/>
      <c r="Q261"/>
    </row>
    <row r="262" spans="1:33" s="122" customFormat="1" ht="15.75" collapsed="1" x14ac:dyDescent="0.2">
      <c r="A262" s="1043" t="s">
        <v>4214</v>
      </c>
      <c r="B262" s="1039"/>
      <c r="C262" s="1039"/>
      <c r="D262" s="1039"/>
      <c r="E262" s="1039"/>
      <c r="F262" s="1039"/>
      <c r="G262" s="1039"/>
      <c r="H262" s="1039"/>
      <c r="I262" s="1039"/>
      <c r="J262" s="1039"/>
      <c r="K262" s="1039"/>
      <c r="L262" s="1039"/>
      <c r="M262" s="1039"/>
      <c r="N262" s="1039"/>
      <c r="O262" s="1039"/>
      <c r="P262" s="206"/>
      <c r="Q262" s="206"/>
      <c r="R262" s="206"/>
      <c r="S262" s="206"/>
      <c r="T262" s="206"/>
      <c r="U262" s="206"/>
      <c r="V262" s="206"/>
      <c r="W262" s="206"/>
      <c r="X262" s="206"/>
      <c r="Y262" s="206"/>
      <c r="Z262" s="206"/>
      <c r="AA262" s="206"/>
      <c r="AB262" s="206"/>
      <c r="AC262" s="206"/>
      <c r="AD262" s="206"/>
      <c r="AE262" s="206"/>
      <c r="AF262" s="206"/>
    </row>
    <row r="263" spans="1:33" s="7" customFormat="1" ht="20.25" x14ac:dyDescent="0.3">
      <c r="A263"/>
      <c r="B263" s="126"/>
      <c r="C263" s="23"/>
      <c r="D263" s="91"/>
      <c r="E263" s="129"/>
      <c r="F263" s="129"/>
      <c r="G263" s="129"/>
      <c r="H263" s="129"/>
      <c r="I263" s="129"/>
      <c r="J263" s="129"/>
      <c r="K263" s="129"/>
      <c r="L263" s="129"/>
      <c r="M263" s="129"/>
      <c r="N263" s="129"/>
      <c r="O263" s="24"/>
      <c r="P263" s="24"/>
      <c r="Q263" s="123"/>
      <c r="R263" s="24"/>
      <c r="S263" s="24"/>
      <c r="T263" s="24"/>
      <c r="U263" s="24"/>
      <c r="V263" s="24"/>
      <c r="W263" s="24"/>
      <c r="X263" s="24"/>
      <c r="Y263" s="24"/>
      <c r="Z263" s="24"/>
      <c r="AA263" s="24"/>
      <c r="AB263" s="24"/>
      <c r="AC263" s="24"/>
      <c r="AD263" s="24"/>
      <c r="AE263" s="24"/>
      <c r="AF263" s="24"/>
      <c r="AG263" s="24"/>
    </row>
  </sheetData>
  <mergeCells count="17">
    <mergeCell ref="A21:A22"/>
    <mergeCell ref="A25:A33"/>
    <mergeCell ref="A224:A226"/>
    <mergeCell ref="A230:A231"/>
    <mergeCell ref="O8:O10"/>
    <mergeCell ref="A8:A11"/>
    <mergeCell ref="A37:A39"/>
    <mergeCell ref="C37:D37"/>
    <mergeCell ref="A42:A100"/>
    <mergeCell ref="A15:A17"/>
    <mergeCell ref="C15:D15"/>
    <mergeCell ref="C21:D21"/>
    <mergeCell ref="A2:A4"/>
    <mergeCell ref="B2:L2"/>
    <mergeCell ref="M2:O2"/>
    <mergeCell ref="B3:L4"/>
    <mergeCell ref="M3:O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N" id="{740926A4-B52D-4C64-B0EC-6BFA24B52B59}">
            <xm:f>NOT(ISERROR(SEARCH("N",Labor_Warranty!O242)))</xm:f>
            <x14:dxf>
              <font>
                <b/>
                <i val="0"/>
              </font>
              <fill>
                <patternFill>
                  <bgColor rgb="FFFFC000"/>
                </patternFill>
              </fill>
            </x14:dxf>
          </x14:cfRule>
          <x14:cfRule type="containsText" priority="2" operator="containsText" text="Y" id="{E6D73544-AA6A-4AF4-9511-6E108658A762}">
            <xm:f>NOT(ISERROR(SEARCH("Y",Labor_Warranty!O242)))</xm:f>
            <x14:dxf>
              <font>
                <b/>
                <i val="0"/>
              </font>
              <fill>
                <patternFill>
                  <bgColor rgb="FF00B050"/>
                </patternFill>
              </fill>
            </x14:dxf>
          </x14:cfRule>
          <xm:sqref>O251</xm:sqref>
        </x14:conditionalFormatting>
        <x14:conditionalFormatting xmlns:xm="http://schemas.microsoft.com/office/excel/2006/main">
          <x14:cfRule type="containsText" priority="3" operator="containsText" text="N" id="{EC61DB9D-4DD3-4671-980F-857145D61234}">
            <xm:f>NOT(ISERROR(SEARCH("N",Costs_Training!P552)))</xm:f>
            <x14:dxf>
              <font>
                <b/>
                <i val="0"/>
              </font>
              <fill>
                <patternFill>
                  <bgColor rgb="FFFFC000"/>
                </patternFill>
              </fill>
            </x14:dxf>
          </x14:cfRule>
          <x14:cfRule type="containsText" priority="4" operator="containsText" text="Y" id="{68FE3E8A-F39C-44D8-AD81-8F3132E0B282}">
            <xm:f>NOT(ISERROR(SEARCH("Y",Costs_Training!P552)))</xm:f>
            <x14:dxf>
              <font>
                <b/>
                <i val="0"/>
              </font>
              <fill>
                <patternFill>
                  <bgColor rgb="FF00B050"/>
                </patternFill>
              </fill>
            </x14:dxf>
          </x14:cfRule>
          <xm:sqref>P239</xm:sqref>
        </x14:conditionalFormatting>
        <x14:conditionalFormatting xmlns:xm="http://schemas.microsoft.com/office/excel/2006/main">
          <x14:cfRule type="containsText" priority="5" operator="containsText" text="N" id="{7FFA3E25-5222-4ECB-998D-05ED1F2D2C7B}">
            <xm:f>NOT(ISERROR(SEARCH("N",Costs_Training!#REF!)))</xm:f>
            <x14:dxf>
              <font>
                <b/>
                <i val="0"/>
              </font>
              <fill>
                <patternFill>
                  <bgColor rgb="FFFFC000"/>
                </patternFill>
              </fill>
            </x14:dxf>
          </x14:cfRule>
          <x14:cfRule type="containsText" priority="6" operator="containsText" text="Y" id="{F88E7CEE-E1B0-4068-A4A0-63F68924BF5B}">
            <xm:f>NOT(ISERROR(SEARCH("Y",Costs_Training!#REF!)))</xm:f>
            <x14:dxf>
              <font>
                <b/>
                <i val="0"/>
              </font>
              <fill>
                <patternFill>
                  <bgColor rgb="FF00B050"/>
                </patternFill>
              </fill>
            </x14:dxf>
          </x14:cfRule>
          <xm:sqref>P260</xm:sqref>
        </x14:conditionalFormatting>
        <x14:conditionalFormatting xmlns:xm="http://schemas.microsoft.com/office/excel/2006/main">
          <x14:cfRule type="containsText" priority="1417" operator="containsText" text="N" id="{740926A4-B52D-4C64-B0EC-6BFA24B52B59}">
            <xm:f>NOT(ISERROR(SEARCH("N",Labor_Warranty!O233)))</xm:f>
            <x14:dxf>
              <font>
                <b/>
                <i val="0"/>
              </font>
              <fill>
                <patternFill>
                  <bgColor rgb="FFFFC000"/>
                </patternFill>
              </fill>
            </x14:dxf>
          </x14:cfRule>
          <x14:cfRule type="containsText" priority="1418" operator="containsText" text="Y" id="{E6D73544-AA6A-4AF4-9511-6E108658A762}">
            <xm:f>NOT(ISERROR(SEARCH("Y",Labor_Warranty!O233)))</xm:f>
            <x14:dxf>
              <font>
                <b/>
                <i val="0"/>
              </font>
              <fill>
                <patternFill>
                  <bgColor rgb="FF00B050"/>
                </patternFill>
              </fill>
            </x14:dxf>
          </x14:cfRule>
          <xm:sqref>O230</xm:sqref>
        </x14:conditionalFormatting>
        <x14:conditionalFormatting xmlns:xm="http://schemas.microsoft.com/office/excel/2006/main">
          <x14:cfRule type="containsText" priority="1425" operator="containsText" text="N" id="{740926A4-B52D-4C64-B0EC-6BFA24B52B59}">
            <xm:f>NOT(ISERROR(SEARCH("N",Labor_Warranty!O238)))</xm:f>
            <x14:dxf>
              <font>
                <b/>
                <i val="0"/>
              </font>
              <fill>
                <patternFill>
                  <bgColor rgb="FFFFC000"/>
                </patternFill>
              </fill>
            </x14:dxf>
          </x14:cfRule>
          <x14:cfRule type="containsText" priority="1426" operator="containsText" text="Y" id="{E6D73544-AA6A-4AF4-9511-6E108658A762}">
            <xm:f>NOT(ISERROR(SEARCH("Y",Labor_Warranty!O238)))</xm:f>
            <x14:dxf>
              <font>
                <b/>
                <i val="0"/>
              </font>
              <fill>
                <patternFill>
                  <bgColor rgb="FF00B050"/>
                </patternFill>
              </fill>
            </x14:dxf>
          </x14:cfRule>
          <xm:sqref>O241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A1:AG397"/>
  <sheetViews>
    <sheetView zoomScaleNormal="100" workbookViewId="0"/>
  </sheetViews>
  <sheetFormatPr defaultRowHeight="12.75" outlineLevelRow="1" x14ac:dyDescent="0.2"/>
  <cols>
    <col min="1" max="1" width="75.5703125" customWidth="1"/>
    <col min="2" max="2" width="5.5703125" customWidth="1"/>
    <col min="3" max="3" width="50.7109375" customWidth="1"/>
    <col min="4" max="4" width="75.5703125" customWidth="1"/>
    <col min="5" max="14" width="15.7109375" customWidth="1"/>
    <col min="15" max="15" width="55.7109375" customWidth="1"/>
  </cols>
  <sheetData>
    <row r="1" spans="1:33" s="8" customFormat="1" ht="30" customHeight="1" x14ac:dyDescent="0.2">
      <c r="A1" s="1183" t="s">
        <v>66</v>
      </c>
      <c r="B1" s="155"/>
      <c r="C1" s="1182" t="s">
        <v>4233</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3" customFormat="1" ht="14.1" customHeight="1" x14ac:dyDescent="0.2">
      <c r="A5" s="13"/>
      <c r="B5" s="13"/>
      <c r="C5" s="104"/>
      <c r="D5" s="13"/>
      <c r="E5" s="49"/>
      <c r="F5" s="49"/>
      <c r="G5" s="13"/>
      <c r="H5" s="13"/>
      <c r="I5" s="13"/>
      <c r="J5" s="13"/>
      <c r="K5" s="13"/>
      <c r="L5" s="13"/>
      <c r="M5" s="13"/>
      <c r="N5" s="13"/>
      <c r="O5" s="13"/>
      <c r="P5" s="132"/>
      <c r="Q5" s="19"/>
      <c r="R5" s="19"/>
      <c r="S5" s="19"/>
      <c r="T5" s="19"/>
      <c r="U5" s="19"/>
      <c r="V5" s="19"/>
      <c r="W5" s="19"/>
      <c r="X5" s="19"/>
      <c r="Y5" s="19"/>
      <c r="Z5" s="19"/>
      <c r="AA5" s="19"/>
      <c r="AB5" s="19"/>
      <c r="AC5" s="19"/>
      <c r="AD5" s="19"/>
      <c r="AE5" s="19"/>
      <c r="AF5" s="19"/>
    </row>
    <row r="6" spans="1:33" s="85" customFormat="1" ht="15" customHeight="1" x14ac:dyDescent="0.2">
      <c r="C6" s="119" t="str">
        <f>"All currency -  "&amp;CurrSymbol&amp;" in "&amp;CurrUnits&amp;"s"</f>
        <v>All currency -  US$ in 1000s</v>
      </c>
      <c r="D6" s="20" t="s">
        <v>69</v>
      </c>
    </row>
    <row r="7" spans="1:33" s="85" customFormat="1" ht="15" customHeight="1" x14ac:dyDescent="0.2"/>
    <row r="8" spans="1:33" s="85" customFormat="1" ht="15" customHeight="1" x14ac:dyDescent="0.2">
      <c r="A8" s="1404" t="s">
        <v>4211</v>
      </c>
      <c r="D8" s="61" t="s">
        <v>22</v>
      </c>
      <c r="E8" s="42" t="s">
        <v>12</v>
      </c>
      <c r="F8" s="42" t="s">
        <v>11</v>
      </c>
      <c r="G8" s="42" t="s">
        <v>10</v>
      </c>
      <c r="H8" s="42" t="s">
        <v>39</v>
      </c>
      <c r="I8" s="42" t="s">
        <v>40</v>
      </c>
      <c r="J8" s="42" t="s">
        <v>41</v>
      </c>
      <c r="K8" s="42" t="s">
        <v>42</v>
      </c>
      <c r="L8" s="42" t="s">
        <v>43</v>
      </c>
      <c r="M8" s="42" t="s">
        <v>44</v>
      </c>
      <c r="N8" s="42" t="s">
        <v>45</v>
      </c>
    </row>
    <row r="9" spans="1:33" s="121" customFormat="1" ht="15" customHeight="1" x14ac:dyDescent="0.2">
      <c r="A9" s="1405"/>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row>
    <row r="10" spans="1:33" s="121" customFormat="1" ht="15" customHeight="1" x14ac:dyDescent="0.2">
      <c r="A10" s="1405"/>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row>
    <row r="11" spans="1:33" s="121" customFormat="1" ht="15" customHeight="1" x14ac:dyDescent="0.2">
      <c r="A11" s="1406"/>
      <c r="E11" s="99"/>
      <c r="F11" s="99"/>
      <c r="G11" s="99"/>
      <c r="H11" s="99"/>
      <c r="I11" s="99"/>
      <c r="J11" s="99"/>
      <c r="K11" s="99"/>
      <c r="L11" s="99"/>
      <c r="M11" s="99"/>
      <c r="N11" s="99"/>
    </row>
    <row r="12" spans="1:33" s="121" customFormat="1" ht="15" customHeight="1" x14ac:dyDescent="0.2">
      <c r="E12" s="99"/>
      <c r="F12" s="99"/>
      <c r="G12" s="99"/>
      <c r="H12" s="99"/>
      <c r="I12" s="99"/>
      <c r="J12" s="99"/>
      <c r="K12" s="99"/>
      <c r="L12" s="99"/>
      <c r="M12" s="99"/>
      <c r="N12" s="99"/>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88" customFormat="1" x14ac:dyDescent="0.2">
      <c r="D14" s="1038"/>
    </row>
    <row r="15" spans="1:33" s="217" customFormat="1" ht="20.100000000000001" customHeight="1" x14ac:dyDescent="0.2">
      <c r="A15" s="1400" t="s">
        <v>4234</v>
      </c>
      <c r="B15" s="72"/>
      <c r="C15" s="1058" t="s">
        <v>4233</v>
      </c>
      <c r="D15" s="218"/>
      <c r="E15" s="218"/>
      <c r="F15" s="218"/>
      <c r="G15" s="218"/>
      <c r="H15" s="218"/>
      <c r="I15" s="218"/>
      <c r="J15" s="218"/>
      <c r="K15" s="218"/>
      <c r="L15" s="218"/>
      <c r="M15" s="218"/>
      <c r="N15" s="218"/>
      <c r="O15" s="219"/>
      <c r="P15" s="219"/>
    </row>
    <row r="16" spans="1:33" s="203" customFormat="1" x14ac:dyDescent="0.2">
      <c r="A16" s="1407"/>
      <c r="B16" s="72"/>
      <c r="C16" s="204"/>
      <c r="D16" s="723"/>
      <c r="E16" s="210"/>
      <c r="F16" s="210"/>
      <c r="G16" s="210"/>
      <c r="H16" s="210"/>
      <c r="I16" s="210"/>
      <c r="J16" s="210"/>
      <c r="K16" s="210"/>
      <c r="L16" s="210"/>
      <c r="M16" s="210"/>
      <c r="N16" s="210"/>
    </row>
    <row r="17" spans="1:33" s="203" customFormat="1" ht="53.25" customHeight="1" x14ac:dyDescent="0.2">
      <c r="A17" s="1408"/>
      <c r="B17" s="72"/>
      <c r="C17" s="723"/>
      <c r="D17" s="723"/>
      <c r="E17" s="210"/>
      <c r="F17" s="210"/>
      <c r="G17" s="210"/>
      <c r="H17" s="210"/>
      <c r="I17" s="210"/>
      <c r="J17" s="210"/>
      <c r="K17" s="210"/>
      <c r="L17" s="210"/>
      <c r="M17" s="210"/>
      <c r="N17" s="210"/>
    </row>
    <row r="18" spans="1:33" s="121" customFormat="1" ht="15" customHeight="1" x14ac:dyDescent="0.2">
      <c r="E18" s="99"/>
      <c r="F18" s="99"/>
      <c r="G18" s="99"/>
      <c r="H18" s="99"/>
      <c r="I18" s="99"/>
      <c r="J18" s="99"/>
      <c r="K18" s="99"/>
      <c r="L18" s="99"/>
      <c r="M18" s="99"/>
      <c r="N18" s="99"/>
    </row>
    <row r="19" spans="1:33" s="121" customFormat="1" ht="15" customHeight="1" x14ac:dyDescent="0.2">
      <c r="E19" s="99"/>
      <c r="F19" s="99"/>
      <c r="G19" s="99"/>
      <c r="H19" s="99"/>
      <c r="I19" s="99"/>
      <c r="J19" s="99"/>
      <c r="K19" s="99"/>
      <c r="L19" s="99"/>
      <c r="M19" s="99"/>
      <c r="N19" s="99"/>
    </row>
    <row r="20" spans="1:33" s="122" customFormat="1" ht="15.75" x14ac:dyDescent="0.2">
      <c r="A20" s="1043">
        <v>2</v>
      </c>
      <c r="B20" s="1039"/>
      <c r="C20" s="1039"/>
      <c r="D20" s="1039"/>
      <c r="E20" s="1039"/>
      <c r="F20" s="1039"/>
      <c r="G20" s="1039"/>
      <c r="H20" s="1039"/>
      <c r="I20" s="1039"/>
      <c r="J20" s="1039"/>
      <c r="K20" s="1039"/>
      <c r="L20" s="1039"/>
      <c r="M20" s="1039"/>
      <c r="N20" s="1039"/>
      <c r="O20" s="1039"/>
      <c r="P20" s="206"/>
      <c r="Q20" s="206"/>
      <c r="R20" s="206"/>
      <c r="S20" s="206"/>
      <c r="T20" s="206"/>
      <c r="U20" s="206"/>
      <c r="V20" s="206"/>
      <c r="W20" s="206"/>
      <c r="X20" s="206"/>
      <c r="Y20" s="206"/>
      <c r="Z20" s="206"/>
      <c r="AA20" s="206"/>
      <c r="AB20" s="206"/>
      <c r="AC20" s="206"/>
      <c r="AD20" s="206"/>
      <c r="AE20" s="206"/>
      <c r="AF20" s="206"/>
    </row>
    <row r="21" spans="1:33" s="87" customFormat="1" ht="15" customHeight="1" x14ac:dyDescent="0.2">
      <c r="A21" s="86"/>
      <c r="B21" s="86"/>
      <c r="H21" s="89"/>
      <c r="O21" s="85"/>
    </row>
    <row r="22" spans="1:33" s="28" customFormat="1" ht="26.25" x14ac:dyDescent="0.25">
      <c r="A22" s="1400" t="s">
        <v>4242</v>
      </c>
      <c r="C22" s="1058" t="s">
        <v>4235</v>
      </c>
      <c r="D22" s="267"/>
      <c r="E22" s="267"/>
      <c r="O22" s="85"/>
      <c r="P22" s="29"/>
      <c r="Q22" s="29"/>
      <c r="R22" s="29"/>
      <c r="S22" s="29"/>
      <c r="T22" s="29"/>
      <c r="U22" s="29"/>
      <c r="V22" s="29"/>
      <c r="W22" s="29"/>
      <c r="X22" s="29"/>
      <c r="Y22" s="29"/>
      <c r="Z22" s="29"/>
      <c r="AA22" s="29"/>
      <c r="AB22" s="29"/>
      <c r="AC22" s="29"/>
      <c r="AD22" s="29"/>
      <c r="AE22" s="29"/>
      <c r="AF22" s="29"/>
      <c r="AG22" s="29"/>
    </row>
    <row r="23" spans="1:33" s="7" customFormat="1" ht="24.95" customHeight="1" x14ac:dyDescent="0.2">
      <c r="A23" s="1408"/>
      <c r="B23" s="98"/>
      <c r="C23" s="98"/>
      <c r="D23" s="98"/>
      <c r="E23" s="99"/>
      <c r="F23" s="99"/>
      <c r="G23" s="99"/>
      <c r="H23" s="99"/>
      <c r="I23" s="99"/>
      <c r="J23" s="99"/>
      <c r="K23" s="99"/>
      <c r="L23" s="99"/>
      <c r="M23" s="99"/>
      <c r="N23" s="99"/>
      <c r="O23" s="85"/>
    </row>
    <row r="24" spans="1:33" s="7" customFormat="1" ht="14.1" customHeight="1" x14ac:dyDescent="0.2">
      <c r="A24" s="17"/>
      <c r="B24" s="98"/>
      <c r="C24" s="98"/>
      <c r="D24" s="98"/>
      <c r="E24" s="99"/>
      <c r="F24" s="99"/>
      <c r="G24" s="99"/>
      <c r="H24" s="99"/>
      <c r="I24" s="99"/>
      <c r="J24" s="99"/>
      <c r="K24" s="99"/>
      <c r="L24" s="99"/>
      <c r="M24" s="99"/>
      <c r="N24" s="99"/>
      <c r="O24" s="85"/>
    </row>
    <row r="25" spans="1:33" s="7" customFormat="1" ht="14.1" hidden="1" customHeight="1" outlineLevel="1" thickBot="1" x14ac:dyDescent="0.25">
      <c r="A25" s="17"/>
      <c r="B25" s="98"/>
      <c r="C25" s="98"/>
      <c r="D25" s="98"/>
      <c r="E25" s="99"/>
      <c r="F25" s="99"/>
      <c r="G25" s="99"/>
      <c r="H25" s="99"/>
      <c r="I25" s="99"/>
      <c r="J25" s="99"/>
      <c r="K25" s="99"/>
      <c r="L25" s="99"/>
      <c r="M25" s="99"/>
      <c r="N25" s="99"/>
      <c r="O25" s="85"/>
    </row>
    <row r="26" spans="1:33" s="47" customFormat="1" ht="26.25" hidden="1" outlineLevel="1" x14ac:dyDescent="0.2">
      <c r="A26" s="1397" t="s">
        <v>4241</v>
      </c>
      <c r="B26"/>
      <c r="C26" s="268" t="str">
        <f>Scenario1&amp;" - Training Requirements Cost Calculations"</f>
        <v>pSystems (Paper) - Training Requirements Cost Calculations</v>
      </c>
      <c r="D26" s="392"/>
      <c r="E26" s="392"/>
      <c r="F26" s="392"/>
      <c r="G26" s="392"/>
      <c r="H26" s="392"/>
      <c r="I26" s="392"/>
      <c r="J26" s="392"/>
      <c r="K26" s="392"/>
      <c r="L26" s="392"/>
      <c r="M26" s="392"/>
      <c r="N26" s="392"/>
      <c r="O26" s="630"/>
    </row>
    <row r="27" spans="1:33" ht="15" hidden="1" customHeight="1" outlineLevel="1" x14ac:dyDescent="0.2">
      <c r="A27" s="1407"/>
      <c r="C27" s="368"/>
      <c r="D27" s="5"/>
      <c r="E27" s="5"/>
      <c r="F27" s="5"/>
      <c r="G27" s="5"/>
      <c r="H27" s="5"/>
      <c r="I27" s="5"/>
      <c r="J27" s="5"/>
      <c r="K27" s="5"/>
      <c r="L27" s="5"/>
      <c r="M27" s="5"/>
      <c r="N27" s="5"/>
      <c r="O27" s="393"/>
    </row>
    <row r="28" spans="1:33" ht="15" hidden="1" customHeight="1" outlineLevel="1" x14ac:dyDescent="0.2">
      <c r="A28" s="1407"/>
      <c r="B28" s="96"/>
      <c r="C28" s="394"/>
      <c r="D28" s="149" t="s">
        <v>3614</v>
      </c>
      <c r="E28" s="5"/>
      <c r="F28" s="5"/>
      <c r="G28" s="5"/>
      <c r="H28" s="5"/>
      <c r="I28" s="5"/>
      <c r="J28" s="5"/>
      <c r="K28" s="5"/>
      <c r="L28" s="5"/>
      <c r="M28" s="5"/>
      <c r="N28" s="5"/>
      <c r="O28" s="393"/>
    </row>
    <row r="29" spans="1:33" ht="15" hidden="1" customHeight="1" outlineLevel="1" x14ac:dyDescent="0.2">
      <c r="A29" s="1407"/>
      <c r="B29" s="96"/>
      <c r="C29" s="394"/>
      <c r="D29" s="631">
        <v>1000</v>
      </c>
      <c r="E29" s="6"/>
      <c r="F29" s="6"/>
      <c r="G29" s="6"/>
      <c r="H29" s="6"/>
      <c r="I29" s="6"/>
      <c r="J29" s="6"/>
      <c r="K29" s="6"/>
      <c r="L29" s="6"/>
      <c r="M29" s="6"/>
      <c r="N29" s="6"/>
      <c r="O29" s="393"/>
    </row>
    <row r="30" spans="1:33" ht="15" hidden="1" customHeight="1" outlineLevel="1" x14ac:dyDescent="0.2">
      <c r="A30" s="1407"/>
      <c r="B30" s="96"/>
      <c r="C30" s="394"/>
      <c r="D30" s="94" t="s">
        <v>276</v>
      </c>
      <c r="E30" s="632">
        <v>0.1</v>
      </c>
      <c r="F30" s="632">
        <v>0.1</v>
      </c>
      <c r="G30" s="632">
        <v>0.1</v>
      </c>
      <c r="H30" s="632">
        <v>0.1</v>
      </c>
      <c r="I30" s="632">
        <v>0.1</v>
      </c>
      <c r="J30" s="632">
        <v>0.1</v>
      </c>
      <c r="K30" s="632">
        <v>0.1</v>
      </c>
      <c r="L30" s="632">
        <v>0.1</v>
      </c>
      <c r="M30" s="632">
        <v>0.1</v>
      </c>
      <c r="N30" s="632">
        <v>0.1</v>
      </c>
      <c r="O30" s="393"/>
    </row>
    <row r="31" spans="1:33" ht="15" hidden="1" customHeight="1" outlineLevel="1" x14ac:dyDescent="0.2">
      <c r="A31" s="1407"/>
      <c r="B31" s="96"/>
      <c r="C31" s="368"/>
      <c r="D31" s="94" t="s">
        <v>71</v>
      </c>
      <c r="E31" s="633">
        <f t="shared" ref="E31:N31" si="0">pSystemsFTE_LM*E30</f>
        <v>150</v>
      </c>
      <c r="F31" s="633">
        <f t="shared" si="0"/>
        <v>150</v>
      </c>
      <c r="G31" s="633">
        <f t="shared" si="0"/>
        <v>150</v>
      </c>
      <c r="H31" s="633">
        <f t="shared" si="0"/>
        <v>150</v>
      </c>
      <c r="I31" s="633">
        <f t="shared" si="0"/>
        <v>150</v>
      </c>
      <c r="J31" s="633">
        <f t="shared" si="0"/>
        <v>150</v>
      </c>
      <c r="K31" s="633">
        <f t="shared" si="0"/>
        <v>150</v>
      </c>
      <c r="L31" s="633">
        <f t="shared" si="0"/>
        <v>150</v>
      </c>
      <c r="M31" s="633">
        <f t="shared" si="0"/>
        <v>150</v>
      </c>
      <c r="N31" s="633">
        <f t="shared" si="0"/>
        <v>150</v>
      </c>
      <c r="O31" s="162" t="s">
        <v>3568</v>
      </c>
    </row>
    <row r="32" spans="1:33" ht="15" hidden="1" customHeight="1" outlineLevel="1" x14ac:dyDescent="0.2">
      <c r="A32" s="1407"/>
      <c r="B32" s="96"/>
      <c r="C32" s="368"/>
      <c r="D32" s="94" t="s">
        <v>282</v>
      </c>
      <c r="E32" s="634">
        <f>pSystemsTrainingCostPerFTE_LM*pSystemsTrainingFTEsLM</f>
        <v>150000</v>
      </c>
      <c r="F32" s="634">
        <f>pSystemsTrainingCostPerFTE_LM*pSystemsTrainingFTEsLM*(1+Inflation)</f>
        <v>153000</v>
      </c>
      <c r="G32" s="634">
        <f>pSystemsTrainingCostPerFTE_LM*pSystemsTrainingFTEsLM*(1+Inflation)^2</f>
        <v>156060</v>
      </c>
      <c r="H32" s="634">
        <f>pSystemsTrainingCostPerFTE_LM*pSystemsTrainingFTEsLM*(1+Inflation)^3</f>
        <v>159181.19999999998</v>
      </c>
      <c r="I32" s="634">
        <f>pSystemsTrainingCostPerFTE_LM*pSystemsTrainingFTEsLM*(1+Inflation)^4</f>
        <v>162364.82399999999</v>
      </c>
      <c r="J32" s="634">
        <f>pSystemsTrainingCostPerFTE_LM*pSystemsTrainingFTEsLM*(1+Inflation)^5</f>
        <v>165612.12048000001</v>
      </c>
      <c r="K32" s="634">
        <f>pSystemsTrainingCostPerFTE_LM*pSystemsTrainingFTEsLM*(1+Inflation)^6</f>
        <v>168924.36288960002</v>
      </c>
      <c r="L32" s="634">
        <f>pSystemsTrainingCostPerFTE_LM*pSystemsTrainingFTEsLM*(1+Inflation)^7</f>
        <v>172302.85014739196</v>
      </c>
      <c r="M32" s="634">
        <f>pSystemsTrainingCostPerFTE_LM*pSystemsTrainingFTEsLM*(1+Inflation)^8</f>
        <v>175748.90715033983</v>
      </c>
      <c r="N32" s="634">
        <f>pSystemsTrainingCostPerFTE_LM*pSystemsTrainingFTEsLM*(1+Inflation)^9</f>
        <v>179263.88529334663</v>
      </c>
      <c r="O32" s="162" t="s">
        <v>3569</v>
      </c>
    </row>
    <row r="33" spans="1:15" ht="15" hidden="1" customHeight="1" outlineLevel="1" x14ac:dyDescent="0.2">
      <c r="A33" s="1407"/>
      <c r="C33" s="394"/>
      <c r="D33" s="5"/>
      <c r="E33" s="5"/>
      <c r="F33" s="5"/>
      <c r="G33" s="5"/>
      <c r="H33" s="5"/>
      <c r="I33" s="5"/>
      <c r="J33" s="5"/>
      <c r="K33" s="5"/>
      <c r="L33" s="5"/>
      <c r="M33" s="5"/>
      <c r="N33" s="5"/>
      <c r="O33" s="393"/>
    </row>
    <row r="34" spans="1:15" ht="15" hidden="1" customHeight="1" outlineLevel="1" x14ac:dyDescent="0.2">
      <c r="A34" s="1407"/>
      <c r="C34" s="394"/>
      <c r="D34" s="149" t="s">
        <v>3613</v>
      </c>
      <c r="E34" s="5"/>
      <c r="F34" s="5"/>
      <c r="G34" s="5"/>
      <c r="H34" s="5"/>
      <c r="I34" s="5"/>
      <c r="J34" s="5"/>
      <c r="K34" s="5"/>
      <c r="L34" s="5"/>
      <c r="M34" s="5"/>
      <c r="N34" s="5"/>
      <c r="O34" s="393"/>
    </row>
    <row r="35" spans="1:15" ht="15" hidden="1" customHeight="1" outlineLevel="1" x14ac:dyDescent="0.2">
      <c r="A35" s="1407"/>
      <c r="C35" s="394"/>
      <c r="D35" s="631">
        <v>1000</v>
      </c>
      <c r="E35" s="5"/>
      <c r="F35" s="5"/>
      <c r="G35" s="5"/>
      <c r="H35" s="5"/>
      <c r="I35" s="5"/>
      <c r="J35" s="5"/>
      <c r="K35" s="5"/>
      <c r="L35" s="5"/>
      <c r="M35" s="5"/>
      <c r="N35" s="5"/>
      <c r="O35" s="393"/>
    </row>
    <row r="36" spans="1:15" ht="15" hidden="1" customHeight="1" outlineLevel="1" x14ac:dyDescent="0.2">
      <c r="A36" s="1407"/>
      <c r="C36" s="394"/>
      <c r="D36" s="94" t="s">
        <v>284</v>
      </c>
      <c r="E36" s="632">
        <v>0.1</v>
      </c>
      <c r="F36" s="632">
        <v>0.1</v>
      </c>
      <c r="G36" s="632">
        <v>0.1</v>
      </c>
      <c r="H36" s="632">
        <v>0.1</v>
      </c>
      <c r="I36" s="632">
        <v>0.1</v>
      </c>
      <c r="J36" s="632">
        <v>0.1</v>
      </c>
      <c r="K36" s="632">
        <v>0.1</v>
      </c>
      <c r="L36" s="632">
        <v>0.1</v>
      </c>
      <c r="M36" s="632">
        <v>0.1</v>
      </c>
      <c r="N36" s="632">
        <v>0.1</v>
      </c>
      <c r="O36" s="393"/>
    </row>
    <row r="37" spans="1:15" ht="15" hidden="1" customHeight="1" outlineLevel="1" x14ac:dyDescent="0.2">
      <c r="A37" s="1407"/>
      <c r="B37" s="6"/>
      <c r="C37" s="368"/>
      <c r="D37" s="94" t="s">
        <v>68</v>
      </c>
      <c r="E37" s="633">
        <f t="shared" ref="E37:N37" si="1">pSystemsFTE_HM*E36</f>
        <v>100</v>
      </c>
      <c r="F37" s="633">
        <f t="shared" si="1"/>
        <v>100</v>
      </c>
      <c r="G37" s="633">
        <f t="shared" si="1"/>
        <v>100</v>
      </c>
      <c r="H37" s="633">
        <f t="shared" si="1"/>
        <v>100</v>
      </c>
      <c r="I37" s="633">
        <f t="shared" si="1"/>
        <v>100</v>
      </c>
      <c r="J37" s="633">
        <f t="shared" si="1"/>
        <v>100</v>
      </c>
      <c r="K37" s="633">
        <f t="shared" si="1"/>
        <v>100</v>
      </c>
      <c r="L37" s="633">
        <f t="shared" si="1"/>
        <v>100</v>
      </c>
      <c r="M37" s="633">
        <f t="shared" si="1"/>
        <v>100</v>
      </c>
      <c r="N37" s="633">
        <f t="shared" si="1"/>
        <v>100</v>
      </c>
      <c r="O37" s="162" t="s">
        <v>3570</v>
      </c>
    </row>
    <row r="38" spans="1:15" ht="15" hidden="1" customHeight="1" outlineLevel="1" x14ac:dyDescent="0.2">
      <c r="A38" s="1407"/>
      <c r="C38" s="368"/>
      <c r="D38" s="94" t="s">
        <v>283</v>
      </c>
      <c r="E38" s="634">
        <f>pSystemsTrainingCostPerFTE_HM*pSystemsTrainingFTEsHM</f>
        <v>100000</v>
      </c>
      <c r="F38" s="634">
        <f>pSystemsTrainingCostPerFTE_HM*pSystemsTrainingFTEsHM*(1+Inflation)</f>
        <v>102000</v>
      </c>
      <c r="G38" s="634">
        <f>pSystemsTrainingCostPerFTE_HM*pSystemsTrainingFTEsHM*(1+Inflation)^2</f>
        <v>104040</v>
      </c>
      <c r="H38" s="634">
        <f>pSystemsTrainingCostPerFTE_HM*pSystemsTrainingFTEsHM*(1+Inflation)^3</f>
        <v>106120.79999999999</v>
      </c>
      <c r="I38" s="634">
        <f>pSystemsTrainingCostPerFTE_HM*pSystemsTrainingFTEsHM*(1+Inflation)^4</f>
        <v>108243.216</v>
      </c>
      <c r="J38" s="634">
        <f>pSystemsTrainingCostPerFTE_HM*pSystemsTrainingFTEsHM*(1+Inflation)^5</f>
        <v>110408.08032000001</v>
      </c>
      <c r="K38" s="634">
        <f>pSystemsTrainingCostPerFTE_HM*pSystemsTrainingFTEsHM*(1+Inflation)^6</f>
        <v>112616.24192640001</v>
      </c>
      <c r="L38" s="634">
        <f>pSystemsTrainingCostPerFTE_HM*pSystemsTrainingFTEsHM*(1+Inflation)^7</f>
        <v>114868.56676492798</v>
      </c>
      <c r="M38" s="634">
        <f>pSystemsTrainingCostPerFTE_HM*pSystemsTrainingFTEsHM*(1+Inflation)^8</f>
        <v>117165.93810022656</v>
      </c>
      <c r="N38" s="634">
        <f>pSystemsTrainingCostPerFTE_HM*pSystemsTrainingFTEsHM*(1+Inflation)^9</f>
        <v>119509.25686223108</v>
      </c>
      <c r="O38" s="162" t="s">
        <v>3571</v>
      </c>
    </row>
    <row r="39" spans="1:15" s="8" customFormat="1" ht="15" hidden="1" customHeight="1" outlineLevel="1" x14ac:dyDescent="0.2">
      <c r="A39" s="1407"/>
      <c r="C39" s="441"/>
      <c r="D39" s="442"/>
      <c r="E39" s="443"/>
      <c r="F39" s="443"/>
      <c r="G39" s="443"/>
      <c r="H39" s="443"/>
      <c r="I39" s="443"/>
      <c r="J39" s="443"/>
      <c r="K39" s="443"/>
      <c r="L39" s="443"/>
      <c r="M39" s="443"/>
      <c r="N39" s="443"/>
      <c r="O39" s="162"/>
    </row>
    <row r="40" spans="1:15" ht="15" hidden="1" customHeight="1" outlineLevel="1" x14ac:dyDescent="0.2">
      <c r="A40" s="1407"/>
      <c r="B40" s="5"/>
      <c r="C40" s="368"/>
      <c r="D40" s="149" t="s">
        <v>3612</v>
      </c>
      <c r="E40" s="5"/>
      <c r="F40" s="5"/>
      <c r="G40" s="5"/>
      <c r="H40" s="5"/>
      <c r="I40" s="5"/>
      <c r="J40" s="5"/>
      <c r="K40" s="5"/>
      <c r="L40" s="5"/>
      <c r="M40" s="5"/>
      <c r="N40" s="5"/>
      <c r="O40" s="393"/>
    </row>
    <row r="41" spans="1:15" ht="15" hidden="1" customHeight="1" outlineLevel="1" x14ac:dyDescent="0.2">
      <c r="A41" s="1407"/>
      <c r="C41" s="394"/>
      <c r="D41" s="631">
        <v>1000</v>
      </c>
      <c r="E41" s="5"/>
      <c r="F41" s="5"/>
      <c r="G41" s="5"/>
      <c r="H41" s="5"/>
      <c r="I41" s="5"/>
      <c r="J41" s="5"/>
      <c r="K41" s="5"/>
      <c r="L41" s="5"/>
      <c r="M41" s="5"/>
      <c r="N41" s="5"/>
      <c r="O41" s="393"/>
    </row>
    <row r="42" spans="1:15" ht="15" hidden="1" customHeight="1" outlineLevel="1" x14ac:dyDescent="0.2">
      <c r="A42" s="1407"/>
      <c r="C42" s="394"/>
      <c r="D42" s="94" t="s">
        <v>3575</v>
      </c>
      <c r="E42" s="632">
        <v>0.1</v>
      </c>
      <c r="F42" s="632">
        <v>0.1</v>
      </c>
      <c r="G42" s="632">
        <v>0.1</v>
      </c>
      <c r="H42" s="632">
        <v>0.1</v>
      </c>
      <c r="I42" s="632">
        <v>0.1</v>
      </c>
      <c r="J42" s="632">
        <v>0.1</v>
      </c>
      <c r="K42" s="632">
        <v>0.1</v>
      </c>
      <c r="L42" s="632">
        <v>0.1</v>
      </c>
      <c r="M42" s="632">
        <v>0.1</v>
      </c>
      <c r="N42" s="632">
        <v>0.1</v>
      </c>
      <c r="O42" s="393"/>
    </row>
    <row r="43" spans="1:15" ht="15" hidden="1" customHeight="1" outlineLevel="1" x14ac:dyDescent="0.2">
      <c r="A43" s="1407"/>
      <c r="B43" s="6"/>
      <c r="C43" s="368"/>
      <c r="D43" s="94" t="s">
        <v>68</v>
      </c>
      <c r="E43" s="633">
        <f t="shared" ref="E43:N43" si="2">pSystemsFTE_ENG*E42</f>
        <v>10</v>
      </c>
      <c r="F43" s="633">
        <f t="shared" si="2"/>
        <v>10</v>
      </c>
      <c r="G43" s="633">
        <f t="shared" si="2"/>
        <v>10</v>
      </c>
      <c r="H43" s="633">
        <f t="shared" si="2"/>
        <v>10</v>
      </c>
      <c r="I43" s="633">
        <f t="shared" si="2"/>
        <v>10</v>
      </c>
      <c r="J43" s="633">
        <f t="shared" si="2"/>
        <v>10</v>
      </c>
      <c r="K43" s="633">
        <f t="shared" si="2"/>
        <v>10</v>
      </c>
      <c r="L43" s="633">
        <f t="shared" si="2"/>
        <v>10</v>
      </c>
      <c r="M43" s="633">
        <f t="shared" si="2"/>
        <v>10</v>
      </c>
      <c r="N43" s="633">
        <f t="shared" si="2"/>
        <v>10</v>
      </c>
      <c r="O43" s="162" t="s">
        <v>3573</v>
      </c>
    </row>
    <row r="44" spans="1:15" ht="15" hidden="1" customHeight="1" outlineLevel="1" x14ac:dyDescent="0.2">
      <c r="A44" s="1407"/>
      <c r="C44" s="368"/>
      <c r="D44" s="94" t="s">
        <v>3572</v>
      </c>
      <c r="E44" s="634">
        <f>pSystemsTrainingCostPerFTE_ENG*pSystemsTrainingFTEsENG</f>
        <v>10000</v>
      </c>
      <c r="F44" s="634">
        <f>pSystemsTrainingCostPerFTE_ENG*pSystemsTrainingFTEsENG*(1+Inflation)</f>
        <v>10200</v>
      </c>
      <c r="G44" s="634">
        <f>pSystemsTrainingCostPerFTE_ENG*pSystemsTrainingFTEsENG*(1+Inflation)^2</f>
        <v>10404</v>
      </c>
      <c r="H44" s="634">
        <f>pSystemsTrainingCostPerFTE_ENG*pSystemsTrainingFTEsENG*(1+Inflation)^3</f>
        <v>10612.08</v>
      </c>
      <c r="I44" s="634">
        <f>pSystemsTrainingCostPerFTE_ENG*pSystemsTrainingFTEsENG*(1+Inflation)^4</f>
        <v>10824.321599999999</v>
      </c>
      <c r="J44" s="634">
        <f>pSystemsTrainingCostPerFTE_ENG*pSystemsTrainingFTEsENG*(1+Inflation)^5</f>
        <v>11040.808032000001</v>
      </c>
      <c r="K44" s="634">
        <f>pSystemsTrainingCostPerFTE_ENG*pSystemsTrainingFTEsENG*(1+Inflation)^6</f>
        <v>11261.62419264</v>
      </c>
      <c r="L44" s="634">
        <f>pSystemsTrainingCostPerFTE_ENG*pSystemsTrainingFTEsENG*(1+Inflation)^7</f>
        <v>11486.856676492798</v>
      </c>
      <c r="M44" s="634">
        <f>pSystemsTrainingCostPerFTE_ENG*pSystemsTrainingFTEsENG*(1+Inflation)^8</f>
        <v>11716.593810022656</v>
      </c>
      <c r="N44" s="634">
        <f>pSystemsTrainingCostPerFTE_ENG*pSystemsTrainingFTEsENG*(1+Inflation)^9</f>
        <v>11950.925686223109</v>
      </c>
      <c r="O44" s="162" t="s">
        <v>3574</v>
      </c>
    </row>
    <row r="45" spans="1:15" s="8" customFormat="1" ht="15" hidden="1" customHeight="1" outlineLevel="1" x14ac:dyDescent="0.2">
      <c r="A45" s="1407"/>
      <c r="C45" s="441"/>
      <c r="D45" s="442"/>
      <c r="E45" s="443"/>
      <c r="F45" s="443"/>
      <c r="G45" s="443"/>
      <c r="H45" s="443"/>
      <c r="I45" s="443"/>
      <c r="J45" s="443"/>
      <c r="K45" s="443"/>
      <c r="L45" s="443"/>
      <c r="M45" s="443"/>
      <c r="N45" s="443"/>
      <c r="O45" s="162"/>
    </row>
    <row r="46" spans="1:15" ht="15" hidden="1" customHeight="1" outlineLevel="1" x14ac:dyDescent="0.2">
      <c r="A46" s="1407"/>
      <c r="C46" s="394"/>
      <c r="D46" s="149" t="s">
        <v>3611</v>
      </c>
      <c r="E46" s="5"/>
      <c r="F46" s="5"/>
      <c r="G46" s="5"/>
      <c r="H46" s="5"/>
      <c r="I46" s="5"/>
      <c r="J46" s="5"/>
      <c r="K46" s="5"/>
      <c r="L46" s="5"/>
      <c r="M46" s="5"/>
      <c r="N46" s="5"/>
      <c r="O46" s="393"/>
    </row>
    <row r="47" spans="1:15" ht="15" hidden="1" customHeight="1" outlineLevel="1" x14ac:dyDescent="0.2">
      <c r="A47" s="1407"/>
      <c r="C47" s="394"/>
      <c r="D47" s="631">
        <v>1000</v>
      </c>
      <c r="E47" s="6"/>
      <c r="F47" s="6"/>
      <c r="G47" s="6"/>
      <c r="H47" s="6"/>
      <c r="I47" s="6"/>
      <c r="J47" s="6"/>
      <c r="K47" s="6"/>
      <c r="L47" s="6"/>
      <c r="M47" s="6"/>
      <c r="N47" s="6"/>
      <c r="O47" s="393"/>
    </row>
    <row r="48" spans="1:15" ht="15" hidden="1" customHeight="1" outlineLevel="1" x14ac:dyDescent="0.2">
      <c r="A48" s="1407"/>
      <c r="C48" s="394"/>
      <c r="D48" s="94" t="s">
        <v>3576</v>
      </c>
      <c r="E48" s="632">
        <v>0.1</v>
      </c>
      <c r="F48" s="632">
        <v>0.1</v>
      </c>
      <c r="G48" s="632">
        <v>0.1</v>
      </c>
      <c r="H48" s="632">
        <v>0.1</v>
      </c>
      <c r="I48" s="632">
        <v>0.1</v>
      </c>
      <c r="J48" s="632">
        <v>0.1</v>
      </c>
      <c r="K48" s="632">
        <v>0.1</v>
      </c>
      <c r="L48" s="632">
        <v>0.1</v>
      </c>
      <c r="M48" s="632">
        <v>0.1</v>
      </c>
      <c r="N48" s="632">
        <v>0.1</v>
      </c>
      <c r="O48" s="393"/>
    </row>
    <row r="49" spans="1:15" ht="15" hidden="1" customHeight="1" outlineLevel="1" x14ac:dyDescent="0.2">
      <c r="A49" s="1407"/>
      <c r="B49" s="6"/>
      <c r="C49" s="368"/>
      <c r="D49" s="94" t="s">
        <v>68</v>
      </c>
      <c r="E49" s="633">
        <f t="shared" ref="E49:N49" si="3">pSystemsFTE_PLG*E48</f>
        <v>5</v>
      </c>
      <c r="F49" s="633">
        <f t="shared" si="3"/>
        <v>5</v>
      </c>
      <c r="G49" s="633">
        <f t="shared" si="3"/>
        <v>5</v>
      </c>
      <c r="H49" s="633">
        <f t="shared" si="3"/>
        <v>5</v>
      </c>
      <c r="I49" s="633">
        <f t="shared" si="3"/>
        <v>5</v>
      </c>
      <c r="J49" s="633">
        <f t="shared" si="3"/>
        <v>5</v>
      </c>
      <c r="K49" s="633">
        <f t="shared" si="3"/>
        <v>5</v>
      </c>
      <c r="L49" s="633">
        <f t="shared" si="3"/>
        <v>5</v>
      </c>
      <c r="M49" s="633">
        <f t="shared" si="3"/>
        <v>5</v>
      </c>
      <c r="N49" s="633">
        <f t="shared" si="3"/>
        <v>5</v>
      </c>
      <c r="O49" s="162" t="s">
        <v>3578</v>
      </c>
    </row>
    <row r="50" spans="1:15" ht="15" hidden="1" customHeight="1" outlineLevel="1" x14ac:dyDescent="0.2">
      <c r="A50" s="1407"/>
      <c r="C50" s="368"/>
      <c r="D50" s="94" t="s">
        <v>3577</v>
      </c>
      <c r="E50" s="634">
        <f>pSystemsTrainingCostPerFTE_PLG*pSystemsTrainingFTEsPLG</f>
        <v>5000</v>
      </c>
      <c r="F50" s="634">
        <f>pSystemsTrainingCostPerFTE_PLG*pSystemsTrainingFTEsPLG*(1+Inflation)</f>
        <v>5100</v>
      </c>
      <c r="G50" s="634">
        <f>pSystemsTrainingCostPerFTE_PLG*pSystemsTrainingFTEsPLG*(1+Inflation)^2</f>
        <v>5202</v>
      </c>
      <c r="H50" s="634">
        <f>pSystemsTrainingCostPerFTE_PLG*pSystemsTrainingFTEsPLG*(1+Inflation)^3</f>
        <v>5306.04</v>
      </c>
      <c r="I50" s="634">
        <f>pSystemsTrainingCostPerFTE_PLG*pSystemsTrainingFTEsPLG*(1+Inflation)^4</f>
        <v>5412.1607999999997</v>
      </c>
      <c r="J50" s="634">
        <f>pSystemsTrainingCostPerFTE_PLG*pSystemsTrainingFTEsPLG*(1+Inflation)^5</f>
        <v>5520.4040160000004</v>
      </c>
      <c r="K50" s="634">
        <f>pSystemsTrainingCostPerFTE_PLG*pSystemsTrainingFTEsPLG*(1+Inflation)^6</f>
        <v>5630.8120963199999</v>
      </c>
      <c r="L50" s="634">
        <f>pSystemsTrainingCostPerFTE_PLG*pSystemsTrainingFTEsPLG*(1+Inflation)^7</f>
        <v>5743.4283382463991</v>
      </c>
      <c r="M50" s="634">
        <f>pSystemsTrainingCostPerFTE_PLG*pSystemsTrainingFTEsPLG*(1+Inflation)^8</f>
        <v>5858.2969050113279</v>
      </c>
      <c r="N50" s="634">
        <f>pSystemsTrainingCostPerFTE_PLG*pSystemsTrainingFTEsPLG*(1+Inflation)^9</f>
        <v>5975.4628431115543</v>
      </c>
      <c r="O50" s="162" t="s">
        <v>3579</v>
      </c>
    </row>
    <row r="51" spans="1:15" s="8" customFormat="1" ht="15" hidden="1" customHeight="1" outlineLevel="1" x14ac:dyDescent="0.2">
      <c r="A51" s="1407"/>
      <c r="C51" s="441"/>
      <c r="D51" s="442"/>
      <c r="E51" s="443"/>
      <c r="F51" s="443"/>
      <c r="G51" s="443"/>
      <c r="H51" s="443"/>
      <c r="I51" s="443"/>
      <c r="J51" s="443"/>
      <c r="K51" s="443"/>
      <c r="L51" s="443"/>
      <c r="M51" s="443"/>
      <c r="N51" s="443"/>
      <c r="O51" s="162"/>
    </row>
    <row r="52" spans="1:15" ht="15" hidden="1" customHeight="1" outlineLevel="1" x14ac:dyDescent="0.2">
      <c r="A52" s="1407"/>
      <c r="C52" s="394"/>
      <c r="D52" s="149" t="s">
        <v>3616</v>
      </c>
      <c r="E52" s="5"/>
      <c r="F52" s="5"/>
      <c r="G52" s="5"/>
      <c r="H52" s="5"/>
      <c r="I52" s="5"/>
      <c r="J52" s="5"/>
      <c r="K52" s="5"/>
      <c r="L52" s="5"/>
      <c r="M52" s="5"/>
      <c r="N52" s="5"/>
      <c r="O52" s="393"/>
    </row>
    <row r="53" spans="1:15" ht="15" hidden="1" customHeight="1" outlineLevel="1" x14ac:dyDescent="0.2">
      <c r="A53" s="1407"/>
      <c r="C53" s="394"/>
      <c r="D53" s="631">
        <v>1000</v>
      </c>
      <c r="E53" s="6"/>
      <c r="F53" s="6"/>
      <c r="G53" s="6"/>
      <c r="H53" s="6"/>
      <c r="I53" s="6"/>
      <c r="J53" s="6"/>
      <c r="K53" s="6"/>
      <c r="L53" s="6"/>
      <c r="M53" s="6"/>
      <c r="N53" s="6"/>
      <c r="O53" s="393"/>
    </row>
    <row r="54" spans="1:15" ht="15" hidden="1" customHeight="1" outlineLevel="1" x14ac:dyDescent="0.2">
      <c r="A54" s="1407"/>
      <c r="C54" s="394"/>
      <c r="D54" s="94" t="s">
        <v>3580</v>
      </c>
      <c r="E54" s="632">
        <v>0.1</v>
      </c>
      <c r="F54" s="632">
        <v>0.1</v>
      </c>
      <c r="G54" s="632">
        <v>0.1</v>
      </c>
      <c r="H54" s="632">
        <v>0.1</v>
      </c>
      <c r="I54" s="632">
        <v>0.1</v>
      </c>
      <c r="J54" s="632">
        <v>0.1</v>
      </c>
      <c r="K54" s="632">
        <v>0.1</v>
      </c>
      <c r="L54" s="632">
        <v>0.1</v>
      </c>
      <c r="M54" s="632">
        <v>0.1</v>
      </c>
      <c r="N54" s="632">
        <v>0.1</v>
      </c>
      <c r="O54" s="393"/>
    </row>
    <row r="55" spans="1:15" ht="15" hidden="1" customHeight="1" outlineLevel="1" x14ac:dyDescent="0.2">
      <c r="A55" s="1407"/>
      <c r="B55" s="6"/>
      <c r="C55" s="368"/>
      <c r="D55" s="94" t="s">
        <v>68</v>
      </c>
      <c r="E55" s="633">
        <f t="shared" ref="E55:N55" si="4">pSystemsFTE_CRT*E54</f>
        <v>6</v>
      </c>
      <c r="F55" s="633">
        <f t="shared" si="4"/>
        <v>6</v>
      </c>
      <c r="G55" s="633">
        <f t="shared" si="4"/>
        <v>6</v>
      </c>
      <c r="H55" s="633">
        <f t="shared" si="4"/>
        <v>6</v>
      </c>
      <c r="I55" s="633">
        <f t="shared" si="4"/>
        <v>6</v>
      </c>
      <c r="J55" s="633">
        <f t="shared" si="4"/>
        <v>6</v>
      </c>
      <c r="K55" s="633">
        <f t="shared" si="4"/>
        <v>6</v>
      </c>
      <c r="L55" s="633">
        <f t="shared" si="4"/>
        <v>6</v>
      </c>
      <c r="M55" s="633">
        <f t="shared" si="4"/>
        <v>6</v>
      </c>
      <c r="N55" s="633">
        <f t="shared" si="4"/>
        <v>6</v>
      </c>
      <c r="O55" s="162" t="s">
        <v>3582</v>
      </c>
    </row>
    <row r="56" spans="1:15" ht="15" hidden="1" customHeight="1" outlineLevel="1" x14ac:dyDescent="0.2">
      <c r="A56" s="1407"/>
      <c r="C56" s="368"/>
      <c r="D56" s="94" t="s">
        <v>3581</v>
      </c>
      <c r="E56" s="634">
        <f>pSystemsTrainingCostPerFTE_CRT*pSystemsTrainingFTEsCRT</f>
        <v>6000</v>
      </c>
      <c r="F56" s="634">
        <f>pSystemsTrainingCostPerFTE_CRT*pSystemsTrainingFTEsCRT*(1+Inflation)</f>
        <v>6120</v>
      </c>
      <c r="G56" s="634">
        <f>pSystemsTrainingCostPerFTE_CRT*pSystemsTrainingFTEsCRT*(1+Inflation)^2</f>
        <v>6242.4</v>
      </c>
      <c r="H56" s="634">
        <f>pSystemsTrainingCostPerFTE_CRT*pSystemsTrainingFTEsCRT*(1+Inflation)^3</f>
        <v>6367.2479999999996</v>
      </c>
      <c r="I56" s="634">
        <f>pSystemsTrainingCostPerFTE_CRT*pSystemsTrainingFTEsCRT*(1+Inflation)^4</f>
        <v>6494.5929599999999</v>
      </c>
      <c r="J56" s="634">
        <f>pSystemsTrainingCostPerFTE_CRT*pSystemsTrainingFTEsCRT*(1+Inflation)^5</f>
        <v>6624.4848191999999</v>
      </c>
      <c r="K56" s="634">
        <f>pSystemsTrainingCostPerFTE_CRT*pSystemsTrainingFTEsCRT*(1+Inflation)^6</f>
        <v>6756.9745155840001</v>
      </c>
      <c r="L56" s="634">
        <f>pSystemsTrainingCostPerFTE_CRT*pSystemsTrainingFTEsCRT*(1+Inflation)^7</f>
        <v>6892.1140058956789</v>
      </c>
      <c r="M56" s="634">
        <f>pSystemsTrainingCostPerFTE_CRT*pSystemsTrainingFTEsCRT*(1+Inflation)^8</f>
        <v>7029.9562860135929</v>
      </c>
      <c r="N56" s="634">
        <f>pSystemsTrainingCostPerFTE_CRT*pSystemsTrainingFTEsCRT*(1+Inflation)^9</f>
        <v>7170.5554117338652</v>
      </c>
      <c r="O56" s="162" t="s">
        <v>3583</v>
      </c>
    </row>
    <row r="57" spans="1:15" s="8" customFormat="1" ht="15" hidden="1" customHeight="1" outlineLevel="1" x14ac:dyDescent="0.2">
      <c r="A57" s="1407"/>
      <c r="C57" s="441"/>
      <c r="D57" s="442"/>
      <c r="E57" s="443"/>
      <c r="F57" s="443"/>
      <c r="G57" s="443"/>
      <c r="H57" s="443"/>
      <c r="I57" s="443"/>
      <c r="J57" s="443"/>
      <c r="K57" s="443"/>
      <c r="L57" s="443"/>
      <c r="M57" s="443"/>
      <c r="N57" s="443"/>
      <c r="O57" s="444"/>
    </row>
    <row r="58" spans="1:15" ht="15" hidden="1" customHeight="1" outlineLevel="1" x14ac:dyDescent="0.2">
      <c r="A58" s="1407"/>
      <c r="C58" s="394"/>
      <c r="D58" s="149" t="s">
        <v>3615</v>
      </c>
      <c r="E58" s="5"/>
      <c r="F58" s="5"/>
      <c r="G58" s="5"/>
      <c r="H58" s="5"/>
      <c r="I58" s="5"/>
      <c r="J58" s="5"/>
      <c r="K58" s="5"/>
      <c r="L58" s="5"/>
      <c r="M58" s="5"/>
      <c r="N58" s="5"/>
      <c r="O58" s="393"/>
    </row>
    <row r="59" spans="1:15" ht="15" hidden="1" customHeight="1" outlineLevel="1" x14ac:dyDescent="0.2">
      <c r="A59" s="1407"/>
      <c r="C59" s="394"/>
      <c r="D59" s="631">
        <v>1000</v>
      </c>
      <c r="E59" s="6"/>
      <c r="F59" s="6"/>
      <c r="G59" s="6"/>
      <c r="H59" s="6"/>
      <c r="I59" s="6"/>
      <c r="J59" s="6"/>
      <c r="K59" s="6"/>
      <c r="L59" s="6"/>
      <c r="M59" s="6"/>
      <c r="N59" s="6"/>
      <c r="O59" s="393"/>
    </row>
    <row r="60" spans="1:15" ht="15" hidden="1" customHeight="1" outlineLevel="1" x14ac:dyDescent="0.2">
      <c r="A60" s="1407"/>
      <c r="C60" s="394"/>
      <c r="D60" s="94" t="s">
        <v>285</v>
      </c>
      <c r="E60" s="632">
        <v>0.1</v>
      </c>
      <c r="F60" s="632">
        <v>0.1</v>
      </c>
      <c r="G60" s="632">
        <v>0.1</v>
      </c>
      <c r="H60" s="632">
        <v>0.1</v>
      </c>
      <c r="I60" s="632">
        <v>0.1</v>
      </c>
      <c r="J60" s="632">
        <v>0.1</v>
      </c>
      <c r="K60" s="632">
        <v>0.1</v>
      </c>
      <c r="L60" s="632">
        <v>0.1</v>
      </c>
      <c r="M60" s="632">
        <v>0.1</v>
      </c>
      <c r="N60" s="632">
        <v>0.1</v>
      </c>
      <c r="O60" s="393"/>
    </row>
    <row r="61" spans="1:15" ht="15" hidden="1" customHeight="1" outlineLevel="1" x14ac:dyDescent="0.2">
      <c r="A61" s="1407"/>
      <c r="B61" s="6"/>
      <c r="C61" s="368"/>
      <c r="D61" s="94" t="s">
        <v>68</v>
      </c>
      <c r="E61" s="633">
        <f t="shared" ref="E61:N61" si="5">pSystemsFTE_SCL*E60</f>
        <v>10</v>
      </c>
      <c r="F61" s="633">
        <f t="shared" si="5"/>
        <v>10</v>
      </c>
      <c r="G61" s="633">
        <f t="shared" si="5"/>
        <v>10</v>
      </c>
      <c r="H61" s="633">
        <f t="shared" si="5"/>
        <v>10</v>
      </c>
      <c r="I61" s="633">
        <f t="shared" si="5"/>
        <v>10</v>
      </c>
      <c r="J61" s="633">
        <f t="shared" si="5"/>
        <v>10</v>
      </c>
      <c r="K61" s="633">
        <f t="shared" si="5"/>
        <v>10</v>
      </c>
      <c r="L61" s="633">
        <f t="shared" si="5"/>
        <v>10</v>
      </c>
      <c r="M61" s="633">
        <f t="shared" si="5"/>
        <v>10</v>
      </c>
      <c r="N61" s="633">
        <f t="shared" si="5"/>
        <v>10</v>
      </c>
      <c r="O61" s="162" t="s">
        <v>3584</v>
      </c>
    </row>
    <row r="62" spans="1:15" ht="15" hidden="1" customHeight="1" outlineLevel="1" x14ac:dyDescent="0.2">
      <c r="A62" s="1407"/>
      <c r="C62" s="368"/>
      <c r="D62" s="94" t="s">
        <v>3586</v>
      </c>
      <c r="E62" s="634">
        <f>pSystemsTrainingCostPerFTE_SCL*pSystemsTrainingFTEsSCL</f>
        <v>10000</v>
      </c>
      <c r="F62" s="634">
        <f>pSystemsTrainingCostPerFTE_SCL*pSystemsTrainingFTEsSCL*(1+Inflation)</f>
        <v>10200</v>
      </c>
      <c r="G62" s="634">
        <f>pSystemsTrainingCostPerFTE_SCL*pSystemsTrainingFTEsSCL*(1+Inflation)^2</f>
        <v>10404</v>
      </c>
      <c r="H62" s="634">
        <f>pSystemsTrainingCostPerFTE_SCL*pSystemsTrainingFTEsSCL*(1+Inflation)^3</f>
        <v>10612.08</v>
      </c>
      <c r="I62" s="634">
        <f>pSystemsTrainingCostPerFTE_SCL*pSystemsTrainingFTEsSCL*(1+Inflation)^4</f>
        <v>10824.321599999999</v>
      </c>
      <c r="J62" s="634">
        <f>pSystemsTrainingCostPerFTE_SCL*pSystemsTrainingFTEsSCL*(1+Inflation)^5</f>
        <v>11040.808032000001</v>
      </c>
      <c r="K62" s="634">
        <f>pSystemsTrainingCostPerFTE_SCL*pSystemsTrainingFTEsSCL*(1+Inflation)^6</f>
        <v>11261.62419264</v>
      </c>
      <c r="L62" s="634">
        <f>pSystemsTrainingCostPerFTE_SCL*pSystemsTrainingFTEsSCL*(1+Inflation)^7</f>
        <v>11486.856676492798</v>
      </c>
      <c r="M62" s="634">
        <f>pSystemsTrainingCostPerFTE_SCL*pSystemsTrainingFTEsSCL*(1+Inflation)^8</f>
        <v>11716.593810022656</v>
      </c>
      <c r="N62" s="634">
        <f>pSystemsTrainingCostPerFTE_SCL*pSystemsTrainingFTEsSCL*(1+Inflation)^9</f>
        <v>11950.925686223109</v>
      </c>
      <c r="O62" s="162" t="s">
        <v>3585</v>
      </c>
    </row>
    <row r="63" spans="1:15" s="8" customFormat="1" ht="15" hidden="1" customHeight="1" outlineLevel="1" x14ac:dyDescent="0.2">
      <c r="A63" s="1407"/>
      <c r="C63" s="441"/>
      <c r="D63" s="442"/>
      <c r="E63" s="443"/>
      <c r="F63" s="443"/>
      <c r="G63" s="443"/>
      <c r="H63" s="443"/>
      <c r="I63" s="443"/>
      <c r="J63" s="443"/>
      <c r="K63" s="443"/>
      <c r="L63" s="443"/>
      <c r="M63" s="443"/>
      <c r="N63" s="443"/>
      <c r="O63" s="444"/>
    </row>
    <row r="64" spans="1:15" ht="15" hidden="1" customHeight="1" outlineLevel="1" x14ac:dyDescent="0.2">
      <c r="A64" s="1407"/>
      <c r="C64" s="394"/>
      <c r="D64" s="149" t="s">
        <v>3617</v>
      </c>
      <c r="E64" s="5"/>
      <c r="F64" s="5"/>
      <c r="G64" s="5"/>
      <c r="H64" s="5"/>
      <c r="I64" s="5"/>
      <c r="J64" s="5"/>
      <c r="K64" s="5"/>
      <c r="L64" s="5"/>
      <c r="M64" s="5"/>
      <c r="N64" s="5"/>
      <c r="O64" s="393"/>
    </row>
    <row r="65" spans="1:15" ht="15" hidden="1" customHeight="1" outlineLevel="1" x14ac:dyDescent="0.2">
      <c r="A65" s="1407"/>
      <c r="C65" s="394"/>
      <c r="D65" s="631">
        <v>1000</v>
      </c>
      <c r="E65" s="6"/>
      <c r="F65" s="6"/>
      <c r="G65" s="6"/>
      <c r="H65" s="6"/>
      <c r="I65" s="6"/>
      <c r="J65" s="6"/>
      <c r="K65" s="6"/>
      <c r="L65" s="6"/>
      <c r="M65" s="6"/>
      <c r="N65" s="6"/>
      <c r="O65" s="393"/>
    </row>
    <row r="66" spans="1:15" ht="15" hidden="1" customHeight="1" outlineLevel="1" x14ac:dyDescent="0.2">
      <c r="A66" s="1407"/>
      <c r="C66" s="394"/>
      <c r="D66" s="94" t="s">
        <v>3589</v>
      </c>
      <c r="E66" s="632">
        <v>0.1</v>
      </c>
      <c r="F66" s="632">
        <v>0.1</v>
      </c>
      <c r="G66" s="632">
        <v>0.1</v>
      </c>
      <c r="H66" s="632">
        <v>0.1</v>
      </c>
      <c r="I66" s="632">
        <v>0.1</v>
      </c>
      <c r="J66" s="632">
        <v>0.1</v>
      </c>
      <c r="K66" s="632">
        <v>0.1</v>
      </c>
      <c r="L66" s="632">
        <v>0.1</v>
      </c>
      <c r="M66" s="632">
        <v>0.1</v>
      </c>
      <c r="N66" s="632">
        <v>0.1</v>
      </c>
      <c r="O66" s="393"/>
    </row>
    <row r="67" spans="1:15" ht="15" hidden="1" customHeight="1" outlineLevel="1" x14ac:dyDescent="0.2">
      <c r="A67" s="1407"/>
      <c r="B67" s="6"/>
      <c r="C67" s="368"/>
      <c r="D67" s="94" t="s">
        <v>68</v>
      </c>
      <c r="E67" s="633">
        <f t="shared" ref="E67:N67" si="6">pSystemsFTE_QSC*E66</f>
        <v>5</v>
      </c>
      <c r="F67" s="633">
        <f t="shared" si="6"/>
        <v>5</v>
      </c>
      <c r="G67" s="633">
        <f t="shared" si="6"/>
        <v>5</v>
      </c>
      <c r="H67" s="633">
        <f t="shared" si="6"/>
        <v>5</v>
      </c>
      <c r="I67" s="633">
        <f t="shared" si="6"/>
        <v>5</v>
      </c>
      <c r="J67" s="633">
        <f t="shared" si="6"/>
        <v>5</v>
      </c>
      <c r="K67" s="633">
        <f t="shared" si="6"/>
        <v>5</v>
      </c>
      <c r="L67" s="633">
        <f t="shared" si="6"/>
        <v>5</v>
      </c>
      <c r="M67" s="633">
        <f t="shared" si="6"/>
        <v>5</v>
      </c>
      <c r="N67" s="633">
        <f t="shared" si="6"/>
        <v>5</v>
      </c>
      <c r="O67" s="162" t="s">
        <v>3587</v>
      </c>
    </row>
    <row r="68" spans="1:15" ht="15" hidden="1" customHeight="1" outlineLevel="1" x14ac:dyDescent="0.2">
      <c r="A68" s="1407"/>
      <c r="C68" s="368"/>
      <c r="D68" s="94" t="s">
        <v>3590</v>
      </c>
      <c r="E68" s="634">
        <f>pSystemsTrainingCostPerFTE_QSC*pSystemsTrainingFTEsQSC</f>
        <v>5000</v>
      </c>
      <c r="F68" s="634">
        <f>pSystemsTrainingCostPerFTE_QSC*pSystemsTrainingFTEsQSC*(1+Inflation)</f>
        <v>5100</v>
      </c>
      <c r="G68" s="634">
        <f>pSystemsTrainingCostPerFTE_QSC*pSystemsTrainingFTEsQSC*(1+Inflation)^2</f>
        <v>5202</v>
      </c>
      <c r="H68" s="634">
        <f>pSystemsTrainingCostPerFTE_QSC*pSystemsTrainingFTEsQSC*(1+Inflation)^3</f>
        <v>5306.04</v>
      </c>
      <c r="I68" s="634">
        <f>pSystemsTrainingCostPerFTE_QSC*pSystemsTrainingFTEsQSC*(1+Inflation)^4</f>
        <v>5412.1607999999997</v>
      </c>
      <c r="J68" s="634">
        <f>pSystemsTrainingCostPerFTE_QSC*pSystemsTrainingFTEsQSC*(1+Inflation)^5</f>
        <v>5520.4040160000004</v>
      </c>
      <c r="K68" s="634">
        <f>pSystemsTrainingCostPerFTE_QSC*pSystemsTrainingFTEsQSC*(1+Inflation)^6</f>
        <v>5630.8120963199999</v>
      </c>
      <c r="L68" s="634">
        <f>pSystemsTrainingCostPerFTE_QSC*pSystemsTrainingFTEsQSC*(1+Inflation)^7</f>
        <v>5743.4283382463991</v>
      </c>
      <c r="M68" s="634">
        <f>pSystemsTrainingCostPerFTE_QSC*pSystemsTrainingFTEsQSC*(1+Inflation)^8</f>
        <v>5858.2969050113279</v>
      </c>
      <c r="N68" s="634">
        <f>pSystemsTrainingCostPerFTE_QSC*pSystemsTrainingFTEsQSC*(1+Inflation)^9</f>
        <v>5975.4628431115543</v>
      </c>
      <c r="O68" s="162" t="s">
        <v>3588</v>
      </c>
    </row>
    <row r="69" spans="1:15" s="8" customFormat="1" ht="15" hidden="1" customHeight="1" outlineLevel="1" x14ac:dyDescent="0.2">
      <c r="A69" s="1407"/>
      <c r="C69" s="441"/>
      <c r="D69" s="442"/>
      <c r="E69" s="443"/>
      <c r="F69" s="443"/>
      <c r="G69" s="443"/>
      <c r="H69" s="443"/>
      <c r="I69" s="443"/>
      <c r="J69" s="443"/>
      <c r="K69" s="443"/>
      <c r="L69" s="443"/>
      <c r="M69" s="443"/>
      <c r="N69" s="443"/>
      <c r="O69" s="162"/>
    </row>
    <row r="70" spans="1:15" ht="15" hidden="1" customHeight="1" outlineLevel="1" x14ac:dyDescent="0.2">
      <c r="A70" s="1407"/>
      <c r="C70" s="394"/>
      <c r="D70" s="149" t="s">
        <v>3618</v>
      </c>
      <c r="E70" s="5"/>
      <c r="F70" s="5"/>
      <c r="G70" s="5"/>
      <c r="H70" s="5"/>
      <c r="I70" s="5"/>
      <c r="J70" s="5"/>
      <c r="K70" s="5"/>
      <c r="L70" s="5"/>
      <c r="M70" s="5"/>
      <c r="N70" s="5"/>
      <c r="O70" s="393"/>
    </row>
    <row r="71" spans="1:15" ht="15" hidden="1" customHeight="1" outlineLevel="1" x14ac:dyDescent="0.2">
      <c r="A71" s="1407"/>
      <c r="C71" s="394"/>
      <c r="D71" s="631">
        <v>1000</v>
      </c>
      <c r="E71" s="6"/>
      <c r="F71" s="6"/>
      <c r="G71" s="6"/>
      <c r="H71" s="6"/>
      <c r="I71" s="6"/>
      <c r="J71" s="6"/>
      <c r="K71" s="6"/>
      <c r="L71" s="6"/>
      <c r="M71" s="6"/>
      <c r="N71" s="6"/>
      <c r="O71" s="393"/>
    </row>
    <row r="72" spans="1:15" ht="15" hidden="1" customHeight="1" outlineLevel="1" x14ac:dyDescent="0.2">
      <c r="A72" s="1407"/>
      <c r="C72" s="394"/>
      <c r="D72" s="94" t="s">
        <v>3593</v>
      </c>
      <c r="E72" s="632">
        <v>0.1</v>
      </c>
      <c r="F72" s="632">
        <v>0.1</v>
      </c>
      <c r="G72" s="632">
        <v>0.1</v>
      </c>
      <c r="H72" s="632">
        <v>0.1</v>
      </c>
      <c r="I72" s="632">
        <v>0.1</v>
      </c>
      <c r="J72" s="632">
        <v>0.1</v>
      </c>
      <c r="K72" s="632">
        <v>0.1</v>
      </c>
      <c r="L72" s="632">
        <v>0.1</v>
      </c>
      <c r="M72" s="632">
        <v>0.1</v>
      </c>
      <c r="N72" s="632">
        <v>0.1</v>
      </c>
      <c r="O72" s="393"/>
    </row>
    <row r="73" spans="1:15" ht="15" hidden="1" customHeight="1" outlineLevel="1" x14ac:dyDescent="0.2">
      <c r="A73" s="1407"/>
      <c r="B73" s="6"/>
      <c r="C73" s="368"/>
      <c r="D73" s="94" t="s">
        <v>68</v>
      </c>
      <c r="E73" s="633">
        <f t="shared" ref="E73:N73" si="7">pSystemsFTE_EM*E72</f>
        <v>10</v>
      </c>
      <c r="F73" s="633">
        <f t="shared" si="7"/>
        <v>10</v>
      </c>
      <c r="G73" s="633">
        <f t="shared" si="7"/>
        <v>10</v>
      </c>
      <c r="H73" s="633">
        <f t="shared" si="7"/>
        <v>10</v>
      </c>
      <c r="I73" s="633">
        <f t="shared" si="7"/>
        <v>10</v>
      </c>
      <c r="J73" s="633">
        <f t="shared" si="7"/>
        <v>10</v>
      </c>
      <c r="K73" s="633">
        <f t="shared" si="7"/>
        <v>10</v>
      </c>
      <c r="L73" s="633">
        <f t="shared" si="7"/>
        <v>10</v>
      </c>
      <c r="M73" s="633">
        <f t="shared" si="7"/>
        <v>10</v>
      </c>
      <c r="N73" s="633">
        <f t="shared" si="7"/>
        <v>10</v>
      </c>
      <c r="O73" s="162" t="s">
        <v>3591</v>
      </c>
    </row>
    <row r="74" spans="1:15" ht="15" hidden="1" customHeight="1" outlineLevel="1" x14ac:dyDescent="0.2">
      <c r="A74" s="1407"/>
      <c r="C74" s="368"/>
      <c r="D74" s="94" t="s">
        <v>3594</v>
      </c>
      <c r="E74" s="634">
        <f>pSystemsTrainingCostPerFTE_EM*pSystemsTrainingFTEsEM</f>
        <v>10000</v>
      </c>
      <c r="F74" s="634">
        <f>pSystemsTrainingCostPerFTE_EM*pSystemsTrainingFTEsEM*(1+Inflation)</f>
        <v>10200</v>
      </c>
      <c r="G74" s="634">
        <f>pSystemsTrainingCostPerFTE_EM*pSystemsTrainingFTEsEM*(1+Inflation)^2</f>
        <v>10404</v>
      </c>
      <c r="H74" s="634">
        <f>pSystemsTrainingCostPerFTE_EM*pSystemsTrainingFTEsEM*(1+Inflation)^3</f>
        <v>10612.08</v>
      </c>
      <c r="I74" s="634">
        <f>pSystemsTrainingCostPerFTE_EM*pSystemsTrainingFTEsEM*(1+Inflation)^4</f>
        <v>10824.321599999999</v>
      </c>
      <c r="J74" s="634">
        <f>pSystemsTrainingCostPerFTE_EM*pSystemsTrainingFTEsEM*(1+Inflation)^5</f>
        <v>11040.808032000001</v>
      </c>
      <c r="K74" s="634">
        <f>pSystemsTrainingCostPerFTE_EM*pSystemsTrainingFTEsEM*(1+Inflation)^6</f>
        <v>11261.62419264</v>
      </c>
      <c r="L74" s="634">
        <f>pSystemsTrainingCostPerFTE_EM*pSystemsTrainingFTEsEM*(1+Inflation)^7</f>
        <v>11486.856676492798</v>
      </c>
      <c r="M74" s="634">
        <f>pSystemsTrainingCostPerFTE_EM*pSystemsTrainingFTEsEM*(1+Inflation)^8</f>
        <v>11716.593810022656</v>
      </c>
      <c r="N74" s="634">
        <f>pSystemsTrainingCostPerFTE_EM*pSystemsTrainingFTEsEM*(1+Inflation)^9</f>
        <v>11950.925686223109</v>
      </c>
      <c r="O74" s="162" t="s">
        <v>3592</v>
      </c>
    </row>
    <row r="75" spans="1:15" s="8" customFormat="1" ht="15" hidden="1" customHeight="1" outlineLevel="1" x14ac:dyDescent="0.2">
      <c r="A75" s="1407"/>
      <c r="C75" s="441"/>
      <c r="D75" s="442"/>
      <c r="E75" s="443"/>
      <c r="F75" s="443"/>
      <c r="G75" s="443"/>
      <c r="H75" s="443"/>
      <c r="I75" s="443"/>
      <c r="J75" s="443"/>
      <c r="K75" s="443"/>
      <c r="L75" s="443"/>
      <c r="M75" s="443"/>
      <c r="N75" s="443"/>
      <c r="O75" s="162"/>
    </row>
    <row r="76" spans="1:15" ht="15" hidden="1" customHeight="1" outlineLevel="1" x14ac:dyDescent="0.2">
      <c r="A76" s="1407"/>
      <c r="C76" s="394"/>
      <c r="D76" s="149" t="s">
        <v>3619</v>
      </c>
      <c r="E76" s="5"/>
      <c r="F76" s="5"/>
      <c r="G76" s="5"/>
      <c r="H76" s="5"/>
      <c r="I76" s="5"/>
      <c r="J76" s="5"/>
      <c r="K76" s="5"/>
      <c r="L76" s="5"/>
      <c r="M76" s="5"/>
      <c r="N76" s="5"/>
      <c r="O76" s="393"/>
    </row>
    <row r="77" spans="1:15" ht="15" hidden="1" customHeight="1" outlineLevel="1" x14ac:dyDescent="0.2">
      <c r="A77" s="1407"/>
      <c r="C77" s="394"/>
      <c r="D77" s="631">
        <v>1000</v>
      </c>
      <c r="E77" s="6"/>
      <c r="F77" s="6"/>
      <c r="G77" s="6"/>
      <c r="H77" s="6"/>
      <c r="I77" s="6"/>
      <c r="J77" s="6"/>
      <c r="K77" s="6"/>
      <c r="L77" s="6"/>
      <c r="M77" s="6"/>
      <c r="N77" s="6"/>
      <c r="O77" s="393"/>
    </row>
    <row r="78" spans="1:15" ht="15" hidden="1" customHeight="1" outlineLevel="1" x14ac:dyDescent="0.2">
      <c r="A78" s="1407"/>
      <c r="C78" s="394"/>
      <c r="D78" s="94" t="s">
        <v>3597</v>
      </c>
      <c r="E78" s="632">
        <v>0.1</v>
      </c>
      <c r="F78" s="632">
        <v>0.1</v>
      </c>
      <c r="G78" s="632">
        <v>0.1</v>
      </c>
      <c r="H78" s="632">
        <v>0.1</v>
      </c>
      <c r="I78" s="632">
        <v>0.1</v>
      </c>
      <c r="J78" s="632">
        <v>0.1</v>
      </c>
      <c r="K78" s="632">
        <v>0.1</v>
      </c>
      <c r="L78" s="632">
        <v>0.1</v>
      </c>
      <c r="M78" s="632">
        <v>0.1</v>
      </c>
      <c r="N78" s="632">
        <v>0.1</v>
      </c>
      <c r="O78" s="393"/>
    </row>
    <row r="79" spans="1:15" ht="15" hidden="1" customHeight="1" outlineLevel="1" x14ac:dyDescent="0.2">
      <c r="A79" s="1407"/>
      <c r="B79" s="6"/>
      <c r="C79" s="368"/>
      <c r="D79" s="94" t="s">
        <v>68</v>
      </c>
      <c r="E79" s="633">
        <f t="shared" ref="E79:N79" si="8">pSystemsFTE_CM*E78</f>
        <v>10</v>
      </c>
      <c r="F79" s="633">
        <f t="shared" si="8"/>
        <v>10</v>
      </c>
      <c r="G79" s="633">
        <f t="shared" si="8"/>
        <v>10</v>
      </c>
      <c r="H79" s="633">
        <f t="shared" si="8"/>
        <v>10</v>
      </c>
      <c r="I79" s="633">
        <f t="shared" si="8"/>
        <v>10</v>
      </c>
      <c r="J79" s="633">
        <f t="shared" si="8"/>
        <v>10</v>
      </c>
      <c r="K79" s="633">
        <f t="shared" si="8"/>
        <v>10</v>
      </c>
      <c r="L79" s="633">
        <f t="shared" si="8"/>
        <v>10</v>
      </c>
      <c r="M79" s="633">
        <f t="shared" si="8"/>
        <v>10</v>
      </c>
      <c r="N79" s="633">
        <f t="shared" si="8"/>
        <v>10</v>
      </c>
      <c r="O79" s="162" t="s">
        <v>3595</v>
      </c>
    </row>
    <row r="80" spans="1:15" ht="15" hidden="1" customHeight="1" outlineLevel="1" x14ac:dyDescent="0.2">
      <c r="A80" s="1407"/>
      <c r="C80" s="368"/>
      <c r="D80" s="94" t="s">
        <v>3598</v>
      </c>
      <c r="E80" s="634">
        <f>pSystemsTrainingCostPerFTE_CM*pSystemsTrainingFTEsCM</f>
        <v>10000</v>
      </c>
      <c r="F80" s="634">
        <f>pSystemsTrainingCostPerFTE_CM*pSystemsTrainingFTEsCM*(1+Inflation)</f>
        <v>10200</v>
      </c>
      <c r="G80" s="634">
        <f>pSystemsTrainingCostPerFTE_CM*pSystemsTrainingFTEsCM*(1+Inflation)^2</f>
        <v>10404</v>
      </c>
      <c r="H80" s="634">
        <f>pSystemsTrainingCostPerFTE_CM*pSystemsTrainingFTEsCM*(1+Inflation)^3</f>
        <v>10612.08</v>
      </c>
      <c r="I80" s="634">
        <f>pSystemsTrainingCostPerFTE_CM*pSystemsTrainingFTEsCM*(1+Inflation)^4</f>
        <v>10824.321599999999</v>
      </c>
      <c r="J80" s="634">
        <f>pSystemsTrainingCostPerFTE_CM*pSystemsTrainingFTEsCM*(1+Inflation)^5</f>
        <v>11040.808032000001</v>
      </c>
      <c r="K80" s="634">
        <f>pSystemsTrainingCostPerFTE_CM*pSystemsTrainingFTEsCM*(1+Inflation)^6</f>
        <v>11261.62419264</v>
      </c>
      <c r="L80" s="634">
        <f>pSystemsTrainingCostPerFTE_CM*pSystemsTrainingFTEsCM*(1+Inflation)^7</f>
        <v>11486.856676492798</v>
      </c>
      <c r="M80" s="634">
        <f>pSystemsTrainingCostPerFTE_CM*pSystemsTrainingFTEsCM*(1+Inflation)^8</f>
        <v>11716.593810022656</v>
      </c>
      <c r="N80" s="634">
        <f>pSystemsTrainingCostPerFTE_CM*pSystemsTrainingFTEsCM*(1+Inflation)^9</f>
        <v>11950.925686223109</v>
      </c>
      <c r="O80" s="162" t="s">
        <v>3596</v>
      </c>
    </row>
    <row r="81" spans="1:15" s="8" customFormat="1" ht="15" hidden="1" customHeight="1" outlineLevel="1" x14ac:dyDescent="0.2">
      <c r="A81" s="1407"/>
      <c r="C81" s="441"/>
      <c r="D81" s="442"/>
      <c r="E81" s="443"/>
      <c r="F81" s="443"/>
      <c r="G81" s="443"/>
      <c r="H81" s="443"/>
      <c r="I81" s="443"/>
      <c r="J81" s="443"/>
      <c r="K81" s="443"/>
      <c r="L81" s="443"/>
      <c r="M81" s="443"/>
      <c r="N81" s="443"/>
      <c r="O81" s="162"/>
    </row>
    <row r="82" spans="1:15" ht="15" hidden="1" customHeight="1" outlineLevel="1" x14ac:dyDescent="0.2">
      <c r="A82" s="1407"/>
      <c r="C82" s="394"/>
      <c r="D82" s="149" t="s">
        <v>3620</v>
      </c>
      <c r="E82" s="5"/>
      <c r="F82" s="5"/>
      <c r="G82" s="5"/>
      <c r="H82" s="5"/>
      <c r="I82" s="5"/>
      <c r="J82" s="5"/>
      <c r="K82" s="5"/>
      <c r="L82" s="5"/>
      <c r="M82" s="5"/>
      <c r="N82" s="5"/>
      <c r="O82" s="393"/>
    </row>
    <row r="83" spans="1:15" ht="15" hidden="1" customHeight="1" outlineLevel="1" x14ac:dyDescent="0.2">
      <c r="A83" s="1407"/>
      <c r="C83" s="394"/>
      <c r="D83" s="631">
        <v>1000</v>
      </c>
      <c r="E83" s="6"/>
      <c r="F83" s="6"/>
      <c r="G83" s="6"/>
      <c r="H83" s="6"/>
      <c r="I83" s="6"/>
      <c r="J83" s="6"/>
      <c r="K83" s="6"/>
      <c r="L83" s="6"/>
      <c r="M83" s="6"/>
      <c r="N83" s="6"/>
      <c r="O83" s="393"/>
    </row>
    <row r="84" spans="1:15" ht="15" hidden="1" customHeight="1" outlineLevel="1" x14ac:dyDescent="0.2">
      <c r="A84" s="1407"/>
      <c r="C84" s="394"/>
      <c r="D84" s="94" t="s">
        <v>3601</v>
      </c>
      <c r="E84" s="632">
        <v>0.1</v>
      </c>
      <c r="F84" s="632">
        <v>0.1</v>
      </c>
      <c r="G84" s="632">
        <v>0.1</v>
      </c>
      <c r="H84" s="632">
        <v>0.1</v>
      </c>
      <c r="I84" s="632">
        <v>0.1</v>
      </c>
      <c r="J84" s="632">
        <v>0.1</v>
      </c>
      <c r="K84" s="632">
        <v>0.1</v>
      </c>
      <c r="L84" s="632">
        <v>0.1</v>
      </c>
      <c r="M84" s="632">
        <v>0.1</v>
      </c>
      <c r="N84" s="632">
        <v>0.1</v>
      </c>
      <c r="O84" s="393"/>
    </row>
    <row r="85" spans="1:15" ht="15" hidden="1" customHeight="1" outlineLevel="1" x14ac:dyDescent="0.2">
      <c r="A85" s="1407"/>
      <c r="B85" s="6"/>
      <c r="C85" s="368"/>
      <c r="D85" s="94" t="s">
        <v>68</v>
      </c>
      <c r="E85" s="633">
        <f t="shared" ref="E85:N85" si="9">pSystemsFTE_SMCS*E84</f>
        <v>5</v>
      </c>
      <c r="F85" s="633">
        <f t="shared" si="9"/>
        <v>5</v>
      </c>
      <c r="G85" s="633">
        <f t="shared" si="9"/>
        <v>5</v>
      </c>
      <c r="H85" s="633">
        <f t="shared" si="9"/>
        <v>5</v>
      </c>
      <c r="I85" s="633">
        <f t="shared" si="9"/>
        <v>5</v>
      </c>
      <c r="J85" s="633">
        <f t="shared" si="9"/>
        <v>5</v>
      </c>
      <c r="K85" s="633">
        <f t="shared" si="9"/>
        <v>5</v>
      </c>
      <c r="L85" s="633">
        <f t="shared" si="9"/>
        <v>5</v>
      </c>
      <c r="M85" s="633">
        <f t="shared" si="9"/>
        <v>5</v>
      </c>
      <c r="N85" s="633">
        <f t="shared" si="9"/>
        <v>5</v>
      </c>
      <c r="O85" s="162" t="s">
        <v>3599</v>
      </c>
    </row>
    <row r="86" spans="1:15" ht="15" hidden="1" customHeight="1" outlineLevel="1" x14ac:dyDescent="0.2">
      <c r="A86" s="1407"/>
      <c r="C86" s="368"/>
      <c r="D86" s="94" t="s">
        <v>3602</v>
      </c>
      <c r="E86" s="634">
        <f>pSystemsTrainingCostPerFTE_SMCS*pSystemsTrainingFTEsSMCS</f>
        <v>5000</v>
      </c>
      <c r="F86" s="634">
        <f>pSystemsTrainingCostPerFTE_SMCS*pSystemsTrainingFTEsSMCS*(1+Inflation)</f>
        <v>5100</v>
      </c>
      <c r="G86" s="634">
        <f>pSystemsTrainingCostPerFTE_SMCS*pSystemsTrainingFTEsSMCS*(1+Inflation)^2</f>
        <v>5202</v>
      </c>
      <c r="H86" s="634">
        <f>pSystemsTrainingCostPerFTE_SMCS*pSystemsTrainingFTEsSMCS*(1+Inflation)^3</f>
        <v>5306.04</v>
      </c>
      <c r="I86" s="634">
        <f>pSystemsTrainingCostPerFTE_SMCS*pSystemsTrainingFTEsSMCS*(1+Inflation)^4</f>
        <v>5412.1607999999997</v>
      </c>
      <c r="J86" s="634">
        <f>pSystemsTrainingCostPerFTE_SMCS*pSystemsTrainingFTEsSMCS*(1+Inflation)^5</f>
        <v>5520.4040160000004</v>
      </c>
      <c r="K86" s="634">
        <f>pSystemsTrainingCostPerFTE_SMCS*pSystemsTrainingFTEsSMCS*(1+Inflation)^6</f>
        <v>5630.8120963199999</v>
      </c>
      <c r="L86" s="634">
        <f>pSystemsTrainingCostPerFTE_SMCS*pSystemsTrainingFTEsSMCS*(1+Inflation)^7</f>
        <v>5743.4283382463991</v>
      </c>
      <c r="M86" s="634">
        <f>pSystemsTrainingCostPerFTE_SMCS*pSystemsTrainingFTEsSMCS*(1+Inflation)^8</f>
        <v>5858.2969050113279</v>
      </c>
      <c r="N86" s="634">
        <f>pSystemsTrainingCostPerFTE_SMCS*pSystemsTrainingFTEsSMCS*(1+Inflation)^9</f>
        <v>5975.4628431115543</v>
      </c>
      <c r="O86" s="162" t="s">
        <v>3600</v>
      </c>
    </row>
    <row r="87" spans="1:15" s="8" customFormat="1" ht="15" hidden="1" customHeight="1" outlineLevel="1" x14ac:dyDescent="0.2">
      <c r="A87" s="1407"/>
      <c r="C87" s="441"/>
      <c r="D87" s="442"/>
      <c r="E87" s="443"/>
      <c r="F87" s="443"/>
      <c r="G87" s="443"/>
      <c r="H87" s="443"/>
      <c r="I87" s="443"/>
      <c r="J87" s="443"/>
      <c r="K87" s="443"/>
      <c r="L87" s="443"/>
      <c r="M87" s="443"/>
      <c r="N87" s="443"/>
      <c r="O87" s="162"/>
    </row>
    <row r="88" spans="1:15" ht="15" hidden="1" customHeight="1" outlineLevel="1" x14ac:dyDescent="0.2">
      <c r="A88" s="1407"/>
      <c r="C88" s="394"/>
      <c r="D88" s="149" t="s">
        <v>3621</v>
      </c>
      <c r="E88" s="5"/>
      <c r="F88" s="5"/>
      <c r="G88" s="5"/>
      <c r="H88" s="5"/>
      <c r="I88" s="5"/>
      <c r="J88" s="5"/>
      <c r="K88" s="5"/>
      <c r="L88" s="5"/>
      <c r="M88" s="5"/>
      <c r="N88" s="5"/>
      <c r="O88" s="393"/>
    </row>
    <row r="89" spans="1:15" ht="15" hidden="1" customHeight="1" outlineLevel="1" x14ac:dyDescent="0.2">
      <c r="A89" s="1407"/>
      <c r="C89" s="394"/>
      <c r="D89" s="631">
        <v>1000</v>
      </c>
      <c r="E89" s="6"/>
      <c r="F89" s="6"/>
      <c r="G89" s="6"/>
      <c r="H89" s="6"/>
      <c r="I89" s="6"/>
      <c r="J89" s="6"/>
      <c r="K89" s="6"/>
      <c r="L89" s="6"/>
      <c r="M89" s="6"/>
      <c r="N89" s="6"/>
      <c r="O89" s="393"/>
    </row>
    <row r="90" spans="1:15" ht="15" hidden="1" customHeight="1" outlineLevel="1" x14ac:dyDescent="0.2">
      <c r="A90" s="1407"/>
      <c r="C90" s="394"/>
      <c r="D90" s="94" t="s">
        <v>3605</v>
      </c>
      <c r="E90" s="632">
        <v>0.1</v>
      </c>
      <c r="F90" s="632">
        <v>0.1</v>
      </c>
      <c r="G90" s="632">
        <v>0.1</v>
      </c>
      <c r="H90" s="632">
        <v>0.1</v>
      </c>
      <c r="I90" s="632">
        <v>0.1</v>
      </c>
      <c r="J90" s="632">
        <v>0.1</v>
      </c>
      <c r="K90" s="632">
        <v>0.1</v>
      </c>
      <c r="L90" s="632">
        <v>0.1</v>
      </c>
      <c r="M90" s="632">
        <v>0.1</v>
      </c>
      <c r="N90" s="632">
        <v>0.1</v>
      </c>
      <c r="O90" s="393"/>
    </row>
    <row r="91" spans="1:15" ht="15" hidden="1" customHeight="1" outlineLevel="1" x14ac:dyDescent="0.2">
      <c r="A91" s="1407"/>
      <c r="B91" s="6"/>
      <c r="C91" s="368"/>
      <c r="D91" s="94" t="s">
        <v>68</v>
      </c>
      <c r="E91" s="633">
        <f t="shared" ref="E91:N91" si="10">pSystemsFTE_O1*E90</f>
        <v>1</v>
      </c>
      <c r="F91" s="633">
        <f t="shared" si="10"/>
        <v>1</v>
      </c>
      <c r="G91" s="633">
        <f t="shared" si="10"/>
        <v>1</v>
      </c>
      <c r="H91" s="633">
        <f t="shared" si="10"/>
        <v>1</v>
      </c>
      <c r="I91" s="633">
        <f t="shared" si="10"/>
        <v>1</v>
      </c>
      <c r="J91" s="633">
        <f t="shared" si="10"/>
        <v>1</v>
      </c>
      <c r="K91" s="633">
        <f t="shared" si="10"/>
        <v>1</v>
      </c>
      <c r="L91" s="633">
        <f t="shared" si="10"/>
        <v>1</v>
      </c>
      <c r="M91" s="633">
        <f t="shared" si="10"/>
        <v>1</v>
      </c>
      <c r="N91" s="633">
        <f t="shared" si="10"/>
        <v>1</v>
      </c>
      <c r="O91" s="162" t="s">
        <v>3603</v>
      </c>
    </row>
    <row r="92" spans="1:15" ht="15" hidden="1" customHeight="1" outlineLevel="1" x14ac:dyDescent="0.2">
      <c r="A92" s="1407"/>
      <c r="C92" s="368"/>
      <c r="D92" s="94" t="s">
        <v>3606</v>
      </c>
      <c r="E92" s="634">
        <f>pSystemsTrainingCostPerFTE_O1*pSystemsTrainingFTEsO1</f>
        <v>1000</v>
      </c>
      <c r="F92" s="634">
        <f>pSystemsTrainingCostPerFTE_O1*pSystemsTrainingFTEsO1*(1+Inflation)</f>
        <v>1020</v>
      </c>
      <c r="G92" s="634">
        <f>pSystemsTrainingCostPerFTE_O1*pSystemsTrainingFTEsO1*(1+Inflation)^2</f>
        <v>1040.4000000000001</v>
      </c>
      <c r="H92" s="634">
        <f>pSystemsTrainingCostPerFTE_O1*pSystemsTrainingFTEsO1*(1+Inflation)^3</f>
        <v>1061.2079999999999</v>
      </c>
      <c r="I92" s="634">
        <f>pSystemsTrainingCostPerFTE_O1*pSystemsTrainingFTEsO1*(1+Inflation)^4</f>
        <v>1082.4321600000001</v>
      </c>
      <c r="J92" s="634">
        <f>pSystemsTrainingCostPerFTE_O1*pSystemsTrainingFTEsO1*(1+Inflation)^5</f>
        <v>1104.0808032</v>
      </c>
      <c r="K92" s="634">
        <f>pSystemsTrainingCostPerFTE_O1*pSystemsTrainingFTEsO1*(1+Inflation)^6</f>
        <v>1126.1624192640002</v>
      </c>
      <c r="L92" s="634">
        <f>pSystemsTrainingCostPerFTE_O1*pSystemsTrainingFTEsO1*(1+Inflation)^7</f>
        <v>1148.6856676492798</v>
      </c>
      <c r="M92" s="634">
        <f>pSystemsTrainingCostPerFTE_O1*pSystemsTrainingFTEsO1*(1+Inflation)^8</f>
        <v>1171.6593810022655</v>
      </c>
      <c r="N92" s="634">
        <f>pSystemsTrainingCostPerFTE_O1*pSystemsTrainingFTEsO1*(1+Inflation)^9</f>
        <v>1195.0925686223109</v>
      </c>
      <c r="O92" s="162" t="s">
        <v>3604</v>
      </c>
    </row>
    <row r="93" spans="1:15" ht="15" hidden="1" customHeight="1" outlineLevel="1" x14ac:dyDescent="0.2">
      <c r="A93" s="1407"/>
      <c r="B93" s="100"/>
      <c r="C93" s="368"/>
      <c r="D93" s="5"/>
      <c r="E93" s="5"/>
      <c r="F93" s="5"/>
      <c r="G93" s="5"/>
      <c r="H93" s="5"/>
      <c r="I93" s="5"/>
      <c r="J93" s="5"/>
      <c r="K93" s="5"/>
      <c r="L93" s="5"/>
      <c r="M93" s="5"/>
      <c r="N93" s="5"/>
      <c r="O93" s="393"/>
    </row>
    <row r="94" spans="1:15" ht="15" hidden="1" customHeight="1" outlineLevel="1" x14ac:dyDescent="0.2">
      <c r="A94" s="1407"/>
      <c r="C94" s="394"/>
      <c r="D94" s="149" t="s">
        <v>3622</v>
      </c>
      <c r="E94" s="5"/>
      <c r="F94" s="5"/>
      <c r="G94" s="5"/>
      <c r="H94" s="5"/>
      <c r="I94" s="5"/>
      <c r="J94" s="5"/>
      <c r="K94" s="5"/>
      <c r="L94" s="5"/>
      <c r="M94" s="5"/>
      <c r="N94" s="5"/>
      <c r="O94" s="393"/>
    </row>
    <row r="95" spans="1:15" ht="15" hidden="1" customHeight="1" outlineLevel="1" x14ac:dyDescent="0.2">
      <c r="A95" s="1407"/>
      <c r="C95" s="394"/>
      <c r="D95" s="631">
        <v>1000</v>
      </c>
      <c r="E95" s="6"/>
      <c r="F95" s="6"/>
      <c r="G95" s="6"/>
      <c r="H95" s="6"/>
      <c r="I95" s="6"/>
      <c r="J95" s="6"/>
      <c r="K95" s="6"/>
      <c r="L95" s="6"/>
      <c r="M95" s="6"/>
      <c r="N95" s="6"/>
      <c r="O95" s="393"/>
    </row>
    <row r="96" spans="1:15" ht="15" hidden="1" customHeight="1" outlineLevel="1" x14ac:dyDescent="0.2">
      <c r="A96" s="1407"/>
      <c r="C96" s="394"/>
      <c r="D96" s="94" t="s">
        <v>3610</v>
      </c>
      <c r="E96" s="632">
        <v>0.1</v>
      </c>
      <c r="F96" s="632">
        <v>0.1</v>
      </c>
      <c r="G96" s="632">
        <v>0.1</v>
      </c>
      <c r="H96" s="632">
        <v>0.1</v>
      </c>
      <c r="I96" s="632">
        <v>0.1</v>
      </c>
      <c r="J96" s="632">
        <v>0.1</v>
      </c>
      <c r="K96" s="632">
        <v>0.1</v>
      </c>
      <c r="L96" s="632">
        <v>0.1</v>
      </c>
      <c r="M96" s="632">
        <v>0.1</v>
      </c>
      <c r="N96" s="632">
        <v>0.1</v>
      </c>
      <c r="O96" s="393"/>
    </row>
    <row r="97" spans="1:15" ht="15" hidden="1" customHeight="1" outlineLevel="1" x14ac:dyDescent="0.2">
      <c r="A97" s="1407"/>
      <c r="B97" s="6"/>
      <c r="C97" s="368"/>
      <c r="D97" s="94" t="s">
        <v>68</v>
      </c>
      <c r="E97" s="633">
        <f t="shared" ref="E97:N97" si="11">pSystemsFTE_O2*E96</f>
        <v>1</v>
      </c>
      <c r="F97" s="633">
        <f t="shared" si="11"/>
        <v>1</v>
      </c>
      <c r="G97" s="633">
        <f t="shared" si="11"/>
        <v>1</v>
      </c>
      <c r="H97" s="633">
        <f t="shared" si="11"/>
        <v>1</v>
      </c>
      <c r="I97" s="633">
        <f t="shared" si="11"/>
        <v>1</v>
      </c>
      <c r="J97" s="633">
        <f t="shared" si="11"/>
        <v>1</v>
      </c>
      <c r="K97" s="633">
        <f t="shared" si="11"/>
        <v>1</v>
      </c>
      <c r="L97" s="633">
        <f t="shared" si="11"/>
        <v>1</v>
      </c>
      <c r="M97" s="633">
        <f t="shared" si="11"/>
        <v>1</v>
      </c>
      <c r="N97" s="633">
        <f t="shared" si="11"/>
        <v>1</v>
      </c>
      <c r="O97" s="162" t="s">
        <v>3607</v>
      </c>
    </row>
    <row r="98" spans="1:15" ht="15" hidden="1" customHeight="1" outlineLevel="1" x14ac:dyDescent="0.2">
      <c r="A98" s="1407"/>
      <c r="C98" s="368"/>
      <c r="D98" s="94" t="s">
        <v>3608</v>
      </c>
      <c r="E98" s="634">
        <f>pSystemsTrainingCostPerFTE_O2*pSystemsTrainingFTEsO2</f>
        <v>1000</v>
      </c>
      <c r="F98" s="634">
        <f>pSystemsTrainingCostPerFTE_O2*pSystemsTrainingFTEsO2*(1+Inflation)</f>
        <v>1020</v>
      </c>
      <c r="G98" s="634">
        <f>pSystemsTrainingCostPerFTE_O2*pSystemsTrainingFTEsO2*(1+Inflation)^2</f>
        <v>1040.4000000000001</v>
      </c>
      <c r="H98" s="634">
        <f>pSystemsTrainingCostPerFTE_O2*pSystemsTrainingFTEsO2*(1+Inflation)^3</f>
        <v>1061.2079999999999</v>
      </c>
      <c r="I98" s="634">
        <f>pSystemsTrainingCostPerFTE_O2*pSystemsTrainingFTEsO2*(1+Inflation)^4</f>
        <v>1082.4321600000001</v>
      </c>
      <c r="J98" s="634">
        <f>pSystemsTrainingCostPerFTE_O2*pSystemsTrainingFTEsO2*(1+Inflation)^5</f>
        <v>1104.0808032</v>
      </c>
      <c r="K98" s="634">
        <f>pSystemsTrainingCostPerFTE_O2*pSystemsTrainingFTEsO2*(1+Inflation)^6</f>
        <v>1126.1624192640002</v>
      </c>
      <c r="L98" s="634">
        <f>pSystemsTrainingCostPerFTE_O2*pSystemsTrainingFTEsO2*(1+Inflation)^7</f>
        <v>1148.6856676492798</v>
      </c>
      <c r="M98" s="634">
        <f>pSystemsTrainingCostPerFTE_O2*pSystemsTrainingFTEsO2*(1+Inflation)^8</f>
        <v>1171.6593810022655</v>
      </c>
      <c r="N98" s="634">
        <f>pSystemsTrainingCostPerFTE_O2*pSystemsTrainingFTEsO2*(1+Inflation)^9</f>
        <v>1195.0925686223109</v>
      </c>
      <c r="O98" s="162" t="s">
        <v>3609</v>
      </c>
    </row>
    <row r="99" spans="1:15" ht="15" hidden="1" customHeight="1" outlineLevel="1" x14ac:dyDescent="0.2">
      <c r="A99" s="1407"/>
      <c r="B99" s="100"/>
      <c r="C99" s="368"/>
      <c r="D99" s="5"/>
      <c r="E99" s="5"/>
      <c r="F99" s="5"/>
      <c r="G99" s="5"/>
      <c r="H99" s="5"/>
      <c r="I99" s="5"/>
      <c r="J99" s="5"/>
      <c r="K99" s="5"/>
      <c r="L99" s="5"/>
      <c r="M99" s="5"/>
      <c r="N99" s="5"/>
      <c r="O99" s="393"/>
    </row>
    <row r="100" spans="1:15" ht="15" hidden="1" customHeight="1" outlineLevel="1" x14ac:dyDescent="0.2">
      <c r="A100" s="1407"/>
      <c r="B100" s="100"/>
      <c r="C100" s="368"/>
      <c r="D100" s="5"/>
      <c r="E100" s="5"/>
      <c r="F100" s="5"/>
      <c r="G100" s="5"/>
      <c r="H100" s="5"/>
      <c r="I100" s="5"/>
      <c r="J100" s="5"/>
      <c r="K100" s="5"/>
      <c r="L100" s="5"/>
      <c r="M100" s="5"/>
      <c r="N100" s="5"/>
      <c r="O100" s="393"/>
    </row>
    <row r="101" spans="1:15" ht="18" hidden="1" customHeight="1" outlineLevel="1" x14ac:dyDescent="0.25">
      <c r="A101" s="1407"/>
      <c r="B101" s="95"/>
      <c r="C101" s="167"/>
      <c r="D101" s="69" t="s">
        <v>199</v>
      </c>
      <c r="E101" s="636">
        <f t="shared" ref="E101:N101" si="12">SUM(pSystemsTrainingCostLM+pSystemsTrainingCostHM+pSystemsTrainingCostENG+pSystemsTrainingCostPLG+pSystemsTrainingCostCRT+pSystemsTrainingCostSCL+pSystemsTrainingCostQSC+pSystemsTrainingCostEM+pSystemsTrainingCostCM+pSystemsTrainingCostSMCS+pSystemsTrainingCostO1+pSystemsTrainingCostO2)</f>
        <v>313000</v>
      </c>
      <c r="F101" s="636">
        <f t="shared" si="12"/>
        <v>319260</v>
      </c>
      <c r="G101" s="636">
        <f t="shared" si="12"/>
        <v>325645.20000000007</v>
      </c>
      <c r="H101" s="636">
        <f t="shared" si="12"/>
        <v>332158.10399999999</v>
      </c>
      <c r="I101" s="636">
        <f t="shared" si="12"/>
        <v>338801.26608000015</v>
      </c>
      <c r="J101" s="636">
        <f t="shared" si="12"/>
        <v>345577.29140159988</v>
      </c>
      <c r="K101" s="636">
        <f t="shared" si="12"/>
        <v>352488.83722963196</v>
      </c>
      <c r="L101" s="636">
        <f t="shared" si="12"/>
        <v>359538.61397422454</v>
      </c>
      <c r="M101" s="636">
        <f t="shared" si="12"/>
        <v>366729.38625370903</v>
      </c>
      <c r="N101" s="636">
        <f t="shared" si="12"/>
        <v>374063.97397878318</v>
      </c>
      <c r="O101" s="393"/>
    </row>
    <row r="102" spans="1:15" ht="14.1" hidden="1" customHeight="1" outlineLevel="1" thickBot="1" x14ac:dyDescent="0.25">
      <c r="A102" s="1407"/>
      <c r="B102" s="95"/>
      <c r="C102" s="238"/>
      <c r="D102" s="518"/>
      <c r="E102" s="518"/>
      <c r="F102" s="518"/>
      <c r="G102" s="518"/>
      <c r="H102" s="518"/>
      <c r="I102" s="518"/>
      <c r="J102" s="518"/>
      <c r="K102" s="518"/>
      <c r="L102" s="518"/>
      <c r="M102" s="518"/>
      <c r="N102" s="518"/>
      <c r="O102" s="635"/>
    </row>
    <row r="103" spans="1:15" ht="14.1" hidden="1" customHeight="1" outlineLevel="1" thickBot="1" x14ac:dyDescent="0.25">
      <c r="B103" s="95"/>
      <c r="C103" s="6"/>
      <c r="D103" s="6"/>
      <c r="E103" s="6"/>
      <c r="F103" s="6"/>
      <c r="G103" s="6"/>
      <c r="H103" s="6"/>
      <c r="I103" s="6"/>
      <c r="J103" s="6"/>
      <c r="K103" s="6"/>
      <c r="L103" s="6"/>
      <c r="M103" s="6"/>
      <c r="N103" s="6"/>
      <c r="O103" s="84"/>
    </row>
    <row r="104" spans="1:15" s="47" customFormat="1" ht="26.25" hidden="1" outlineLevel="1" x14ac:dyDescent="0.2">
      <c r="B104"/>
      <c r="C104" s="277" t="str">
        <f>Scenario2&amp;" - Training Requirements Cost Calculations"</f>
        <v>hSystems (Hybrid) - Training Requirements Cost Calculations</v>
      </c>
      <c r="D104" s="392"/>
      <c r="E104" s="392"/>
      <c r="F104" s="392"/>
      <c r="G104" s="392"/>
      <c r="H104" s="392"/>
      <c r="I104" s="392"/>
      <c r="J104" s="392"/>
      <c r="K104" s="392"/>
      <c r="L104" s="392"/>
      <c r="M104" s="392"/>
      <c r="N104" s="392"/>
      <c r="O104" s="630"/>
    </row>
    <row r="105" spans="1:15" ht="15" hidden="1" customHeight="1" outlineLevel="1" x14ac:dyDescent="0.2">
      <c r="C105" s="368"/>
      <c r="D105" s="5"/>
      <c r="E105" s="5"/>
      <c r="F105" s="5"/>
      <c r="G105" s="5"/>
      <c r="H105" s="5"/>
      <c r="I105" s="5"/>
      <c r="J105" s="5"/>
      <c r="K105" s="5"/>
      <c r="L105" s="5"/>
      <c r="M105" s="5"/>
      <c r="N105" s="5"/>
      <c r="O105" s="393"/>
    </row>
    <row r="106" spans="1:15" ht="15" hidden="1" customHeight="1" outlineLevel="1" x14ac:dyDescent="0.2">
      <c r="B106" s="96"/>
      <c r="C106" s="394"/>
      <c r="D106" s="149" t="s">
        <v>3623</v>
      </c>
      <c r="E106" s="5"/>
      <c r="F106" s="5"/>
      <c r="G106" s="5"/>
      <c r="H106" s="5"/>
      <c r="I106" s="5"/>
      <c r="J106" s="5"/>
      <c r="K106" s="5"/>
      <c r="L106" s="5"/>
      <c r="M106" s="5"/>
      <c r="N106" s="5"/>
      <c r="O106" s="393"/>
    </row>
    <row r="107" spans="1:15" ht="15" hidden="1" customHeight="1" outlineLevel="1" x14ac:dyDescent="0.2">
      <c r="B107" s="96"/>
      <c r="C107" s="394"/>
      <c r="D107" s="631">
        <v>1000</v>
      </c>
      <c r="E107" s="6"/>
      <c r="F107" s="6"/>
      <c r="G107" s="6"/>
      <c r="H107" s="6"/>
      <c r="I107" s="6"/>
      <c r="J107" s="6"/>
      <c r="K107" s="6"/>
      <c r="L107" s="6"/>
      <c r="M107" s="6"/>
      <c r="N107" s="6"/>
      <c r="O107" s="393"/>
    </row>
    <row r="108" spans="1:15" ht="15" hidden="1" customHeight="1" outlineLevel="1" x14ac:dyDescent="0.2">
      <c r="B108" s="96"/>
      <c r="C108" s="394"/>
      <c r="D108" s="94" t="s">
        <v>276</v>
      </c>
      <c r="E108" s="632">
        <v>0.1</v>
      </c>
      <c r="F108" s="632">
        <v>0.1</v>
      </c>
      <c r="G108" s="632">
        <v>0.1</v>
      </c>
      <c r="H108" s="632">
        <v>0.1</v>
      </c>
      <c r="I108" s="632">
        <v>0.1</v>
      </c>
      <c r="J108" s="632">
        <v>0.1</v>
      </c>
      <c r="K108" s="632">
        <v>0.1</v>
      </c>
      <c r="L108" s="632">
        <v>0.1</v>
      </c>
      <c r="M108" s="632">
        <v>0.1</v>
      </c>
      <c r="N108" s="632">
        <v>0.1</v>
      </c>
      <c r="O108" s="162" t="s">
        <v>3638</v>
      </c>
    </row>
    <row r="109" spans="1:15" ht="15" hidden="1" customHeight="1" outlineLevel="1" x14ac:dyDescent="0.2">
      <c r="B109" s="96"/>
      <c r="C109" s="368"/>
      <c r="D109" s="442" t="s">
        <v>3635</v>
      </c>
      <c r="E109" s="633">
        <f t="shared" ref="E109:N109" si="13">hSystemsFTECalcResultWorstCaseLM*hSystemsTrainingPercentFTEsLM</f>
        <v>150</v>
      </c>
      <c r="F109" s="633">
        <f t="shared" si="13"/>
        <v>150</v>
      </c>
      <c r="G109" s="633">
        <f t="shared" si="13"/>
        <v>150</v>
      </c>
      <c r="H109" s="633">
        <f t="shared" si="13"/>
        <v>150</v>
      </c>
      <c r="I109" s="633">
        <f t="shared" si="13"/>
        <v>150</v>
      </c>
      <c r="J109" s="633">
        <f t="shared" si="13"/>
        <v>150</v>
      </c>
      <c r="K109" s="633">
        <f t="shared" si="13"/>
        <v>150</v>
      </c>
      <c r="L109" s="633">
        <f t="shared" si="13"/>
        <v>150</v>
      </c>
      <c r="M109" s="633">
        <f t="shared" si="13"/>
        <v>150</v>
      </c>
      <c r="N109" s="633">
        <f t="shared" si="13"/>
        <v>150</v>
      </c>
      <c r="O109" s="162" t="s">
        <v>3639</v>
      </c>
    </row>
    <row r="110" spans="1:15" ht="15" hidden="1" customHeight="1" outlineLevel="1" x14ac:dyDescent="0.2">
      <c r="B110" s="96"/>
      <c r="C110" s="368"/>
      <c r="D110" s="442" t="s">
        <v>3636</v>
      </c>
      <c r="E110" s="633">
        <f t="shared" ref="E110:N110" si="14">hSystemsFTECalcResultMostLikelyLM*hSystemsTrainingPercentFTEsLM</f>
        <v>142.5</v>
      </c>
      <c r="F110" s="633">
        <f t="shared" si="14"/>
        <v>142.35</v>
      </c>
      <c r="G110" s="633">
        <f t="shared" si="14"/>
        <v>142.20000000000002</v>
      </c>
      <c r="H110" s="633">
        <f t="shared" si="14"/>
        <v>142.05000000000001</v>
      </c>
      <c r="I110" s="633">
        <f t="shared" si="14"/>
        <v>141.9</v>
      </c>
      <c r="J110" s="633">
        <f t="shared" si="14"/>
        <v>141.75</v>
      </c>
      <c r="K110" s="633">
        <f t="shared" si="14"/>
        <v>141.6</v>
      </c>
      <c r="L110" s="633">
        <f t="shared" si="14"/>
        <v>141.45000000000002</v>
      </c>
      <c r="M110" s="633">
        <f t="shared" si="14"/>
        <v>141.30000000000001</v>
      </c>
      <c r="N110" s="633">
        <f t="shared" si="14"/>
        <v>141.15</v>
      </c>
      <c r="O110" s="162" t="s">
        <v>3640</v>
      </c>
    </row>
    <row r="111" spans="1:15" ht="15" hidden="1" customHeight="1" outlineLevel="1" x14ac:dyDescent="0.2">
      <c r="B111" s="96"/>
      <c r="C111" s="368"/>
      <c r="D111" s="442" t="s">
        <v>3637</v>
      </c>
      <c r="E111" s="633">
        <f t="shared" ref="E111:N111" si="15">hSystemsFTECalcResultBestCaseLM*hSystemsTrainingPercentFTEsLM</f>
        <v>135</v>
      </c>
      <c r="F111" s="633">
        <f t="shared" si="15"/>
        <v>134.85</v>
      </c>
      <c r="G111" s="633">
        <f t="shared" si="15"/>
        <v>134.70000000000002</v>
      </c>
      <c r="H111" s="633">
        <f t="shared" si="15"/>
        <v>134.55000000000001</v>
      </c>
      <c r="I111" s="633">
        <f t="shared" si="15"/>
        <v>134.4</v>
      </c>
      <c r="J111" s="633">
        <f t="shared" si="15"/>
        <v>134.25</v>
      </c>
      <c r="K111" s="633">
        <f t="shared" si="15"/>
        <v>134.1</v>
      </c>
      <c r="L111" s="633">
        <f t="shared" si="15"/>
        <v>133.95000000000002</v>
      </c>
      <c r="M111" s="633">
        <f t="shared" si="15"/>
        <v>133.80000000000001</v>
      </c>
      <c r="N111" s="633">
        <f t="shared" si="15"/>
        <v>133.65</v>
      </c>
      <c r="O111" s="162" t="s">
        <v>3641</v>
      </c>
    </row>
    <row r="112" spans="1:15" s="8" customFormat="1" ht="15" hidden="1" customHeight="1" outlineLevel="1" x14ac:dyDescent="0.2">
      <c r="B112" s="622"/>
      <c r="C112" s="441"/>
      <c r="D112" s="442"/>
      <c r="E112" s="623"/>
      <c r="F112" s="623"/>
      <c r="G112" s="623"/>
      <c r="H112" s="623"/>
      <c r="I112" s="623"/>
      <c r="J112" s="623"/>
      <c r="K112" s="623"/>
      <c r="L112" s="623"/>
      <c r="M112" s="623"/>
      <c r="N112" s="623"/>
      <c r="O112" s="162"/>
    </row>
    <row r="113" spans="2:15" ht="15" hidden="1" customHeight="1" outlineLevel="1" x14ac:dyDescent="0.2">
      <c r="B113" s="96"/>
      <c r="C113" s="368"/>
      <c r="D113" s="94" t="s">
        <v>3642</v>
      </c>
      <c r="E113" s="634">
        <f>hSystemsTrainingCostPerFTE_LM*hSystemsTrainingFTEsWorstCaseLM</f>
        <v>150000</v>
      </c>
      <c r="F113" s="634">
        <f>hSystemsTrainingCostPerFTE_LM*hSystemsTrainingFTEsWorstCaseLM*(1+Inflation)</f>
        <v>153000</v>
      </c>
      <c r="G113" s="634">
        <f>hSystemsTrainingCostPerFTE_LM*hSystemsTrainingFTEsWorstCaseLM*(1+Inflation)^2</f>
        <v>156060</v>
      </c>
      <c r="H113" s="634">
        <f>hSystemsTrainingCostPerFTE_LM*hSystemsTrainingFTEsWorstCaseLM*(1+Inflation)^3</f>
        <v>159181.19999999998</v>
      </c>
      <c r="I113" s="634">
        <f>hSystemsTrainingCostPerFTE_LM*hSystemsTrainingFTEsWorstCaseLM*(1+Inflation)^4</f>
        <v>162364.82399999999</v>
      </c>
      <c r="J113" s="634">
        <f>hSystemsTrainingCostPerFTE_LM*hSystemsTrainingFTEsWorstCaseLM*(1+Inflation)^5</f>
        <v>165612.12048000001</v>
      </c>
      <c r="K113" s="634">
        <f>hSystemsTrainingCostPerFTE_LM*hSystemsTrainingFTEsWorstCaseLM*(1+Inflation)^6</f>
        <v>168924.36288960002</v>
      </c>
      <c r="L113" s="634">
        <f>hSystemsTrainingCostPerFTE_LM*hSystemsTrainingFTEsWorstCaseLM*(1+Inflation)^7</f>
        <v>172302.85014739196</v>
      </c>
      <c r="M113" s="634">
        <f>hSystemsTrainingCostPerFTE_LM*hSystemsTrainingFTEsWorstCaseLM*(1+Inflation)^8</f>
        <v>175748.90715033983</v>
      </c>
      <c r="N113" s="634">
        <f>hSystemsTrainingCostPerFTE_LM*hSystemsTrainingFTEsWorstCaseLM*(1+Inflation)^9</f>
        <v>179263.88529334663</v>
      </c>
      <c r="O113" s="162" t="s">
        <v>3643</v>
      </c>
    </row>
    <row r="114" spans="2:15" ht="15" hidden="1" customHeight="1" outlineLevel="1" x14ac:dyDescent="0.2">
      <c r="B114" s="96"/>
      <c r="C114" s="368"/>
      <c r="D114" s="94" t="s">
        <v>3644</v>
      </c>
      <c r="E114" s="634">
        <f>hSystemsTrainingCostPerFTE_LM*hSystemsTrainingFTEsMostLikelyLM</f>
        <v>142500</v>
      </c>
      <c r="F114" s="634">
        <f>hSystemsTrainingCostPerFTE_LM*hSystemsTrainingFTEsMostLikelyLM*(1+Inflation)</f>
        <v>145197</v>
      </c>
      <c r="G114" s="634">
        <f>hSystemsTrainingCostPerFTE_LM*hSystemsTrainingFTEsMostLikelyLM*(1+Inflation)^2</f>
        <v>147944.88000000003</v>
      </c>
      <c r="H114" s="634">
        <f>hSystemsTrainingCostPerFTE_LM*hSystemsTrainingFTEsMostLikelyLM*(1+Inflation)^3</f>
        <v>150744.59639999998</v>
      </c>
      <c r="I114" s="634">
        <f>hSystemsTrainingCostPerFTE_LM*hSystemsTrainingFTEsMostLikelyLM*(1+Inflation)^4</f>
        <v>153597.12350399999</v>
      </c>
      <c r="J114" s="634">
        <f>hSystemsTrainingCostPerFTE_LM*hSystemsTrainingFTEsMostLikelyLM*(1+Inflation)^5</f>
        <v>156503.45385359999</v>
      </c>
      <c r="K114" s="634">
        <f>hSystemsTrainingCostPerFTE_LM*hSystemsTrainingFTEsMostLikelyLM*(1+Inflation)^6</f>
        <v>159464.59856778241</v>
      </c>
      <c r="L114" s="634">
        <f>hSystemsTrainingCostPerFTE_LM*hSystemsTrainingFTEsMostLikelyLM*(1+Inflation)^7</f>
        <v>162481.58768899066</v>
      </c>
      <c r="M114" s="634">
        <f>hSystemsTrainingCostPerFTE_LM*hSystemsTrainingFTEsMostLikelyLM*(1+Inflation)^8</f>
        <v>165555.47053562012</v>
      </c>
      <c r="N114" s="634">
        <f>hSystemsTrainingCostPerFTE_LM*hSystemsTrainingFTEsMostLikelyLM*(1+Inflation)^9</f>
        <v>168687.31606103916</v>
      </c>
      <c r="O114" s="162" t="s">
        <v>3646</v>
      </c>
    </row>
    <row r="115" spans="2:15" ht="15" hidden="1" customHeight="1" outlineLevel="1" x14ac:dyDescent="0.2">
      <c r="B115" s="96"/>
      <c r="C115" s="368"/>
      <c r="D115" s="94" t="s">
        <v>3645</v>
      </c>
      <c r="E115" s="634">
        <f>hSystemsTrainingCostPerFTE_LM*hSystemsTrainingFTEsBestCaseLM</f>
        <v>135000</v>
      </c>
      <c r="F115" s="634">
        <f>hSystemsTrainingCostPerFTE_LM*hSystemsTrainingFTEsBestCaseLM*(1+Inflation)</f>
        <v>137547</v>
      </c>
      <c r="G115" s="634">
        <f>hSystemsTrainingCostPerFTE_LM*hSystemsTrainingFTEsBestCaseLM*(1+Inflation)^2</f>
        <v>140141.88000000003</v>
      </c>
      <c r="H115" s="634">
        <f>hSystemsTrainingCostPerFTE_LM*hSystemsTrainingFTEsBestCaseLM*(1+Inflation)^3</f>
        <v>142785.53639999998</v>
      </c>
      <c r="I115" s="634">
        <f>hSystemsTrainingCostPerFTE_LM*hSystemsTrainingFTEsBestCaseLM*(1+Inflation)^4</f>
        <v>145478.882304</v>
      </c>
      <c r="J115" s="634">
        <f>hSystemsTrainingCostPerFTE_LM*hSystemsTrainingFTEsBestCaseLM*(1+Inflation)^5</f>
        <v>148222.84782960001</v>
      </c>
      <c r="K115" s="634">
        <f>hSystemsTrainingCostPerFTE_LM*hSystemsTrainingFTEsBestCaseLM*(1+Inflation)^6</f>
        <v>151018.38042330241</v>
      </c>
      <c r="L115" s="634">
        <f>hSystemsTrainingCostPerFTE_LM*hSystemsTrainingFTEsBestCaseLM*(1+Inflation)^7</f>
        <v>153866.44518162106</v>
      </c>
      <c r="M115" s="634">
        <f>hSystemsTrainingCostPerFTE_LM*hSystemsTrainingFTEsBestCaseLM*(1+Inflation)^8</f>
        <v>156768.02517810313</v>
      </c>
      <c r="N115" s="634">
        <f>hSystemsTrainingCostPerFTE_LM*hSystemsTrainingFTEsBestCaseLM*(1+Inflation)^9</f>
        <v>159724.12179637185</v>
      </c>
      <c r="O115" s="162" t="s">
        <v>3647</v>
      </c>
    </row>
    <row r="116" spans="2:15" ht="11.45" hidden="1" customHeight="1" outlineLevel="1" x14ac:dyDescent="0.2">
      <c r="C116" s="394"/>
      <c r="D116" s="5"/>
      <c r="E116" s="5"/>
      <c r="F116" s="5"/>
      <c r="G116" s="5"/>
      <c r="H116" s="5"/>
      <c r="I116" s="5"/>
      <c r="J116" s="5"/>
      <c r="K116" s="5"/>
      <c r="L116" s="5"/>
      <c r="M116" s="5"/>
      <c r="N116" s="5"/>
      <c r="O116" s="393"/>
    </row>
    <row r="117" spans="2:15" ht="15" hidden="1" customHeight="1" outlineLevel="1" x14ac:dyDescent="0.2">
      <c r="B117" s="96"/>
      <c r="C117" s="394"/>
      <c r="D117" s="149" t="s">
        <v>3624</v>
      </c>
      <c r="E117" s="5"/>
      <c r="F117" s="5"/>
      <c r="G117" s="5"/>
      <c r="H117" s="5"/>
      <c r="I117" s="5"/>
      <c r="J117" s="5"/>
      <c r="K117" s="5"/>
      <c r="L117" s="5"/>
      <c r="M117" s="5"/>
      <c r="N117" s="5"/>
      <c r="O117" s="393"/>
    </row>
    <row r="118" spans="2:15" ht="15" hidden="1" customHeight="1" outlineLevel="1" x14ac:dyDescent="0.2">
      <c r="B118" s="96"/>
      <c r="C118" s="394"/>
      <c r="D118" s="631">
        <v>1000</v>
      </c>
      <c r="E118" s="6"/>
      <c r="F118" s="6"/>
      <c r="G118" s="6"/>
      <c r="H118" s="6"/>
      <c r="I118" s="6"/>
      <c r="J118" s="6"/>
      <c r="K118" s="6"/>
      <c r="L118" s="6"/>
      <c r="M118" s="6"/>
      <c r="N118" s="6"/>
      <c r="O118" s="393"/>
    </row>
    <row r="119" spans="2:15" ht="15" hidden="1" customHeight="1" outlineLevel="1" x14ac:dyDescent="0.2">
      <c r="B119" s="96"/>
      <c r="C119" s="394"/>
      <c r="D119" s="442" t="s">
        <v>284</v>
      </c>
      <c r="E119" s="632">
        <v>0.1</v>
      </c>
      <c r="F119" s="632">
        <v>0.1</v>
      </c>
      <c r="G119" s="632">
        <v>0.1</v>
      </c>
      <c r="H119" s="632">
        <v>0.1</v>
      </c>
      <c r="I119" s="632">
        <v>0.1</v>
      </c>
      <c r="J119" s="632">
        <v>0.1</v>
      </c>
      <c r="K119" s="632">
        <v>0.1</v>
      </c>
      <c r="L119" s="632">
        <v>0.1</v>
      </c>
      <c r="M119" s="632">
        <v>0.1</v>
      </c>
      <c r="N119" s="632">
        <v>0.1</v>
      </c>
      <c r="O119" s="162" t="s">
        <v>3648</v>
      </c>
    </row>
    <row r="120" spans="2:15" ht="15" hidden="1" customHeight="1" outlineLevel="1" x14ac:dyDescent="0.2">
      <c r="B120" s="96"/>
      <c r="C120" s="368"/>
      <c r="D120" s="442" t="s">
        <v>3649</v>
      </c>
      <c r="E120" s="633">
        <f t="shared" ref="E120:N120" si="16">hSystemsFTECalcResultWorstCaseHM*hSystemsTrainingPercentFTEsHM</f>
        <v>100</v>
      </c>
      <c r="F120" s="633">
        <f t="shared" si="16"/>
        <v>100</v>
      </c>
      <c r="G120" s="633">
        <f t="shared" si="16"/>
        <v>100</v>
      </c>
      <c r="H120" s="633">
        <f t="shared" si="16"/>
        <v>100</v>
      </c>
      <c r="I120" s="633">
        <f t="shared" si="16"/>
        <v>100</v>
      </c>
      <c r="J120" s="633">
        <f t="shared" si="16"/>
        <v>100</v>
      </c>
      <c r="K120" s="633">
        <f t="shared" si="16"/>
        <v>100</v>
      </c>
      <c r="L120" s="633">
        <f t="shared" si="16"/>
        <v>100</v>
      </c>
      <c r="M120" s="633">
        <f t="shared" si="16"/>
        <v>100</v>
      </c>
      <c r="N120" s="633">
        <f t="shared" si="16"/>
        <v>100</v>
      </c>
      <c r="O120" s="162" t="s">
        <v>3650</v>
      </c>
    </row>
    <row r="121" spans="2:15" ht="15" hidden="1" customHeight="1" outlineLevel="1" x14ac:dyDescent="0.2">
      <c r="B121" s="96"/>
      <c r="C121" s="368"/>
      <c r="D121" s="442" t="s">
        <v>3651</v>
      </c>
      <c r="E121" s="633">
        <f t="shared" ref="E121:N121" si="17">hSystemsFTECalcResultMostLikelyHM*hSystemsTrainingPercentFTEsHM</f>
        <v>95</v>
      </c>
      <c r="F121" s="633">
        <f t="shared" si="17"/>
        <v>94.9</v>
      </c>
      <c r="G121" s="633">
        <f t="shared" si="17"/>
        <v>94.800000000000011</v>
      </c>
      <c r="H121" s="633">
        <f t="shared" si="17"/>
        <v>94.7</v>
      </c>
      <c r="I121" s="633">
        <f t="shared" si="17"/>
        <v>94.600000000000009</v>
      </c>
      <c r="J121" s="633">
        <f t="shared" si="17"/>
        <v>94.5</v>
      </c>
      <c r="K121" s="633">
        <f t="shared" si="17"/>
        <v>94.4</v>
      </c>
      <c r="L121" s="633">
        <f t="shared" si="17"/>
        <v>94.300000000000011</v>
      </c>
      <c r="M121" s="633">
        <f t="shared" si="17"/>
        <v>94.2</v>
      </c>
      <c r="N121" s="633">
        <f t="shared" si="17"/>
        <v>94.100000000000023</v>
      </c>
      <c r="O121" s="162" t="s">
        <v>3652</v>
      </c>
    </row>
    <row r="122" spans="2:15" ht="15" hidden="1" customHeight="1" outlineLevel="1" x14ac:dyDescent="0.2">
      <c r="B122" s="96"/>
      <c r="C122" s="368"/>
      <c r="D122" s="442" t="s">
        <v>3653</v>
      </c>
      <c r="E122" s="633">
        <f t="shared" ref="E122:N122" si="18">hSystemsFTECalcResultBestCaseHM*hSystemsTrainingPercentFTEsHM</f>
        <v>90</v>
      </c>
      <c r="F122" s="633">
        <f t="shared" si="18"/>
        <v>89.9</v>
      </c>
      <c r="G122" s="633">
        <f t="shared" si="18"/>
        <v>89.800000000000011</v>
      </c>
      <c r="H122" s="633">
        <f t="shared" si="18"/>
        <v>89.7</v>
      </c>
      <c r="I122" s="633">
        <f t="shared" si="18"/>
        <v>89.600000000000009</v>
      </c>
      <c r="J122" s="633">
        <f t="shared" si="18"/>
        <v>89.5</v>
      </c>
      <c r="K122" s="633">
        <f t="shared" si="18"/>
        <v>89.4</v>
      </c>
      <c r="L122" s="633">
        <f t="shared" si="18"/>
        <v>89.300000000000011</v>
      </c>
      <c r="M122" s="633">
        <f t="shared" si="18"/>
        <v>89.2</v>
      </c>
      <c r="N122" s="633">
        <f t="shared" si="18"/>
        <v>89.100000000000009</v>
      </c>
      <c r="O122" s="162" t="s">
        <v>3654</v>
      </c>
    </row>
    <row r="123" spans="2:15" s="8" customFormat="1" ht="15" hidden="1" customHeight="1" outlineLevel="1" x14ac:dyDescent="0.2">
      <c r="B123" s="622"/>
      <c r="C123" s="441"/>
      <c r="D123" s="442"/>
      <c r="E123" s="623"/>
      <c r="F123" s="623"/>
      <c r="G123" s="623"/>
      <c r="H123" s="623"/>
      <c r="I123" s="623"/>
      <c r="J123" s="623"/>
      <c r="K123" s="623"/>
      <c r="L123" s="623"/>
      <c r="M123" s="623"/>
      <c r="N123" s="623"/>
      <c r="O123" s="162"/>
    </row>
    <row r="124" spans="2:15" ht="15" hidden="1" customHeight="1" outlineLevel="1" x14ac:dyDescent="0.2">
      <c r="B124" s="96"/>
      <c r="C124" s="368"/>
      <c r="D124" s="442" t="s">
        <v>3655</v>
      </c>
      <c r="E124" s="634">
        <f>hSystemsTrainingCostPerFTE_HM*hSystemsTrainingFTEsWorstCaseHM</f>
        <v>100000</v>
      </c>
      <c r="F124" s="634">
        <f>hSystemsTrainingCostPerFTE_HM*hSystemsTrainingFTEsWorstCaseHM*(1+Inflation)</f>
        <v>102000</v>
      </c>
      <c r="G124" s="634">
        <f>hSystemsTrainingCostPerFTE_HM*hSystemsTrainingFTEsWorstCaseHM*(1+Inflation)^2</f>
        <v>104040</v>
      </c>
      <c r="H124" s="634">
        <f>hSystemsTrainingCostPerFTE_HM*hSystemsTrainingFTEsWorstCaseHM*(1+Inflation)^3</f>
        <v>106120.79999999999</v>
      </c>
      <c r="I124" s="634">
        <f>hSystemsTrainingCostPerFTE_HM*hSystemsTrainingFTEsWorstCaseHM*(1+Inflation)^4</f>
        <v>108243.216</v>
      </c>
      <c r="J124" s="634">
        <f>hSystemsTrainingCostPerFTE_HM*hSystemsTrainingFTEsWorstCaseHM*(1+Inflation)^5</f>
        <v>110408.08032000001</v>
      </c>
      <c r="K124" s="634">
        <f>hSystemsTrainingCostPerFTE_HM*hSystemsTrainingFTEsWorstCaseHM*(1+Inflation)^6</f>
        <v>112616.24192640001</v>
      </c>
      <c r="L124" s="634">
        <f>hSystemsTrainingCostPerFTE_HM*hSystemsTrainingFTEsWorstCaseHM*(1+Inflation)^7</f>
        <v>114868.56676492798</v>
      </c>
      <c r="M124" s="634">
        <f>hSystemsTrainingCostPerFTE_HM*hSystemsTrainingFTEsWorstCaseHM*(1+Inflation)^8</f>
        <v>117165.93810022656</v>
      </c>
      <c r="N124" s="634">
        <f>hSystemsTrainingCostPerFTE_HM*hSystemsTrainingFTEsWorstCaseHM*(1+Inflation)^9</f>
        <v>119509.25686223108</v>
      </c>
      <c r="O124" s="162" t="s">
        <v>3656</v>
      </c>
    </row>
    <row r="125" spans="2:15" ht="15" hidden="1" customHeight="1" outlineLevel="1" x14ac:dyDescent="0.2">
      <c r="B125" s="96"/>
      <c r="C125" s="368"/>
      <c r="D125" s="442" t="s">
        <v>3657</v>
      </c>
      <c r="E125" s="634">
        <f>hSystemsTrainingCostPerFTE_HM*hSystemsTrainingFTEsMostLikelyHM</f>
        <v>95000</v>
      </c>
      <c r="F125" s="634">
        <f>hSystemsTrainingCostPerFTE_HM*hSystemsTrainingFTEsMostLikelyHM*(1+Inflation)</f>
        <v>96798</v>
      </c>
      <c r="G125" s="634">
        <f>hSystemsTrainingCostPerFTE_HM*hSystemsTrainingFTEsMostLikelyHM*(1+Inflation)^2</f>
        <v>98629.920000000013</v>
      </c>
      <c r="H125" s="634">
        <f>hSystemsTrainingCostPerFTE_HM*hSystemsTrainingFTEsMostLikelyHM*(1+Inflation)^3</f>
        <v>100496.3976</v>
      </c>
      <c r="I125" s="634">
        <f>hSystemsTrainingCostPerFTE_HM*hSystemsTrainingFTEsMostLikelyHM*(1+Inflation)^4</f>
        <v>102398.08233600001</v>
      </c>
      <c r="J125" s="634">
        <f>hSystemsTrainingCostPerFTE_HM*hSystemsTrainingFTEsMostLikelyHM*(1+Inflation)^5</f>
        <v>104335.6359024</v>
      </c>
      <c r="K125" s="634">
        <f>hSystemsTrainingCostPerFTE_HM*hSystemsTrainingFTEsMostLikelyHM*(1+Inflation)^6</f>
        <v>106309.7323785216</v>
      </c>
      <c r="L125" s="634">
        <f>hSystemsTrainingCostPerFTE_HM*hSystemsTrainingFTEsMostLikelyHM*(1+Inflation)^7</f>
        <v>108321.05845932711</v>
      </c>
      <c r="M125" s="634">
        <f>hSystemsTrainingCostPerFTE_HM*hSystemsTrainingFTEsMostLikelyHM*(1+Inflation)^8</f>
        <v>110370.31369041342</v>
      </c>
      <c r="N125" s="634">
        <f>hSystemsTrainingCostPerFTE_HM*hSystemsTrainingFTEsMostLikelyHM*(1+Inflation)^9</f>
        <v>112458.21070735948</v>
      </c>
      <c r="O125" s="162" t="s">
        <v>3658</v>
      </c>
    </row>
    <row r="126" spans="2:15" ht="15" hidden="1" customHeight="1" outlineLevel="1" x14ac:dyDescent="0.2">
      <c r="B126" s="96"/>
      <c r="C126" s="368"/>
      <c r="D126" s="442" t="s">
        <v>3659</v>
      </c>
      <c r="E126" s="634">
        <f>hSystemsTrainingCostPerFTE_HM*hSystemsTrainingFTEsBestCaseHM</f>
        <v>90000</v>
      </c>
      <c r="F126" s="634">
        <f>hSystemsTrainingCostPerFTE_HM*hSystemsTrainingFTEsBestCaseHM*(1+Inflation)</f>
        <v>91698</v>
      </c>
      <c r="G126" s="634">
        <f>hSystemsTrainingCostPerFTE_HM*hSystemsTrainingFTEsBestCaseHM*(1+Inflation)^2</f>
        <v>93427.920000000013</v>
      </c>
      <c r="H126" s="634">
        <f>hSystemsTrainingCostPerFTE_HM*hSystemsTrainingFTEsBestCaseHM*(1+Inflation)^3</f>
        <v>95190.357599999988</v>
      </c>
      <c r="I126" s="634">
        <f>hSystemsTrainingCostPerFTE_HM*hSystemsTrainingFTEsBestCaseHM*(1+Inflation)^4</f>
        <v>96985.921536000009</v>
      </c>
      <c r="J126" s="634">
        <f>hSystemsTrainingCostPerFTE_HM*hSystemsTrainingFTEsBestCaseHM*(1+Inflation)^5</f>
        <v>98815.231886399997</v>
      </c>
      <c r="K126" s="634">
        <f>hSystemsTrainingCostPerFTE_HM*hSystemsTrainingFTEsBestCaseHM*(1+Inflation)^6</f>
        <v>100678.92028220161</v>
      </c>
      <c r="L126" s="634">
        <f>hSystemsTrainingCostPerFTE_HM*hSystemsTrainingFTEsBestCaseHM*(1+Inflation)^7</f>
        <v>102577.6301210807</v>
      </c>
      <c r="M126" s="634">
        <f>hSystemsTrainingCostPerFTE_HM*hSystemsTrainingFTEsBestCaseHM*(1+Inflation)^8</f>
        <v>104512.01678540208</v>
      </c>
      <c r="N126" s="634">
        <f>hSystemsTrainingCostPerFTE_HM*hSystemsTrainingFTEsBestCaseHM*(1+Inflation)^9</f>
        <v>106482.74786424791</v>
      </c>
      <c r="O126" s="162" t="s">
        <v>3660</v>
      </c>
    </row>
    <row r="127" spans="2:15" ht="15" hidden="1" customHeight="1" outlineLevel="1" x14ac:dyDescent="0.2">
      <c r="C127" s="394"/>
      <c r="D127" s="5"/>
      <c r="E127" s="5"/>
      <c r="F127" s="5"/>
      <c r="G127" s="5"/>
      <c r="H127" s="5"/>
      <c r="I127" s="5"/>
      <c r="J127" s="5"/>
      <c r="K127" s="5"/>
      <c r="L127" s="5"/>
      <c r="M127" s="5"/>
      <c r="N127" s="5"/>
      <c r="O127" s="393"/>
    </row>
    <row r="128" spans="2:15" ht="15" hidden="1" customHeight="1" outlineLevel="1" x14ac:dyDescent="0.2">
      <c r="B128" s="96"/>
      <c r="C128" s="394"/>
      <c r="D128" s="149" t="s">
        <v>3625</v>
      </c>
      <c r="E128" s="5"/>
      <c r="F128" s="5"/>
      <c r="G128" s="5"/>
      <c r="H128" s="5"/>
      <c r="I128" s="5"/>
      <c r="J128" s="5"/>
      <c r="K128" s="5"/>
      <c r="L128" s="5"/>
      <c r="M128" s="5"/>
      <c r="N128" s="5"/>
      <c r="O128" s="393"/>
    </row>
    <row r="129" spans="2:15" ht="15" hidden="1" customHeight="1" outlineLevel="1" x14ac:dyDescent="0.2">
      <c r="B129" s="96"/>
      <c r="C129" s="394"/>
      <c r="D129" s="631">
        <v>1000</v>
      </c>
      <c r="E129" s="6"/>
      <c r="F129" s="6"/>
      <c r="G129" s="6"/>
      <c r="H129" s="6"/>
      <c r="I129" s="6"/>
      <c r="J129" s="6"/>
      <c r="K129" s="6"/>
      <c r="L129" s="6"/>
      <c r="M129" s="6"/>
      <c r="N129" s="6"/>
      <c r="O129" s="393"/>
    </row>
    <row r="130" spans="2:15" ht="15" hidden="1" customHeight="1" outlineLevel="1" x14ac:dyDescent="0.2">
      <c r="B130" s="96"/>
      <c r="C130" s="394"/>
      <c r="D130" s="442" t="s">
        <v>3575</v>
      </c>
      <c r="E130" s="632">
        <v>0.5</v>
      </c>
      <c r="F130" s="632">
        <v>0.1</v>
      </c>
      <c r="G130" s="632">
        <v>0.1</v>
      </c>
      <c r="H130" s="632">
        <v>0.1</v>
      </c>
      <c r="I130" s="632">
        <v>0.1</v>
      </c>
      <c r="J130" s="632">
        <v>0.1</v>
      </c>
      <c r="K130" s="632">
        <v>0.1</v>
      </c>
      <c r="L130" s="632">
        <v>0.1</v>
      </c>
      <c r="M130" s="632">
        <v>0.1</v>
      </c>
      <c r="N130" s="632">
        <v>0.1</v>
      </c>
      <c r="O130" s="162" t="s">
        <v>3661</v>
      </c>
    </row>
    <row r="131" spans="2:15" ht="15" hidden="1" customHeight="1" outlineLevel="1" x14ac:dyDescent="0.2">
      <c r="B131" s="96"/>
      <c r="C131" s="368"/>
      <c r="D131" s="442" t="s">
        <v>3662</v>
      </c>
      <c r="E131" s="633">
        <f t="shared" ref="E131:N131" si="19">hSystemsFTECalcResultWorstCaseENG*hSystemsTrainingPercentFTEsENG</f>
        <v>50</v>
      </c>
      <c r="F131" s="633">
        <f t="shared" si="19"/>
        <v>10</v>
      </c>
      <c r="G131" s="633">
        <f t="shared" si="19"/>
        <v>10</v>
      </c>
      <c r="H131" s="633">
        <f t="shared" si="19"/>
        <v>10</v>
      </c>
      <c r="I131" s="633">
        <f t="shared" si="19"/>
        <v>10</v>
      </c>
      <c r="J131" s="633">
        <f t="shared" si="19"/>
        <v>10</v>
      </c>
      <c r="K131" s="633">
        <f t="shared" si="19"/>
        <v>10</v>
      </c>
      <c r="L131" s="633">
        <f t="shared" si="19"/>
        <v>10</v>
      </c>
      <c r="M131" s="633">
        <f t="shared" si="19"/>
        <v>10</v>
      </c>
      <c r="N131" s="633">
        <f t="shared" si="19"/>
        <v>10</v>
      </c>
      <c r="O131" s="162" t="s">
        <v>3663</v>
      </c>
    </row>
    <row r="132" spans="2:15" ht="15" hidden="1" customHeight="1" outlineLevel="1" x14ac:dyDescent="0.2">
      <c r="B132" s="96"/>
      <c r="C132" s="368"/>
      <c r="D132" s="442" t="s">
        <v>3664</v>
      </c>
      <c r="E132" s="633">
        <f t="shared" ref="E132:N132" si="20">hSystemsFTECalcResultMostLikelyENG*hSystemsTrainingPercentFTEsENG</f>
        <v>45</v>
      </c>
      <c r="F132" s="633">
        <f t="shared" si="20"/>
        <v>9</v>
      </c>
      <c r="G132" s="633">
        <f t="shared" si="20"/>
        <v>9</v>
      </c>
      <c r="H132" s="633">
        <f t="shared" si="20"/>
        <v>9</v>
      </c>
      <c r="I132" s="633">
        <f t="shared" si="20"/>
        <v>9</v>
      </c>
      <c r="J132" s="633">
        <f t="shared" si="20"/>
        <v>9</v>
      </c>
      <c r="K132" s="633">
        <f t="shared" si="20"/>
        <v>9</v>
      </c>
      <c r="L132" s="633">
        <f t="shared" si="20"/>
        <v>9</v>
      </c>
      <c r="M132" s="633">
        <f t="shared" si="20"/>
        <v>9</v>
      </c>
      <c r="N132" s="633">
        <f t="shared" si="20"/>
        <v>9</v>
      </c>
      <c r="O132" s="162" t="s">
        <v>3665</v>
      </c>
    </row>
    <row r="133" spans="2:15" ht="15" hidden="1" customHeight="1" outlineLevel="1" x14ac:dyDescent="0.2">
      <c r="B133" s="96"/>
      <c r="C133" s="368"/>
      <c r="D133" s="442" t="s">
        <v>3666</v>
      </c>
      <c r="E133" s="633">
        <f t="shared" ref="E133:N133" si="21">hSystemsFTECalcResultBestCaseENG*hSystemsTrainingPercentFTEsENG</f>
        <v>40</v>
      </c>
      <c r="F133" s="633">
        <f t="shared" si="21"/>
        <v>8</v>
      </c>
      <c r="G133" s="633">
        <f t="shared" si="21"/>
        <v>8</v>
      </c>
      <c r="H133" s="633">
        <f t="shared" si="21"/>
        <v>8</v>
      </c>
      <c r="I133" s="633">
        <f t="shared" si="21"/>
        <v>8</v>
      </c>
      <c r="J133" s="633">
        <f t="shared" si="21"/>
        <v>8</v>
      </c>
      <c r="K133" s="633">
        <f t="shared" si="21"/>
        <v>8</v>
      </c>
      <c r="L133" s="633">
        <f t="shared" si="21"/>
        <v>8</v>
      </c>
      <c r="M133" s="633">
        <f t="shared" si="21"/>
        <v>8</v>
      </c>
      <c r="N133" s="633">
        <f t="shared" si="21"/>
        <v>8</v>
      </c>
      <c r="O133" s="162" t="s">
        <v>3667</v>
      </c>
    </row>
    <row r="134" spans="2:15" s="8" customFormat="1" ht="15" hidden="1" customHeight="1" outlineLevel="1" x14ac:dyDescent="0.2">
      <c r="B134" s="622"/>
      <c r="C134" s="441"/>
      <c r="D134" s="442"/>
      <c r="E134" s="623"/>
      <c r="F134" s="623"/>
      <c r="G134" s="623"/>
      <c r="H134" s="623"/>
      <c r="I134" s="623"/>
      <c r="J134" s="623"/>
      <c r="K134" s="623"/>
      <c r="L134" s="623"/>
      <c r="M134" s="623"/>
      <c r="N134" s="623"/>
      <c r="O134" s="162"/>
    </row>
    <row r="135" spans="2:15" ht="15" hidden="1" customHeight="1" outlineLevel="1" x14ac:dyDescent="0.2">
      <c r="B135" s="96"/>
      <c r="C135" s="368"/>
      <c r="D135" s="442" t="s">
        <v>3668</v>
      </c>
      <c r="E135" s="634">
        <f>hSystemsTrainingCostPerFTE_ENG*hSystemsTrainingFTEsWorstCaseENG</f>
        <v>50000</v>
      </c>
      <c r="F135" s="634">
        <f>hSystemsTrainingCostPerFTE_ENG*hSystemsTrainingFTEsWorstCaseENG*(1+Inflation)</f>
        <v>10200</v>
      </c>
      <c r="G135" s="634">
        <f>hSystemsTrainingCostPerFTE_ENG*hSystemsTrainingFTEsWorstCaseENG*(1+Inflation)^2</f>
        <v>10404</v>
      </c>
      <c r="H135" s="634">
        <f>hSystemsTrainingCostPerFTE_ENG*hSystemsTrainingFTEsWorstCaseENG*(1+Inflation)^3</f>
        <v>10612.08</v>
      </c>
      <c r="I135" s="634">
        <f>hSystemsTrainingCostPerFTE_ENG*hSystemsTrainingFTEsWorstCaseENG*(1+Inflation)^4</f>
        <v>10824.321599999999</v>
      </c>
      <c r="J135" s="634">
        <f>hSystemsTrainingCostPerFTE_ENG*hSystemsTrainingFTEsWorstCaseENG*(1+Inflation)^5</f>
        <v>11040.808032000001</v>
      </c>
      <c r="K135" s="634">
        <f>hSystemsTrainingCostPerFTE_ENG*hSystemsTrainingFTEsWorstCaseENG*(1+Inflation)^6</f>
        <v>11261.62419264</v>
      </c>
      <c r="L135" s="634">
        <f>hSystemsTrainingCostPerFTE_ENG*hSystemsTrainingFTEsWorstCaseENG*(1+Inflation)^7</f>
        <v>11486.856676492798</v>
      </c>
      <c r="M135" s="634">
        <f>hSystemsTrainingCostPerFTE_ENG*hSystemsTrainingFTEsWorstCaseENG*(1+Inflation)^8</f>
        <v>11716.593810022656</v>
      </c>
      <c r="N135" s="634">
        <f>hSystemsTrainingCostPerFTE_ENG*hSystemsTrainingFTEsWorstCaseENG*(1+Inflation)^9</f>
        <v>11950.925686223109</v>
      </c>
      <c r="O135" s="162" t="s">
        <v>3669</v>
      </c>
    </row>
    <row r="136" spans="2:15" ht="15" hidden="1" customHeight="1" outlineLevel="1" x14ac:dyDescent="0.2">
      <c r="B136" s="96"/>
      <c r="C136" s="368"/>
      <c r="D136" s="442" t="s">
        <v>3670</v>
      </c>
      <c r="E136" s="634">
        <f>hSystemsTrainingCostPerFTE_ENG*hSystemsTrainingFTEsMostLikelyENG</f>
        <v>45000</v>
      </c>
      <c r="F136" s="634">
        <f>hSystemsTrainingCostPerFTE_ENG*hSystemsTrainingFTEsMostLikelyENG*(1+Inflation)</f>
        <v>9180</v>
      </c>
      <c r="G136" s="634">
        <f>hSystemsTrainingCostPerFTE_ENG*hSystemsTrainingFTEsMostLikelyENG*(1+Inflation)^2</f>
        <v>9363.6</v>
      </c>
      <c r="H136" s="634">
        <f>hSystemsTrainingCostPerFTE_ENG*hSystemsTrainingFTEsMostLikelyENG*(1+Inflation)^3</f>
        <v>9550.8719999999994</v>
      </c>
      <c r="I136" s="634">
        <f>hSystemsTrainingCostPerFTE_ENG*hSystemsTrainingFTEsMostLikelyENG*(1+Inflation)^4</f>
        <v>9741.889439999999</v>
      </c>
      <c r="J136" s="634">
        <f>hSystemsTrainingCostPerFTE_ENG*hSystemsTrainingFTEsMostLikelyENG*(1+Inflation)^5</f>
        <v>9936.7272288000004</v>
      </c>
      <c r="K136" s="634">
        <f>hSystemsTrainingCostPerFTE_ENG*hSystemsTrainingFTEsMostLikelyENG*(1+Inflation)^6</f>
        <v>10135.461773376001</v>
      </c>
      <c r="L136" s="634">
        <f>hSystemsTrainingCostPerFTE_ENG*hSystemsTrainingFTEsMostLikelyENG*(1+Inflation)^7</f>
        <v>10338.171008843517</v>
      </c>
      <c r="M136" s="634">
        <f>hSystemsTrainingCostPerFTE_ENG*hSystemsTrainingFTEsMostLikelyENG*(1+Inflation)^8</f>
        <v>10544.93442902039</v>
      </c>
      <c r="N136" s="634">
        <f>hSystemsTrainingCostPerFTE_ENG*hSystemsTrainingFTEsMostLikelyENG*(1+Inflation)^9</f>
        <v>10755.833117600798</v>
      </c>
      <c r="O136" s="162" t="s">
        <v>3671</v>
      </c>
    </row>
    <row r="137" spans="2:15" ht="15" hidden="1" customHeight="1" outlineLevel="1" x14ac:dyDescent="0.2">
      <c r="B137" s="96"/>
      <c r="C137" s="368"/>
      <c r="D137" s="442" t="s">
        <v>3672</v>
      </c>
      <c r="E137" s="634">
        <f>hSystemsTrainingCostPerFTE_ENG*hSystemsTrainingFTEsBestCaseENG</f>
        <v>40000</v>
      </c>
      <c r="F137" s="634">
        <f>hSystemsTrainingCostPerFTE_ENG*hSystemsTrainingFTEsBestCaseENG*(1+Inflation)</f>
        <v>8160</v>
      </c>
      <c r="G137" s="634">
        <f>hSystemsTrainingCostPerFTE_ENG*hSystemsTrainingFTEsBestCaseENG*(1+Inflation)^2</f>
        <v>8323.2000000000007</v>
      </c>
      <c r="H137" s="634">
        <f>hSystemsTrainingCostPerFTE_ENG*hSystemsTrainingFTEsBestCaseENG*(1+Inflation)^3</f>
        <v>8489.6639999999989</v>
      </c>
      <c r="I137" s="634">
        <f>hSystemsTrainingCostPerFTE_ENG*hSystemsTrainingFTEsBestCaseENG*(1+Inflation)^4</f>
        <v>8659.4572800000005</v>
      </c>
      <c r="J137" s="634">
        <f>hSystemsTrainingCostPerFTE_ENG*hSystemsTrainingFTEsBestCaseENG*(1+Inflation)^5</f>
        <v>8832.6464255999999</v>
      </c>
      <c r="K137" s="634">
        <f>hSystemsTrainingCostPerFTE_ENG*hSystemsTrainingFTEsBestCaseENG*(1+Inflation)^6</f>
        <v>9009.2993541120013</v>
      </c>
      <c r="L137" s="634">
        <f>hSystemsTrainingCostPerFTE_ENG*hSystemsTrainingFTEsBestCaseENG*(1+Inflation)^7</f>
        <v>9189.4853411942386</v>
      </c>
      <c r="M137" s="634">
        <f>hSystemsTrainingCostPerFTE_ENG*hSystemsTrainingFTEsBestCaseENG*(1+Inflation)^8</f>
        <v>9373.2750480181239</v>
      </c>
      <c r="N137" s="634">
        <f>hSystemsTrainingCostPerFTE_ENG*hSystemsTrainingFTEsBestCaseENG*(1+Inflation)^9</f>
        <v>9560.7405489784869</v>
      </c>
      <c r="O137" s="162" t="s">
        <v>3673</v>
      </c>
    </row>
    <row r="138" spans="2:15" ht="15" hidden="1" customHeight="1" outlineLevel="1" x14ac:dyDescent="0.2">
      <c r="C138" s="394"/>
      <c r="D138" s="5"/>
      <c r="E138" s="5"/>
      <c r="F138" s="5"/>
      <c r="G138" s="5"/>
      <c r="H138" s="5"/>
      <c r="I138" s="5"/>
      <c r="J138" s="5"/>
      <c r="K138" s="5"/>
      <c r="L138" s="5"/>
      <c r="M138" s="5"/>
      <c r="N138" s="5"/>
      <c r="O138" s="393"/>
    </row>
    <row r="139" spans="2:15" ht="15" hidden="1" customHeight="1" outlineLevel="1" x14ac:dyDescent="0.2">
      <c r="B139" s="96"/>
      <c r="C139" s="394"/>
      <c r="D139" s="149" t="s">
        <v>3626</v>
      </c>
      <c r="E139" s="5"/>
      <c r="F139" s="5"/>
      <c r="G139" s="5"/>
      <c r="H139" s="5"/>
      <c r="I139" s="5"/>
      <c r="J139" s="5"/>
      <c r="K139" s="5"/>
      <c r="L139" s="5"/>
      <c r="M139" s="5"/>
      <c r="N139" s="5"/>
      <c r="O139" s="393"/>
    </row>
    <row r="140" spans="2:15" ht="15" hidden="1" customHeight="1" outlineLevel="1" x14ac:dyDescent="0.2">
      <c r="B140" s="96"/>
      <c r="C140" s="394"/>
      <c r="D140" s="631">
        <v>1000</v>
      </c>
      <c r="E140" s="6"/>
      <c r="F140" s="6"/>
      <c r="G140" s="6"/>
      <c r="H140" s="6"/>
      <c r="I140" s="6"/>
      <c r="J140" s="6"/>
      <c r="K140" s="6"/>
      <c r="L140" s="6"/>
      <c r="M140" s="6"/>
      <c r="N140" s="6"/>
      <c r="O140" s="393"/>
    </row>
    <row r="141" spans="2:15" ht="15" hidden="1" customHeight="1" outlineLevel="1" x14ac:dyDescent="0.2">
      <c r="B141" s="96"/>
      <c r="C141" s="394"/>
      <c r="D141" s="442" t="s">
        <v>3576</v>
      </c>
      <c r="E141" s="632">
        <v>0.5</v>
      </c>
      <c r="F141" s="632">
        <v>0.1</v>
      </c>
      <c r="G141" s="632">
        <v>0.1</v>
      </c>
      <c r="H141" s="632">
        <v>0.1</v>
      </c>
      <c r="I141" s="632">
        <v>0.1</v>
      </c>
      <c r="J141" s="632">
        <v>0.1</v>
      </c>
      <c r="K141" s="632">
        <v>0.1</v>
      </c>
      <c r="L141" s="632">
        <v>0.1</v>
      </c>
      <c r="M141" s="632">
        <v>0.1</v>
      </c>
      <c r="N141" s="632">
        <v>0.1</v>
      </c>
      <c r="O141" s="162" t="s">
        <v>3674</v>
      </c>
    </row>
    <row r="142" spans="2:15" ht="15" hidden="1" customHeight="1" outlineLevel="1" x14ac:dyDescent="0.2">
      <c r="B142" s="96"/>
      <c r="C142" s="368"/>
      <c r="D142" s="442" t="s">
        <v>3675</v>
      </c>
      <c r="E142" s="633">
        <f t="shared" ref="E142:N142" si="22">hSystemsFTECalcResultWorstCasePLG*hSystemsTrainingPercentFTEsPLG</f>
        <v>25</v>
      </c>
      <c r="F142" s="633">
        <f t="shared" si="22"/>
        <v>5</v>
      </c>
      <c r="G142" s="633">
        <f t="shared" si="22"/>
        <v>5</v>
      </c>
      <c r="H142" s="633">
        <f t="shared" si="22"/>
        <v>5</v>
      </c>
      <c r="I142" s="633">
        <f t="shared" si="22"/>
        <v>5</v>
      </c>
      <c r="J142" s="633">
        <f t="shared" si="22"/>
        <v>5</v>
      </c>
      <c r="K142" s="633">
        <f t="shared" si="22"/>
        <v>5</v>
      </c>
      <c r="L142" s="633">
        <f t="shared" si="22"/>
        <v>5</v>
      </c>
      <c r="M142" s="633">
        <f t="shared" si="22"/>
        <v>5</v>
      </c>
      <c r="N142" s="633">
        <f t="shared" si="22"/>
        <v>5</v>
      </c>
      <c r="O142" s="162" t="s">
        <v>3676</v>
      </c>
    </row>
    <row r="143" spans="2:15" ht="15" hidden="1" customHeight="1" outlineLevel="1" x14ac:dyDescent="0.2">
      <c r="B143" s="96"/>
      <c r="C143" s="368"/>
      <c r="D143" s="442" t="s">
        <v>3677</v>
      </c>
      <c r="E143" s="633">
        <f t="shared" ref="E143:N143" si="23">hSystemsFTECalcResultMostLikelyPLG*hSystemsTrainingPercentFTEsPLG</f>
        <v>22.5</v>
      </c>
      <c r="F143" s="633">
        <f t="shared" si="23"/>
        <v>4.5</v>
      </c>
      <c r="G143" s="633">
        <f t="shared" si="23"/>
        <v>4.5</v>
      </c>
      <c r="H143" s="633">
        <f t="shared" si="23"/>
        <v>4.5</v>
      </c>
      <c r="I143" s="633">
        <f t="shared" si="23"/>
        <v>4.5</v>
      </c>
      <c r="J143" s="633">
        <f t="shared" si="23"/>
        <v>4.5</v>
      </c>
      <c r="K143" s="633">
        <f t="shared" si="23"/>
        <v>4.5</v>
      </c>
      <c r="L143" s="633">
        <f t="shared" si="23"/>
        <v>4.5</v>
      </c>
      <c r="M143" s="633">
        <f t="shared" si="23"/>
        <v>4.5</v>
      </c>
      <c r="N143" s="633">
        <f t="shared" si="23"/>
        <v>4.5</v>
      </c>
      <c r="O143" s="162" t="s">
        <v>3678</v>
      </c>
    </row>
    <row r="144" spans="2:15" ht="15" hidden="1" customHeight="1" outlineLevel="1" x14ac:dyDescent="0.2">
      <c r="B144" s="96"/>
      <c r="C144" s="368"/>
      <c r="D144" s="442" t="s">
        <v>3679</v>
      </c>
      <c r="E144" s="633">
        <f t="shared" ref="E144:N144" si="24">hSystemsFTECalcResultBestCasePLG*hSystemsTrainingPercentFTEsPLG</f>
        <v>20</v>
      </c>
      <c r="F144" s="633">
        <f t="shared" si="24"/>
        <v>4</v>
      </c>
      <c r="G144" s="633">
        <f t="shared" si="24"/>
        <v>4</v>
      </c>
      <c r="H144" s="633">
        <f t="shared" si="24"/>
        <v>4</v>
      </c>
      <c r="I144" s="633">
        <f t="shared" si="24"/>
        <v>4</v>
      </c>
      <c r="J144" s="633">
        <f t="shared" si="24"/>
        <v>4</v>
      </c>
      <c r="K144" s="633">
        <f t="shared" si="24"/>
        <v>4</v>
      </c>
      <c r="L144" s="633">
        <f t="shared" si="24"/>
        <v>4</v>
      </c>
      <c r="M144" s="633">
        <f t="shared" si="24"/>
        <v>4</v>
      </c>
      <c r="N144" s="633">
        <f t="shared" si="24"/>
        <v>4</v>
      </c>
      <c r="O144" s="162" t="s">
        <v>3680</v>
      </c>
    </row>
    <row r="145" spans="2:15" s="8" customFormat="1" ht="15" hidden="1" customHeight="1" outlineLevel="1" x14ac:dyDescent="0.2">
      <c r="B145" s="622"/>
      <c r="C145" s="441"/>
      <c r="D145" s="442"/>
      <c r="E145" s="623"/>
      <c r="F145" s="623"/>
      <c r="G145" s="623"/>
      <c r="H145" s="623"/>
      <c r="I145" s="623"/>
      <c r="J145" s="623"/>
      <c r="K145" s="623"/>
      <c r="L145" s="623"/>
      <c r="M145" s="623"/>
      <c r="N145" s="623"/>
      <c r="O145" s="162"/>
    </row>
    <row r="146" spans="2:15" ht="15" hidden="1" customHeight="1" outlineLevel="1" x14ac:dyDescent="0.2">
      <c r="B146" s="96"/>
      <c r="C146" s="368"/>
      <c r="D146" s="442" t="s">
        <v>3681</v>
      </c>
      <c r="E146" s="634">
        <f>hSystemsTrainingCostPerFTE_PLG*hSystemsTrainingFTEsWorstCasePLG</f>
        <v>25000</v>
      </c>
      <c r="F146" s="634">
        <f>hSystemsTrainingCostPerFTE_PLG*hSystemsTrainingFTEsWorstCasePLG*(1+Inflation)</f>
        <v>5100</v>
      </c>
      <c r="G146" s="634">
        <f>hSystemsTrainingCostPerFTE_PLG*hSystemsTrainingFTEsWorstCasePLG*(1+Inflation)^2</f>
        <v>5202</v>
      </c>
      <c r="H146" s="634">
        <f>hSystemsTrainingCostPerFTE_PLG*hSystemsTrainingFTEsWorstCasePLG*(1+Inflation)^3</f>
        <v>5306.04</v>
      </c>
      <c r="I146" s="634">
        <f>hSystemsTrainingCostPerFTE_PLG*hSystemsTrainingFTEsWorstCasePLG*(1+Inflation)^4</f>
        <v>5412.1607999999997</v>
      </c>
      <c r="J146" s="634">
        <f>hSystemsTrainingCostPerFTE_PLG*hSystemsTrainingFTEsWorstCasePLG*(1+Inflation)^5</f>
        <v>5520.4040160000004</v>
      </c>
      <c r="K146" s="634">
        <f>hSystemsTrainingCostPerFTE_PLG*hSystemsTrainingFTEsWorstCasePLG*(1+Inflation)^6</f>
        <v>5630.8120963199999</v>
      </c>
      <c r="L146" s="634">
        <f>hSystemsTrainingCostPerFTE_PLG*hSystemsTrainingFTEsWorstCasePLG*(1+Inflation)^7</f>
        <v>5743.4283382463991</v>
      </c>
      <c r="M146" s="634">
        <f>hSystemsTrainingCostPerFTE_PLG*hSystemsTrainingFTEsWorstCasePLG*(1+Inflation)^8</f>
        <v>5858.2969050113279</v>
      </c>
      <c r="N146" s="634">
        <f>hSystemsTrainingCostPerFTE_PLG*hSystemsTrainingFTEsWorstCasePLG*(1+Inflation)^9</f>
        <v>5975.4628431115543</v>
      </c>
      <c r="O146" s="162" t="s">
        <v>3682</v>
      </c>
    </row>
    <row r="147" spans="2:15" ht="15" hidden="1" customHeight="1" outlineLevel="1" x14ac:dyDescent="0.2">
      <c r="B147" s="96"/>
      <c r="C147" s="368"/>
      <c r="D147" s="442" t="s">
        <v>3683</v>
      </c>
      <c r="E147" s="634">
        <f>hSystemsTrainingCostPerFTE_PLG*hSystemsTrainingFTEsMostLikelyPLG</f>
        <v>22500</v>
      </c>
      <c r="F147" s="634">
        <f>hSystemsTrainingCostPerFTE_PLG*hSystemsTrainingFTEsMostLikelyPLG*(1+Inflation)</f>
        <v>4590</v>
      </c>
      <c r="G147" s="634">
        <f>hSystemsTrainingCostPerFTE_PLG*hSystemsTrainingFTEsMostLikelyPLG*(1+Inflation)^2</f>
        <v>4681.8</v>
      </c>
      <c r="H147" s="634">
        <f>hSystemsTrainingCostPerFTE_PLG*hSystemsTrainingFTEsMostLikelyPLG*(1+Inflation)^3</f>
        <v>4775.4359999999997</v>
      </c>
      <c r="I147" s="634">
        <f>hSystemsTrainingCostPerFTE_PLG*hSystemsTrainingFTEsMostLikelyPLG*(1+Inflation)^4</f>
        <v>4870.9447199999995</v>
      </c>
      <c r="J147" s="634">
        <f>hSystemsTrainingCostPerFTE_PLG*hSystemsTrainingFTEsMostLikelyPLG*(1+Inflation)^5</f>
        <v>4968.3636144000002</v>
      </c>
      <c r="K147" s="634">
        <f>hSystemsTrainingCostPerFTE_PLG*hSystemsTrainingFTEsMostLikelyPLG*(1+Inflation)^6</f>
        <v>5067.7308866880003</v>
      </c>
      <c r="L147" s="634">
        <f>hSystemsTrainingCostPerFTE_PLG*hSystemsTrainingFTEsMostLikelyPLG*(1+Inflation)^7</f>
        <v>5169.0855044217587</v>
      </c>
      <c r="M147" s="634">
        <f>hSystemsTrainingCostPerFTE_PLG*hSystemsTrainingFTEsMostLikelyPLG*(1+Inflation)^8</f>
        <v>5272.4672145101949</v>
      </c>
      <c r="N147" s="634">
        <f>hSystemsTrainingCostPerFTE_PLG*hSystemsTrainingFTEsMostLikelyPLG*(1+Inflation)^9</f>
        <v>5377.9165588003989</v>
      </c>
      <c r="O147" s="162" t="s">
        <v>3684</v>
      </c>
    </row>
    <row r="148" spans="2:15" ht="15" hidden="1" customHeight="1" outlineLevel="1" x14ac:dyDescent="0.2">
      <c r="B148" s="96"/>
      <c r="C148" s="368"/>
      <c r="D148" s="442" t="s">
        <v>3685</v>
      </c>
      <c r="E148" s="634">
        <f>hSystemsTrainingCostPerFTE_PLG*hSystemsTrainingFTEsBestCasePLG</f>
        <v>20000</v>
      </c>
      <c r="F148" s="634">
        <f>hSystemsTrainingCostPerFTE_PLG*hSystemsTrainingFTEsBestCasePLG*(1+Inflation)</f>
        <v>4080</v>
      </c>
      <c r="G148" s="634">
        <f>hSystemsTrainingCostPerFTE_PLG*hSystemsTrainingFTEsBestCasePLG*(1+Inflation)^2</f>
        <v>4161.6000000000004</v>
      </c>
      <c r="H148" s="634">
        <f>hSystemsTrainingCostPerFTE_PLG*hSystemsTrainingFTEsBestCasePLG*(1+Inflation)^3</f>
        <v>4244.8319999999994</v>
      </c>
      <c r="I148" s="634">
        <f>hSystemsTrainingCostPerFTE_PLG*hSystemsTrainingFTEsBestCasePLG*(1+Inflation)^4</f>
        <v>4329.7286400000003</v>
      </c>
      <c r="J148" s="634">
        <f>hSystemsTrainingCostPerFTE_PLG*hSystemsTrainingFTEsBestCasePLG*(1+Inflation)^5</f>
        <v>4416.3232128</v>
      </c>
      <c r="K148" s="634">
        <f>hSystemsTrainingCostPerFTE_PLG*hSystemsTrainingFTEsBestCasePLG*(1+Inflation)^6</f>
        <v>4504.6496770560007</v>
      </c>
      <c r="L148" s="634">
        <f>hSystemsTrainingCostPerFTE_PLG*hSystemsTrainingFTEsBestCasePLG*(1+Inflation)^7</f>
        <v>4594.7426705971193</v>
      </c>
      <c r="M148" s="634">
        <f>hSystemsTrainingCostPerFTE_PLG*hSystemsTrainingFTEsBestCasePLG*(1+Inflation)^8</f>
        <v>4686.637524009062</v>
      </c>
      <c r="N148" s="634">
        <f>hSystemsTrainingCostPerFTE_PLG*hSystemsTrainingFTEsBestCasePLG*(1+Inflation)^9</f>
        <v>4780.3702744892435</v>
      </c>
      <c r="O148" s="162" t="s">
        <v>3686</v>
      </c>
    </row>
    <row r="149" spans="2:15" ht="15" hidden="1" customHeight="1" outlineLevel="1" x14ac:dyDescent="0.2">
      <c r="C149" s="394"/>
      <c r="D149" s="5"/>
      <c r="E149" s="5"/>
      <c r="F149" s="5"/>
      <c r="G149" s="5"/>
      <c r="H149" s="5"/>
      <c r="I149" s="5"/>
      <c r="J149" s="5"/>
      <c r="K149" s="5"/>
      <c r="L149" s="5"/>
      <c r="M149" s="5"/>
      <c r="N149" s="5"/>
      <c r="O149" s="393"/>
    </row>
    <row r="150" spans="2:15" ht="15" hidden="1" customHeight="1" outlineLevel="1" x14ac:dyDescent="0.2">
      <c r="B150" s="96"/>
      <c r="C150" s="394"/>
      <c r="D150" s="149" t="s">
        <v>3627</v>
      </c>
      <c r="E150" s="5"/>
      <c r="F150" s="5"/>
      <c r="G150" s="5"/>
      <c r="H150" s="5"/>
      <c r="I150" s="5"/>
      <c r="J150" s="5"/>
      <c r="K150" s="5"/>
      <c r="L150" s="5"/>
      <c r="M150" s="5"/>
      <c r="N150" s="5"/>
      <c r="O150" s="393"/>
    </row>
    <row r="151" spans="2:15" ht="15" hidden="1" customHeight="1" outlineLevel="1" x14ac:dyDescent="0.2">
      <c r="B151" s="96"/>
      <c r="C151" s="394"/>
      <c r="D151" s="631">
        <v>1000</v>
      </c>
      <c r="E151" s="6"/>
      <c r="F151" s="6"/>
      <c r="G151" s="6"/>
      <c r="H151" s="6"/>
      <c r="I151" s="6"/>
      <c r="J151" s="6"/>
      <c r="K151" s="6"/>
      <c r="L151" s="6"/>
      <c r="M151" s="6"/>
      <c r="N151" s="6"/>
      <c r="O151" s="393"/>
    </row>
    <row r="152" spans="2:15" ht="15" hidden="1" customHeight="1" outlineLevel="1" x14ac:dyDescent="0.2">
      <c r="B152" s="96"/>
      <c r="C152" s="394"/>
      <c r="D152" s="442" t="s">
        <v>3580</v>
      </c>
      <c r="E152" s="632">
        <v>0.9</v>
      </c>
      <c r="F152" s="632">
        <v>0.1</v>
      </c>
      <c r="G152" s="632">
        <v>0.1</v>
      </c>
      <c r="H152" s="632">
        <v>0.1</v>
      </c>
      <c r="I152" s="632">
        <v>0.1</v>
      </c>
      <c r="J152" s="632">
        <v>0.1</v>
      </c>
      <c r="K152" s="632">
        <v>0.1</v>
      </c>
      <c r="L152" s="632">
        <v>0.1</v>
      </c>
      <c r="M152" s="632">
        <v>0.1</v>
      </c>
      <c r="N152" s="632">
        <v>0.1</v>
      </c>
      <c r="O152" s="162" t="s">
        <v>3687</v>
      </c>
    </row>
    <row r="153" spans="2:15" ht="15" hidden="1" customHeight="1" outlineLevel="1" x14ac:dyDescent="0.2">
      <c r="B153" s="96"/>
      <c r="C153" s="368"/>
      <c r="D153" s="442" t="s">
        <v>3688</v>
      </c>
      <c r="E153" s="633">
        <f t="shared" ref="E153:N153" si="25">hSystemsFTECalcResultWorstCaseCRT*hSystemsTrainingPercentFTEsCRT</f>
        <v>54</v>
      </c>
      <c r="F153" s="633">
        <f t="shared" si="25"/>
        <v>6</v>
      </c>
      <c r="G153" s="633">
        <f t="shared" si="25"/>
        <v>6</v>
      </c>
      <c r="H153" s="633">
        <f t="shared" si="25"/>
        <v>6</v>
      </c>
      <c r="I153" s="633">
        <f t="shared" si="25"/>
        <v>6</v>
      </c>
      <c r="J153" s="633">
        <f t="shared" si="25"/>
        <v>6</v>
      </c>
      <c r="K153" s="633">
        <f t="shared" si="25"/>
        <v>6</v>
      </c>
      <c r="L153" s="633">
        <f t="shared" si="25"/>
        <v>6</v>
      </c>
      <c r="M153" s="633">
        <f t="shared" si="25"/>
        <v>6</v>
      </c>
      <c r="N153" s="633">
        <f t="shared" si="25"/>
        <v>6</v>
      </c>
      <c r="O153" s="162" t="s">
        <v>3689</v>
      </c>
    </row>
    <row r="154" spans="2:15" ht="15" hidden="1" customHeight="1" outlineLevel="1" x14ac:dyDescent="0.2">
      <c r="B154" s="96"/>
      <c r="C154" s="368"/>
      <c r="D154" s="442" t="s">
        <v>3690</v>
      </c>
      <c r="E154" s="633">
        <f t="shared" ref="E154:N154" si="26">hSystemsFTECalcResultMostLikelyCRT*hSystemsTrainingPercentFTEsCRT</f>
        <v>32.4</v>
      </c>
      <c r="F154" s="633">
        <f t="shared" si="26"/>
        <v>3.6</v>
      </c>
      <c r="G154" s="633">
        <f t="shared" si="26"/>
        <v>3.6</v>
      </c>
      <c r="H154" s="633">
        <f t="shared" si="26"/>
        <v>3.6</v>
      </c>
      <c r="I154" s="633">
        <f t="shared" si="26"/>
        <v>3.6</v>
      </c>
      <c r="J154" s="633">
        <f t="shared" si="26"/>
        <v>3.6</v>
      </c>
      <c r="K154" s="633">
        <f t="shared" si="26"/>
        <v>3.6</v>
      </c>
      <c r="L154" s="633">
        <f t="shared" si="26"/>
        <v>3.6</v>
      </c>
      <c r="M154" s="633">
        <f t="shared" si="26"/>
        <v>3.6</v>
      </c>
      <c r="N154" s="633">
        <f t="shared" si="26"/>
        <v>3.6</v>
      </c>
      <c r="O154" s="162" t="s">
        <v>3691</v>
      </c>
    </row>
    <row r="155" spans="2:15" ht="15" hidden="1" customHeight="1" outlineLevel="1" x14ac:dyDescent="0.2">
      <c r="B155" s="96"/>
      <c r="C155" s="368"/>
      <c r="D155" s="442" t="s">
        <v>3692</v>
      </c>
      <c r="E155" s="633">
        <f t="shared" ref="E155:N155" si="27">hSystemsFTECalcResultBestCaseCRT*hSystemsTrainingPercentFTEsCRT</f>
        <v>21.6</v>
      </c>
      <c r="F155" s="633">
        <f t="shared" si="27"/>
        <v>2.4000000000000004</v>
      </c>
      <c r="G155" s="633">
        <f t="shared" si="27"/>
        <v>2.4000000000000004</v>
      </c>
      <c r="H155" s="633">
        <f t="shared" si="27"/>
        <v>2.4000000000000004</v>
      </c>
      <c r="I155" s="633">
        <f t="shared" si="27"/>
        <v>2.4000000000000004</v>
      </c>
      <c r="J155" s="633">
        <f t="shared" si="27"/>
        <v>2.4000000000000004</v>
      </c>
      <c r="K155" s="633">
        <f t="shared" si="27"/>
        <v>2.4000000000000004</v>
      </c>
      <c r="L155" s="633">
        <f t="shared" si="27"/>
        <v>2.4000000000000004</v>
      </c>
      <c r="M155" s="633">
        <f t="shared" si="27"/>
        <v>2.4000000000000004</v>
      </c>
      <c r="N155" s="633">
        <f t="shared" si="27"/>
        <v>2.4000000000000004</v>
      </c>
      <c r="O155" s="162" t="s">
        <v>3693</v>
      </c>
    </row>
    <row r="156" spans="2:15" s="8" customFormat="1" ht="15" hidden="1" customHeight="1" outlineLevel="1" x14ac:dyDescent="0.2">
      <c r="B156" s="622"/>
      <c r="C156" s="441"/>
      <c r="D156" s="442"/>
      <c r="E156" s="623"/>
      <c r="F156" s="623"/>
      <c r="G156" s="623"/>
      <c r="H156" s="623"/>
      <c r="I156" s="623"/>
      <c r="J156" s="623"/>
      <c r="K156" s="623"/>
      <c r="L156" s="623"/>
      <c r="M156" s="623"/>
      <c r="N156" s="623"/>
      <c r="O156" s="162"/>
    </row>
    <row r="157" spans="2:15" ht="15" hidden="1" customHeight="1" outlineLevel="1" x14ac:dyDescent="0.2">
      <c r="B157" s="96"/>
      <c r="C157" s="368"/>
      <c r="D157" s="442" t="s">
        <v>3694</v>
      </c>
      <c r="E157" s="634">
        <f>hSystemsTrainingCostPerFTE_CRT*hSystemsTrainingFTEsWorstCaseCRT</f>
        <v>54000</v>
      </c>
      <c r="F157" s="634">
        <f>hSystemsTrainingCostPerFTE_CRT*hSystemsTrainingFTEsWorstCaseCRT*(1+Inflation)</f>
        <v>6120</v>
      </c>
      <c r="G157" s="634">
        <f>hSystemsTrainingCostPerFTE_CRT*hSystemsTrainingFTEsWorstCaseCRT*(1+Inflation)^2</f>
        <v>6242.4</v>
      </c>
      <c r="H157" s="634">
        <f>hSystemsTrainingCostPerFTE_CRT*hSystemsTrainingFTEsWorstCaseCRT*(1+Inflation)^3</f>
        <v>6367.2479999999996</v>
      </c>
      <c r="I157" s="634">
        <f>hSystemsTrainingCostPerFTE_CRT*hSystemsTrainingFTEsWorstCaseCRT*(1+Inflation)^4</f>
        <v>6494.5929599999999</v>
      </c>
      <c r="J157" s="634">
        <f>hSystemsTrainingCostPerFTE_CRT*hSystemsTrainingFTEsWorstCaseCRT*(1+Inflation)^5</f>
        <v>6624.4848191999999</v>
      </c>
      <c r="K157" s="634">
        <f>hSystemsTrainingCostPerFTE_CRT*hSystemsTrainingFTEsWorstCaseCRT*(1+Inflation)^6</f>
        <v>6756.9745155840001</v>
      </c>
      <c r="L157" s="634">
        <f>hSystemsTrainingCostPerFTE_CRT*hSystemsTrainingFTEsWorstCaseCRT*(1+Inflation)^7</f>
        <v>6892.1140058956789</v>
      </c>
      <c r="M157" s="634">
        <f>hSystemsTrainingCostPerFTE_CRT*hSystemsTrainingFTEsWorstCaseCRT*(1+Inflation)^8</f>
        <v>7029.9562860135929</v>
      </c>
      <c r="N157" s="634">
        <f>hSystemsTrainingCostPerFTE_CRT*hSystemsTrainingFTEsWorstCaseCRT*(1+Inflation)^9</f>
        <v>7170.5554117338652</v>
      </c>
      <c r="O157" s="162" t="s">
        <v>3695</v>
      </c>
    </row>
    <row r="158" spans="2:15" ht="15" hidden="1" customHeight="1" outlineLevel="1" x14ac:dyDescent="0.2">
      <c r="B158" s="96"/>
      <c r="C158" s="368"/>
      <c r="D158" s="442" t="s">
        <v>3696</v>
      </c>
      <c r="E158" s="634">
        <f>hSystemsTrainingCostPerFTE_CRT*hSystemsTrainingFTEsMostLikelyCRT</f>
        <v>32400</v>
      </c>
      <c r="F158" s="634">
        <f>hSystemsTrainingCostPerFTE_CRT*hSystemsTrainingFTEsMostLikelyCRT*(1+Inflation)</f>
        <v>3672</v>
      </c>
      <c r="G158" s="634">
        <f>hSystemsTrainingCostPerFTE_CRT*hSystemsTrainingFTEsMostLikelyCRT*(1+Inflation)^2</f>
        <v>3745.44</v>
      </c>
      <c r="H158" s="634">
        <f>hSystemsTrainingCostPerFTE_CRT*hSystemsTrainingFTEsMostLikelyCRT*(1+Inflation)^3</f>
        <v>3820.3487999999998</v>
      </c>
      <c r="I158" s="634">
        <f>hSystemsTrainingCostPerFTE_CRT*hSystemsTrainingFTEsMostLikelyCRT*(1+Inflation)^4</f>
        <v>3896.755776</v>
      </c>
      <c r="J158" s="634">
        <f>hSystemsTrainingCostPerFTE_CRT*hSystemsTrainingFTEsMostLikelyCRT*(1+Inflation)^5</f>
        <v>3974.6908915200002</v>
      </c>
      <c r="K158" s="634">
        <f>hSystemsTrainingCostPerFTE_CRT*hSystemsTrainingFTEsMostLikelyCRT*(1+Inflation)^6</f>
        <v>4054.1847093504002</v>
      </c>
      <c r="L158" s="634">
        <f>hSystemsTrainingCostPerFTE_CRT*hSystemsTrainingFTEsMostLikelyCRT*(1+Inflation)^7</f>
        <v>4135.2684035374077</v>
      </c>
      <c r="M158" s="634">
        <f>hSystemsTrainingCostPerFTE_CRT*hSystemsTrainingFTEsMostLikelyCRT*(1+Inflation)^8</f>
        <v>4217.9737716081563</v>
      </c>
      <c r="N158" s="634">
        <f>hSystemsTrainingCostPerFTE_CRT*hSystemsTrainingFTEsMostLikelyCRT*(1+Inflation)^9</f>
        <v>4302.3332470403193</v>
      </c>
      <c r="O158" s="162" t="s">
        <v>3697</v>
      </c>
    </row>
    <row r="159" spans="2:15" ht="15" hidden="1" customHeight="1" outlineLevel="1" x14ac:dyDescent="0.2">
      <c r="B159" s="96"/>
      <c r="C159" s="368"/>
      <c r="D159" s="442" t="s">
        <v>3698</v>
      </c>
      <c r="E159" s="634">
        <f>hSystemsTrainingCostPerFTE_CRT*hSystemsTrainingFTEsBestCaseCRT</f>
        <v>21600</v>
      </c>
      <c r="F159" s="634">
        <f>hSystemsTrainingCostPerFTE_CRT*hSystemsTrainingFTEsBestCaseCRT*(1+Inflation)</f>
        <v>2448.0000000000005</v>
      </c>
      <c r="G159" s="634">
        <f>hSystemsTrainingCostPerFTE_CRT*hSystemsTrainingFTEsBestCaseCRT*(1+Inflation)^2</f>
        <v>2496.9600000000005</v>
      </c>
      <c r="H159" s="634">
        <f>hSystemsTrainingCostPerFTE_CRT*hSystemsTrainingFTEsBestCaseCRT*(1+Inflation)^3</f>
        <v>2546.8992000000003</v>
      </c>
      <c r="I159" s="634">
        <f>hSystemsTrainingCostPerFTE_CRT*hSystemsTrainingFTEsBestCaseCRT*(1+Inflation)^4</f>
        <v>2597.8371840000004</v>
      </c>
      <c r="J159" s="634">
        <f>hSystemsTrainingCostPerFTE_CRT*hSystemsTrainingFTEsBestCaseCRT*(1+Inflation)^5</f>
        <v>2649.7939276800007</v>
      </c>
      <c r="K159" s="634">
        <f>hSystemsTrainingCostPerFTE_CRT*hSystemsTrainingFTEsBestCaseCRT*(1+Inflation)^6</f>
        <v>2702.7898062336008</v>
      </c>
      <c r="L159" s="634">
        <f>hSystemsTrainingCostPerFTE_CRT*hSystemsTrainingFTEsBestCaseCRT*(1+Inflation)^7</f>
        <v>2756.8456023582721</v>
      </c>
      <c r="M159" s="634">
        <f>hSystemsTrainingCostPerFTE_CRT*hSystemsTrainingFTEsBestCaseCRT*(1+Inflation)^8</f>
        <v>2811.982514405438</v>
      </c>
      <c r="N159" s="634">
        <f>hSystemsTrainingCostPerFTE_CRT*hSystemsTrainingFTEsBestCaseCRT*(1+Inflation)^9</f>
        <v>2868.2221646935463</v>
      </c>
      <c r="O159" s="162" t="s">
        <v>3699</v>
      </c>
    </row>
    <row r="160" spans="2:15" ht="15" hidden="1" customHeight="1" outlineLevel="1" x14ac:dyDescent="0.2">
      <c r="C160" s="394"/>
      <c r="D160" s="5"/>
      <c r="E160" s="5"/>
      <c r="F160" s="5"/>
      <c r="G160" s="5"/>
      <c r="H160" s="5"/>
      <c r="I160" s="5"/>
      <c r="J160" s="5"/>
      <c r="K160" s="5"/>
      <c r="L160" s="5"/>
      <c r="M160" s="5"/>
      <c r="N160" s="5"/>
      <c r="O160" s="393"/>
    </row>
    <row r="161" spans="2:15" ht="15" hidden="1" customHeight="1" outlineLevel="1" x14ac:dyDescent="0.2">
      <c r="B161" s="96"/>
      <c r="C161" s="394"/>
      <c r="D161" s="149" t="s">
        <v>3628</v>
      </c>
      <c r="E161" s="5"/>
      <c r="F161" s="5"/>
      <c r="G161" s="5"/>
      <c r="H161" s="5"/>
      <c r="I161" s="5"/>
      <c r="J161" s="5"/>
      <c r="K161" s="5"/>
      <c r="L161" s="5"/>
      <c r="M161" s="5"/>
      <c r="N161" s="5"/>
      <c r="O161" s="393"/>
    </row>
    <row r="162" spans="2:15" ht="15" hidden="1" customHeight="1" outlineLevel="1" x14ac:dyDescent="0.2">
      <c r="B162" s="96"/>
      <c r="C162" s="394"/>
      <c r="D162" s="631">
        <v>1000</v>
      </c>
      <c r="E162" s="6"/>
      <c r="F162" s="6"/>
      <c r="G162" s="6"/>
      <c r="H162" s="6"/>
      <c r="I162" s="6"/>
      <c r="J162" s="6"/>
      <c r="K162" s="6"/>
      <c r="L162" s="6"/>
      <c r="M162" s="6"/>
      <c r="N162" s="6"/>
      <c r="O162" s="393"/>
    </row>
    <row r="163" spans="2:15" ht="15" hidden="1" customHeight="1" outlineLevel="1" x14ac:dyDescent="0.2">
      <c r="B163" s="96"/>
      <c r="C163" s="394"/>
      <c r="D163" s="442" t="s">
        <v>285</v>
      </c>
      <c r="E163" s="632">
        <v>0.1</v>
      </c>
      <c r="F163" s="632">
        <v>0.1</v>
      </c>
      <c r="G163" s="632">
        <v>0.1</v>
      </c>
      <c r="H163" s="632">
        <v>0.1</v>
      </c>
      <c r="I163" s="632">
        <v>0.1</v>
      </c>
      <c r="J163" s="632">
        <v>0.1</v>
      </c>
      <c r="K163" s="632">
        <v>0.1</v>
      </c>
      <c r="L163" s="632">
        <v>0.1</v>
      </c>
      <c r="M163" s="632">
        <v>0.1</v>
      </c>
      <c r="N163" s="632">
        <v>0.1</v>
      </c>
      <c r="O163" s="162" t="s">
        <v>3700</v>
      </c>
    </row>
    <row r="164" spans="2:15" ht="15" hidden="1" customHeight="1" outlineLevel="1" x14ac:dyDescent="0.2">
      <c r="B164" s="96"/>
      <c r="C164" s="368"/>
      <c r="D164" s="442" t="s">
        <v>3701</v>
      </c>
      <c r="E164" s="633">
        <f t="shared" ref="E164:N164" si="28">hSystemsFTECalcResultWorstCaseSCL*hSystemsTrainingPercentFTEsSCL</f>
        <v>10</v>
      </c>
      <c r="F164" s="633">
        <f t="shared" si="28"/>
        <v>10</v>
      </c>
      <c r="G164" s="633">
        <f t="shared" si="28"/>
        <v>10</v>
      </c>
      <c r="H164" s="633">
        <f t="shared" si="28"/>
        <v>10</v>
      </c>
      <c r="I164" s="633">
        <f t="shared" si="28"/>
        <v>10</v>
      </c>
      <c r="J164" s="633">
        <f t="shared" si="28"/>
        <v>10</v>
      </c>
      <c r="K164" s="633">
        <f t="shared" si="28"/>
        <v>10</v>
      </c>
      <c r="L164" s="633">
        <f t="shared" si="28"/>
        <v>10</v>
      </c>
      <c r="M164" s="633">
        <f t="shared" si="28"/>
        <v>10</v>
      </c>
      <c r="N164" s="633">
        <f t="shared" si="28"/>
        <v>10</v>
      </c>
      <c r="O164" s="162" t="s">
        <v>3702</v>
      </c>
    </row>
    <row r="165" spans="2:15" ht="15" hidden="1" customHeight="1" outlineLevel="1" x14ac:dyDescent="0.2">
      <c r="B165" s="96"/>
      <c r="C165" s="368"/>
      <c r="D165" s="442" t="s">
        <v>3703</v>
      </c>
      <c r="E165" s="633">
        <f t="shared" ref="E165:N165" si="29">hSystemsFTECalcResultMostLikelySCL*hSystemsTrainingPercentFTEsSCL</f>
        <v>9.5</v>
      </c>
      <c r="F165" s="633">
        <f t="shared" si="29"/>
        <v>9.5</v>
      </c>
      <c r="G165" s="633">
        <f t="shared" si="29"/>
        <v>9.5</v>
      </c>
      <c r="H165" s="633">
        <f t="shared" si="29"/>
        <v>9.5</v>
      </c>
      <c r="I165" s="633">
        <f t="shared" si="29"/>
        <v>9.5</v>
      </c>
      <c r="J165" s="633">
        <f t="shared" si="29"/>
        <v>9.5</v>
      </c>
      <c r="K165" s="633">
        <f t="shared" si="29"/>
        <v>9.5</v>
      </c>
      <c r="L165" s="633">
        <f t="shared" si="29"/>
        <v>9.5</v>
      </c>
      <c r="M165" s="633">
        <f t="shared" si="29"/>
        <v>9.5</v>
      </c>
      <c r="N165" s="633">
        <f t="shared" si="29"/>
        <v>9.5</v>
      </c>
      <c r="O165" s="162" t="s">
        <v>3704</v>
      </c>
    </row>
    <row r="166" spans="2:15" ht="15" hidden="1" customHeight="1" outlineLevel="1" x14ac:dyDescent="0.2">
      <c r="B166" s="96"/>
      <c r="C166" s="368"/>
      <c r="D166" s="442" t="s">
        <v>3705</v>
      </c>
      <c r="E166" s="633">
        <f t="shared" ref="E166:N166" si="30">hSystemsFTECalcResultBestCaseSCL*hSystemsTrainingPercentFTEsSCL</f>
        <v>9</v>
      </c>
      <c r="F166" s="633">
        <f t="shared" si="30"/>
        <v>9</v>
      </c>
      <c r="G166" s="633">
        <f t="shared" si="30"/>
        <v>9</v>
      </c>
      <c r="H166" s="633">
        <f t="shared" si="30"/>
        <v>9</v>
      </c>
      <c r="I166" s="633">
        <f t="shared" si="30"/>
        <v>9</v>
      </c>
      <c r="J166" s="633">
        <f t="shared" si="30"/>
        <v>9</v>
      </c>
      <c r="K166" s="633">
        <f t="shared" si="30"/>
        <v>9</v>
      </c>
      <c r="L166" s="633">
        <f t="shared" si="30"/>
        <v>9</v>
      </c>
      <c r="M166" s="633">
        <f t="shared" si="30"/>
        <v>9</v>
      </c>
      <c r="N166" s="633">
        <f t="shared" si="30"/>
        <v>9</v>
      </c>
      <c r="O166" s="162" t="s">
        <v>3706</v>
      </c>
    </row>
    <row r="167" spans="2:15" s="8" customFormat="1" ht="15" hidden="1" customHeight="1" outlineLevel="1" x14ac:dyDescent="0.2">
      <c r="B167" s="622"/>
      <c r="C167" s="441"/>
      <c r="D167" s="442"/>
      <c r="E167" s="623"/>
      <c r="F167" s="623"/>
      <c r="G167" s="623"/>
      <c r="H167" s="623"/>
      <c r="I167" s="623"/>
      <c r="J167" s="623"/>
      <c r="K167" s="623"/>
      <c r="L167" s="623"/>
      <c r="M167" s="623"/>
      <c r="N167" s="623"/>
      <c r="O167" s="162"/>
    </row>
    <row r="168" spans="2:15" ht="15" hidden="1" customHeight="1" outlineLevel="1" x14ac:dyDescent="0.2">
      <c r="B168" s="96"/>
      <c r="C168" s="368"/>
      <c r="D168" s="442" t="s">
        <v>3707</v>
      </c>
      <c r="E168" s="634">
        <f>hSystemsTrainingCostPerFTE_SCL*hSystemsTrainingFTEsWorstCaseSCL</f>
        <v>10000</v>
      </c>
      <c r="F168" s="634">
        <f>hSystemsTrainingCostPerFTE_SCL*hSystemsTrainingFTEsWorstCaseSCL*(1+Inflation)</f>
        <v>10200</v>
      </c>
      <c r="G168" s="634">
        <f>hSystemsTrainingCostPerFTE_SCL*hSystemsTrainingFTEsWorstCaseSCL*(1+Inflation)^2</f>
        <v>10404</v>
      </c>
      <c r="H168" s="634">
        <f>hSystemsTrainingCostPerFTE_SCL*hSystemsTrainingFTEsWorstCaseSCL*(1+Inflation)^3</f>
        <v>10612.08</v>
      </c>
      <c r="I168" s="634">
        <f>hSystemsTrainingCostPerFTE_SCL*hSystemsTrainingFTEsWorstCaseSCL*(1+Inflation)^4</f>
        <v>10824.321599999999</v>
      </c>
      <c r="J168" s="634">
        <f>hSystemsTrainingCostPerFTE_SCL*hSystemsTrainingFTEsWorstCaseSCL*(1+Inflation)^5</f>
        <v>11040.808032000001</v>
      </c>
      <c r="K168" s="634">
        <f>hSystemsTrainingCostPerFTE_SCL*hSystemsTrainingFTEsWorstCaseSCL*(1+Inflation)^6</f>
        <v>11261.62419264</v>
      </c>
      <c r="L168" s="634">
        <f>hSystemsTrainingCostPerFTE_SCL*hSystemsTrainingFTEsWorstCaseSCL*(1+Inflation)^7</f>
        <v>11486.856676492798</v>
      </c>
      <c r="M168" s="634">
        <f>hSystemsTrainingCostPerFTE_SCL*hSystemsTrainingFTEsWorstCaseSCL*(1+Inflation)^8</f>
        <v>11716.593810022656</v>
      </c>
      <c r="N168" s="634">
        <f>hSystemsTrainingCostPerFTE_SCL*hSystemsTrainingFTEsWorstCaseSCL*(1+Inflation)^9</f>
        <v>11950.925686223109</v>
      </c>
      <c r="O168" s="162" t="s">
        <v>3708</v>
      </c>
    </row>
    <row r="169" spans="2:15" ht="15" hidden="1" customHeight="1" outlineLevel="1" x14ac:dyDescent="0.2">
      <c r="B169" s="96"/>
      <c r="C169" s="368"/>
      <c r="D169" s="442" t="s">
        <v>3709</v>
      </c>
      <c r="E169" s="634">
        <f>hSystemsTrainingCostPerFTE_SCL*hSystemsTrainingFTEsMostLikelySCL</f>
        <v>9500</v>
      </c>
      <c r="F169" s="634">
        <f>hSystemsTrainingCostPerFTE_SCL*hSystemsTrainingFTEsMostLikelySCL*(1+Inflation)</f>
        <v>9690</v>
      </c>
      <c r="G169" s="634">
        <f>hSystemsTrainingCostPerFTE_SCL*hSystemsTrainingFTEsMostLikelySCL*(1+Inflation)^2</f>
        <v>9883.7999999999993</v>
      </c>
      <c r="H169" s="634">
        <f>hSystemsTrainingCostPerFTE_SCL*hSystemsTrainingFTEsMostLikelySCL*(1+Inflation)^3</f>
        <v>10081.475999999999</v>
      </c>
      <c r="I169" s="634">
        <f>hSystemsTrainingCostPerFTE_SCL*hSystemsTrainingFTEsMostLikelySCL*(1+Inflation)^4</f>
        <v>10283.105519999999</v>
      </c>
      <c r="J169" s="634">
        <f>hSystemsTrainingCostPerFTE_SCL*hSystemsTrainingFTEsMostLikelySCL*(1+Inflation)^5</f>
        <v>10488.7676304</v>
      </c>
      <c r="K169" s="634">
        <f>hSystemsTrainingCostPerFTE_SCL*hSystemsTrainingFTEsMostLikelySCL*(1+Inflation)^6</f>
        <v>10698.542983008001</v>
      </c>
      <c r="L169" s="634">
        <f>hSystemsTrainingCostPerFTE_SCL*hSystemsTrainingFTEsMostLikelySCL*(1+Inflation)^7</f>
        <v>10912.513842668159</v>
      </c>
      <c r="M169" s="634">
        <f>hSystemsTrainingCostPerFTE_SCL*hSystemsTrainingFTEsMostLikelySCL*(1+Inflation)^8</f>
        <v>11130.764119521522</v>
      </c>
      <c r="N169" s="634">
        <f>hSystemsTrainingCostPerFTE_SCL*hSystemsTrainingFTEsMostLikelySCL*(1+Inflation)^9</f>
        <v>11353.379401911952</v>
      </c>
      <c r="O169" s="162" t="s">
        <v>3710</v>
      </c>
    </row>
    <row r="170" spans="2:15" ht="15" hidden="1" customHeight="1" outlineLevel="1" x14ac:dyDescent="0.2">
      <c r="B170" s="96"/>
      <c r="C170" s="368"/>
      <c r="D170" s="442" t="s">
        <v>3711</v>
      </c>
      <c r="E170" s="634">
        <f>hSystemsTrainingCostPerFTE_SCL*hSystemsTrainingFTEsBestCaseSCL</f>
        <v>9000</v>
      </c>
      <c r="F170" s="634">
        <f>hSystemsTrainingCostPerFTE_SCL*hSystemsTrainingFTEsBestCaseSCL*(1+Inflation)</f>
        <v>9180</v>
      </c>
      <c r="G170" s="634">
        <f>hSystemsTrainingCostPerFTE_SCL*hSystemsTrainingFTEsBestCaseSCL*(1+Inflation)^2</f>
        <v>9363.6</v>
      </c>
      <c r="H170" s="634">
        <f>hSystemsTrainingCostPerFTE_SCL*hSystemsTrainingFTEsBestCaseSCL*(1+Inflation)^3</f>
        <v>9550.8719999999994</v>
      </c>
      <c r="I170" s="634">
        <f>hSystemsTrainingCostPerFTE_SCL*hSystemsTrainingFTEsBestCaseSCL*(1+Inflation)^4</f>
        <v>9741.889439999999</v>
      </c>
      <c r="J170" s="634">
        <f>hSystemsTrainingCostPerFTE_SCL*hSystemsTrainingFTEsBestCaseSCL*(1+Inflation)^5</f>
        <v>9936.7272288000004</v>
      </c>
      <c r="K170" s="634">
        <f>hSystemsTrainingCostPerFTE_SCL*hSystemsTrainingFTEsBestCaseSCL*(1+Inflation)^6</f>
        <v>10135.461773376001</v>
      </c>
      <c r="L170" s="634">
        <f>hSystemsTrainingCostPerFTE_SCL*hSystemsTrainingFTEsBestCaseSCL*(1+Inflation)^7</f>
        <v>10338.171008843517</v>
      </c>
      <c r="M170" s="634">
        <f>hSystemsTrainingCostPerFTE_SCL*hSystemsTrainingFTEsBestCaseSCL*(1+Inflation)^8</f>
        <v>10544.93442902039</v>
      </c>
      <c r="N170" s="634">
        <f>hSystemsTrainingCostPerFTE_SCL*hSystemsTrainingFTEsBestCaseSCL*(1+Inflation)^9</f>
        <v>10755.833117600798</v>
      </c>
      <c r="O170" s="162" t="s">
        <v>3712</v>
      </c>
    </row>
    <row r="171" spans="2:15" ht="15" hidden="1" customHeight="1" outlineLevel="1" x14ac:dyDescent="0.2">
      <c r="C171" s="394"/>
      <c r="D171" s="5"/>
      <c r="E171" s="5"/>
      <c r="F171" s="5"/>
      <c r="G171" s="5"/>
      <c r="H171" s="5"/>
      <c r="I171" s="5"/>
      <c r="J171" s="5"/>
      <c r="K171" s="5"/>
      <c r="L171" s="5"/>
      <c r="M171" s="5"/>
      <c r="N171" s="5"/>
      <c r="O171" s="393"/>
    </row>
    <row r="172" spans="2:15" ht="15" hidden="1" customHeight="1" outlineLevel="1" x14ac:dyDescent="0.2">
      <c r="B172" s="96"/>
      <c r="C172" s="394"/>
      <c r="D172" s="149" t="s">
        <v>3629</v>
      </c>
      <c r="E172" s="5"/>
      <c r="F172" s="5"/>
      <c r="G172" s="5"/>
      <c r="H172" s="5"/>
      <c r="I172" s="5"/>
      <c r="J172" s="5"/>
      <c r="K172" s="5"/>
      <c r="L172" s="5"/>
      <c r="M172" s="5"/>
      <c r="N172" s="5"/>
      <c r="O172" s="393"/>
    </row>
    <row r="173" spans="2:15" ht="15" hidden="1" customHeight="1" outlineLevel="1" x14ac:dyDescent="0.2">
      <c r="B173" s="96"/>
      <c r="C173" s="394"/>
      <c r="D173" s="631">
        <v>1000</v>
      </c>
      <c r="E173" s="6"/>
      <c r="F173" s="6"/>
      <c r="G173" s="6"/>
      <c r="H173" s="6"/>
      <c r="I173" s="6"/>
      <c r="J173" s="6"/>
      <c r="K173" s="6"/>
      <c r="L173" s="6"/>
      <c r="M173" s="6"/>
      <c r="N173" s="6"/>
      <c r="O173" s="393"/>
    </row>
    <row r="174" spans="2:15" ht="15" hidden="1" customHeight="1" outlineLevel="1" x14ac:dyDescent="0.2">
      <c r="B174" s="96"/>
      <c r="C174" s="394"/>
      <c r="D174" s="442" t="s">
        <v>3589</v>
      </c>
      <c r="E174" s="632">
        <v>0.1</v>
      </c>
      <c r="F174" s="632">
        <v>0.1</v>
      </c>
      <c r="G174" s="632">
        <v>0.1</v>
      </c>
      <c r="H174" s="632">
        <v>0.1</v>
      </c>
      <c r="I174" s="632">
        <v>0.1</v>
      </c>
      <c r="J174" s="632">
        <v>0.1</v>
      </c>
      <c r="K174" s="632">
        <v>0.1</v>
      </c>
      <c r="L174" s="632">
        <v>0.1</v>
      </c>
      <c r="M174" s="632">
        <v>0.1</v>
      </c>
      <c r="N174" s="632">
        <v>0.1</v>
      </c>
      <c r="O174" s="162" t="s">
        <v>3713</v>
      </c>
    </row>
    <row r="175" spans="2:15" ht="15" hidden="1" customHeight="1" outlineLevel="1" x14ac:dyDescent="0.2">
      <c r="B175" s="96"/>
      <c r="C175" s="368"/>
      <c r="D175" s="442" t="s">
        <v>3714</v>
      </c>
      <c r="E175" s="633">
        <f t="shared" ref="E175:N175" si="31">hSystemsFTECalcResultWorstCaseQSC*hSystemsTrainingPercentFTEsQSC</f>
        <v>5</v>
      </c>
      <c r="F175" s="633">
        <f t="shared" si="31"/>
        <v>5</v>
      </c>
      <c r="G175" s="633">
        <f t="shared" si="31"/>
        <v>5</v>
      </c>
      <c r="H175" s="633">
        <f t="shared" si="31"/>
        <v>5</v>
      </c>
      <c r="I175" s="633">
        <f t="shared" si="31"/>
        <v>5</v>
      </c>
      <c r="J175" s="633">
        <f t="shared" si="31"/>
        <v>5</v>
      </c>
      <c r="K175" s="633">
        <f t="shared" si="31"/>
        <v>5</v>
      </c>
      <c r="L175" s="633">
        <f t="shared" si="31"/>
        <v>5</v>
      </c>
      <c r="M175" s="633">
        <f t="shared" si="31"/>
        <v>5</v>
      </c>
      <c r="N175" s="633">
        <f t="shared" si="31"/>
        <v>5</v>
      </c>
      <c r="O175" s="162" t="s">
        <v>3715</v>
      </c>
    </row>
    <row r="176" spans="2:15" ht="15" hidden="1" customHeight="1" outlineLevel="1" x14ac:dyDescent="0.2">
      <c r="B176" s="96"/>
      <c r="C176" s="368"/>
      <c r="D176" s="442" t="s">
        <v>3716</v>
      </c>
      <c r="E176" s="633">
        <f t="shared" ref="E176:N176" si="32">hSystemsFTECalcResultMostLikelyQSC*hSystemsTrainingPercentFTEsQSC</f>
        <v>4.75</v>
      </c>
      <c r="F176" s="633">
        <f t="shared" si="32"/>
        <v>4.75</v>
      </c>
      <c r="G176" s="633">
        <f t="shared" si="32"/>
        <v>4.75</v>
      </c>
      <c r="H176" s="633">
        <f t="shared" si="32"/>
        <v>4.75</v>
      </c>
      <c r="I176" s="633">
        <f t="shared" si="32"/>
        <v>4.75</v>
      </c>
      <c r="J176" s="633">
        <f t="shared" si="32"/>
        <v>4.75</v>
      </c>
      <c r="K176" s="633">
        <f t="shared" si="32"/>
        <v>4.75</v>
      </c>
      <c r="L176" s="633">
        <f t="shared" si="32"/>
        <v>4.75</v>
      </c>
      <c r="M176" s="633">
        <f t="shared" si="32"/>
        <v>4.75</v>
      </c>
      <c r="N176" s="633">
        <f t="shared" si="32"/>
        <v>4.75</v>
      </c>
      <c r="O176" s="162" t="s">
        <v>3717</v>
      </c>
    </row>
    <row r="177" spans="2:15" ht="15" hidden="1" customHeight="1" outlineLevel="1" x14ac:dyDescent="0.2">
      <c r="B177" s="96"/>
      <c r="C177" s="368"/>
      <c r="D177" s="442" t="s">
        <v>3718</v>
      </c>
      <c r="E177" s="633">
        <f t="shared" ref="E177:N177" si="33">hSystemsFTECalcResultBestCaseQSC*hSystemsTrainingPercentFTEsQSC</f>
        <v>4.5</v>
      </c>
      <c r="F177" s="633">
        <f t="shared" si="33"/>
        <v>4.5</v>
      </c>
      <c r="G177" s="633">
        <f t="shared" si="33"/>
        <v>4.5</v>
      </c>
      <c r="H177" s="633">
        <f t="shared" si="33"/>
        <v>4.5</v>
      </c>
      <c r="I177" s="633">
        <f t="shared" si="33"/>
        <v>4.5</v>
      </c>
      <c r="J177" s="633">
        <f t="shared" si="33"/>
        <v>4.5</v>
      </c>
      <c r="K177" s="633">
        <f t="shared" si="33"/>
        <v>4.5</v>
      </c>
      <c r="L177" s="633">
        <f t="shared" si="33"/>
        <v>4.5</v>
      </c>
      <c r="M177" s="633">
        <f t="shared" si="33"/>
        <v>4.5</v>
      </c>
      <c r="N177" s="633">
        <f t="shared" si="33"/>
        <v>4.5</v>
      </c>
      <c r="O177" s="162" t="s">
        <v>3719</v>
      </c>
    </row>
    <row r="178" spans="2:15" s="8" customFormat="1" ht="15" hidden="1" customHeight="1" outlineLevel="1" x14ac:dyDescent="0.2">
      <c r="B178" s="622"/>
      <c r="C178" s="441"/>
      <c r="D178" s="442"/>
      <c r="E178" s="623"/>
      <c r="F178" s="623"/>
      <c r="G178" s="623"/>
      <c r="H178" s="623"/>
      <c r="I178" s="623"/>
      <c r="J178" s="623"/>
      <c r="K178" s="623"/>
      <c r="L178" s="623"/>
      <c r="M178" s="623"/>
      <c r="N178" s="623"/>
      <c r="O178" s="162"/>
    </row>
    <row r="179" spans="2:15" ht="15" hidden="1" customHeight="1" outlineLevel="1" x14ac:dyDescent="0.2">
      <c r="B179" s="96"/>
      <c r="C179" s="368"/>
      <c r="D179" s="442" t="s">
        <v>3720</v>
      </c>
      <c r="E179" s="634">
        <f>hSystemsTrainingCostPerFTE_QSC*hSystemsTrainingFTEsWorstCaseQSC</f>
        <v>5000</v>
      </c>
      <c r="F179" s="634">
        <f>hSystemsTrainingCostPerFTE_QSC*hSystemsTrainingFTEsWorstCaseQSC*(1+Inflation)</f>
        <v>5100</v>
      </c>
      <c r="G179" s="634">
        <f>hSystemsTrainingCostPerFTE_QSC*hSystemsTrainingFTEsWorstCaseQSC*(1+Inflation)^2</f>
        <v>5202</v>
      </c>
      <c r="H179" s="634">
        <f>hSystemsTrainingCostPerFTE_QSC*hSystemsTrainingFTEsWorstCaseQSC*(1+Inflation)^3</f>
        <v>5306.04</v>
      </c>
      <c r="I179" s="634">
        <f>hSystemsTrainingCostPerFTE_QSC*hSystemsTrainingFTEsWorstCaseQSC*(1+Inflation)^4</f>
        <v>5412.1607999999997</v>
      </c>
      <c r="J179" s="634">
        <f>hSystemsTrainingCostPerFTE_QSC*hSystemsTrainingFTEsWorstCaseQSC*(1+Inflation)^5</f>
        <v>5520.4040160000004</v>
      </c>
      <c r="K179" s="634">
        <f>hSystemsTrainingCostPerFTE_QSC*hSystemsTrainingFTEsWorstCaseQSC*(1+Inflation)^6</f>
        <v>5630.8120963199999</v>
      </c>
      <c r="L179" s="634">
        <f>hSystemsTrainingCostPerFTE_QSC*hSystemsTrainingFTEsWorstCaseQSC*(1+Inflation)^7</f>
        <v>5743.4283382463991</v>
      </c>
      <c r="M179" s="634">
        <f>hSystemsTrainingCostPerFTE_QSC*hSystemsTrainingFTEsWorstCaseQSC*(1+Inflation)^8</f>
        <v>5858.2969050113279</v>
      </c>
      <c r="N179" s="634">
        <f>hSystemsTrainingCostPerFTE_QSC*hSystemsTrainingFTEsWorstCaseQSC*(1+Inflation)^9</f>
        <v>5975.4628431115543</v>
      </c>
      <c r="O179" s="162" t="s">
        <v>3721</v>
      </c>
    </row>
    <row r="180" spans="2:15" ht="15" hidden="1" customHeight="1" outlineLevel="1" x14ac:dyDescent="0.2">
      <c r="B180" s="96"/>
      <c r="C180" s="368"/>
      <c r="D180" s="442" t="s">
        <v>3722</v>
      </c>
      <c r="E180" s="634">
        <f>hSystemsTrainingCostPerFTE_QSC*hSystemsTrainingFTEsMostLikelyQSC</f>
        <v>4750</v>
      </c>
      <c r="F180" s="634">
        <f>hSystemsTrainingCostPerFTE_QSC*hSystemsTrainingFTEsMostLikelyQSC*(1+Inflation)</f>
        <v>4845</v>
      </c>
      <c r="G180" s="634">
        <f>hSystemsTrainingCostPerFTE_QSC*hSystemsTrainingFTEsMostLikelyQSC*(1+Inflation)^2</f>
        <v>4941.8999999999996</v>
      </c>
      <c r="H180" s="634">
        <f>hSystemsTrainingCostPerFTE_QSC*hSystemsTrainingFTEsMostLikelyQSC*(1+Inflation)^3</f>
        <v>5040.7379999999994</v>
      </c>
      <c r="I180" s="634">
        <f>hSystemsTrainingCostPerFTE_QSC*hSystemsTrainingFTEsMostLikelyQSC*(1+Inflation)^4</f>
        <v>5141.5527599999996</v>
      </c>
      <c r="J180" s="634">
        <f>hSystemsTrainingCostPerFTE_QSC*hSystemsTrainingFTEsMostLikelyQSC*(1+Inflation)^5</f>
        <v>5244.3838151999998</v>
      </c>
      <c r="K180" s="634">
        <f>hSystemsTrainingCostPerFTE_QSC*hSystemsTrainingFTEsMostLikelyQSC*(1+Inflation)^6</f>
        <v>5349.2714915040006</v>
      </c>
      <c r="L180" s="634">
        <f>hSystemsTrainingCostPerFTE_QSC*hSystemsTrainingFTEsMostLikelyQSC*(1+Inflation)^7</f>
        <v>5456.2569213340794</v>
      </c>
      <c r="M180" s="634">
        <f>hSystemsTrainingCostPerFTE_QSC*hSystemsTrainingFTEsMostLikelyQSC*(1+Inflation)^8</f>
        <v>5565.382059760761</v>
      </c>
      <c r="N180" s="634">
        <f>hSystemsTrainingCostPerFTE_QSC*hSystemsTrainingFTEsMostLikelyQSC*(1+Inflation)^9</f>
        <v>5676.6897009559761</v>
      </c>
      <c r="O180" s="162" t="s">
        <v>3723</v>
      </c>
    </row>
    <row r="181" spans="2:15" ht="15" hidden="1" customHeight="1" outlineLevel="1" x14ac:dyDescent="0.2">
      <c r="B181" s="96"/>
      <c r="C181" s="368"/>
      <c r="D181" s="442" t="s">
        <v>3724</v>
      </c>
      <c r="E181" s="634">
        <f>hSystemsTrainingCostPerFTE_QSC*hSystemsTrainingFTEsBestCaseQSC</f>
        <v>4500</v>
      </c>
      <c r="F181" s="634">
        <f>hSystemsTrainingCostPerFTE_QSC*hSystemsTrainingFTEsBestCaseQSC*(1+Inflation)</f>
        <v>4590</v>
      </c>
      <c r="G181" s="634">
        <f>hSystemsTrainingCostPerFTE_QSC*hSystemsTrainingFTEsBestCaseQSC*(1+Inflation)^2</f>
        <v>4681.8</v>
      </c>
      <c r="H181" s="634">
        <f>hSystemsTrainingCostPerFTE_QSC*hSystemsTrainingFTEsBestCaseQSC*(1+Inflation)^3</f>
        <v>4775.4359999999997</v>
      </c>
      <c r="I181" s="634">
        <f>hSystemsTrainingCostPerFTE_QSC*hSystemsTrainingFTEsBestCaseQSC*(1+Inflation)^4</f>
        <v>4870.9447199999995</v>
      </c>
      <c r="J181" s="634">
        <f>hSystemsTrainingCostPerFTE_QSC*hSystemsTrainingFTEsBestCaseQSC*(1+Inflation)^5</f>
        <v>4968.3636144000002</v>
      </c>
      <c r="K181" s="634">
        <f>hSystemsTrainingCostPerFTE_QSC*hSystemsTrainingFTEsBestCaseQSC*(1+Inflation)^6</f>
        <v>5067.7308866880003</v>
      </c>
      <c r="L181" s="634">
        <f>hSystemsTrainingCostPerFTE_QSC*hSystemsTrainingFTEsBestCaseQSC*(1+Inflation)^7</f>
        <v>5169.0855044217587</v>
      </c>
      <c r="M181" s="634">
        <f>hSystemsTrainingCostPerFTE_QSC*hSystemsTrainingFTEsBestCaseQSC*(1+Inflation)^8</f>
        <v>5272.4672145101949</v>
      </c>
      <c r="N181" s="634">
        <f>hSystemsTrainingCostPerFTE_QSC*hSystemsTrainingFTEsBestCaseQSC*(1+Inflation)^9</f>
        <v>5377.9165588003989</v>
      </c>
      <c r="O181" s="162" t="s">
        <v>3725</v>
      </c>
    </row>
    <row r="182" spans="2:15" ht="15" hidden="1" customHeight="1" outlineLevel="1" x14ac:dyDescent="0.2">
      <c r="C182" s="394"/>
      <c r="D182" s="5"/>
      <c r="E182" s="5"/>
      <c r="F182" s="5"/>
      <c r="G182" s="5"/>
      <c r="H182" s="5"/>
      <c r="I182" s="5"/>
      <c r="J182" s="5"/>
      <c r="K182" s="5"/>
      <c r="L182" s="5"/>
      <c r="M182" s="5"/>
      <c r="N182" s="5"/>
      <c r="O182" s="393"/>
    </row>
    <row r="183" spans="2:15" ht="15" hidden="1" customHeight="1" outlineLevel="1" x14ac:dyDescent="0.2">
      <c r="B183" s="96"/>
      <c r="C183" s="394"/>
      <c r="D183" s="149" t="s">
        <v>3630</v>
      </c>
      <c r="E183" s="5"/>
      <c r="F183" s="5"/>
      <c r="G183" s="5"/>
      <c r="H183" s="5"/>
      <c r="I183" s="5"/>
      <c r="J183" s="5"/>
      <c r="K183" s="5"/>
      <c r="L183" s="5"/>
      <c r="M183" s="5"/>
      <c r="N183" s="5"/>
      <c r="O183" s="393"/>
    </row>
    <row r="184" spans="2:15" ht="15" hidden="1" customHeight="1" outlineLevel="1" x14ac:dyDescent="0.2">
      <c r="B184" s="96"/>
      <c r="C184" s="394"/>
      <c r="D184" s="631">
        <v>1000</v>
      </c>
      <c r="E184" s="6"/>
      <c r="F184" s="6"/>
      <c r="G184" s="6"/>
      <c r="H184" s="6"/>
      <c r="I184" s="6"/>
      <c r="J184" s="6"/>
      <c r="K184" s="6"/>
      <c r="L184" s="6"/>
      <c r="M184" s="6"/>
      <c r="N184" s="6"/>
      <c r="O184" s="393"/>
    </row>
    <row r="185" spans="2:15" ht="15" hidden="1" customHeight="1" outlineLevel="1" x14ac:dyDescent="0.2">
      <c r="B185" s="96"/>
      <c r="C185" s="394"/>
      <c r="D185" s="442" t="s">
        <v>3593</v>
      </c>
      <c r="E185" s="632">
        <v>0.1</v>
      </c>
      <c r="F185" s="632">
        <v>0.1</v>
      </c>
      <c r="G185" s="632">
        <v>0.1</v>
      </c>
      <c r="H185" s="632">
        <v>0.1</v>
      </c>
      <c r="I185" s="632">
        <v>0.1</v>
      </c>
      <c r="J185" s="632">
        <v>0.1</v>
      </c>
      <c r="K185" s="632">
        <v>0.1</v>
      </c>
      <c r="L185" s="632">
        <v>0.1</v>
      </c>
      <c r="M185" s="632">
        <v>0.1</v>
      </c>
      <c r="N185" s="632">
        <v>0.1</v>
      </c>
      <c r="O185" s="162" t="s">
        <v>3726</v>
      </c>
    </row>
    <row r="186" spans="2:15" ht="15" hidden="1" customHeight="1" outlineLevel="1" x14ac:dyDescent="0.2">
      <c r="B186" s="96"/>
      <c r="C186" s="368"/>
      <c r="D186" s="442" t="s">
        <v>3727</v>
      </c>
      <c r="E186" s="633">
        <f t="shared" ref="E186:N186" si="34">hSystemsFTECalcResultWorstCaseEM*hSystemsTrainingPercentFTEsEM</f>
        <v>10</v>
      </c>
      <c r="F186" s="633">
        <f t="shared" si="34"/>
        <v>10</v>
      </c>
      <c r="G186" s="633">
        <f t="shared" si="34"/>
        <v>10</v>
      </c>
      <c r="H186" s="633">
        <f t="shared" si="34"/>
        <v>10</v>
      </c>
      <c r="I186" s="633">
        <f t="shared" si="34"/>
        <v>10</v>
      </c>
      <c r="J186" s="633">
        <f t="shared" si="34"/>
        <v>10</v>
      </c>
      <c r="K186" s="633">
        <f t="shared" si="34"/>
        <v>10</v>
      </c>
      <c r="L186" s="633">
        <f t="shared" si="34"/>
        <v>10</v>
      </c>
      <c r="M186" s="633">
        <f t="shared" si="34"/>
        <v>10</v>
      </c>
      <c r="N186" s="633">
        <f t="shared" si="34"/>
        <v>10</v>
      </c>
      <c r="O186" s="162" t="s">
        <v>3728</v>
      </c>
    </row>
    <row r="187" spans="2:15" ht="15" hidden="1" customHeight="1" outlineLevel="1" x14ac:dyDescent="0.2">
      <c r="B187" s="96"/>
      <c r="C187" s="368"/>
      <c r="D187" s="442" t="s">
        <v>3729</v>
      </c>
      <c r="E187" s="633">
        <f t="shared" ref="E187:N187" si="35">hSystemsFTECalcResultMostLikelyEM*hSystemsTrainingPercentFTEsEM</f>
        <v>9.5</v>
      </c>
      <c r="F187" s="633">
        <f t="shared" si="35"/>
        <v>9.5</v>
      </c>
      <c r="G187" s="633">
        <f t="shared" si="35"/>
        <v>9.5</v>
      </c>
      <c r="H187" s="633">
        <f t="shared" si="35"/>
        <v>9.5</v>
      </c>
      <c r="I187" s="633">
        <f t="shared" si="35"/>
        <v>9.5</v>
      </c>
      <c r="J187" s="633">
        <f t="shared" si="35"/>
        <v>9.5</v>
      </c>
      <c r="K187" s="633">
        <f t="shared" si="35"/>
        <v>9.5</v>
      </c>
      <c r="L187" s="633">
        <f t="shared" si="35"/>
        <v>9.5</v>
      </c>
      <c r="M187" s="633">
        <f t="shared" si="35"/>
        <v>9.5</v>
      </c>
      <c r="N187" s="633">
        <f t="shared" si="35"/>
        <v>9.5</v>
      </c>
      <c r="O187" s="162" t="s">
        <v>3730</v>
      </c>
    </row>
    <row r="188" spans="2:15" ht="15" hidden="1" customHeight="1" outlineLevel="1" x14ac:dyDescent="0.2">
      <c r="B188" s="96"/>
      <c r="C188" s="368"/>
      <c r="D188" s="442" t="s">
        <v>3731</v>
      </c>
      <c r="E188" s="633">
        <f t="shared" ref="E188:N188" si="36">hSystemsFTECalcResultBestCaseEM*hSystemsTrainingPercentFTEsEM</f>
        <v>9</v>
      </c>
      <c r="F188" s="633">
        <f t="shared" si="36"/>
        <v>9</v>
      </c>
      <c r="G188" s="633">
        <f t="shared" si="36"/>
        <v>9</v>
      </c>
      <c r="H188" s="633">
        <f t="shared" si="36"/>
        <v>9</v>
      </c>
      <c r="I188" s="633">
        <f t="shared" si="36"/>
        <v>9</v>
      </c>
      <c r="J188" s="633">
        <f t="shared" si="36"/>
        <v>9</v>
      </c>
      <c r="K188" s="633">
        <f t="shared" si="36"/>
        <v>9</v>
      </c>
      <c r="L188" s="633">
        <f t="shared" si="36"/>
        <v>9</v>
      </c>
      <c r="M188" s="633">
        <f t="shared" si="36"/>
        <v>9</v>
      </c>
      <c r="N188" s="633">
        <f t="shared" si="36"/>
        <v>9</v>
      </c>
      <c r="O188" s="162" t="s">
        <v>3732</v>
      </c>
    </row>
    <row r="189" spans="2:15" s="8" customFormat="1" ht="15" hidden="1" customHeight="1" outlineLevel="1" x14ac:dyDescent="0.2">
      <c r="B189" s="622"/>
      <c r="C189" s="441"/>
      <c r="D189" s="442"/>
      <c r="E189" s="623"/>
      <c r="F189" s="623"/>
      <c r="G189" s="623"/>
      <c r="H189" s="623"/>
      <c r="I189" s="623"/>
      <c r="J189" s="623"/>
      <c r="K189" s="623"/>
      <c r="L189" s="623"/>
      <c r="M189" s="623"/>
      <c r="N189" s="623"/>
      <c r="O189" s="162"/>
    </row>
    <row r="190" spans="2:15" ht="15" hidden="1" customHeight="1" outlineLevel="1" x14ac:dyDescent="0.2">
      <c r="B190" s="96"/>
      <c r="C190" s="368"/>
      <c r="D190" s="442" t="s">
        <v>3733</v>
      </c>
      <c r="E190" s="634">
        <f>hSystemsTrainingCostPerFTE_EM*hSystemsTrainingFTEsWorstCaseEM</f>
        <v>10000</v>
      </c>
      <c r="F190" s="634">
        <f>hSystemsTrainingCostPerFTE_EM*hSystemsTrainingFTEsWorstCaseEM*(1+Inflation)</f>
        <v>10200</v>
      </c>
      <c r="G190" s="634">
        <f>hSystemsTrainingCostPerFTE_EM*hSystemsTrainingFTEsWorstCaseEM*(1+Inflation)^2</f>
        <v>10404</v>
      </c>
      <c r="H190" s="634">
        <f>hSystemsTrainingCostPerFTE_EM*hSystemsTrainingFTEsWorstCaseEM*(1+Inflation)^3</f>
        <v>10612.08</v>
      </c>
      <c r="I190" s="634">
        <f>hSystemsTrainingCostPerFTE_EM*hSystemsTrainingFTEsWorstCaseEM*(1+Inflation)^4</f>
        <v>10824.321599999999</v>
      </c>
      <c r="J190" s="634">
        <f>hSystemsTrainingCostPerFTE_EM*hSystemsTrainingFTEsWorstCaseEM*(1+Inflation)^5</f>
        <v>11040.808032000001</v>
      </c>
      <c r="K190" s="634">
        <f>hSystemsTrainingCostPerFTE_EM*hSystemsTrainingFTEsWorstCaseEM*(1+Inflation)^6</f>
        <v>11261.62419264</v>
      </c>
      <c r="L190" s="634">
        <f>hSystemsTrainingCostPerFTE_EM*hSystemsTrainingFTEsWorstCaseEM*(1+Inflation)^7</f>
        <v>11486.856676492798</v>
      </c>
      <c r="M190" s="634">
        <f>hSystemsTrainingCostPerFTE_EM*hSystemsTrainingFTEsWorstCaseEM*(1+Inflation)^8</f>
        <v>11716.593810022656</v>
      </c>
      <c r="N190" s="634">
        <f>hSystemsTrainingCostPerFTE_EM*hSystemsTrainingFTEsWorstCaseEM*(1+Inflation)^9</f>
        <v>11950.925686223109</v>
      </c>
      <c r="O190" s="162" t="s">
        <v>3734</v>
      </c>
    </row>
    <row r="191" spans="2:15" ht="15" hidden="1" customHeight="1" outlineLevel="1" x14ac:dyDescent="0.2">
      <c r="B191" s="96"/>
      <c r="C191" s="368"/>
      <c r="D191" s="442" t="s">
        <v>3735</v>
      </c>
      <c r="E191" s="634">
        <f>hSystemsTrainingCostPerFTE_EM*hSystemsTrainingFTEsMostLikelyEM</f>
        <v>9500</v>
      </c>
      <c r="F191" s="634">
        <f>hSystemsTrainingCostPerFTE_EM*hSystemsTrainingFTEsMostLikelyEM*(1+Inflation)</f>
        <v>9690</v>
      </c>
      <c r="G191" s="634">
        <f>hSystemsTrainingCostPerFTE_EM*hSystemsTrainingFTEsMostLikelyEM*(1+Inflation)^2</f>
        <v>9883.7999999999993</v>
      </c>
      <c r="H191" s="634">
        <f>hSystemsTrainingCostPerFTE_EM*hSystemsTrainingFTEsMostLikelyEM*(1+Inflation)^3</f>
        <v>10081.475999999999</v>
      </c>
      <c r="I191" s="634">
        <f>hSystemsTrainingCostPerFTE_EM*hSystemsTrainingFTEsMostLikelyEM*(1+Inflation)^4</f>
        <v>10283.105519999999</v>
      </c>
      <c r="J191" s="634">
        <f>hSystemsTrainingCostPerFTE_EM*hSystemsTrainingFTEsMostLikelyEM*(1+Inflation)^5</f>
        <v>10488.7676304</v>
      </c>
      <c r="K191" s="634">
        <f>hSystemsTrainingCostPerFTE_EM*hSystemsTrainingFTEsMostLikelyEM*(1+Inflation)^6</f>
        <v>10698.542983008001</v>
      </c>
      <c r="L191" s="634">
        <f>hSystemsTrainingCostPerFTE_EM*hSystemsTrainingFTEsMostLikelyEM*(1+Inflation)^7</f>
        <v>10912.513842668159</v>
      </c>
      <c r="M191" s="634">
        <f>hSystemsTrainingCostPerFTE_EM*hSystemsTrainingFTEsMostLikelyEM*(1+Inflation)^8</f>
        <v>11130.764119521522</v>
      </c>
      <c r="N191" s="634">
        <f>hSystemsTrainingCostPerFTE_EM*hSystemsTrainingFTEsMostLikelyEM*(1+Inflation)^9</f>
        <v>11353.379401911952</v>
      </c>
      <c r="O191" s="162" t="s">
        <v>3736</v>
      </c>
    </row>
    <row r="192" spans="2:15" ht="15" hidden="1" customHeight="1" outlineLevel="1" x14ac:dyDescent="0.2">
      <c r="B192" s="96"/>
      <c r="C192" s="368"/>
      <c r="D192" s="442" t="s">
        <v>3737</v>
      </c>
      <c r="E192" s="634">
        <f>hSystemsTrainingCostPerFTE_EM*hSystemsTrainingFTEsBestCaseEM</f>
        <v>9000</v>
      </c>
      <c r="F192" s="634">
        <f>hSystemsTrainingCostPerFTE_EM*hSystemsTrainingFTEsBestCaseEM*(1+Inflation)</f>
        <v>9180</v>
      </c>
      <c r="G192" s="634">
        <f>hSystemsTrainingCostPerFTE_EM*hSystemsTrainingFTEsBestCaseEM*(1+Inflation)^2</f>
        <v>9363.6</v>
      </c>
      <c r="H192" s="634">
        <f>hSystemsTrainingCostPerFTE_EM*hSystemsTrainingFTEsBestCaseEM*(1+Inflation)^3</f>
        <v>9550.8719999999994</v>
      </c>
      <c r="I192" s="634">
        <f>hSystemsTrainingCostPerFTE_EM*hSystemsTrainingFTEsBestCaseEM*(1+Inflation)^4</f>
        <v>9741.889439999999</v>
      </c>
      <c r="J192" s="634">
        <f>hSystemsTrainingCostPerFTE_EM*hSystemsTrainingFTEsBestCaseEM*(1+Inflation)^5</f>
        <v>9936.7272288000004</v>
      </c>
      <c r="K192" s="634">
        <f>hSystemsTrainingCostPerFTE_EM*hSystemsTrainingFTEsBestCaseEM*(1+Inflation)^6</f>
        <v>10135.461773376001</v>
      </c>
      <c r="L192" s="634">
        <f>hSystemsTrainingCostPerFTE_EM*hSystemsTrainingFTEsBestCaseEM*(1+Inflation)^7</f>
        <v>10338.171008843517</v>
      </c>
      <c r="M192" s="634">
        <f>hSystemsTrainingCostPerFTE_EM*hSystemsTrainingFTEsBestCaseEM*(1+Inflation)^8</f>
        <v>10544.93442902039</v>
      </c>
      <c r="N192" s="634">
        <f>hSystemsTrainingCostPerFTE_EM*hSystemsTrainingFTEsBestCaseEM*(1+Inflation)^9</f>
        <v>10755.833117600798</v>
      </c>
      <c r="O192" s="162" t="s">
        <v>3738</v>
      </c>
    </row>
    <row r="193" spans="2:15" ht="15" hidden="1" customHeight="1" outlineLevel="1" x14ac:dyDescent="0.2">
      <c r="C193" s="394"/>
      <c r="D193" s="5"/>
      <c r="E193" s="5"/>
      <c r="F193" s="5"/>
      <c r="G193" s="5"/>
      <c r="H193" s="5"/>
      <c r="I193" s="5"/>
      <c r="J193" s="5"/>
      <c r="K193" s="5"/>
      <c r="L193" s="5"/>
      <c r="M193" s="5"/>
      <c r="N193" s="5"/>
      <c r="O193" s="393"/>
    </row>
    <row r="194" spans="2:15" ht="15" hidden="1" customHeight="1" outlineLevel="1" x14ac:dyDescent="0.2">
      <c r="B194" s="96"/>
      <c r="C194" s="394"/>
      <c r="D194" s="149" t="s">
        <v>3631</v>
      </c>
      <c r="E194" s="5"/>
      <c r="F194" s="5"/>
      <c r="G194" s="5"/>
      <c r="H194" s="5"/>
      <c r="I194" s="5"/>
      <c r="J194" s="5"/>
      <c r="K194" s="5"/>
      <c r="L194" s="5"/>
      <c r="M194" s="5"/>
      <c r="N194" s="5"/>
      <c r="O194" s="393"/>
    </row>
    <row r="195" spans="2:15" ht="15" hidden="1" customHeight="1" outlineLevel="1" x14ac:dyDescent="0.2">
      <c r="B195" s="96"/>
      <c r="C195" s="394"/>
      <c r="D195" s="631">
        <v>1000</v>
      </c>
      <c r="E195" s="6"/>
      <c r="F195" s="6"/>
      <c r="G195" s="6"/>
      <c r="H195" s="6"/>
      <c r="I195" s="6"/>
      <c r="J195" s="6"/>
      <c r="K195" s="6"/>
      <c r="L195" s="6"/>
      <c r="M195" s="6"/>
      <c r="N195" s="6"/>
      <c r="O195" s="393"/>
    </row>
    <row r="196" spans="2:15" ht="15" hidden="1" customHeight="1" outlineLevel="1" x14ac:dyDescent="0.2">
      <c r="B196" s="96"/>
      <c r="C196" s="394"/>
      <c r="D196" s="442" t="s">
        <v>3597</v>
      </c>
      <c r="E196" s="632">
        <v>0.1</v>
      </c>
      <c r="F196" s="632">
        <v>0.1</v>
      </c>
      <c r="G196" s="632">
        <v>0.1</v>
      </c>
      <c r="H196" s="632">
        <v>0.1</v>
      </c>
      <c r="I196" s="632">
        <v>0.1</v>
      </c>
      <c r="J196" s="632">
        <v>0.1</v>
      </c>
      <c r="K196" s="632">
        <v>0.1</v>
      </c>
      <c r="L196" s="632">
        <v>0.1</v>
      </c>
      <c r="M196" s="632">
        <v>0.1</v>
      </c>
      <c r="N196" s="632">
        <v>0.1</v>
      </c>
      <c r="O196" s="162" t="s">
        <v>3739</v>
      </c>
    </row>
    <row r="197" spans="2:15" ht="15" hidden="1" customHeight="1" outlineLevel="1" x14ac:dyDescent="0.2">
      <c r="B197" s="96"/>
      <c r="C197" s="368"/>
      <c r="D197" s="442" t="s">
        <v>3740</v>
      </c>
      <c r="E197" s="633">
        <f t="shared" ref="E197:N197" si="37">hSystemsFTECalcResultWorstCaseCM*hSystemsTrainingPercentFTEsCM</f>
        <v>10</v>
      </c>
      <c r="F197" s="633">
        <f t="shared" si="37"/>
        <v>10</v>
      </c>
      <c r="G197" s="633">
        <f t="shared" si="37"/>
        <v>10</v>
      </c>
      <c r="H197" s="633">
        <f t="shared" si="37"/>
        <v>10</v>
      </c>
      <c r="I197" s="633">
        <f t="shared" si="37"/>
        <v>10</v>
      </c>
      <c r="J197" s="633">
        <f t="shared" si="37"/>
        <v>10</v>
      </c>
      <c r="K197" s="633">
        <f t="shared" si="37"/>
        <v>10</v>
      </c>
      <c r="L197" s="633">
        <f t="shared" si="37"/>
        <v>10</v>
      </c>
      <c r="M197" s="633">
        <f t="shared" si="37"/>
        <v>10</v>
      </c>
      <c r="N197" s="633">
        <f t="shared" si="37"/>
        <v>10</v>
      </c>
      <c r="O197" s="162" t="s">
        <v>3741</v>
      </c>
    </row>
    <row r="198" spans="2:15" ht="15" hidden="1" customHeight="1" outlineLevel="1" x14ac:dyDescent="0.2">
      <c r="B198" s="96"/>
      <c r="C198" s="368"/>
      <c r="D198" s="442" t="s">
        <v>3742</v>
      </c>
      <c r="E198" s="633">
        <f t="shared" ref="E198:N198" si="38">hSystemsFTECalcResultMostLikelyCM*hSystemsTrainingPercentFTEsCM</f>
        <v>9.5</v>
      </c>
      <c r="F198" s="633">
        <f t="shared" si="38"/>
        <v>9.5</v>
      </c>
      <c r="G198" s="633">
        <f t="shared" si="38"/>
        <v>9.5</v>
      </c>
      <c r="H198" s="633">
        <f t="shared" si="38"/>
        <v>9.5</v>
      </c>
      <c r="I198" s="633">
        <f t="shared" si="38"/>
        <v>9.5</v>
      </c>
      <c r="J198" s="633">
        <f t="shared" si="38"/>
        <v>9.5</v>
      </c>
      <c r="K198" s="633">
        <f t="shared" si="38"/>
        <v>9.5</v>
      </c>
      <c r="L198" s="633">
        <f t="shared" si="38"/>
        <v>9.5</v>
      </c>
      <c r="M198" s="633">
        <f t="shared" si="38"/>
        <v>9.5</v>
      </c>
      <c r="N198" s="633">
        <f t="shared" si="38"/>
        <v>9.5</v>
      </c>
      <c r="O198" s="162" t="s">
        <v>3743</v>
      </c>
    </row>
    <row r="199" spans="2:15" ht="15" hidden="1" customHeight="1" outlineLevel="1" x14ac:dyDescent="0.2">
      <c r="B199" s="96"/>
      <c r="C199" s="368"/>
      <c r="D199" s="442" t="s">
        <v>3744</v>
      </c>
      <c r="E199" s="633">
        <f t="shared" ref="E199:N199" si="39">hSystemsFTECalcResultBestCaseCM*hSystemsTrainingPercentFTEsCM</f>
        <v>9</v>
      </c>
      <c r="F199" s="633">
        <f t="shared" si="39"/>
        <v>9</v>
      </c>
      <c r="G199" s="633">
        <f t="shared" si="39"/>
        <v>9</v>
      </c>
      <c r="H199" s="633">
        <f t="shared" si="39"/>
        <v>9</v>
      </c>
      <c r="I199" s="633">
        <f t="shared" si="39"/>
        <v>9</v>
      </c>
      <c r="J199" s="633">
        <f t="shared" si="39"/>
        <v>9</v>
      </c>
      <c r="K199" s="633">
        <f t="shared" si="39"/>
        <v>9</v>
      </c>
      <c r="L199" s="633">
        <f t="shared" si="39"/>
        <v>9</v>
      </c>
      <c r="M199" s="633">
        <f t="shared" si="39"/>
        <v>9</v>
      </c>
      <c r="N199" s="633">
        <f t="shared" si="39"/>
        <v>9</v>
      </c>
      <c r="O199" s="162" t="s">
        <v>3745</v>
      </c>
    </row>
    <row r="200" spans="2:15" s="8" customFormat="1" ht="15" hidden="1" customHeight="1" outlineLevel="1" x14ac:dyDescent="0.2">
      <c r="B200" s="622"/>
      <c r="C200" s="441"/>
      <c r="D200" s="442"/>
      <c r="E200" s="623"/>
      <c r="F200" s="623"/>
      <c r="G200" s="623"/>
      <c r="H200" s="623"/>
      <c r="I200" s="623"/>
      <c r="J200" s="623"/>
      <c r="K200" s="623"/>
      <c r="L200" s="623"/>
      <c r="M200" s="623"/>
      <c r="N200" s="623"/>
      <c r="O200" s="162"/>
    </row>
    <row r="201" spans="2:15" ht="15" hidden="1" customHeight="1" outlineLevel="1" x14ac:dyDescent="0.2">
      <c r="B201" s="96"/>
      <c r="C201" s="368"/>
      <c r="D201" s="442" t="s">
        <v>3746</v>
      </c>
      <c r="E201" s="634">
        <f>hSystemsTrainingCostPerFTE_CM*hSystemsTrainingFTEsWorstCaseCM</f>
        <v>10000</v>
      </c>
      <c r="F201" s="634">
        <f>hSystemsTrainingCostPerFTE_CM*hSystemsTrainingFTEsWorstCaseCM*(1+Inflation)</f>
        <v>10200</v>
      </c>
      <c r="G201" s="634">
        <f>hSystemsTrainingCostPerFTE_CM*hSystemsTrainingFTEsWorstCaseCM*(1+Inflation)^2</f>
        <v>10404</v>
      </c>
      <c r="H201" s="634">
        <f>hSystemsTrainingCostPerFTE_CM*hSystemsTrainingFTEsWorstCaseCM*(1+Inflation)^3</f>
        <v>10612.08</v>
      </c>
      <c r="I201" s="634">
        <f>hSystemsTrainingCostPerFTE_CM*hSystemsTrainingFTEsWorstCaseCM*(1+Inflation)^4</f>
        <v>10824.321599999999</v>
      </c>
      <c r="J201" s="634">
        <f>hSystemsTrainingCostPerFTE_CM*hSystemsTrainingFTEsWorstCaseCM*(1+Inflation)^5</f>
        <v>11040.808032000001</v>
      </c>
      <c r="K201" s="634">
        <f>hSystemsTrainingCostPerFTE_CM*hSystemsTrainingFTEsWorstCaseCM*(1+Inflation)^6</f>
        <v>11261.62419264</v>
      </c>
      <c r="L201" s="634">
        <f>hSystemsTrainingCostPerFTE_CM*hSystemsTrainingFTEsWorstCaseCM*(1+Inflation)^7</f>
        <v>11486.856676492798</v>
      </c>
      <c r="M201" s="634">
        <f>hSystemsTrainingCostPerFTE_CM*hSystemsTrainingFTEsWorstCaseCM*(1+Inflation)^8</f>
        <v>11716.593810022656</v>
      </c>
      <c r="N201" s="634">
        <f>hSystemsTrainingCostPerFTE_CM*hSystemsTrainingFTEsWorstCaseCM*(1+Inflation)^9</f>
        <v>11950.925686223109</v>
      </c>
      <c r="O201" s="162" t="s">
        <v>3747</v>
      </c>
    </row>
    <row r="202" spans="2:15" ht="15" hidden="1" customHeight="1" outlineLevel="1" x14ac:dyDescent="0.2">
      <c r="B202" s="96"/>
      <c r="C202" s="368"/>
      <c r="D202" s="442" t="s">
        <v>3748</v>
      </c>
      <c r="E202" s="634">
        <f>hSystemsTrainingCostPerFTE_CM*hSystemsTrainingFTEsMostLikelyCM</f>
        <v>9500</v>
      </c>
      <c r="F202" s="634">
        <f>hSystemsTrainingCostPerFTE_CM*hSystemsTrainingFTEsMostLikelyCM*(1+Inflation)</f>
        <v>9690</v>
      </c>
      <c r="G202" s="634">
        <f>hSystemsTrainingCostPerFTE_CM*hSystemsTrainingFTEsMostLikelyCM*(1+Inflation)^2</f>
        <v>9883.7999999999993</v>
      </c>
      <c r="H202" s="634">
        <f>hSystemsTrainingCostPerFTE_CM*hSystemsTrainingFTEsMostLikelyCM*(1+Inflation)^3</f>
        <v>10081.475999999999</v>
      </c>
      <c r="I202" s="634">
        <f>hSystemsTrainingCostPerFTE_CM*hSystemsTrainingFTEsMostLikelyCM*(1+Inflation)^4</f>
        <v>10283.105519999999</v>
      </c>
      <c r="J202" s="634">
        <f>hSystemsTrainingCostPerFTE_CM*hSystemsTrainingFTEsMostLikelyCM*(1+Inflation)^5</f>
        <v>10488.7676304</v>
      </c>
      <c r="K202" s="634">
        <f>hSystemsTrainingCostPerFTE_CM*hSystemsTrainingFTEsMostLikelyCM*(1+Inflation)^6</f>
        <v>10698.542983008001</v>
      </c>
      <c r="L202" s="634">
        <f>hSystemsTrainingCostPerFTE_CM*hSystemsTrainingFTEsMostLikelyCM*(1+Inflation)^7</f>
        <v>10912.513842668159</v>
      </c>
      <c r="M202" s="634">
        <f>hSystemsTrainingCostPerFTE_CM*hSystemsTrainingFTEsMostLikelyCM*(1+Inflation)^8</f>
        <v>11130.764119521522</v>
      </c>
      <c r="N202" s="634">
        <f>hSystemsTrainingCostPerFTE_CM*hSystemsTrainingFTEsMostLikelyCM*(1+Inflation)^9</f>
        <v>11353.379401911952</v>
      </c>
      <c r="O202" s="162" t="s">
        <v>3749</v>
      </c>
    </row>
    <row r="203" spans="2:15" ht="15" hidden="1" customHeight="1" outlineLevel="1" x14ac:dyDescent="0.2">
      <c r="B203" s="96"/>
      <c r="C203" s="368"/>
      <c r="D203" s="442" t="s">
        <v>3750</v>
      </c>
      <c r="E203" s="634">
        <f>hSystemsTrainingCostPerFTE_CM*hSystemsTrainingFTEsBestCaseCM</f>
        <v>9000</v>
      </c>
      <c r="F203" s="634">
        <f>hSystemsTrainingCostPerFTE_CM*hSystemsTrainingFTEsBestCaseCM*(1+Inflation)</f>
        <v>9180</v>
      </c>
      <c r="G203" s="634">
        <f>hSystemsTrainingCostPerFTE_CM*hSystemsTrainingFTEsBestCaseCM*(1+Inflation)^2</f>
        <v>9363.6</v>
      </c>
      <c r="H203" s="634">
        <f>hSystemsTrainingCostPerFTE_CM*hSystemsTrainingFTEsBestCaseCM*(1+Inflation)^3</f>
        <v>9550.8719999999994</v>
      </c>
      <c r="I203" s="634">
        <f>hSystemsTrainingCostPerFTE_CM*hSystemsTrainingFTEsBestCaseCM*(1+Inflation)^4</f>
        <v>9741.889439999999</v>
      </c>
      <c r="J203" s="634">
        <f>hSystemsTrainingCostPerFTE_CM*hSystemsTrainingFTEsBestCaseCM*(1+Inflation)^5</f>
        <v>9936.7272288000004</v>
      </c>
      <c r="K203" s="634">
        <f>hSystemsTrainingCostPerFTE_CM*hSystemsTrainingFTEsBestCaseCM*(1+Inflation)^6</f>
        <v>10135.461773376001</v>
      </c>
      <c r="L203" s="634">
        <f>hSystemsTrainingCostPerFTE_CM*hSystemsTrainingFTEsBestCaseCM*(1+Inflation)^7</f>
        <v>10338.171008843517</v>
      </c>
      <c r="M203" s="634">
        <f>hSystemsTrainingCostPerFTE_CM*hSystemsTrainingFTEsBestCaseCM*(1+Inflation)^8</f>
        <v>10544.93442902039</v>
      </c>
      <c r="N203" s="634">
        <f>hSystemsTrainingCostPerFTE_CM*hSystemsTrainingFTEsBestCaseCM*(1+Inflation)^9</f>
        <v>10755.833117600798</v>
      </c>
      <c r="O203" s="162" t="s">
        <v>3751</v>
      </c>
    </row>
    <row r="204" spans="2:15" ht="15" hidden="1" customHeight="1" outlineLevel="1" x14ac:dyDescent="0.2">
      <c r="C204" s="394"/>
      <c r="D204" s="5"/>
      <c r="E204" s="5"/>
      <c r="F204" s="5"/>
      <c r="G204" s="5"/>
      <c r="H204" s="5"/>
      <c r="I204" s="5"/>
      <c r="J204" s="5"/>
      <c r="K204" s="5"/>
      <c r="L204" s="5"/>
      <c r="M204" s="5"/>
      <c r="N204" s="5"/>
      <c r="O204" s="393"/>
    </row>
    <row r="205" spans="2:15" ht="15" hidden="1" customHeight="1" outlineLevel="1" x14ac:dyDescent="0.2">
      <c r="B205" s="96"/>
      <c r="C205" s="394"/>
      <c r="D205" s="149" t="s">
        <v>3632</v>
      </c>
      <c r="E205" s="5"/>
      <c r="F205" s="5"/>
      <c r="G205" s="5"/>
      <c r="H205" s="5"/>
      <c r="I205" s="5"/>
      <c r="J205" s="5"/>
      <c r="K205" s="5"/>
      <c r="L205" s="5"/>
      <c r="M205" s="5"/>
      <c r="N205" s="5"/>
      <c r="O205" s="393"/>
    </row>
    <row r="206" spans="2:15" ht="15" hidden="1" customHeight="1" outlineLevel="1" x14ac:dyDescent="0.2">
      <c r="B206" s="96"/>
      <c r="C206" s="394"/>
      <c r="D206" s="631">
        <v>1000</v>
      </c>
      <c r="E206" s="6"/>
      <c r="F206" s="6"/>
      <c r="G206" s="6"/>
      <c r="H206" s="6"/>
      <c r="I206" s="6"/>
      <c r="J206" s="6"/>
      <c r="K206" s="6"/>
      <c r="L206" s="6"/>
      <c r="M206" s="6"/>
      <c r="N206" s="6"/>
      <c r="O206" s="393"/>
    </row>
    <row r="207" spans="2:15" ht="15" hidden="1" customHeight="1" outlineLevel="1" x14ac:dyDescent="0.2">
      <c r="B207" s="96"/>
      <c r="C207" s="394"/>
      <c r="D207" s="442" t="s">
        <v>3601</v>
      </c>
      <c r="E207" s="632">
        <v>0.1</v>
      </c>
      <c r="F207" s="632">
        <v>0.1</v>
      </c>
      <c r="G207" s="632">
        <v>0.1</v>
      </c>
      <c r="H207" s="632">
        <v>0.1</v>
      </c>
      <c r="I207" s="632">
        <v>0.1</v>
      </c>
      <c r="J207" s="632">
        <v>0.1</v>
      </c>
      <c r="K207" s="632">
        <v>0.1</v>
      </c>
      <c r="L207" s="632">
        <v>0.1</v>
      </c>
      <c r="M207" s="632">
        <v>0.1</v>
      </c>
      <c r="N207" s="632">
        <v>0.1</v>
      </c>
      <c r="O207" s="162" t="s">
        <v>3752</v>
      </c>
    </row>
    <row r="208" spans="2:15" ht="15" hidden="1" customHeight="1" outlineLevel="1" x14ac:dyDescent="0.2">
      <c r="B208" s="96"/>
      <c r="C208" s="368"/>
      <c r="D208" s="442" t="s">
        <v>3753</v>
      </c>
      <c r="E208" s="633">
        <f t="shared" ref="E208:N208" si="40">hSystemsFTECalcResultWorstCaseSMCS*hSystemsTrainingPercentFTEsSMCS</f>
        <v>5</v>
      </c>
      <c r="F208" s="633">
        <f t="shared" si="40"/>
        <v>5</v>
      </c>
      <c r="G208" s="633">
        <f t="shared" si="40"/>
        <v>5</v>
      </c>
      <c r="H208" s="633">
        <f t="shared" si="40"/>
        <v>5</v>
      </c>
      <c r="I208" s="633">
        <f t="shared" si="40"/>
        <v>5</v>
      </c>
      <c r="J208" s="633">
        <f t="shared" si="40"/>
        <v>5</v>
      </c>
      <c r="K208" s="633">
        <f t="shared" si="40"/>
        <v>5</v>
      </c>
      <c r="L208" s="633">
        <f t="shared" si="40"/>
        <v>5</v>
      </c>
      <c r="M208" s="633">
        <f t="shared" si="40"/>
        <v>5</v>
      </c>
      <c r="N208" s="633">
        <f t="shared" si="40"/>
        <v>5</v>
      </c>
      <c r="O208" s="162" t="s">
        <v>3754</v>
      </c>
    </row>
    <row r="209" spans="2:15" ht="15" hidden="1" customHeight="1" outlineLevel="1" x14ac:dyDescent="0.2">
      <c r="B209" s="96"/>
      <c r="C209" s="368"/>
      <c r="D209" s="442" t="s">
        <v>3755</v>
      </c>
      <c r="E209" s="633">
        <f t="shared" ref="E209:N209" si="41">hSystemsFTECalcResultMostLikelySMCS*hSystemsTrainingPercentFTEsSMCS</f>
        <v>4.75</v>
      </c>
      <c r="F209" s="633">
        <f t="shared" si="41"/>
        <v>4.75</v>
      </c>
      <c r="G209" s="633">
        <f t="shared" si="41"/>
        <v>4.75</v>
      </c>
      <c r="H209" s="633">
        <f t="shared" si="41"/>
        <v>4.75</v>
      </c>
      <c r="I209" s="633">
        <f t="shared" si="41"/>
        <v>4.75</v>
      </c>
      <c r="J209" s="633">
        <f t="shared" si="41"/>
        <v>4.75</v>
      </c>
      <c r="K209" s="633">
        <f t="shared" si="41"/>
        <v>4.75</v>
      </c>
      <c r="L209" s="633">
        <f t="shared" si="41"/>
        <v>4.75</v>
      </c>
      <c r="M209" s="633">
        <f t="shared" si="41"/>
        <v>4.75</v>
      </c>
      <c r="N209" s="633">
        <f t="shared" si="41"/>
        <v>4.75</v>
      </c>
      <c r="O209" s="162" t="s">
        <v>3756</v>
      </c>
    </row>
    <row r="210" spans="2:15" ht="15" hidden="1" customHeight="1" outlineLevel="1" x14ac:dyDescent="0.2">
      <c r="B210" s="96"/>
      <c r="C210" s="368"/>
      <c r="D210" s="442" t="s">
        <v>3757</v>
      </c>
      <c r="E210" s="633">
        <f t="shared" ref="E210:N210" si="42">hSystemsFTECalcResultBestCaseSMCS*hSystemsTrainingPercentFTEsSMCS</f>
        <v>4.5</v>
      </c>
      <c r="F210" s="633">
        <f t="shared" si="42"/>
        <v>4.5</v>
      </c>
      <c r="G210" s="633">
        <f t="shared" si="42"/>
        <v>4.5</v>
      </c>
      <c r="H210" s="633">
        <f t="shared" si="42"/>
        <v>4.5</v>
      </c>
      <c r="I210" s="633">
        <f t="shared" si="42"/>
        <v>4.5</v>
      </c>
      <c r="J210" s="633">
        <f t="shared" si="42"/>
        <v>4.5</v>
      </c>
      <c r="K210" s="633">
        <f t="shared" si="42"/>
        <v>4.5</v>
      </c>
      <c r="L210" s="633">
        <f t="shared" si="42"/>
        <v>4.5</v>
      </c>
      <c r="M210" s="633">
        <f t="shared" si="42"/>
        <v>4.5</v>
      </c>
      <c r="N210" s="633">
        <f t="shared" si="42"/>
        <v>4.5</v>
      </c>
      <c r="O210" s="162" t="s">
        <v>3758</v>
      </c>
    </row>
    <row r="211" spans="2:15" s="8" customFormat="1" ht="15" hidden="1" customHeight="1" outlineLevel="1" x14ac:dyDescent="0.2">
      <c r="B211" s="622"/>
      <c r="C211" s="441"/>
      <c r="D211" s="442"/>
      <c r="E211" s="623"/>
      <c r="F211" s="623"/>
      <c r="G211" s="623"/>
      <c r="H211" s="623"/>
      <c r="I211" s="623"/>
      <c r="J211" s="623"/>
      <c r="K211" s="623"/>
      <c r="L211" s="623"/>
      <c r="M211" s="623"/>
      <c r="N211" s="623"/>
      <c r="O211" s="162"/>
    </row>
    <row r="212" spans="2:15" ht="15" hidden="1" customHeight="1" outlineLevel="1" x14ac:dyDescent="0.2">
      <c r="B212" s="96"/>
      <c r="C212" s="368"/>
      <c r="D212" s="442" t="s">
        <v>3759</v>
      </c>
      <c r="E212" s="634">
        <f>hSystemsTrainingCostPerFTE_SMCS*hSystemsTrainingFTEsWorstCaseSMCS</f>
        <v>5000</v>
      </c>
      <c r="F212" s="634">
        <f>hSystemsTrainingCostPerFTE_SMCS*hSystemsTrainingFTEsWorstCaseSMCS*(1+Inflation)</f>
        <v>5100</v>
      </c>
      <c r="G212" s="634">
        <f>hSystemsTrainingCostPerFTE_SMCS*hSystemsTrainingFTEsWorstCaseSMCS*(1+Inflation)^2</f>
        <v>5202</v>
      </c>
      <c r="H212" s="634">
        <f>hSystemsTrainingCostPerFTE_SMCS*hSystemsTrainingFTEsWorstCaseSMCS*(1+Inflation)^3</f>
        <v>5306.04</v>
      </c>
      <c r="I212" s="634">
        <f>hSystemsTrainingCostPerFTE_SMCS*hSystemsTrainingFTEsWorstCaseSMCS*(1+Inflation)^4</f>
        <v>5412.1607999999997</v>
      </c>
      <c r="J212" s="634">
        <f>hSystemsTrainingCostPerFTE_SMCS*hSystemsTrainingFTEsWorstCaseSMCS*(1+Inflation)^5</f>
        <v>5520.4040160000004</v>
      </c>
      <c r="K212" s="634">
        <f>hSystemsTrainingCostPerFTE_SMCS*hSystemsTrainingFTEsWorstCaseSMCS*(1+Inflation)^6</f>
        <v>5630.8120963199999</v>
      </c>
      <c r="L212" s="634">
        <f>hSystemsTrainingCostPerFTE_SMCS*hSystemsTrainingFTEsWorstCaseSMCS*(1+Inflation)^7</f>
        <v>5743.4283382463991</v>
      </c>
      <c r="M212" s="634">
        <f>hSystemsTrainingCostPerFTE_SMCS*hSystemsTrainingFTEsWorstCaseSMCS*(1+Inflation)^8</f>
        <v>5858.2969050113279</v>
      </c>
      <c r="N212" s="634">
        <f>hSystemsTrainingCostPerFTE_SMCS*hSystemsTrainingFTEsWorstCaseSMCS*(1+Inflation)^9</f>
        <v>5975.4628431115543</v>
      </c>
      <c r="O212" s="162" t="s">
        <v>3760</v>
      </c>
    </row>
    <row r="213" spans="2:15" ht="15" hidden="1" customHeight="1" outlineLevel="1" x14ac:dyDescent="0.2">
      <c r="B213" s="96"/>
      <c r="C213" s="368"/>
      <c r="D213" s="442" t="s">
        <v>3761</v>
      </c>
      <c r="E213" s="634">
        <f>hSystemsTrainingCostPerFTE_SMCS*hSystemsTrainingFTEsMostLikelySMCS</f>
        <v>4750</v>
      </c>
      <c r="F213" s="634">
        <f>hSystemsTrainingCostPerFTE_SMCS*hSystemsTrainingFTEsMostLikelySMCS*(1+Inflation)</f>
        <v>4845</v>
      </c>
      <c r="G213" s="634">
        <f>hSystemsTrainingCostPerFTE_SMCS*hSystemsTrainingFTEsMostLikelySMCS*(1+Inflation)^2</f>
        <v>4941.8999999999996</v>
      </c>
      <c r="H213" s="634">
        <f>hSystemsTrainingCostPerFTE_SMCS*hSystemsTrainingFTEsMostLikelySMCS*(1+Inflation)^3</f>
        <v>5040.7379999999994</v>
      </c>
      <c r="I213" s="634">
        <f>hSystemsTrainingCostPerFTE_SMCS*hSystemsTrainingFTEsMostLikelySMCS*(1+Inflation)^4</f>
        <v>5141.5527599999996</v>
      </c>
      <c r="J213" s="634">
        <f>hSystemsTrainingCostPerFTE_SMCS*hSystemsTrainingFTEsMostLikelySMCS*(1+Inflation)^5</f>
        <v>5244.3838151999998</v>
      </c>
      <c r="K213" s="634">
        <f>hSystemsTrainingCostPerFTE_SMCS*hSystemsTrainingFTEsMostLikelySMCS*(1+Inflation)^6</f>
        <v>5349.2714915040006</v>
      </c>
      <c r="L213" s="634">
        <f>hSystemsTrainingCostPerFTE_SMCS*hSystemsTrainingFTEsMostLikelySMCS*(1+Inflation)^7</f>
        <v>5456.2569213340794</v>
      </c>
      <c r="M213" s="634">
        <f>hSystemsTrainingCostPerFTE_SMCS*hSystemsTrainingFTEsMostLikelySMCS*(1+Inflation)^8</f>
        <v>5565.382059760761</v>
      </c>
      <c r="N213" s="634">
        <f>hSystemsTrainingCostPerFTE_SMCS*hSystemsTrainingFTEsMostLikelySMCS*(1+Inflation)^9</f>
        <v>5676.6897009559761</v>
      </c>
      <c r="O213" s="162" t="s">
        <v>3762</v>
      </c>
    </row>
    <row r="214" spans="2:15" ht="15" hidden="1" customHeight="1" outlineLevel="1" x14ac:dyDescent="0.2">
      <c r="B214" s="96"/>
      <c r="C214" s="368"/>
      <c r="D214" s="442" t="s">
        <v>3763</v>
      </c>
      <c r="E214" s="634">
        <f>hSystemsTrainingCostPerFTE_SMCS*hSystemsTrainingFTEsBestCaseSMCS</f>
        <v>4500</v>
      </c>
      <c r="F214" s="634">
        <f>hSystemsTrainingCostPerFTE_SMCS*hSystemsTrainingFTEsBestCaseSMCS*(1+Inflation)</f>
        <v>4590</v>
      </c>
      <c r="G214" s="634">
        <f>hSystemsTrainingCostPerFTE_SMCS*hSystemsTrainingFTEsBestCaseSMCS*(1+Inflation)^2</f>
        <v>4681.8</v>
      </c>
      <c r="H214" s="634">
        <f>hSystemsTrainingCostPerFTE_SMCS*hSystemsTrainingFTEsBestCaseSMCS*(1+Inflation)^3</f>
        <v>4775.4359999999997</v>
      </c>
      <c r="I214" s="634">
        <f>hSystemsTrainingCostPerFTE_SMCS*hSystemsTrainingFTEsBestCaseSMCS*(1+Inflation)^4</f>
        <v>4870.9447199999995</v>
      </c>
      <c r="J214" s="634">
        <f>hSystemsTrainingCostPerFTE_SMCS*hSystemsTrainingFTEsBestCaseSMCS*(1+Inflation)^5</f>
        <v>4968.3636144000002</v>
      </c>
      <c r="K214" s="634">
        <f>hSystemsTrainingCostPerFTE_SMCS*hSystemsTrainingFTEsBestCaseSMCS*(1+Inflation)^6</f>
        <v>5067.7308866880003</v>
      </c>
      <c r="L214" s="634">
        <f>hSystemsTrainingCostPerFTE_SMCS*hSystemsTrainingFTEsBestCaseSMCS*(1+Inflation)^7</f>
        <v>5169.0855044217587</v>
      </c>
      <c r="M214" s="634">
        <f>hSystemsTrainingCostPerFTE_SMCS*hSystemsTrainingFTEsBestCaseSMCS*(1+Inflation)^8</f>
        <v>5272.4672145101949</v>
      </c>
      <c r="N214" s="634">
        <f>hSystemsTrainingCostPerFTE_SMCS*hSystemsTrainingFTEsBestCaseSMCS*(1+Inflation)^9</f>
        <v>5377.9165588003989</v>
      </c>
      <c r="O214" s="162" t="s">
        <v>3764</v>
      </c>
    </row>
    <row r="215" spans="2:15" ht="15" hidden="1" customHeight="1" outlineLevel="1" x14ac:dyDescent="0.2">
      <c r="C215" s="394"/>
      <c r="D215" s="5"/>
      <c r="E215" s="5"/>
      <c r="F215" s="5"/>
      <c r="G215" s="5"/>
      <c r="H215" s="5"/>
      <c r="I215" s="5"/>
      <c r="J215" s="5"/>
      <c r="K215" s="5"/>
      <c r="L215" s="5"/>
      <c r="M215" s="5"/>
      <c r="N215" s="5"/>
      <c r="O215" s="393"/>
    </row>
    <row r="216" spans="2:15" ht="15" hidden="1" customHeight="1" outlineLevel="1" x14ac:dyDescent="0.2">
      <c r="B216" s="96"/>
      <c r="C216" s="394"/>
      <c r="D216" s="149" t="s">
        <v>3633</v>
      </c>
      <c r="E216" s="5"/>
      <c r="F216" s="5"/>
      <c r="G216" s="5"/>
      <c r="H216" s="5"/>
      <c r="I216" s="5"/>
      <c r="J216" s="5"/>
      <c r="K216" s="5"/>
      <c r="L216" s="5"/>
      <c r="M216" s="5"/>
      <c r="N216" s="5"/>
      <c r="O216" s="393"/>
    </row>
    <row r="217" spans="2:15" ht="15" hidden="1" customHeight="1" outlineLevel="1" x14ac:dyDescent="0.2">
      <c r="B217" s="96"/>
      <c r="C217" s="394"/>
      <c r="D217" s="631">
        <v>1000</v>
      </c>
      <c r="E217" s="6"/>
      <c r="F217" s="6"/>
      <c r="G217" s="6"/>
      <c r="H217" s="6"/>
      <c r="I217" s="6"/>
      <c r="J217" s="6"/>
      <c r="K217" s="6"/>
      <c r="L217" s="6"/>
      <c r="M217" s="6"/>
      <c r="N217" s="6"/>
      <c r="O217" s="393"/>
    </row>
    <row r="218" spans="2:15" ht="15" hidden="1" customHeight="1" outlineLevel="1" x14ac:dyDescent="0.2">
      <c r="B218" s="96"/>
      <c r="C218" s="394"/>
      <c r="D218" s="442" t="s">
        <v>3765</v>
      </c>
      <c r="E218" s="632">
        <v>0.1</v>
      </c>
      <c r="F218" s="632">
        <v>0.1</v>
      </c>
      <c r="G218" s="632">
        <v>0.1</v>
      </c>
      <c r="H218" s="632">
        <v>0.1</v>
      </c>
      <c r="I218" s="632">
        <v>0.1</v>
      </c>
      <c r="J218" s="632">
        <v>0.1</v>
      </c>
      <c r="K218" s="632">
        <v>0.1</v>
      </c>
      <c r="L218" s="632">
        <v>0.1</v>
      </c>
      <c r="M218" s="632">
        <v>0.1</v>
      </c>
      <c r="N218" s="632">
        <v>0.1</v>
      </c>
      <c r="O218" s="162" t="s">
        <v>3766</v>
      </c>
    </row>
    <row r="219" spans="2:15" ht="15" hidden="1" customHeight="1" outlineLevel="1" x14ac:dyDescent="0.2">
      <c r="B219" s="96"/>
      <c r="C219" s="368"/>
      <c r="D219" s="442" t="s">
        <v>3767</v>
      </c>
      <c r="E219" s="633">
        <f t="shared" ref="E219:N219" si="43">hSystemsFTECalcResultWorstCaseO1*hSystemsTrainingPercentFTEsO1</f>
        <v>1</v>
      </c>
      <c r="F219" s="633">
        <f t="shared" si="43"/>
        <v>1</v>
      </c>
      <c r="G219" s="633">
        <f t="shared" si="43"/>
        <v>1</v>
      </c>
      <c r="H219" s="633">
        <f t="shared" si="43"/>
        <v>1</v>
      </c>
      <c r="I219" s="633">
        <f t="shared" si="43"/>
        <v>1</v>
      </c>
      <c r="J219" s="633">
        <f t="shared" si="43"/>
        <v>1</v>
      </c>
      <c r="K219" s="633">
        <f t="shared" si="43"/>
        <v>1</v>
      </c>
      <c r="L219" s="633">
        <f t="shared" si="43"/>
        <v>1</v>
      </c>
      <c r="M219" s="633">
        <f t="shared" si="43"/>
        <v>1</v>
      </c>
      <c r="N219" s="633">
        <f t="shared" si="43"/>
        <v>1</v>
      </c>
      <c r="O219" s="162" t="s">
        <v>3768</v>
      </c>
    </row>
    <row r="220" spans="2:15" ht="15" hidden="1" customHeight="1" outlineLevel="1" x14ac:dyDescent="0.2">
      <c r="B220" s="96"/>
      <c r="C220" s="368"/>
      <c r="D220" s="442" t="s">
        <v>3769</v>
      </c>
      <c r="E220" s="633">
        <f t="shared" ref="E220:N220" si="44">hSystemsFTECalcResultMostLikelyO1*hSystemsTrainingPercentFTEsO1</f>
        <v>0.95000000000000007</v>
      </c>
      <c r="F220" s="633">
        <f t="shared" si="44"/>
        <v>0.95000000000000007</v>
      </c>
      <c r="G220" s="633">
        <f t="shared" si="44"/>
        <v>0.95000000000000007</v>
      </c>
      <c r="H220" s="633">
        <f t="shared" si="44"/>
        <v>0.95000000000000007</v>
      </c>
      <c r="I220" s="633">
        <f t="shared" si="44"/>
        <v>0.95000000000000007</v>
      </c>
      <c r="J220" s="633">
        <f t="shared" si="44"/>
        <v>0.95000000000000007</v>
      </c>
      <c r="K220" s="633">
        <f t="shared" si="44"/>
        <v>0.95000000000000007</v>
      </c>
      <c r="L220" s="633">
        <f t="shared" si="44"/>
        <v>0.95000000000000007</v>
      </c>
      <c r="M220" s="633">
        <f t="shared" si="44"/>
        <v>0.95000000000000007</v>
      </c>
      <c r="N220" s="633">
        <f t="shared" si="44"/>
        <v>0.95000000000000007</v>
      </c>
      <c r="O220" s="162" t="s">
        <v>3770</v>
      </c>
    </row>
    <row r="221" spans="2:15" ht="15" hidden="1" customHeight="1" outlineLevel="1" x14ac:dyDescent="0.2">
      <c r="B221" s="96"/>
      <c r="C221" s="368"/>
      <c r="D221" s="442" t="s">
        <v>3771</v>
      </c>
      <c r="E221" s="633">
        <f t="shared" ref="E221:N221" si="45">hSystemsFTECalcResultBestCaseO1*hSystemsTrainingPercentFTEsO1</f>
        <v>0.9</v>
      </c>
      <c r="F221" s="633">
        <f t="shared" si="45"/>
        <v>0.9</v>
      </c>
      <c r="G221" s="633">
        <f t="shared" si="45"/>
        <v>0.9</v>
      </c>
      <c r="H221" s="633">
        <f t="shared" si="45"/>
        <v>0.9</v>
      </c>
      <c r="I221" s="633">
        <f t="shared" si="45"/>
        <v>0.9</v>
      </c>
      <c r="J221" s="633">
        <f t="shared" si="45"/>
        <v>0.9</v>
      </c>
      <c r="K221" s="633">
        <f t="shared" si="45"/>
        <v>0.9</v>
      </c>
      <c r="L221" s="633">
        <f t="shared" si="45"/>
        <v>0.9</v>
      </c>
      <c r="M221" s="633">
        <f t="shared" si="45"/>
        <v>0.9</v>
      </c>
      <c r="N221" s="633">
        <f t="shared" si="45"/>
        <v>0.9</v>
      </c>
      <c r="O221" s="162" t="s">
        <v>3772</v>
      </c>
    </row>
    <row r="222" spans="2:15" s="8" customFormat="1" ht="15" hidden="1" customHeight="1" outlineLevel="1" x14ac:dyDescent="0.2">
      <c r="B222" s="622"/>
      <c r="C222" s="441"/>
      <c r="D222" s="442"/>
      <c r="E222" s="623"/>
      <c r="F222" s="623"/>
      <c r="G222" s="623"/>
      <c r="H222" s="623"/>
      <c r="I222" s="623"/>
      <c r="J222" s="623"/>
      <c r="K222" s="623"/>
      <c r="L222" s="623"/>
      <c r="M222" s="623"/>
      <c r="N222" s="623"/>
      <c r="O222" s="162"/>
    </row>
    <row r="223" spans="2:15" ht="15" hidden="1" customHeight="1" outlineLevel="1" x14ac:dyDescent="0.2">
      <c r="B223" s="96"/>
      <c r="C223" s="368"/>
      <c r="D223" s="442" t="s">
        <v>3773</v>
      </c>
      <c r="E223" s="634">
        <f>hSystemsTrainingCostPerFTE_O1*hSystemsTrainingFTEsWorstCaseO1</f>
        <v>1000</v>
      </c>
      <c r="F223" s="634">
        <f>hSystemsTrainingCostPerFTE_O1*hSystemsTrainingFTEsWorstCaseO1*(1+Inflation)</f>
        <v>1020</v>
      </c>
      <c r="G223" s="634">
        <f>hSystemsTrainingCostPerFTE_O1*hSystemsTrainingFTEsWorstCaseO1*(1+Inflation)^2</f>
        <v>1040.4000000000001</v>
      </c>
      <c r="H223" s="634">
        <f>hSystemsTrainingCostPerFTE_O1*hSystemsTrainingFTEsWorstCaseO1*(1+Inflation)^3</f>
        <v>1061.2079999999999</v>
      </c>
      <c r="I223" s="634">
        <f>hSystemsTrainingCostPerFTE_O1*hSystemsTrainingFTEsWorstCaseO1*(1+Inflation)^4</f>
        <v>1082.4321600000001</v>
      </c>
      <c r="J223" s="634">
        <f>hSystemsTrainingCostPerFTE_O1*hSystemsTrainingFTEsWorstCaseO1*(1+Inflation)^5</f>
        <v>1104.0808032</v>
      </c>
      <c r="K223" s="634">
        <f>hSystemsTrainingCostPerFTE_O1*hSystemsTrainingFTEsWorstCaseO1*(1+Inflation)^6</f>
        <v>1126.1624192640002</v>
      </c>
      <c r="L223" s="634">
        <f>hSystemsTrainingCostPerFTE_O1*hSystemsTrainingFTEsWorstCaseO1*(1+Inflation)^7</f>
        <v>1148.6856676492798</v>
      </c>
      <c r="M223" s="634">
        <f>hSystemsTrainingCostPerFTE_O1*hSystemsTrainingFTEsWorstCaseO1*(1+Inflation)^8</f>
        <v>1171.6593810022655</v>
      </c>
      <c r="N223" s="634">
        <f>hSystemsTrainingCostPerFTE_O1*hSystemsTrainingFTEsWorstCaseO1*(1+Inflation)^9</f>
        <v>1195.0925686223109</v>
      </c>
      <c r="O223" s="162" t="s">
        <v>3774</v>
      </c>
    </row>
    <row r="224" spans="2:15" ht="15" hidden="1" customHeight="1" outlineLevel="1" x14ac:dyDescent="0.2">
      <c r="B224" s="96"/>
      <c r="C224" s="368"/>
      <c r="D224" s="442" t="s">
        <v>3775</v>
      </c>
      <c r="E224" s="634">
        <f>hSystemsTrainingCostPerFTE_O1*hSystemsTrainingFTEsMostLikelyO1</f>
        <v>950.00000000000011</v>
      </c>
      <c r="F224" s="634">
        <f>hSystemsTrainingCostPerFTE_O1*hSystemsTrainingFTEsMostLikelyO1*(1+Inflation)</f>
        <v>969.00000000000011</v>
      </c>
      <c r="G224" s="634">
        <f>hSystemsTrainingCostPerFTE_O1*hSystemsTrainingFTEsMostLikelyO1*(1+Inflation)^2</f>
        <v>988.38000000000011</v>
      </c>
      <c r="H224" s="634">
        <f>hSystemsTrainingCostPerFTE_O1*hSystemsTrainingFTEsMostLikelyO1*(1+Inflation)^3</f>
        <v>1008.1476</v>
      </c>
      <c r="I224" s="634">
        <f>hSystemsTrainingCostPerFTE_O1*hSystemsTrainingFTEsMostLikelyO1*(1+Inflation)^4</f>
        <v>1028.3105520000001</v>
      </c>
      <c r="J224" s="634">
        <f>hSystemsTrainingCostPerFTE_O1*hSystemsTrainingFTEsMostLikelyO1*(1+Inflation)^5</f>
        <v>1048.8767630400002</v>
      </c>
      <c r="K224" s="634">
        <f>hSystemsTrainingCostPerFTE_O1*hSystemsTrainingFTEsMostLikelyO1*(1+Inflation)^6</f>
        <v>1069.8542983008001</v>
      </c>
      <c r="L224" s="634">
        <f>hSystemsTrainingCostPerFTE_O1*hSystemsTrainingFTEsMostLikelyO1*(1+Inflation)^7</f>
        <v>1091.2513842668159</v>
      </c>
      <c r="M224" s="634">
        <f>hSystemsTrainingCostPerFTE_O1*hSystemsTrainingFTEsMostLikelyO1*(1+Inflation)^8</f>
        <v>1113.0764119521523</v>
      </c>
      <c r="N224" s="634">
        <f>hSystemsTrainingCostPerFTE_O1*hSystemsTrainingFTEsMostLikelyO1*(1+Inflation)^9</f>
        <v>1135.3379401911955</v>
      </c>
      <c r="O224" s="162" t="s">
        <v>3776</v>
      </c>
    </row>
    <row r="225" spans="2:15" ht="15" hidden="1" customHeight="1" outlineLevel="1" x14ac:dyDescent="0.2">
      <c r="B225" s="96"/>
      <c r="C225" s="368"/>
      <c r="D225" s="442" t="s">
        <v>3777</v>
      </c>
      <c r="E225" s="634">
        <f>hSystemsTrainingCostPerFTE_O1*hSystemsTrainingFTEsBestCaseO1</f>
        <v>900</v>
      </c>
      <c r="F225" s="634">
        <f>hSystemsTrainingCostPerFTE_O1*hSystemsTrainingFTEsBestCaseO1*(1+Inflation)</f>
        <v>918</v>
      </c>
      <c r="G225" s="634">
        <f>hSystemsTrainingCostPerFTE_O1*hSystemsTrainingFTEsBestCaseO1*(1+Inflation)^2</f>
        <v>936.36</v>
      </c>
      <c r="H225" s="634">
        <f>hSystemsTrainingCostPerFTE_O1*hSystemsTrainingFTEsBestCaseO1*(1+Inflation)^3</f>
        <v>955.08719999999994</v>
      </c>
      <c r="I225" s="634">
        <f>hSystemsTrainingCostPerFTE_O1*hSystemsTrainingFTEsBestCaseO1*(1+Inflation)^4</f>
        <v>974.18894399999999</v>
      </c>
      <c r="J225" s="634">
        <f>hSystemsTrainingCostPerFTE_O1*hSystemsTrainingFTEsBestCaseO1*(1+Inflation)^5</f>
        <v>993.67272288000004</v>
      </c>
      <c r="K225" s="634">
        <f>hSystemsTrainingCostPerFTE_O1*hSystemsTrainingFTEsBestCaseO1*(1+Inflation)^6</f>
        <v>1013.5461773376001</v>
      </c>
      <c r="L225" s="634">
        <f>hSystemsTrainingCostPerFTE_O1*hSystemsTrainingFTEsBestCaseO1*(1+Inflation)^7</f>
        <v>1033.8171008843519</v>
      </c>
      <c r="M225" s="634">
        <f>hSystemsTrainingCostPerFTE_O1*hSystemsTrainingFTEsBestCaseO1*(1+Inflation)^8</f>
        <v>1054.4934429020391</v>
      </c>
      <c r="N225" s="634">
        <f>hSystemsTrainingCostPerFTE_O1*hSystemsTrainingFTEsBestCaseO1*(1+Inflation)^9</f>
        <v>1075.5833117600798</v>
      </c>
      <c r="O225" s="162" t="s">
        <v>3778</v>
      </c>
    </row>
    <row r="226" spans="2:15" ht="15" hidden="1" customHeight="1" outlineLevel="1" x14ac:dyDescent="0.2">
      <c r="C226" s="394"/>
      <c r="D226" s="5"/>
      <c r="E226" s="5"/>
      <c r="F226" s="5"/>
      <c r="G226" s="5"/>
      <c r="H226" s="5"/>
      <c r="I226" s="5"/>
      <c r="J226" s="5"/>
      <c r="K226" s="5"/>
      <c r="L226" s="5"/>
      <c r="M226" s="5"/>
      <c r="N226" s="5"/>
      <c r="O226" s="393"/>
    </row>
    <row r="227" spans="2:15" ht="15" hidden="1" customHeight="1" outlineLevel="1" x14ac:dyDescent="0.2">
      <c r="B227" s="96"/>
      <c r="C227" s="394"/>
      <c r="D227" s="149" t="s">
        <v>3634</v>
      </c>
      <c r="E227" s="5"/>
      <c r="F227" s="5"/>
      <c r="G227" s="5"/>
      <c r="H227" s="5"/>
      <c r="I227" s="5"/>
      <c r="J227" s="5"/>
      <c r="K227" s="5"/>
      <c r="L227" s="5"/>
      <c r="M227" s="5"/>
      <c r="N227" s="5"/>
      <c r="O227" s="393"/>
    </row>
    <row r="228" spans="2:15" ht="15" hidden="1" customHeight="1" outlineLevel="1" x14ac:dyDescent="0.2">
      <c r="B228" s="96"/>
      <c r="C228" s="394"/>
      <c r="D228" s="631">
        <v>1000</v>
      </c>
      <c r="E228" s="6"/>
      <c r="F228" s="6"/>
      <c r="G228" s="6"/>
      <c r="H228" s="6"/>
      <c r="I228" s="6"/>
      <c r="J228" s="6"/>
      <c r="K228" s="6"/>
      <c r="L228" s="6"/>
      <c r="M228" s="6"/>
      <c r="N228" s="6"/>
      <c r="O228" s="393"/>
    </row>
    <row r="229" spans="2:15" ht="15" hidden="1" customHeight="1" outlineLevel="1" x14ac:dyDescent="0.2">
      <c r="B229" s="96"/>
      <c r="C229" s="394"/>
      <c r="D229" s="442" t="s">
        <v>3610</v>
      </c>
      <c r="E229" s="632">
        <v>0.1</v>
      </c>
      <c r="F229" s="632">
        <v>0.1</v>
      </c>
      <c r="G229" s="632">
        <v>0.1</v>
      </c>
      <c r="H229" s="632">
        <v>0.1</v>
      </c>
      <c r="I229" s="632">
        <v>0.1</v>
      </c>
      <c r="J229" s="632">
        <v>0.1</v>
      </c>
      <c r="K229" s="632">
        <v>0.1</v>
      </c>
      <c r="L229" s="632">
        <v>0.1</v>
      </c>
      <c r="M229" s="632">
        <v>0.1</v>
      </c>
      <c r="N229" s="632">
        <v>0.1</v>
      </c>
      <c r="O229" s="162" t="s">
        <v>3779</v>
      </c>
    </row>
    <row r="230" spans="2:15" ht="15" hidden="1" customHeight="1" outlineLevel="1" x14ac:dyDescent="0.2">
      <c r="B230" s="96"/>
      <c r="C230" s="368"/>
      <c r="D230" s="442" t="s">
        <v>3780</v>
      </c>
      <c r="E230" s="633">
        <f t="shared" ref="E230:N230" si="46">hSystemsFTECalcResultWorstCaseO2*hSystemsTrainingPercentFTEsO2</f>
        <v>1</v>
      </c>
      <c r="F230" s="633">
        <f t="shared" si="46"/>
        <v>1</v>
      </c>
      <c r="G230" s="633">
        <f t="shared" si="46"/>
        <v>1</v>
      </c>
      <c r="H230" s="633">
        <f t="shared" si="46"/>
        <v>1</v>
      </c>
      <c r="I230" s="633">
        <f t="shared" si="46"/>
        <v>1</v>
      </c>
      <c r="J230" s="633">
        <f t="shared" si="46"/>
        <v>1</v>
      </c>
      <c r="K230" s="633">
        <f t="shared" si="46"/>
        <v>1</v>
      </c>
      <c r="L230" s="633">
        <f t="shared" si="46"/>
        <v>1</v>
      </c>
      <c r="M230" s="633">
        <f t="shared" si="46"/>
        <v>1</v>
      </c>
      <c r="N230" s="633">
        <f t="shared" si="46"/>
        <v>1</v>
      </c>
      <c r="O230" s="162" t="s">
        <v>3781</v>
      </c>
    </row>
    <row r="231" spans="2:15" ht="15" hidden="1" customHeight="1" outlineLevel="1" x14ac:dyDescent="0.2">
      <c r="B231" s="96"/>
      <c r="C231" s="368"/>
      <c r="D231" s="442" t="s">
        <v>3782</v>
      </c>
      <c r="E231" s="633">
        <f t="shared" ref="E231:N231" si="47">hSystemsFTECalcResultMostLikelyO2*hSystemsTrainingPercentFTEsO2</f>
        <v>0.95000000000000007</v>
      </c>
      <c r="F231" s="633">
        <f t="shared" si="47"/>
        <v>0.95000000000000007</v>
      </c>
      <c r="G231" s="633">
        <f t="shared" si="47"/>
        <v>0.95000000000000007</v>
      </c>
      <c r="H231" s="633">
        <f t="shared" si="47"/>
        <v>0.95000000000000007</v>
      </c>
      <c r="I231" s="633">
        <f t="shared" si="47"/>
        <v>0.95000000000000007</v>
      </c>
      <c r="J231" s="633">
        <f t="shared" si="47"/>
        <v>0.95000000000000007</v>
      </c>
      <c r="K231" s="633">
        <f t="shared" si="47"/>
        <v>0.95000000000000007</v>
      </c>
      <c r="L231" s="633">
        <f t="shared" si="47"/>
        <v>0.95000000000000007</v>
      </c>
      <c r="M231" s="633">
        <f t="shared" si="47"/>
        <v>0.95000000000000007</v>
      </c>
      <c r="N231" s="633">
        <f t="shared" si="47"/>
        <v>0.95000000000000007</v>
      </c>
      <c r="O231" s="162" t="s">
        <v>3783</v>
      </c>
    </row>
    <row r="232" spans="2:15" ht="15" hidden="1" customHeight="1" outlineLevel="1" x14ac:dyDescent="0.2">
      <c r="B232" s="96"/>
      <c r="C232" s="368"/>
      <c r="D232" s="442" t="s">
        <v>3784</v>
      </c>
      <c r="E232" s="633">
        <f t="shared" ref="E232:N232" si="48">hSystemsFTECalcResultBestCaseO2*hSystemsTrainingPercentFTEsO2</f>
        <v>0.9</v>
      </c>
      <c r="F232" s="633">
        <f t="shared" si="48"/>
        <v>0.9</v>
      </c>
      <c r="G232" s="633">
        <f t="shared" si="48"/>
        <v>0.9</v>
      </c>
      <c r="H232" s="633">
        <f t="shared" si="48"/>
        <v>0.9</v>
      </c>
      <c r="I232" s="633">
        <f t="shared" si="48"/>
        <v>0.9</v>
      </c>
      <c r="J232" s="633">
        <f t="shared" si="48"/>
        <v>0.9</v>
      </c>
      <c r="K232" s="633">
        <f t="shared" si="48"/>
        <v>0.9</v>
      </c>
      <c r="L232" s="633">
        <f t="shared" si="48"/>
        <v>0.9</v>
      </c>
      <c r="M232" s="633">
        <f t="shared" si="48"/>
        <v>0.9</v>
      </c>
      <c r="N232" s="633">
        <f t="shared" si="48"/>
        <v>0.9</v>
      </c>
      <c r="O232" s="162" t="s">
        <v>3785</v>
      </c>
    </row>
    <row r="233" spans="2:15" s="8" customFormat="1" ht="15" hidden="1" customHeight="1" outlineLevel="1" x14ac:dyDescent="0.2">
      <c r="B233" s="622"/>
      <c r="C233" s="441"/>
      <c r="D233" s="442"/>
      <c r="E233" s="623"/>
      <c r="F233" s="623"/>
      <c r="G233" s="623"/>
      <c r="H233" s="623"/>
      <c r="I233" s="623"/>
      <c r="J233" s="623"/>
      <c r="K233" s="623"/>
      <c r="L233" s="623"/>
      <c r="M233" s="623"/>
      <c r="N233" s="623"/>
      <c r="O233" s="162"/>
    </row>
    <row r="234" spans="2:15" ht="15" hidden="1" customHeight="1" outlineLevel="1" x14ac:dyDescent="0.2">
      <c r="B234" s="96"/>
      <c r="C234" s="368"/>
      <c r="D234" s="442" t="s">
        <v>3786</v>
      </c>
      <c r="E234" s="634">
        <f>hSystemsTrainingCostPerFTE_O2*hSystemsTrainingFTEsWorstCaseO2</f>
        <v>1000</v>
      </c>
      <c r="F234" s="634">
        <f>hSystemsTrainingCostPerFTE_O2*hSystemsTrainingFTEsWorstCaseO2*(1+Inflation)</f>
        <v>1020</v>
      </c>
      <c r="G234" s="634">
        <f>hSystemsTrainingCostPerFTE_O2*hSystemsTrainingFTEsWorstCaseO2*(1+Inflation)^2</f>
        <v>1040.4000000000001</v>
      </c>
      <c r="H234" s="634">
        <f>hSystemsTrainingCostPerFTE_O2*hSystemsTrainingFTEsWorstCaseO2*(1+Inflation)^3</f>
        <v>1061.2079999999999</v>
      </c>
      <c r="I234" s="634">
        <f>hSystemsTrainingCostPerFTE_O2*hSystemsTrainingFTEsWorstCaseO2*(1+Inflation)^4</f>
        <v>1082.4321600000001</v>
      </c>
      <c r="J234" s="634">
        <f>hSystemsTrainingCostPerFTE_O2*hSystemsTrainingFTEsWorstCaseO2*(1+Inflation)^5</f>
        <v>1104.0808032</v>
      </c>
      <c r="K234" s="634">
        <f>hSystemsTrainingCostPerFTE_O2*hSystemsTrainingFTEsWorstCaseO2*(1+Inflation)^6</f>
        <v>1126.1624192640002</v>
      </c>
      <c r="L234" s="634">
        <f>hSystemsTrainingCostPerFTE_O2*hSystemsTrainingFTEsWorstCaseO2*(1+Inflation)^7</f>
        <v>1148.6856676492798</v>
      </c>
      <c r="M234" s="634">
        <f>hSystemsTrainingCostPerFTE_O2*hSystemsTrainingFTEsWorstCaseO2*(1+Inflation)^8</f>
        <v>1171.6593810022655</v>
      </c>
      <c r="N234" s="634">
        <f>hSystemsTrainingCostPerFTE_O2*hSystemsTrainingFTEsWorstCaseO2*(1+Inflation)^9</f>
        <v>1195.0925686223109</v>
      </c>
      <c r="O234" s="162" t="s">
        <v>3787</v>
      </c>
    </row>
    <row r="235" spans="2:15" ht="15" hidden="1" customHeight="1" outlineLevel="1" x14ac:dyDescent="0.2">
      <c r="B235" s="96"/>
      <c r="C235" s="368"/>
      <c r="D235" s="442" t="s">
        <v>3788</v>
      </c>
      <c r="E235" s="634">
        <f>hSystemsTrainingCostPerFTE_O2*hSystemsTrainingFTEsMostLikelyO2</f>
        <v>950.00000000000011</v>
      </c>
      <c r="F235" s="634">
        <f>hSystemsTrainingCostPerFTE_O2*hSystemsTrainingFTEsMostLikelyO2*(1+Inflation)</f>
        <v>969.00000000000011</v>
      </c>
      <c r="G235" s="634">
        <f>hSystemsTrainingCostPerFTE_O2*hSystemsTrainingFTEsMostLikelyO2*(1+Inflation)^2</f>
        <v>988.38000000000011</v>
      </c>
      <c r="H235" s="634">
        <f>hSystemsTrainingCostPerFTE_O2*hSystemsTrainingFTEsMostLikelyO2*(1+Inflation)^3</f>
        <v>1008.1476</v>
      </c>
      <c r="I235" s="634">
        <f>hSystemsTrainingCostPerFTE_O2*hSystemsTrainingFTEsMostLikelyO2*(1+Inflation)^4</f>
        <v>1028.3105520000001</v>
      </c>
      <c r="J235" s="634">
        <f>hSystemsTrainingCostPerFTE_O2*hSystemsTrainingFTEsMostLikelyO2*(1+Inflation)^5</f>
        <v>1048.8767630400002</v>
      </c>
      <c r="K235" s="634">
        <f>hSystemsTrainingCostPerFTE_O2*hSystemsTrainingFTEsMostLikelyO2*(1+Inflation)^6</f>
        <v>1069.8542983008001</v>
      </c>
      <c r="L235" s="634">
        <f>hSystemsTrainingCostPerFTE_O2*hSystemsTrainingFTEsMostLikelyO2*(1+Inflation)^7</f>
        <v>1091.2513842668159</v>
      </c>
      <c r="M235" s="634">
        <f>hSystemsTrainingCostPerFTE_O2*hSystemsTrainingFTEsMostLikelyO2*(1+Inflation)^8</f>
        <v>1113.0764119521523</v>
      </c>
      <c r="N235" s="634">
        <f>hSystemsTrainingCostPerFTE_O2*hSystemsTrainingFTEsMostLikelyO2*(1+Inflation)^9</f>
        <v>1135.3379401911955</v>
      </c>
      <c r="O235" s="162" t="s">
        <v>3789</v>
      </c>
    </row>
    <row r="236" spans="2:15" ht="15" hidden="1" customHeight="1" outlineLevel="1" x14ac:dyDescent="0.2">
      <c r="B236" s="96"/>
      <c r="C236" s="368"/>
      <c r="D236" s="442" t="s">
        <v>3790</v>
      </c>
      <c r="E236" s="634">
        <f>hSystemsTrainingCostPerFTE_O2*hSystemsTrainingFTEsBestCaseO2</f>
        <v>900</v>
      </c>
      <c r="F236" s="634">
        <f>hSystemsTrainingCostPerFTE_O2*hSystemsTrainingFTEsBestCaseO2*(1+Inflation)</f>
        <v>918</v>
      </c>
      <c r="G236" s="634">
        <f>hSystemsTrainingCostPerFTE_O2*hSystemsTrainingFTEsBestCaseO2*(1+Inflation)^2</f>
        <v>936.36</v>
      </c>
      <c r="H236" s="634">
        <f>hSystemsTrainingCostPerFTE_O2*hSystemsTrainingFTEsBestCaseO2*(1+Inflation)^3</f>
        <v>955.08719999999994</v>
      </c>
      <c r="I236" s="634">
        <f>hSystemsTrainingCostPerFTE_O2*hSystemsTrainingFTEsBestCaseO2*(1+Inflation)^4</f>
        <v>974.18894399999999</v>
      </c>
      <c r="J236" s="634">
        <f>hSystemsTrainingCostPerFTE_O2*hSystemsTrainingFTEsBestCaseO2*(1+Inflation)^5</f>
        <v>993.67272288000004</v>
      </c>
      <c r="K236" s="634">
        <f>hSystemsTrainingCostPerFTE_O2*hSystemsTrainingFTEsBestCaseO2*(1+Inflation)^6</f>
        <v>1013.5461773376001</v>
      </c>
      <c r="L236" s="634">
        <f>hSystemsTrainingCostPerFTE_O2*hSystemsTrainingFTEsBestCaseO2*(1+Inflation)^7</f>
        <v>1033.8171008843519</v>
      </c>
      <c r="M236" s="634">
        <f>hSystemsTrainingCostPerFTE_O2*hSystemsTrainingFTEsBestCaseO2*(1+Inflation)^8</f>
        <v>1054.4934429020391</v>
      </c>
      <c r="N236" s="634">
        <f>hSystemsTrainingCostPerFTE_O2*hSystemsTrainingFTEsBestCaseO2*(1+Inflation)^9</f>
        <v>1075.5833117600798</v>
      </c>
      <c r="O236" s="162" t="s">
        <v>3791</v>
      </c>
    </row>
    <row r="237" spans="2:15" ht="15" hidden="1" customHeight="1" outlineLevel="1" x14ac:dyDescent="0.2">
      <c r="C237" s="394"/>
      <c r="D237" s="5"/>
      <c r="E237" s="5"/>
      <c r="F237" s="5"/>
      <c r="G237" s="5"/>
      <c r="H237" s="5"/>
      <c r="I237" s="5"/>
      <c r="J237" s="5"/>
      <c r="K237" s="5"/>
      <c r="L237" s="5"/>
      <c r="M237" s="5"/>
      <c r="N237" s="5"/>
      <c r="O237" s="393"/>
    </row>
    <row r="238" spans="2:15" ht="14.1" hidden="1" customHeight="1" outlineLevel="1" thickBot="1" x14ac:dyDescent="0.25">
      <c r="B238" s="95"/>
      <c r="C238" s="238"/>
      <c r="D238" s="518"/>
      <c r="E238" s="518"/>
      <c r="F238" s="518"/>
      <c r="G238" s="518"/>
      <c r="H238" s="518"/>
      <c r="I238" s="518"/>
      <c r="J238" s="518"/>
      <c r="K238" s="518"/>
      <c r="L238" s="518"/>
      <c r="M238" s="518"/>
      <c r="N238" s="518"/>
      <c r="O238" s="635"/>
    </row>
    <row r="239" spans="2:15" ht="14.1" hidden="1" customHeight="1" outlineLevel="1" thickBot="1" x14ac:dyDescent="0.25">
      <c r="B239" s="95"/>
      <c r="C239" s="6"/>
      <c r="D239" s="6"/>
      <c r="E239" s="6"/>
      <c r="F239" s="6"/>
      <c r="G239" s="6"/>
      <c r="H239" s="6"/>
      <c r="I239" s="6"/>
      <c r="J239" s="6"/>
      <c r="K239" s="6"/>
      <c r="L239" s="6"/>
      <c r="M239" s="6"/>
      <c r="N239" s="6"/>
      <c r="O239" s="84"/>
    </row>
    <row r="240" spans="2:15" s="47" customFormat="1" ht="26.25" hidden="1" outlineLevel="1" x14ac:dyDescent="0.2">
      <c r="B240"/>
      <c r="C240" s="279" t="str">
        <f>Scenario3&amp;" - Training Requirements Cost Calculations"</f>
        <v>eSystems (Paperless) - Training Requirements Cost Calculations</v>
      </c>
      <c r="D240" s="392"/>
      <c r="E240" s="392"/>
      <c r="F240" s="392"/>
      <c r="G240" s="392"/>
      <c r="H240" s="392"/>
      <c r="I240" s="392"/>
      <c r="J240" s="392"/>
      <c r="K240" s="392"/>
      <c r="L240" s="392"/>
      <c r="M240" s="392"/>
      <c r="N240" s="392"/>
      <c r="O240" s="630"/>
    </row>
    <row r="241" spans="2:15" hidden="1" outlineLevel="1" x14ac:dyDescent="0.2">
      <c r="C241" s="394"/>
      <c r="D241" s="5"/>
      <c r="E241" s="5"/>
      <c r="F241" s="5"/>
      <c r="G241" s="5"/>
      <c r="H241" s="5"/>
      <c r="I241" s="5"/>
      <c r="J241" s="5"/>
      <c r="K241" s="5"/>
      <c r="L241" s="5"/>
      <c r="M241" s="5"/>
      <c r="N241" s="5"/>
      <c r="O241" s="393"/>
    </row>
    <row r="242" spans="2:15" ht="15" hidden="1" customHeight="1" outlineLevel="1" x14ac:dyDescent="0.2">
      <c r="C242" s="368"/>
      <c r="D242" s="5"/>
      <c r="E242" s="5"/>
      <c r="F242" s="5"/>
      <c r="G242" s="5"/>
      <c r="H242" s="5"/>
      <c r="I242" s="5"/>
      <c r="J242" s="5"/>
      <c r="K242" s="5"/>
      <c r="L242" s="5"/>
      <c r="M242" s="5"/>
      <c r="N242" s="5"/>
      <c r="O242" s="393"/>
    </row>
    <row r="243" spans="2:15" ht="15" hidden="1" customHeight="1" outlineLevel="1" x14ac:dyDescent="0.2">
      <c r="B243" s="96"/>
      <c r="C243" s="394"/>
      <c r="D243" s="149" t="s">
        <v>3792</v>
      </c>
      <c r="E243" s="5"/>
      <c r="F243" s="5"/>
      <c r="G243" s="5"/>
      <c r="H243" s="5"/>
      <c r="I243" s="5"/>
      <c r="J243" s="5"/>
      <c r="K243" s="5"/>
      <c r="L243" s="5"/>
      <c r="M243" s="5"/>
      <c r="N243" s="5"/>
      <c r="O243" s="393"/>
    </row>
    <row r="244" spans="2:15" ht="15" hidden="1" customHeight="1" outlineLevel="1" x14ac:dyDescent="0.2">
      <c r="B244" s="96"/>
      <c r="C244" s="394"/>
      <c r="D244" s="631">
        <v>1000</v>
      </c>
      <c r="E244" s="6"/>
      <c r="F244" s="6"/>
      <c r="G244" s="6"/>
      <c r="H244" s="6"/>
      <c r="I244" s="6"/>
      <c r="J244" s="6"/>
      <c r="K244" s="6"/>
      <c r="L244" s="6"/>
      <c r="M244" s="6"/>
      <c r="N244" s="6"/>
      <c r="O244" s="393"/>
    </row>
    <row r="245" spans="2:15" ht="15" hidden="1" customHeight="1" outlineLevel="1" x14ac:dyDescent="0.2">
      <c r="B245" s="96"/>
      <c r="C245" s="394"/>
      <c r="D245" s="94" t="s">
        <v>276</v>
      </c>
      <c r="E245" s="632">
        <v>0.9</v>
      </c>
      <c r="F245" s="632">
        <v>0.1</v>
      </c>
      <c r="G245" s="632">
        <v>0.1</v>
      </c>
      <c r="H245" s="632">
        <v>0.1</v>
      </c>
      <c r="I245" s="632">
        <v>0.1</v>
      </c>
      <c r="J245" s="632">
        <v>0.1</v>
      </c>
      <c r="K245" s="632">
        <v>0.1</v>
      </c>
      <c r="L245" s="632">
        <v>0.1</v>
      </c>
      <c r="M245" s="632">
        <v>0.1</v>
      </c>
      <c r="N245" s="632">
        <v>0.1</v>
      </c>
      <c r="O245" s="162" t="s">
        <v>3793</v>
      </c>
    </row>
    <row r="246" spans="2:15" ht="15" hidden="1" customHeight="1" outlineLevel="1" x14ac:dyDescent="0.2">
      <c r="B246" s="96"/>
      <c r="C246" s="368"/>
      <c r="D246" s="442" t="s">
        <v>3635</v>
      </c>
      <c r="E246" s="633">
        <f t="shared" ref="E246:N246" si="49">eSystemsFTECalcResultWorstCaseLM*eSystemsTrainingPercentFTEsLM</f>
        <v>1350</v>
      </c>
      <c r="F246" s="633">
        <f t="shared" si="49"/>
        <v>150</v>
      </c>
      <c r="G246" s="633">
        <f t="shared" si="49"/>
        <v>150</v>
      </c>
      <c r="H246" s="633">
        <f t="shared" si="49"/>
        <v>150</v>
      </c>
      <c r="I246" s="633">
        <f t="shared" si="49"/>
        <v>150</v>
      </c>
      <c r="J246" s="633">
        <f t="shared" si="49"/>
        <v>150</v>
      </c>
      <c r="K246" s="633">
        <f t="shared" si="49"/>
        <v>150</v>
      </c>
      <c r="L246" s="633">
        <f t="shared" si="49"/>
        <v>150</v>
      </c>
      <c r="M246" s="633">
        <f t="shared" si="49"/>
        <v>150</v>
      </c>
      <c r="N246" s="633">
        <f t="shared" si="49"/>
        <v>150</v>
      </c>
      <c r="O246" s="162" t="s">
        <v>3794</v>
      </c>
    </row>
    <row r="247" spans="2:15" ht="15" hidden="1" customHeight="1" outlineLevel="1" x14ac:dyDescent="0.2">
      <c r="B247" s="96"/>
      <c r="C247" s="368"/>
      <c r="D247" s="442" t="s">
        <v>3636</v>
      </c>
      <c r="E247" s="633">
        <f t="shared" ref="E247:N247" si="50">eSystemsFTECalcResultMostLikelyLM*eSystemsTrainingPercentFTEsLM</f>
        <v>1215</v>
      </c>
      <c r="F247" s="633">
        <f t="shared" si="50"/>
        <v>135</v>
      </c>
      <c r="G247" s="633">
        <f t="shared" si="50"/>
        <v>135</v>
      </c>
      <c r="H247" s="633">
        <f t="shared" si="50"/>
        <v>135</v>
      </c>
      <c r="I247" s="633">
        <f t="shared" si="50"/>
        <v>135</v>
      </c>
      <c r="J247" s="633">
        <f t="shared" si="50"/>
        <v>135</v>
      </c>
      <c r="K247" s="633">
        <f t="shared" si="50"/>
        <v>135</v>
      </c>
      <c r="L247" s="633">
        <f t="shared" si="50"/>
        <v>135</v>
      </c>
      <c r="M247" s="633">
        <f t="shared" si="50"/>
        <v>135</v>
      </c>
      <c r="N247" s="633">
        <f t="shared" si="50"/>
        <v>135</v>
      </c>
      <c r="O247" s="162" t="s">
        <v>3795</v>
      </c>
    </row>
    <row r="248" spans="2:15" ht="15" hidden="1" customHeight="1" outlineLevel="1" x14ac:dyDescent="0.2">
      <c r="B248" s="96"/>
      <c r="C248" s="368"/>
      <c r="D248" s="442" t="s">
        <v>3637</v>
      </c>
      <c r="E248" s="633">
        <f t="shared" ref="E248:N248" si="51">eSystemsFTECalcResultBestCaseLM*eSystemsTrainingPercentFTEsLM</f>
        <v>1147.5</v>
      </c>
      <c r="F248" s="633">
        <f t="shared" si="51"/>
        <v>127.5</v>
      </c>
      <c r="G248" s="633">
        <f t="shared" si="51"/>
        <v>127.5</v>
      </c>
      <c r="H248" s="633">
        <f t="shared" si="51"/>
        <v>127.5</v>
      </c>
      <c r="I248" s="633">
        <f t="shared" si="51"/>
        <v>127.5</v>
      </c>
      <c r="J248" s="633">
        <f t="shared" si="51"/>
        <v>127.5</v>
      </c>
      <c r="K248" s="633">
        <f t="shared" si="51"/>
        <v>127.5</v>
      </c>
      <c r="L248" s="633">
        <f t="shared" si="51"/>
        <v>127.5</v>
      </c>
      <c r="M248" s="633">
        <f t="shared" si="51"/>
        <v>127.5</v>
      </c>
      <c r="N248" s="633">
        <f t="shared" si="51"/>
        <v>127.5</v>
      </c>
      <c r="O248" s="162" t="s">
        <v>3796</v>
      </c>
    </row>
    <row r="249" spans="2:15" s="8" customFormat="1" ht="15" hidden="1" customHeight="1" outlineLevel="1" x14ac:dyDescent="0.2">
      <c r="B249" s="622"/>
      <c r="C249" s="441"/>
      <c r="D249" s="442"/>
      <c r="E249" s="623"/>
      <c r="F249" s="623"/>
      <c r="G249" s="623"/>
      <c r="H249" s="623"/>
      <c r="I249" s="623"/>
      <c r="J249" s="623"/>
      <c r="K249" s="623"/>
      <c r="L249" s="623"/>
      <c r="M249" s="623"/>
      <c r="N249" s="623"/>
      <c r="O249" s="162"/>
    </row>
    <row r="250" spans="2:15" ht="15" hidden="1" customHeight="1" outlineLevel="1" x14ac:dyDescent="0.2">
      <c r="B250" s="96"/>
      <c r="C250" s="368"/>
      <c r="D250" s="94" t="s">
        <v>3797</v>
      </c>
      <c r="E250" s="634">
        <f>eSystemsTrainingCostPerFTE_LM*eSystemsTrainingFTEsWorstCaseLM</f>
        <v>1350000</v>
      </c>
      <c r="F250" s="634">
        <f>eSystemsTrainingCostPerFTE_LM*eSystemsTrainingFTEsWorstCaseLM*(1+Inflation)</f>
        <v>153000</v>
      </c>
      <c r="G250" s="634">
        <f>eSystemsTrainingCostPerFTE_LM*eSystemsTrainingFTEsWorstCaseLM*(1+Inflation)^2</f>
        <v>156060</v>
      </c>
      <c r="H250" s="634">
        <f>eSystemsTrainingCostPerFTE_LM*eSystemsTrainingFTEsWorstCaseLM*(1+Inflation)^3</f>
        <v>159181.19999999998</v>
      </c>
      <c r="I250" s="634">
        <f>eSystemsTrainingCostPerFTE_LM*eSystemsTrainingFTEsWorstCaseLM*(1+Inflation)^4</f>
        <v>162364.82399999999</v>
      </c>
      <c r="J250" s="634">
        <f>eSystemsTrainingCostPerFTE_LM*eSystemsTrainingFTEsWorstCaseLM*(1+Inflation)^5</f>
        <v>165612.12048000001</v>
      </c>
      <c r="K250" s="634">
        <f>eSystemsTrainingCostPerFTE_LM*eSystemsTrainingFTEsWorstCaseLM*(1+Inflation)^6</f>
        <v>168924.36288960002</v>
      </c>
      <c r="L250" s="634">
        <f>eSystemsTrainingCostPerFTE_LM*eSystemsTrainingFTEsWorstCaseLM*(1+Inflation)^7</f>
        <v>172302.85014739196</v>
      </c>
      <c r="M250" s="634">
        <f>eSystemsTrainingCostPerFTE_LM*eSystemsTrainingFTEsWorstCaseLM*(1+Inflation)^8</f>
        <v>175748.90715033983</v>
      </c>
      <c r="N250" s="634">
        <f>eSystemsTrainingCostPerFTE_LM*eSystemsTrainingFTEsWorstCaseLM*(1+Inflation)^9</f>
        <v>179263.88529334663</v>
      </c>
      <c r="O250" s="162" t="s">
        <v>3798</v>
      </c>
    </row>
    <row r="251" spans="2:15" ht="15" hidden="1" customHeight="1" outlineLevel="1" x14ac:dyDescent="0.2">
      <c r="B251" s="96"/>
      <c r="C251" s="368"/>
      <c r="D251" s="94" t="s">
        <v>3799</v>
      </c>
      <c r="E251" s="634">
        <f>eSystemsTrainingCostPerFTE_LM*eSystemsTrainingFTEsMostLikelyLM</f>
        <v>1215000</v>
      </c>
      <c r="F251" s="634">
        <f>eSystemsTrainingCostPerFTE_LM*eSystemsTrainingFTEsMostLikelyLM*(1+Inflation)</f>
        <v>137700</v>
      </c>
      <c r="G251" s="634">
        <f>eSystemsTrainingCostPerFTE_LM*eSystemsTrainingFTEsMostLikelyLM*(1+Inflation)^2</f>
        <v>140454</v>
      </c>
      <c r="H251" s="634">
        <f>eSystemsTrainingCostPerFTE_LM*eSystemsTrainingFTEsMostLikelyLM*(1+Inflation)^3</f>
        <v>143263.07999999999</v>
      </c>
      <c r="I251" s="634">
        <f>eSystemsTrainingCostPerFTE_LM*eSystemsTrainingFTEsMostLikelyLM*(1+Inflation)^4</f>
        <v>146128.34159999999</v>
      </c>
      <c r="J251" s="634">
        <f>eSystemsTrainingCostPerFTE_LM*eSystemsTrainingFTEsMostLikelyLM*(1+Inflation)^5</f>
        <v>149050.908432</v>
      </c>
      <c r="K251" s="634">
        <f>eSystemsTrainingCostPerFTE_LM*eSystemsTrainingFTEsMostLikelyLM*(1+Inflation)^6</f>
        <v>152031.92660064</v>
      </c>
      <c r="L251" s="634">
        <f>eSystemsTrainingCostPerFTE_LM*eSystemsTrainingFTEsMostLikelyLM*(1+Inflation)^7</f>
        <v>155072.56513265279</v>
      </c>
      <c r="M251" s="634">
        <f>eSystemsTrainingCostPerFTE_LM*eSystemsTrainingFTEsMostLikelyLM*(1+Inflation)^8</f>
        <v>158174.01643530585</v>
      </c>
      <c r="N251" s="634">
        <f>eSystemsTrainingCostPerFTE_LM*eSystemsTrainingFTEsMostLikelyLM*(1+Inflation)^9</f>
        <v>161337.49676401197</v>
      </c>
      <c r="O251" s="162" t="s">
        <v>3800</v>
      </c>
    </row>
    <row r="252" spans="2:15" ht="15" hidden="1" customHeight="1" outlineLevel="1" x14ac:dyDescent="0.2">
      <c r="B252" s="96"/>
      <c r="C252" s="368"/>
      <c r="D252" s="94" t="s">
        <v>3801</v>
      </c>
      <c r="E252" s="634">
        <f>eSystemsTrainingCostPerFTE_LM*eSystemsTrainingFTEsBestCaseLM</f>
        <v>1147500</v>
      </c>
      <c r="F252" s="634">
        <f>eSystemsTrainingCostPerFTE_LM*eSystemsTrainingFTEsBestCaseLM*(1+Inflation)</f>
        <v>130050</v>
      </c>
      <c r="G252" s="634">
        <f>eSystemsTrainingCostPerFTE_LM*eSystemsTrainingFTEsBestCaseLM*(1+Inflation)^2</f>
        <v>132651</v>
      </c>
      <c r="H252" s="634">
        <f>eSystemsTrainingCostPerFTE_LM*eSystemsTrainingFTEsBestCaseLM*(1+Inflation)^3</f>
        <v>135304.01999999999</v>
      </c>
      <c r="I252" s="634">
        <f>eSystemsTrainingCostPerFTE_LM*eSystemsTrainingFTEsBestCaseLM*(1+Inflation)^4</f>
        <v>138010.1004</v>
      </c>
      <c r="J252" s="634">
        <f>eSystemsTrainingCostPerFTE_LM*eSystemsTrainingFTEsBestCaseLM*(1+Inflation)^5</f>
        <v>140770.30240799999</v>
      </c>
      <c r="K252" s="634">
        <f>eSystemsTrainingCostPerFTE_LM*eSystemsTrainingFTEsBestCaseLM*(1+Inflation)^6</f>
        <v>143585.70845616001</v>
      </c>
      <c r="L252" s="634">
        <f>eSystemsTrainingCostPerFTE_LM*eSystemsTrainingFTEsBestCaseLM*(1+Inflation)^7</f>
        <v>146457.42262528319</v>
      </c>
      <c r="M252" s="634">
        <f>eSystemsTrainingCostPerFTE_LM*eSystemsTrainingFTEsBestCaseLM*(1+Inflation)^8</f>
        <v>149386.57107778886</v>
      </c>
      <c r="N252" s="634">
        <f>eSystemsTrainingCostPerFTE_LM*eSystemsTrainingFTEsBestCaseLM*(1+Inflation)^9</f>
        <v>152374.30249934463</v>
      </c>
      <c r="O252" s="162" t="s">
        <v>3802</v>
      </c>
    </row>
    <row r="253" spans="2:15" ht="11.45" hidden="1" customHeight="1" outlineLevel="1" x14ac:dyDescent="0.2">
      <c r="C253" s="394"/>
      <c r="D253" s="5"/>
      <c r="E253" s="5"/>
      <c r="F253" s="5"/>
      <c r="G253" s="5"/>
      <c r="H253" s="5"/>
      <c r="I253" s="5"/>
      <c r="J253" s="5"/>
      <c r="K253" s="5"/>
      <c r="L253" s="5"/>
      <c r="M253" s="5"/>
      <c r="N253" s="5"/>
      <c r="O253" s="393"/>
    </row>
    <row r="254" spans="2:15" ht="15" hidden="1" customHeight="1" outlineLevel="1" x14ac:dyDescent="0.2">
      <c r="B254" s="96"/>
      <c r="C254" s="394"/>
      <c r="D254" s="149" t="s">
        <v>3803</v>
      </c>
      <c r="E254" s="5"/>
      <c r="F254" s="5"/>
      <c r="G254" s="5"/>
      <c r="H254" s="5"/>
      <c r="I254" s="5"/>
      <c r="J254" s="5"/>
      <c r="K254" s="5"/>
      <c r="L254" s="5"/>
      <c r="M254" s="5"/>
      <c r="N254" s="5"/>
      <c r="O254" s="393"/>
    </row>
    <row r="255" spans="2:15" ht="15" hidden="1" customHeight="1" outlineLevel="1" x14ac:dyDescent="0.2">
      <c r="B255" s="96"/>
      <c r="C255" s="394"/>
      <c r="D255" s="631">
        <v>1000</v>
      </c>
      <c r="E255" s="6"/>
      <c r="F255" s="6"/>
      <c r="G255" s="6"/>
      <c r="H255" s="6"/>
      <c r="I255" s="6"/>
      <c r="J255" s="6"/>
      <c r="K255" s="6"/>
      <c r="L255" s="6"/>
      <c r="M255" s="6"/>
      <c r="N255" s="6"/>
      <c r="O255" s="393"/>
    </row>
    <row r="256" spans="2:15" ht="15" hidden="1" customHeight="1" outlineLevel="1" x14ac:dyDescent="0.2">
      <c r="B256" s="96"/>
      <c r="C256" s="394"/>
      <c r="D256" s="442" t="s">
        <v>284</v>
      </c>
      <c r="E256" s="632">
        <v>0.9</v>
      </c>
      <c r="F256" s="632">
        <v>0.1</v>
      </c>
      <c r="G256" s="632">
        <v>0.1</v>
      </c>
      <c r="H256" s="632">
        <v>0.1</v>
      </c>
      <c r="I256" s="632">
        <v>0.1</v>
      </c>
      <c r="J256" s="632">
        <v>0.1</v>
      </c>
      <c r="K256" s="632">
        <v>0.1</v>
      </c>
      <c r="L256" s="632">
        <v>0.1</v>
      </c>
      <c r="M256" s="632">
        <v>0.1</v>
      </c>
      <c r="N256" s="632">
        <v>0.1</v>
      </c>
      <c r="O256" s="162" t="s">
        <v>3804</v>
      </c>
    </row>
    <row r="257" spans="2:15" ht="15" hidden="1" customHeight="1" outlineLevel="1" x14ac:dyDescent="0.2">
      <c r="B257" s="96"/>
      <c r="C257" s="368"/>
      <c r="D257" s="442" t="s">
        <v>3649</v>
      </c>
      <c r="E257" s="633">
        <f t="shared" ref="E257:N257" si="52">eSystemsFTECalcResultWorstCaseHM*eSystemsTrainingPercentFTEsHM</f>
        <v>900</v>
      </c>
      <c r="F257" s="633">
        <f t="shared" si="52"/>
        <v>100</v>
      </c>
      <c r="G257" s="633">
        <f t="shared" si="52"/>
        <v>100</v>
      </c>
      <c r="H257" s="633">
        <f t="shared" si="52"/>
        <v>100</v>
      </c>
      <c r="I257" s="633">
        <f t="shared" si="52"/>
        <v>100</v>
      </c>
      <c r="J257" s="633">
        <f t="shared" si="52"/>
        <v>100</v>
      </c>
      <c r="K257" s="633">
        <f t="shared" si="52"/>
        <v>100</v>
      </c>
      <c r="L257" s="633">
        <f t="shared" si="52"/>
        <v>100</v>
      </c>
      <c r="M257" s="633">
        <f t="shared" si="52"/>
        <v>100</v>
      </c>
      <c r="N257" s="633">
        <f t="shared" si="52"/>
        <v>100</v>
      </c>
      <c r="O257" s="162" t="s">
        <v>3805</v>
      </c>
    </row>
    <row r="258" spans="2:15" ht="15" hidden="1" customHeight="1" outlineLevel="1" x14ac:dyDescent="0.2">
      <c r="B258" s="96"/>
      <c r="C258" s="368"/>
      <c r="D258" s="442" t="s">
        <v>3651</v>
      </c>
      <c r="E258" s="633">
        <f t="shared" ref="E258:N258" si="53">eSystemsFTECalcResultMostLikelyHM*eSystemsTrainingPercentFTEsHM</f>
        <v>810</v>
      </c>
      <c r="F258" s="633">
        <f t="shared" si="53"/>
        <v>90</v>
      </c>
      <c r="G258" s="633">
        <f t="shared" si="53"/>
        <v>90</v>
      </c>
      <c r="H258" s="633">
        <f t="shared" si="53"/>
        <v>90</v>
      </c>
      <c r="I258" s="633">
        <f t="shared" si="53"/>
        <v>90</v>
      </c>
      <c r="J258" s="633">
        <f t="shared" si="53"/>
        <v>90</v>
      </c>
      <c r="K258" s="633">
        <f t="shared" si="53"/>
        <v>90</v>
      </c>
      <c r="L258" s="633">
        <f t="shared" si="53"/>
        <v>90</v>
      </c>
      <c r="M258" s="633">
        <f t="shared" si="53"/>
        <v>90</v>
      </c>
      <c r="N258" s="633">
        <f t="shared" si="53"/>
        <v>90</v>
      </c>
      <c r="O258" s="162" t="s">
        <v>3806</v>
      </c>
    </row>
    <row r="259" spans="2:15" ht="15" hidden="1" customHeight="1" outlineLevel="1" x14ac:dyDescent="0.2">
      <c r="B259" s="96"/>
      <c r="C259" s="368"/>
      <c r="D259" s="442" t="s">
        <v>3653</v>
      </c>
      <c r="E259" s="633">
        <f t="shared" ref="E259:N259" si="54">eSystemsFTECalcResultBestCaseHM*eSystemsTrainingPercentFTEsHM</f>
        <v>765</v>
      </c>
      <c r="F259" s="633">
        <f t="shared" si="54"/>
        <v>85</v>
      </c>
      <c r="G259" s="633">
        <f t="shared" si="54"/>
        <v>85</v>
      </c>
      <c r="H259" s="633">
        <f t="shared" si="54"/>
        <v>85</v>
      </c>
      <c r="I259" s="633">
        <f t="shared" si="54"/>
        <v>85</v>
      </c>
      <c r="J259" s="633">
        <f t="shared" si="54"/>
        <v>85</v>
      </c>
      <c r="K259" s="633">
        <f t="shared" si="54"/>
        <v>85</v>
      </c>
      <c r="L259" s="633">
        <f t="shared" si="54"/>
        <v>85</v>
      </c>
      <c r="M259" s="633">
        <f t="shared" si="54"/>
        <v>85</v>
      </c>
      <c r="N259" s="633">
        <f t="shared" si="54"/>
        <v>85</v>
      </c>
      <c r="O259" s="162" t="s">
        <v>3807</v>
      </c>
    </row>
    <row r="260" spans="2:15" s="8" customFormat="1" ht="15" hidden="1" customHeight="1" outlineLevel="1" x14ac:dyDescent="0.2">
      <c r="B260" s="622"/>
      <c r="C260" s="441"/>
      <c r="D260" s="442"/>
      <c r="E260" s="623"/>
      <c r="F260" s="623"/>
      <c r="G260" s="623"/>
      <c r="H260" s="623"/>
      <c r="I260" s="623"/>
      <c r="J260" s="623"/>
      <c r="K260" s="623"/>
      <c r="L260" s="623"/>
      <c r="M260" s="623"/>
      <c r="N260" s="623"/>
      <c r="O260" s="162"/>
    </row>
    <row r="261" spans="2:15" ht="15" hidden="1" customHeight="1" outlineLevel="1" x14ac:dyDescent="0.2">
      <c r="B261" s="96"/>
      <c r="C261" s="368"/>
      <c r="D261" s="442" t="s">
        <v>3808</v>
      </c>
      <c r="E261" s="634">
        <f>eSystemsTrainingCostPerFTE_HM*eSystemsTrainingFTEsWorstCaseHM</f>
        <v>900000</v>
      </c>
      <c r="F261" s="634">
        <f>eSystemsTrainingCostPerFTE_HM*eSystemsTrainingFTEsWorstCaseHM*(1+Inflation)</f>
        <v>102000</v>
      </c>
      <c r="G261" s="634">
        <f>eSystemsTrainingCostPerFTE_HM*eSystemsTrainingFTEsWorstCaseHM*(1+Inflation)^2</f>
        <v>104040</v>
      </c>
      <c r="H261" s="634">
        <f>eSystemsTrainingCostPerFTE_HM*eSystemsTrainingFTEsWorstCaseHM*(1+Inflation)^3</f>
        <v>106120.79999999999</v>
      </c>
      <c r="I261" s="634">
        <f>eSystemsTrainingCostPerFTE_HM*eSystemsTrainingFTEsWorstCaseHM*(1+Inflation)^4</f>
        <v>108243.216</v>
      </c>
      <c r="J261" s="634">
        <f>eSystemsTrainingCostPerFTE_HM*eSystemsTrainingFTEsWorstCaseHM*(1+Inflation)^5</f>
        <v>110408.08032000001</v>
      </c>
      <c r="K261" s="634">
        <f>eSystemsTrainingCostPerFTE_HM*eSystemsTrainingFTEsWorstCaseHM*(1+Inflation)^6</f>
        <v>112616.24192640001</v>
      </c>
      <c r="L261" s="634">
        <f>eSystemsTrainingCostPerFTE_HM*eSystemsTrainingFTEsWorstCaseHM*(1+Inflation)^7</f>
        <v>114868.56676492798</v>
      </c>
      <c r="M261" s="634">
        <f>eSystemsTrainingCostPerFTE_HM*eSystemsTrainingFTEsWorstCaseHM*(1+Inflation)^8</f>
        <v>117165.93810022656</v>
      </c>
      <c r="N261" s="634">
        <f>eSystemsTrainingCostPerFTE_HM*eSystemsTrainingFTEsWorstCaseHM*(1+Inflation)^9</f>
        <v>119509.25686223108</v>
      </c>
      <c r="O261" s="162" t="s">
        <v>3809</v>
      </c>
    </row>
    <row r="262" spans="2:15" ht="15" hidden="1" customHeight="1" outlineLevel="1" x14ac:dyDescent="0.2">
      <c r="B262" s="96"/>
      <c r="C262" s="368"/>
      <c r="D262" s="442" t="s">
        <v>3810</v>
      </c>
      <c r="E262" s="634">
        <f>eSystemsTrainingCostPerFTE_HM*eSystemsTrainingFTEsMostLikelyHM</f>
        <v>810000</v>
      </c>
      <c r="F262" s="634">
        <f>eSystemsTrainingCostPerFTE_HM*eSystemsTrainingFTEsMostLikelyHM*(1+Inflation)</f>
        <v>91800</v>
      </c>
      <c r="G262" s="634">
        <f>eSystemsTrainingCostPerFTE_HM*eSystemsTrainingFTEsMostLikelyHM*(1+Inflation)^2</f>
        <v>93636</v>
      </c>
      <c r="H262" s="634">
        <f>eSystemsTrainingCostPerFTE_HM*eSystemsTrainingFTEsMostLikelyHM*(1+Inflation)^3</f>
        <v>95508.719999999987</v>
      </c>
      <c r="I262" s="634">
        <f>eSystemsTrainingCostPerFTE_HM*eSystemsTrainingFTEsMostLikelyHM*(1+Inflation)^4</f>
        <v>97418.894400000005</v>
      </c>
      <c r="J262" s="634">
        <f>eSystemsTrainingCostPerFTE_HM*eSystemsTrainingFTEsMostLikelyHM*(1+Inflation)^5</f>
        <v>99367.272288000007</v>
      </c>
      <c r="K262" s="634">
        <f>eSystemsTrainingCostPerFTE_HM*eSystemsTrainingFTEsMostLikelyHM*(1+Inflation)^6</f>
        <v>101354.61773376001</v>
      </c>
      <c r="L262" s="634">
        <f>eSystemsTrainingCostPerFTE_HM*eSystemsTrainingFTEsMostLikelyHM*(1+Inflation)^7</f>
        <v>103381.71008843518</v>
      </c>
      <c r="M262" s="634">
        <f>eSystemsTrainingCostPerFTE_HM*eSystemsTrainingFTEsMostLikelyHM*(1+Inflation)^8</f>
        <v>105449.3442902039</v>
      </c>
      <c r="N262" s="634">
        <f>eSystemsTrainingCostPerFTE_HM*eSystemsTrainingFTEsMostLikelyHM*(1+Inflation)^9</f>
        <v>107558.33117600798</v>
      </c>
      <c r="O262" s="162" t="s">
        <v>3811</v>
      </c>
    </row>
    <row r="263" spans="2:15" ht="15" hidden="1" customHeight="1" outlineLevel="1" x14ac:dyDescent="0.2">
      <c r="B263" s="96"/>
      <c r="C263" s="368"/>
      <c r="D263" s="442" t="s">
        <v>3812</v>
      </c>
      <c r="E263" s="634">
        <f>eSystemsTrainingCostPerFTE_HM*eSystemsTrainingFTEsBestCaseHM</f>
        <v>765000</v>
      </c>
      <c r="F263" s="634">
        <f>eSystemsTrainingCostPerFTE_HM*eSystemsTrainingFTEsBestCaseHM*(1+Inflation)</f>
        <v>86700</v>
      </c>
      <c r="G263" s="634">
        <f>eSystemsTrainingCostPerFTE_HM*eSystemsTrainingFTEsBestCaseHM*(1+Inflation)^2</f>
        <v>88434</v>
      </c>
      <c r="H263" s="634">
        <f>eSystemsTrainingCostPerFTE_HM*eSystemsTrainingFTEsBestCaseHM*(1+Inflation)^3</f>
        <v>90202.68</v>
      </c>
      <c r="I263" s="634">
        <f>eSystemsTrainingCostPerFTE_HM*eSystemsTrainingFTEsBestCaseHM*(1+Inflation)^4</f>
        <v>92006.733599999992</v>
      </c>
      <c r="J263" s="634">
        <f>eSystemsTrainingCostPerFTE_HM*eSystemsTrainingFTEsBestCaseHM*(1+Inflation)^5</f>
        <v>93846.868272000007</v>
      </c>
      <c r="K263" s="634">
        <f>eSystemsTrainingCostPerFTE_HM*eSystemsTrainingFTEsBestCaseHM*(1+Inflation)^6</f>
        <v>95723.805637440004</v>
      </c>
      <c r="L263" s="634">
        <f>eSystemsTrainingCostPerFTE_HM*eSystemsTrainingFTEsBestCaseHM*(1+Inflation)^7</f>
        <v>97638.281750188791</v>
      </c>
      <c r="M263" s="634">
        <f>eSystemsTrainingCostPerFTE_HM*eSystemsTrainingFTEsBestCaseHM*(1+Inflation)^8</f>
        <v>99591.047385192564</v>
      </c>
      <c r="N263" s="634">
        <f>eSystemsTrainingCostPerFTE_HM*eSystemsTrainingFTEsBestCaseHM*(1+Inflation)^9</f>
        <v>101582.86833289643</v>
      </c>
      <c r="O263" s="162" t="s">
        <v>3813</v>
      </c>
    </row>
    <row r="264" spans="2:15" ht="15" hidden="1" customHeight="1" outlineLevel="1" x14ac:dyDescent="0.2">
      <c r="C264" s="394"/>
      <c r="D264" s="5"/>
      <c r="E264" s="5"/>
      <c r="F264" s="5"/>
      <c r="G264" s="5"/>
      <c r="H264" s="5"/>
      <c r="I264" s="5"/>
      <c r="J264" s="5"/>
      <c r="K264" s="5"/>
      <c r="L264" s="5"/>
      <c r="M264" s="5"/>
      <c r="N264" s="5"/>
      <c r="O264" s="393"/>
    </row>
    <row r="265" spans="2:15" ht="15" hidden="1" customHeight="1" outlineLevel="1" x14ac:dyDescent="0.2">
      <c r="B265" s="96"/>
      <c r="C265" s="394"/>
      <c r="D265" s="149" t="s">
        <v>3814</v>
      </c>
      <c r="E265" s="5"/>
      <c r="F265" s="5"/>
      <c r="G265" s="5"/>
      <c r="H265" s="5"/>
      <c r="I265" s="5"/>
      <c r="J265" s="5"/>
      <c r="K265" s="5"/>
      <c r="L265" s="5"/>
      <c r="M265" s="5"/>
      <c r="N265" s="5"/>
      <c r="O265" s="393"/>
    </row>
    <row r="266" spans="2:15" ht="15" hidden="1" customHeight="1" outlineLevel="1" x14ac:dyDescent="0.2">
      <c r="B266" s="96"/>
      <c r="C266" s="394"/>
      <c r="D266" s="631">
        <v>1000</v>
      </c>
      <c r="E266" s="6"/>
      <c r="F266" s="6"/>
      <c r="G266" s="6"/>
      <c r="H266" s="6"/>
      <c r="I266" s="6"/>
      <c r="J266" s="6"/>
      <c r="K266" s="6"/>
      <c r="L266" s="6"/>
      <c r="M266" s="6"/>
      <c r="N266" s="6"/>
      <c r="O266" s="393"/>
    </row>
    <row r="267" spans="2:15" ht="15" hidden="1" customHeight="1" outlineLevel="1" x14ac:dyDescent="0.2">
      <c r="B267" s="96"/>
      <c r="C267" s="394"/>
      <c r="D267" s="442" t="s">
        <v>3575</v>
      </c>
      <c r="E267" s="632">
        <v>0.9</v>
      </c>
      <c r="F267" s="632">
        <v>0.1</v>
      </c>
      <c r="G267" s="632">
        <v>0.1</v>
      </c>
      <c r="H267" s="632">
        <v>0.1</v>
      </c>
      <c r="I267" s="632">
        <v>0.1</v>
      </c>
      <c r="J267" s="632">
        <v>0.1</v>
      </c>
      <c r="K267" s="632">
        <v>0.1</v>
      </c>
      <c r="L267" s="632">
        <v>0.1</v>
      </c>
      <c r="M267" s="632">
        <v>0.1</v>
      </c>
      <c r="N267" s="632">
        <v>0.1</v>
      </c>
      <c r="O267" s="162" t="s">
        <v>3815</v>
      </c>
    </row>
    <row r="268" spans="2:15" ht="15" hidden="1" customHeight="1" outlineLevel="1" x14ac:dyDescent="0.2">
      <c r="B268" s="96"/>
      <c r="C268" s="368"/>
      <c r="D268" s="442" t="s">
        <v>3662</v>
      </c>
      <c r="E268" s="633">
        <f t="shared" ref="E268:N268" si="55">eSystemsFTECalcResultWorstCaseENG*eSystemsTrainingPercentFTEsENG</f>
        <v>90</v>
      </c>
      <c r="F268" s="633">
        <f t="shared" si="55"/>
        <v>10</v>
      </c>
      <c r="G268" s="633">
        <f t="shared" si="55"/>
        <v>10</v>
      </c>
      <c r="H268" s="633">
        <f t="shared" si="55"/>
        <v>10</v>
      </c>
      <c r="I268" s="633">
        <f t="shared" si="55"/>
        <v>10</v>
      </c>
      <c r="J268" s="633">
        <f t="shared" si="55"/>
        <v>10</v>
      </c>
      <c r="K268" s="633">
        <f t="shared" si="55"/>
        <v>10</v>
      </c>
      <c r="L268" s="633">
        <f t="shared" si="55"/>
        <v>10</v>
      </c>
      <c r="M268" s="633">
        <f t="shared" si="55"/>
        <v>10</v>
      </c>
      <c r="N268" s="633">
        <f t="shared" si="55"/>
        <v>10</v>
      </c>
      <c r="O268" s="162" t="s">
        <v>3816</v>
      </c>
    </row>
    <row r="269" spans="2:15" ht="15" hidden="1" customHeight="1" outlineLevel="1" x14ac:dyDescent="0.2">
      <c r="B269" s="96"/>
      <c r="C269" s="368"/>
      <c r="D269" s="442" t="s">
        <v>3664</v>
      </c>
      <c r="E269" s="633">
        <f t="shared" ref="E269:N269" si="56">eSystemsFTECalcResultMostLikelyENG*eSystemsTrainingPercentFTEsENG</f>
        <v>63</v>
      </c>
      <c r="F269" s="633">
        <f t="shared" si="56"/>
        <v>7</v>
      </c>
      <c r="G269" s="633">
        <f t="shared" si="56"/>
        <v>7</v>
      </c>
      <c r="H269" s="633">
        <f t="shared" si="56"/>
        <v>7</v>
      </c>
      <c r="I269" s="633">
        <f t="shared" si="56"/>
        <v>7</v>
      </c>
      <c r="J269" s="633">
        <f t="shared" si="56"/>
        <v>7</v>
      </c>
      <c r="K269" s="633">
        <f t="shared" si="56"/>
        <v>7</v>
      </c>
      <c r="L269" s="633">
        <f t="shared" si="56"/>
        <v>7</v>
      </c>
      <c r="M269" s="633">
        <f t="shared" si="56"/>
        <v>7</v>
      </c>
      <c r="N269" s="633">
        <f t="shared" si="56"/>
        <v>7</v>
      </c>
      <c r="O269" s="162" t="s">
        <v>3817</v>
      </c>
    </row>
    <row r="270" spans="2:15" ht="15" hidden="1" customHeight="1" outlineLevel="1" x14ac:dyDescent="0.2">
      <c r="B270" s="96"/>
      <c r="C270" s="368"/>
      <c r="D270" s="442" t="s">
        <v>3666</v>
      </c>
      <c r="E270" s="633">
        <f t="shared" ref="E270:N270" si="57">eSystemsFTECalcResultBestCaseENG*eSystemsTrainingPercentFTEsENG</f>
        <v>54</v>
      </c>
      <c r="F270" s="633">
        <f t="shared" si="57"/>
        <v>6</v>
      </c>
      <c r="G270" s="633">
        <f t="shared" si="57"/>
        <v>6</v>
      </c>
      <c r="H270" s="633">
        <f t="shared" si="57"/>
        <v>6</v>
      </c>
      <c r="I270" s="633">
        <f t="shared" si="57"/>
        <v>6</v>
      </c>
      <c r="J270" s="633">
        <f t="shared" si="57"/>
        <v>6</v>
      </c>
      <c r="K270" s="633">
        <f t="shared" si="57"/>
        <v>6</v>
      </c>
      <c r="L270" s="633">
        <f t="shared" si="57"/>
        <v>6</v>
      </c>
      <c r="M270" s="633">
        <f t="shared" si="57"/>
        <v>6</v>
      </c>
      <c r="N270" s="633">
        <f t="shared" si="57"/>
        <v>6</v>
      </c>
      <c r="O270" s="162" t="s">
        <v>3818</v>
      </c>
    </row>
    <row r="271" spans="2:15" s="8" customFormat="1" ht="15" hidden="1" customHeight="1" outlineLevel="1" x14ac:dyDescent="0.2">
      <c r="B271" s="622"/>
      <c r="C271" s="441"/>
      <c r="D271" s="442"/>
      <c r="E271" s="623"/>
      <c r="F271" s="623"/>
      <c r="G271" s="623"/>
      <c r="H271" s="623"/>
      <c r="I271" s="623"/>
      <c r="J271" s="623"/>
      <c r="K271" s="623"/>
      <c r="L271" s="623"/>
      <c r="M271" s="623"/>
      <c r="N271" s="623"/>
      <c r="O271" s="162"/>
    </row>
    <row r="272" spans="2:15" ht="15" hidden="1" customHeight="1" outlineLevel="1" x14ac:dyDescent="0.2">
      <c r="B272" s="96"/>
      <c r="C272" s="368"/>
      <c r="D272" s="442" t="s">
        <v>3819</v>
      </c>
      <c r="E272" s="634">
        <f>eSystemsTrainingCostPerFTE_ENG*eSystemsTrainingFTEsWorstCaseENG</f>
        <v>90000</v>
      </c>
      <c r="F272" s="634">
        <f>eSystemsTrainingCostPerFTE_ENG*eSystemsTrainingFTEsWorstCaseENG*(1+Inflation)</f>
        <v>10200</v>
      </c>
      <c r="G272" s="634">
        <f>eSystemsTrainingCostPerFTE_ENG*eSystemsTrainingFTEsWorstCaseENG*(1+Inflation)^2</f>
        <v>10404</v>
      </c>
      <c r="H272" s="634">
        <f>eSystemsTrainingCostPerFTE_ENG*eSystemsTrainingFTEsWorstCaseENG*(1+Inflation)^3</f>
        <v>10612.08</v>
      </c>
      <c r="I272" s="634">
        <f>eSystemsTrainingCostPerFTE_ENG*eSystemsTrainingFTEsWorstCaseENG*(1+Inflation)^4</f>
        <v>10824.321599999999</v>
      </c>
      <c r="J272" s="634">
        <f>eSystemsTrainingCostPerFTE_ENG*eSystemsTrainingFTEsWorstCaseENG*(1+Inflation)^5</f>
        <v>11040.808032000001</v>
      </c>
      <c r="K272" s="634">
        <f>eSystemsTrainingCostPerFTE_ENG*eSystemsTrainingFTEsWorstCaseENG*(1+Inflation)^6</f>
        <v>11261.62419264</v>
      </c>
      <c r="L272" s="634">
        <f>eSystemsTrainingCostPerFTE_ENG*eSystemsTrainingFTEsWorstCaseENG*(1+Inflation)^7</f>
        <v>11486.856676492798</v>
      </c>
      <c r="M272" s="634">
        <f>eSystemsTrainingCostPerFTE_ENG*eSystemsTrainingFTEsWorstCaseENG*(1+Inflation)^8</f>
        <v>11716.593810022656</v>
      </c>
      <c r="N272" s="634">
        <f>eSystemsTrainingCostPerFTE_ENG*eSystemsTrainingFTEsWorstCaseENG*(1+Inflation)^9</f>
        <v>11950.925686223109</v>
      </c>
      <c r="O272" s="162" t="s">
        <v>3820</v>
      </c>
    </row>
    <row r="273" spans="2:15" ht="15" hidden="1" customHeight="1" outlineLevel="1" x14ac:dyDescent="0.2">
      <c r="B273" s="96"/>
      <c r="C273" s="368"/>
      <c r="D273" s="442" t="s">
        <v>3821</v>
      </c>
      <c r="E273" s="634">
        <f>eSystemsTrainingCostPerFTE_ENG*eSystemsTrainingFTEsMostLikelyENG</f>
        <v>63000</v>
      </c>
      <c r="F273" s="634">
        <f>eSystemsTrainingCostPerFTE_ENG*eSystemsTrainingFTEsMostLikelyENG*(1+Inflation)</f>
        <v>7140</v>
      </c>
      <c r="G273" s="634">
        <f>eSystemsTrainingCostPerFTE_ENG*eSystemsTrainingFTEsMostLikelyENG*(1+Inflation)^2</f>
        <v>7282.8</v>
      </c>
      <c r="H273" s="634">
        <f>eSystemsTrainingCostPerFTE_ENG*eSystemsTrainingFTEsMostLikelyENG*(1+Inflation)^3</f>
        <v>7428.4559999999992</v>
      </c>
      <c r="I273" s="634">
        <f>eSystemsTrainingCostPerFTE_ENG*eSystemsTrainingFTEsMostLikelyENG*(1+Inflation)^4</f>
        <v>7577.0251200000002</v>
      </c>
      <c r="J273" s="634">
        <f>eSystemsTrainingCostPerFTE_ENG*eSystemsTrainingFTEsMostLikelyENG*(1+Inflation)^5</f>
        <v>7728.5656224000004</v>
      </c>
      <c r="K273" s="634">
        <f>eSystemsTrainingCostPerFTE_ENG*eSystemsTrainingFTEsMostLikelyENG*(1+Inflation)^6</f>
        <v>7883.1369348480002</v>
      </c>
      <c r="L273" s="634">
        <f>eSystemsTrainingCostPerFTE_ENG*eSystemsTrainingFTEsMostLikelyENG*(1+Inflation)^7</f>
        <v>8040.7996735449588</v>
      </c>
      <c r="M273" s="634">
        <f>eSystemsTrainingCostPerFTE_ENG*eSystemsTrainingFTEsMostLikelyENG*(1+Inflation)^8</f>
        <v>8201.615667015858</v>
      </c>
      <c r="N273" s="634">
        <f>eSystemsTrainingCostPerFTE_ENG*eSystemsTrainingFTEsMostLikelyENG*(1+Inflation)^9</f>
        <v>8365.647980356176</v>
      </c>
      <c r="O273" s="162" t="s">
        <v>3822</v>
      </c>
    </row>
    <row r="274" spans="2:15" ht="15" hidden="1" customHeight="1" outlineLevel="1" x14ac:dyDescent="0.2">
      <c r="B274" s="96"/>
      <c r="C274" s="368"/>
      <c r="D274" s="442" t="s">
        <v>3823</v>
      </c>
      <c r="E274" s="634">
        <f>eSystemsTrainingCostPerFTE_ENG*eSystemsTrainingFTEsBestCaseENG</f>
        <v>54000</v>
      </c>
      <c r="F274" s="634">
        <f>eSystemsTrainingCostPerFTE_ENG*eSystemsTrainingFTEsBestCaseENG*(1+Inflation)</f>
        <v>6120</v>
      </c>
      <c r="G274" s="634">
        <f>eSystemsTrainingCostPerFTE_ENG*eSystemsTrainingFTEsBestCaseENG*(1+Inflation)^2</f>
        <v>6242.4</v>
      </c>
      <c r="H274" s="634">
        <f>eSystemsTrainingCostPerFTE_ENG*eSystemsTrainingFTEsBestCaseENG*(1+Inflation)^3</f>
        <v>6367.2479999999996</v>
      </c>
      <c r="I274" s="634">
        <f>eSystemsTrainingCostPerFTE_ENG*eSystemsTrainingFTEsBestCaseENG*(1+Inflation)^4</f>
        <v>6494.5929599999999</v>
      </c>
      <c r="J274" s="634">
        <f>eSystemsTrainingCostPerFTE_ENG*eSystemsTrainingFTEsBestCaseENG*(1+Inflation)^5</f>
        <v>6624.4848191999999</v>
      </c>
      <c r="K274" s="634">
        <f>eSystemsTrainingCostPerFTE_ENG*eSystemsTrainingFTEsBestCaseENG*(1+Inflation)^6</f>
        <v>6756.9745155840001</v>
      </c>
      <c r="L274" s="634">
        <f>eSystemsTrainingCostPerFTE_ENG*eSystemsTrainingFTEsBestCaseENG*(1+Inflation)^7</f>
        <v>6892.1140058956789</v>
      </c>
      <c r="M274" s="634">
        <f>eSystemsTrainingCostPerFTE_ENG*eSystemsTrainingFTEsBestCaseENG*(1+Inflation)^8</f>
        <v>7029.9562860135929</v>
      </c>
      <c r="N274" s="634">
        <f>eSystemsTrainingCostPerFTE_ENG*eSystemsTrainingFTEsBestCaseENG*(1+Inflation)^9</f>
        <v>7170.5554117338652</v>
      </c>
      <c r="O274" s="162" t="s">
        <v>3824</v>
      </c>
    </row>
    <row r="275" spans="2:15" ht="15" hidden="1" customHeight="1" outlineLevel="1" x14ac:dyDescent="0.2">
      <c r="C275" s="394"/>
      <c r="D275" s="5"/>
      <c r="E275" s="5"/>
      <c r="F275" s="5"/>
      <c r="G275" s="5"/>
      <c r="H275" s="5"/>
      <c r="I275" s="5"/>
      <c r="J275" s="5"/>
      <c r="K275" s="5"/>
      <c r="L275" s="5"/>
      <c r="M275" s="5"/>
      <c r="N275" s="5"/>
      <c r="O275" s="393"/>
    </row>
    <row r="276" spans="2:15" ht="15" hidden="1" customHeight="1" outlineLevel="1" x14ac:dyDescent="0.2">
      <c r="B276" s="96"/>
      <c r="C276" s="394"/>
      <c r="D276" s="149" t="s">
        <v>3825</v>
      </c>
      <c r="E276" s="5"/>
      <c r="F276" s="5"/>
      <c r="G276" s="5"/>
      <c r="H276" s="5"/>
      <c r="I276" s="5"/>
      <c r="J276" s="5"/>
      <c r="K276" s="5"/>
      <c r="L276" s="5"/>
      <c r="M276" s="5"/>
      <c r="N276" s="5"/>
      <c r="O276" s="393"/>
    </row>
    <row r="277" spans="2:15" ht="15" hidden="1" customHeight="1" outlineLevel="1" x14ac:dyDescent="0.2">
      <c r="B277" s="96"/>
      <c r="C277" s="394"/>
      <c r="D277" s="631">
        <v>1000</v>
      </c>
      <c r="E277" s="6"/>
      <c r="F277" s="6"/>
      <c r="G277" s="6"/>
      <c r="H277" s="6"/>
      <c r="I277" s="6"/>
      <c r="J277" s="6"/>
      <c r="K277" s="6"/>
      <c r="L277" s="6"/>
      <c r="M277" s="6"/>
      <c r="N277" s="6"/>
      <c r="O277" s="393"/>
    </row>
    <row r="278" spans="2:15" ht="15" hidden="1" customHeight="1" outlineLevel="1" x14ac:dyDescent="0.2">
      <c r="B278" s="96"/>
      <c r="C278" s="394"/>
      <c r="D278" s="442" t="s">
        <v>3576</v>
      </c>
      <c r="E278" s="632">
        <v>0.9</v>
      </c>
      <c r="F278" s="632">
        <v>0.1</v>
      </c>
      <c r="G278" s="632">
        <v>0.1</v>
      </c>
      <c r="H278" s="632">
        <v>0.1</v>
      </c>
      <c r="I278" s="632">
        <v>0.1</v>
      </c>
      <c r="J278" s="632">
        <v>0.1</v>
      </c>
      <c r="K278" s="632">
        <v>0.1</v>
      </c>
      <c r="L278" s="632">
        <v>0.1</v>
      </c>
      <c r="M278" s="632">
        <v>0.1</v>
      </c>
      <c r="N278" s="632">
        <v>0.1</v>
      </c>
      <c r="O278" s="162" t="s">
        <v>3826</v>
      </c>
    </row>
    <row r="279" spans="2:15" ht="15" hidden="1" customHeight="1" outlineLevel="1" x14ac:dyDescent="0.2">
      <c r="B279" s="96"/>
      <c r="C279" s="368"/>
      <c r="D279" s="442" t="s">
        <v>3675</v>
      </c>
      <c r="E279" s="633">
        <f t="shared" ref="E279:N279" si="58">eSystemsFTECalcResultWorstCasePLG*eSystemsTrainingPercentFTEsPLG</f>
        <v>45</v>
      </c>
      <c r="F279" s="633">
        <f t="shared" si="58"/>
        <v>5</v>
      </c>
      <c r="G279" s="633">
        <f t="shared" si="58"/>
        <v>5</v>
      </c>
      <c r="H279" s="633">
        <f t="shared" si="58"/>
        <v>5</v>
      </c>
      <c r="I279" s="633">
        <f t="shared" si="58"/>
        <v>5</v>
      </c>
      <c r="J279" s="633">
        <f t="shared" si="58"/>
        <v>5</v>
      </c>
      <c r="K279" s="633">
        <f t="shared" si="58"/>
        <v>5</v>
      </c>
      <c r="L279" s="633">
        <f t="shared" si="58"/>
        <v>5</v>
      </c>
      <c r="M279" s="633">
        <f t="shared" si="58"/>
        <v>5</v>
      </c>
      <c r="N279" s="633">
        <f t="shared" si="58"/>
        <v>5</v>
      </c>
      <c r="O279" s="162" t="s">
        <v>3827</v>
      </c>
    </row>
    <row r="280" spans="2:15" ht="15" hidden="1" customHeight="1" outlineLevel="1" x14ac:dyDescent="0.2">
      <c r="B280" s="96"/>
      <c r="C280" s="368"/>
      <c r="D280" s="442" t="s">
        <v>3677</v>
      </c>
      <c r="E280" s="633">
        <f t="shared" ref="E280:N280" si="59">eSystemsFTECalcResultMostLikelyPLG*eSystemsTrainingPercentFTEsPLG</f>
        <v>31.5</v>
      </c>
      <c r="F280" s="633">
        <f t="shared" si="59"/>
        <v>3.5</v>
      </c>
      <c r="G280" s="633">
        <f t="shared" si="59"/>
        <v>3.5</v>
      </c>
      <c r="H280" s="633">
        <f t="shared" si="59"/>
        <v>3.5</v>
      </c>
      <c r="I280" s="633">
        <f t="shared" si="59"/>
        <v>3.5</v>
      </c>
      <c r="J280" s="633">
        <f t="shared" si="59"/>
        <v>3.5</v>
      </c>
      <c r="K280" s="633">
        <f t="shared" si="59"/>
        <v>3.5</v>
      </c>
      <c r="L280" s="633">
        <f t="shared" si="59"/>
        <v>3.5</v>
      </c>
      <c r="M280" s="633">
        <f t="shared" si="59"/>
        <v>3.5</v>
      </c>
      <c r="N280" s="633">
        <f t="shared" si="59"/>
        <v>3.5</v>
      </c>
      <c r="O280" s="162" t="s">
        <v>3828</v>
      </c>
    </row>
    <row r="281" spans="2:15" ht="15" hidden="1" customHeight="1" outlineLevel="1" x14ac:dyDescent="0.2">
      <c r="B281" s="96"/>
      <c r="C281" s="368"/>
      <c r="D281" s="442" t="s">
        <v>3679</v>
      </c>
      <c r="E281" s="633">
        <f t="shared" ref="E281:N281" si="60">eSystemsFTECalcResultBestCasePLG*eSystemsTrainingPercentFTEsPLG</f>
        <v>27</v>
      </c>
      <c r="F281" s="633">
        <f t="shared" si="60"/>
        <v>3</v>
      </c>
      <c r="G281" s="633">
        <f t="shared" si="60"/>
        <v>3</v>
      </c>
      <c r="H281" s="633">
        <f t="shared" si="60"/>
        <v>3</v>
      </c>
      <c r="I281" s="633">
        <f t="shared" si="60"/>
        <v>3</v>
      </c>
      <c r="J281" s="633">
        <f t="shared" si="60"/>
        <v>3</v>
      </c>
      <c r="K281" s="633">
        <f t="shared" si="60"/>
        <v>3</v>
      </c>
      <c r="L281" s="633">
        <f t="shared" si="60"/>
        <v>3</v>
      </c>
      <c r="M281" s="633">
        <f t="shared" si="60"/>
        <v>3</v>
      </c>
      <c r="N281" s="633">
        <f t="shared" si="60"/>
        <v>3</v>
      </c>
      <c r="O281" s="162" t="s">
        <v>3829</v>
      </c>
    </row>
    <row r="282" spans="2:15" s="8" customFormat="1" ht="15" hidden="1" customHeight="1" outlineLevel="1" x14ac:dyDescent="0.2">
      <c r="B282" s="622"/>
      <c r="C282" s="441"/>
      <c r="D282" s="442"/>
      <c r="E282" s="623"/>
      <c r="F282" s="623"/>
      <c r="G282" s="623"/>
      <c r="H282" s="623"/>
      <c r="I282" s="623"/>
      <c r="J282" s="623"/>
      <c r="K282" s="623"/>
      <c r="L282" s="623"/>
      <c r="M282" s="623"/>
      <c r="N282" s="623"/>
      <c r="O282" s="162"/>
    </row>
    <row r="283" spans="2:15" ht="15" hidden="1" customHeight="1" outlineLevel="1" x14ac:dyDescent="0.2">
      <c r="B283" s="96"/>
      <c r="C283" s="368"/>
      <c r="D283" s="442" t="s">
        <v>3830</v>
      </c>
      <c r="E283" s="634">
        <f>eSystemsTrainingCostPerFTE_PLG*eSystemsTrainingFTEsWorstCasePLG</f>
        <v>45000</v>
      </c>
      <c r="F283" s="634">
        <f>eSystemsTrainingCostPerFTE_PLG*eSystemsTrainingFTEsWorstCasePLG*(1+Inflation)</f>
        <v>5100</v>
      </c>
      <c r="G283" s="634">
        <f>eSystemsTrainingCostPerFTE_PLG*eSystemsTrainingFTEsWorstCasePLG*(1+Inflation)^2</f>
        <v>5202</v>
      </c>
      <c r="H283" s="634">
        <f>eSystemsTrainingCostPerFTE_PLG*eSystemsTrainingFTEsWorstCasePLG*(1+Inflation)^3</f>
        <v>5306.04</v>
      </c>
      <c r="I283" s="634">
        <f>eSystemsTrainingCostPerFTE_PLG*eSystemsTrainingFTEsWorstCasePLG*(1+Inflation)^4</f>
        <v>5412.1607999999997</v>
      </c>
      <c r="J283" s="634">
        <f>eSystemsTrainingCostPerFTE_PLG*eSystemsTrainingFTEsWorstCasePLG*(1+Inflation)^5</f>
        <v>5520.4040160000004</v>
      </c>
      <c r="K283" s="634">
        <f>eSystemsTrainingCostPerFTE_PLG*eSystemsTrainingFTEsWorstCasePLG*(1+Inflation)^6</f>
        <v>5630.8120963199999</v>
      </c>
      <c r="L283" s="634">
        <f>eSystemsTrainingCostPerFTE_PLG*eSystemsTrainingFTEsWorstCasePLG*(1+Inflation)^7</f>
        <v>5743.4283382463991</v>
      </c>
      <c r="M283" s="634">
        <f>eSystemsTrainingCostPerFTE_PLG*eSystemsTrainingFTEsWorstCasePLG*(1+Inflation)^8</f>
        <v>5858.2969050113279</v>
      </c>
      <c r="N283" s="634">
        <f>eSystemsTrainingCostPerFTE_PLG*eSystemsTrainingFTEsWorstCasePLG*(1+Inflation)^9</f>
        <v>5975.4628431115543</v>
      </c>
      <c r="O283" s="162" t="s">
        <v>3831</v>
      </c>
    </row>
    <row r="284" spans="2:15" ht="15" hidden="1" customHeight="1" outlineLevel="1" x14ac:dyDescent="0.2">
      <c r="B284" s="96"/>
      <c r="C284" s="368"/>
      <c r="D284" s="442" t="s">
        <v>3832</v>
      </c>
      <c r="E284" s="634">
        <f>eSystemsTrainingCostPerFTE_PLG*eSystemsTrainingFTEsMostLikelyPLG</f>
        <v>31500</v>
      </c>
      <c r="F284" s="634">
        <f>eSystemsTrainingCostPerFTE_PLG*eSystemsTrainingFTEsMostLikelyPLG*(1+Inflation)</f>
        <v>3570</v>
      </c>
      <c r="G284" s="634">
        <f>eSystemsTrainingCostPerFTE_PLG*eSystemsTrainingFTEsMostLikelyPLG*(1+Inflation)^2</f>
        <v>3641.4</v>
      </c>
      <c r="H284" s="634">
        <f>eSystemsTrainingCostPerFTE_PLG*eSystemsTrainingFTEsMostLikelyPLG*(1+Inflation)^3</f>
        <v>3714.2279999999996</v>
      </c>
      <c r="I284" s="634">
        <f>eSystemsTrainingCostPerFTE_PLG*eSystemsTrainingFTEsMostLikelyPLG*(1+Inflation)^4</f>
        <v>3788.5125600000001</v>
      </c>
      <c r="J284" s="634">
        <f>eSystemsTrainingCostPerFTE_PLG*eSystemsTrainingFTEsMostLikelyPLG*(1+Inflation)^5</f>
        <v>3864.2828112000002</v>
      </c>
      <c r="K284" s="634">
        <f>eSystemsTrainingCostPerFTE_PLG*eSystemsTrainingFTEsMostLikelyPLG*(1+Inflation)^6</f>
        <v>3941.5684674240001</v>
      </c>
      <c r="L284" s="634">
        <f>eSystemsTrainingCostPerFTE_PLG*eSystemsTrainingFTEsMostLikelyPLG*(1+Inflation)^7</f>
        <v>4020.3998367724794</v>
      </c>
      <c r="M284" s="634">
        <f>eSystemsTrainingCostPerFTE_PLG*eSystemsTrainingFTEsMostLikelyPLG*(1+Inflation)^8</f>
        <v>4100.807833507929</v>
      </c>
      <c r="N284" s="634">
        <f>eSystemsTrainingCostPerFTE_PLG*eSystemsTrainingFTEsMostLikelyPLG*(1+Inflation)^9</f>
        <v>4182.823990178088</v>
      </c>
      <c r="O284" s="162" t="s">
        <v>3833</v>
      </c>
    </row>
    <row r="285" spans="2:15" ht="15" hidden="1" customHeight="1" outlineLevel="1" x14ac:dyDescent="0.2">
      <c r="B285" s="96"/>
      <c r="C285" s="368"/>
      <c r="D285" s="442" t="s">
        <v>3834</v>
      </c>
      <c r="E285" s="634">
        <f>eSystemsTrainingCostPerFTE_PLG*eSystemsTrainingFTEsBestCasePLG</f>
        <v>27000</v>
      </c>
      <c r="F285" s="634">
        <f>eSystemsTrainingCostPerFTE_PLG*eSystemsTrainingFTEsBestCasePLG*(1+Inflation)</f>
        <v>3060</v>
      </c>
      <c r="G285" s="634">
        <f>eSystemsTrainingCostPerFTE_PLG*eSystemsTrainingFTEsBestCasePLG*(1+Inflation)^2</f>
        <v>3121.2</v>
      </c>
      <c r="H285" s="634">
        <f>eSystemsTrainingCostPerFTE_PLG*eSystemsTrainingFTEsBestCasePLG*(1+Inflation)^3</f>
        <v>3183.6239999999998</v>
      </c>
      <c r="I285" s="634">
        <f>eSystemsTrainingCostPerFTE_PLG*eSystemsTrainingFTEsBestCasePLG*(1+Inflation)^4</f>
        <v>3247.29648</v>
      </c>
      <c r="J285" s="634">
        <f>eSystemsTrainingCostPerFTE_PLG*eSystemsTrainingFTEsBestCasePLG*(1+Inflation)^5</f>
        <v>3312.2424096</v>
      </c>
      <c r="K285" s="634">
        <f>eSystemsTrainingCostPerFTE_PLG*eSystemsTrainingFTEsBestCasePLG*(1+Inflation)^6</f>
        <v>3378.487257792</v>
      </c>
      <c r="L285" s="634">
        <f>eSystemsTrainingCostPerFTE_PLG*eSystemsTrainingFTEsBestCasePLG*(1+Inflation)^7</f>
        <v>3446.0570029478395</v>
      </c>
      <c r="M285" s="634">
        <f>eSystemsTrainingCostPerFTE_PLG*eSystemsTrainingFTEsBestCasePLG*(1+Inflation)^8</f>
        <v>3514.9781430067965</v>
      </c>
      <c r="N285" s="634">
        <f>eSystemsTrainingCostPerFTE_PLG*eSystemsTrainingFTEsBestCasePLG*(1+Inflation)^9</f>
        <v>3585.2777058669326</v>
      </c>
      <c r="O285" s="162" t="s">
        <v>3835</v>
      </c>
    </row>
    <row r="286" spans="2:15" ht="15" hidden="1" customHeight="1" outlineLevel="1" x14ac:dyDescent="0.2">
      <c r="C286" s="394"/>
      <c r="D286" s="5"/>
      <c r="E286" s="5"/>
      <c r="F286" s="5"/>
      <c r="G286" s="5"/>
      <c r="H286" s="5"/>
      <c r="I286" s="5"/>
      <c r="J286" s="5"/>
      <c r="K286" s="5"/>
      <c r="L286" s="5"/>
      <c r="M286" s="5"/>
      <c r="N286" s="5"/>
      <c r="O286" s="393"/>
    </row>
    <row r="287" spans="2:15" ht="15" hidden="1" customHeight="1" outlineLevel="1" x14ac:dyDescent="0.2">
      <c r="B287" s="96"/>
      <c r="C287" s="394"/>
      <c r="D287" s="149" t="s">
        <v>3836</v>
      </c>
      <c r="E287" s="5"/>
      <c r="F287" s="5"/>
      <c r="G287" s="5"/>
      <c r="H287" s="5"/>
      <c r="I287" s="5"/>
      <c r="J287" s="5"/>
      <c r="K287" s="5"/>
      <c r="L287" s="5"/>
      <c r="M287" s="5"/>
      <c r="N287" s="5"/>
      <c r="O287" s="393"/>
    </row>
    <row r="288" spans="2:15" ht="15" hidden="1" customHeight="1" outlineLevel="1" x14ac:dyDescent="0.2">
      <c r="B288" s="96"/>
      <c r="C288" s="394"/>
      <c r="D288" s="631">
        <v>1000</v>
      </c>
      <c r="E288" s="6"/>
      <c r="F288" s="6"/>
      <c r="G288" s="6"/>
      <c r="H288" s="6"/>
      <c r="I288" s="6"/>
      <c r="J288" s="6"/>
      <c r="K288" s="6"/>
      <c r="L288" s="6"/>
      <c r="M288" s="6"/>
      <c r="N288" s="6"/>
      <c r="O288" s="393"/>
    </row>
    <row r="289" spans="2:15" ht="15" hidden="1" customHeight="1" outlineLevel="1" x14ac:dyDescent="0.2">
      <c r="B289" s="96"/>
      <c r="C289" s="394"/>
      <c r="D289" s="442" t="s">
        <v>3580</v>
      </c>
      <c r="E289" s="632">
        <v>0.9</v>
      </c>
      <c r="F289" s="632">
        <v>0.1</v>
      </c>
      <c r="G289" s="632">
        <v>0.1</v>
      </c>
      <c r="H289" s="632">
        <v>0.1</v>
      </c>
      <c r="I289" s="632">
        <v>0.1</v>
      </c>
      <c r="J289" s="632">
        <v>0.1</v>
      </c>
      <c r="K289" s="632">
        <v>0.1</v>
      </c>
      <c r="L289" s="632">
        <v>0.1</v>
      </c>
      <c r="M289" s="632">
        <v>0.1</v>
      </c>
      <c r="N289" s="632">
        <v>0.1</v>
      </c>
      <c r="O289" s="162" t="s">
        <v>3837</v>
      </c>
    </row>
    <row r="290" spans="2:15" ht="15" hidden="1" customHeight="1" outlineLevel="1" x14ac:dyDescent="0.2">
      <c r="B290" s="96"/>
      <c r="C290" s="368"/>
      <c r="D290" s="442" t="s">
        <v>3688</v>
      </c>
      <c r="E290" s="633">
        <f t="shared" ref="E290:N290" si="61">eSystemsFTECalcResultWorstCaseCRT*eSystemsTrainingPercentFTEsCRT</f>
        <v>54</v>
      </c>
      <c r="F290" s="633">
        <f t="shared" si="61"/>
        <v>6</v>
      </c>
      <c r="G290" s="633">
        <f t="shared" si="61"/>
        <v>6</v>
      </c>
      <c r="H290" s="633">
        <f t="shared" si="61"/>
        <v>6</v>
      </c>
      <c r="I290" s="633">
        <f t="shared" si="61"/>
        <v>6</v>
      </c>
      <c r="J290" s="633">
        <f t="shared" si="61"/>
        <v>6</v>
      </c>
      <c r="K290" s="633">
        <f t="shared" si="61"/>
        <v>6</v>
      </c>
      <c r="L290" s="633">
        <f t="shared" si="61"/>
        <v>6</v>
      </c>
      <c r="M290" s="633">
        <f t="shared" si="61"/>
        <v>6</v>
      </c>
      <c r="N290" s="633">
        <f t="shared" si="61"/>
        <v>6</v>
      </c>
      <c r="O290" s="162" t="s">
        <v>3838</v>
      </c>
    </row>
    <row r="291" spans="2:15" ht="15" hidden="1" customHeight="1" outlineLevel="1" x14ac:dyDescent="0.2">
      <c r="B291" s="96"/>
      <c r="C291" s="368"/>
      <c r="D291" s="442" t="s">
        <v>3690</v>
      </c>
      <c r="E291" s="633">
        <f t="shared" ref="E291:N291" si="62">eSystemsFTECalcResultMostLikelyCRT*eSystemsTrainingPercentFTEsCRT</f>
        <v>21.6</v>
      </c>
      <c r="F291" s="633">
        <f t="shared" si="62"/>
        <v>2.4000000000000004</v>
      </c>
      <c r="G291" s="633">
        <f t="shared" si="62"/>
        <v>2.4000000000000004</v>
      </c>
      <c r="H291" s="633">
        <f t="shared" si="62"/>
        <v>2.4000000000000004</v>
      </c>
      <c r="I291" s="633">
        <f t="shared" si="62"/>
        <v>2.4000000000000004</v>
      </c>
      <c r="J291" s="633">
        <f t="shared" si="62"/>
        <v>2.4000000000000004</v>
      </c>
      <c r="K291" s="633">
        <f t="shared" si="62"/>
        <v>2.4000000000000004</v>
      </c>
      <c r="L291" s="633">
        <f t="shared" si="62"/>
        <v>2.4000000000000004</v>
      </c>
      <c r="M291" s="633">
        <f t="shared" si="62"/>
        <v>2.4000000000000004</v>
      </c>
      <c r="N291" s="633">
        <f t="shared" si="62"/>
        <v>2.4000000000000004</v>
      </c>
      <c r="O291" s="162" t="s">
        <v>3839</v>
      </c>
    </row>
    <row r="292" spans="2:15" ht="15" hidden="1" customHeight="1" outlineLevel="1" x14ac:dyDescent="0.2">
      <c r="B292" s="96"/>
      <c r="C292" s="368"/>
      <c r="D292" s="442" t="s">
        <v>3692</v>
      </c>
      <c r="E292" s="633">
        <f t="shared" ref="E292:N292" si="63">eSystemsFTECalcResultBestCaseCRT*eSystemsTrainingPercentFTEsCRT</f>
        <v>10.799999999999997</v>
      </c>
      <c r="F292" s="633">
        <f t="shared" si="63"/>
        <v>1.1999999999999997</v>
      </c>
      <c r="G292" s="633">
        <f t="shared" si="63"/>
        <v>1.1999999999999997</v>
      </c>
      <c r="H292" s="633">
        <f t="shared" si="63"/>
        <v>1.1999999999999997</v>
      </c>
      <c r="I292" s="633">
        <f t="shared" si="63"/>
        <v>1.1999999999999997</v>
      </c>
      <c r="J292" s="633">
        <f t="shared" si="63"/>
        <v>1.1999999999999997</v>
      </c>
      <c r="K292" s="633">
        <f t="shared" si="63"/>
        <v>1.1999999999999997</v>
      </c>
      <c r="L292" s="633">
        <f t="shared" si="63"/>
        <v>1.1999999999999997</v>
      </c>
      <c r="M292" s="633">
        <f t="shared" si="63"/>
        <v>1.1999999999999997</v>
      </c>
      <c r="N292" s="633">
        <f t="shared" si="63"/>
        <v>1.1999999999999997</v>
      </c>
      <c r="O292" s="162" t="s">
        <v>3840</v>
      </c>
    </row>
    <row r="293" spans="2:15" s="8" customFormat="1" ht="15" hidden="1" customHeight="1" outlineLevel="1" x14ac:dyDescent="0.2">
      <c r="B293" s="622"/>
      <c r="C293" s="441"/>
      <c r="D293" s="442"/>
      <c r="E293" s="623"/>
      <c r="F293" s="623"/>
      <c r="G293" s="623"/>
      <c r="H293" s="623"/>
      <c r="I293" s="623"/>
      <c r="J293" s="623"/>
      <c r="K293" s="623"/>
      <c r="L293" s="623"/>
      <c r="M293" s="623"/>
      <c r="N293" s="623"/>
      <c r="O293" s="162"/>
    </row>
    <row r="294" spans="2:15" ht="15" hidden="1" customHeight="1" outlineLevel="1" x14ac:dyDescent="0.2">
      <c r="B294" s="96"/>
      <c r="C294" s="368"/>
      <c r="D294" s="442" t="s">
        <v>3841</v>
      </c>
      <c r="E294" s="634">
        <f>eSystemsTrainingCostPerFTE_CRT*eSystemsTrainingFTEsWorstCaseCRT</f>
        <v>54000</v>
      </c>
      <c r="F294" s="634">
        <f>eSystemsTrainingCostPerFTE_CRT*eSystemsTrainingFTEsWorstCaseCRT*(1+Inflation)</f>
        <v>6120</v>
      </c>
      <c r="G294" s="634">
        <f>eSystemsTrainingCostPerFTE_CRT*eSystemsTrainingFTEsWorstCaseCRT*(1+Inflation)^2</f>
        <v>6242.4</v>
      </c>
      <c r="H294" s="634">
        <f>eSystemsTrainingCostPerFTE_CRT*eSystemsTrainingFTEsWorstCaseCRT*(1+Inflation)^3</f>
        <v>6367.2479999999996</v>
      </c>
      <c r="I294" s="634">
        <f>eSystemsTrainingCostPerFTE_CRT*eSystemsTrainingFTEsWorstCaseCRT*(1+Inflation)^4</f>
        <v>6494.5929599999999</v>
      </c>
      <c r="J294" s="634">
        <f>eSystemsTrainingCostPerFTE_CRT*eSystemsTrainingFTEsWorstCaseCRT*(1+Inflation)^5</f>
        <v>6624.4848191999999</v>
      </c>
      <c r="K294" s="634">
        <f>eSystemsTrainingCostPerFTE_CRT*eSystemsTrainingFTEsWorstCaseCRT*(1+Inflation)^6</f>
        <v>6756.9745155840001</v>
      </c>
      <c r="L294" s="634">
        <f>eSystemsTrainingCostPerFTE_CRT*eSystemsTrainingFTEsWorstCaseCRT*(1+Inflation)^7</f>
        <v>6892.1140058956789</v>
      </c>
      <c r="M294" s="634">
        <f>eSystemsTrainingCostPerFTE_CRT*eSystemsTrainingFTEsWorstCaseCRT*(1+Inflation)^8</f>
        <v>7029.9562860135929</v>
      </c>
      <c r="N294" s="634">
        <f>eSystemsTrainingCostPerFTE_CRT*eSystemsTrainingFTEsWorstCaseCRT*(1+Inflation)^9</f>
        <v>7170.5554117338652</v>
      </c>
      <c r="O294" s="162" t="s">
        <v>3842</v>
      </c>
    </row>
    <row r="295" spans="2:15" ht="15" hidden="1" customHeight="1" outlineLevel="1" x14ac:dyDescent="0.2">
      <c r="B295" s="96"/>
      <c r="C295" s="368"/>
      <c r="D295" s="442" t="s">
        <v>3843</v>
      </c>
      <c r="E295" s="634">
        <f>eSystemsTrainingCostPerFTE_CRT*eSystemsTrainingFTEsMostLikelyCRT</f>
        <v>21600</v>
      </c>
      <c r="F295" s="634">
        <f>eSystemsTrainingCostPerFTE_CRT*eSystemsTrainingFTEsMostLikelyCRT*(1+Inflation)</f>
        <v>2448.0000000000005</v>
      </c>
      <c r="G295" s="634">
        <f>eSystemsTrainingCostPerFTE_CRT*eSystemsTrainingFTEsMostLikelyCRT*(1+Inflation)^2</f>
        <v>2496.9600000000005</v>
      </c>
      <c r="H295" s="634">
        <f>eSystemsTrainingCostPerFTE_CRT*eSystemsTrainingFTEsMostLikelyCRT*(1+Inflation)^3</f>
        <v>2546.8992000000003</v>
      </c>
      <c r="I295" s="634">
        <f>eSystemsTrainingCostPerFTE_CRT*eSystemsTrainingFTEsMostLikelyCRT*(1+Inflation)^4</f>
        <v>2597.8371840000004</v>
      </c>
      <c r="J295" s="634">
        <f>eSystemsTrainingCostPerFTE_CRT*eSystemsTrainingFTEsMostLikelyCRT*(1+Inflation)^5</f>
        <v>2649.7939276800007</v>
      </c>
      <c r="K295" s="634">
        <f>eSystemsTrainingCostPerFTE_CRT*eSystemsTrainingFTEsMostLikelyCRT*(1+Inflation)^6</f>
        <v>2702.7898062336008</v>
      </c>
      <c r="L295" s="634">
        <f>eSystemsTrainingCostPerFTE_CRT*eSystemsTrainingFTEsMostLikelyCRT*(1+Inflation)^7</f>
        <v>2756.8456023582721</v>
      </c>
      <c r="M295" s="634">
        <f>eSystemsTrainingCostPerFTE_CRT*eSystemsTrainingFTEsMostLikelyCRT*(1+Inflation)^8</f>
        <v>2811.982514405438</v>
      </c>
      <c r="N295" s="634">
        <f>eSystemsTrainingCostPerFTE_CRT*eSystemsTrainingFTEsMostLikelyCRT*(1+Inflation)^9</f>
        <v>2868.2221646935463</v>
      </c>
      <c r="O295" s="162" t="s">
        <v>3844</v>
      </c>
    </row>
    <row r="296" spans="2:15" ht="15" hidden="1" customHeight="1" outlineLevel="1" x14ac:dyDescent="0.2">
      <c r="B296" s="96"/>
      <c r="C296" s="368"/>
      <c r="D296" s="442" t="s">
        <v>3845</v>
      </c>
      <c r="E296" s="634">
        <f>eSystemsTrainingCostPerFTE_CRT*eSystemsTrainingFTEsBestCaseCRT</f>
        <v>10799.999999999996</v>
      </c>
      <c r="F296" s="634">
        <f>eSystemsTrainingCostPerFTE_CRT*eSystemsTrainingFTEsBestCaseCRT*(1+Inflation)</f>
        <v>1223.9999999999998</v>
      </c>
      <c r="G296" s="634">
        <f>eSystemsTrainingCostPerFTE_CRT*eSystemsTrainingFTEsBestCaseCRT*(1+Inflation)^2</f>
        <v>1248.4799999999998</v>
      </c>
      <c r="H296" s="634">
        <f>eSystemsTrainingCostPerFTE_CRT*eSystemsTrainingFTEsBestCaseCRT*(1+Inflation)^3</f>
        <v>1273.4495999999997</v>
      </c>
      <c r="I296" s="634">
        <f>eSystemsTrainingCostPerFTE_CRT*eSystemsTrainingFTEsBestCaseCRT*(1+Inflation)^4</f>
        <v>1298.9185919999998</v>
      </c>
      <c r="J296" s="634">
        <f>eSystemsTrainingCostPerFTE_CRT*eSystemsTrainingFTEsBestCaseCRT*(1+Inflation)^5</f>
        <v>1324.8969638399997</v>
      </c>
      <c r="K296" s="634">
        <f>eSystemsTrainingCostPerFTE_CRT*eSystemsTrainingFTEsBestCaseCRT*(1+Inflation)^6</f>
        <v>1351.3949031167999</v>
      </c>
      <c r="L296" s="634">
        <f>eSystemsTrainingCostPerFTE_CRT*eSystemsTrainingFTEsBestCaseCRT*(1+Inflation)^7</f>
        <v>1378.4228011791356</v>
      </c>
      <c r="M296" s="634">
        <f>eSystemsTrainingCostPerFTE_CRT*eSystemsTrainingFTEsBestCaseCRT*(1+Inflation)^8</f>
        <v>1405.9912572027183</v>
      </c>
      <c r="N296" s="634">
        <f>eSystemsTrainingCostPerFTE_CRT*eSystemsTrainingFTEsBestCaseCRT*(1+Inflation)^9</f>
        <v>1434.1110823467727</v>
      </c>
      <c r="O296" s="162" t="s">
        <v>3846</v>
      </c>
    </row>
    <row r="297" spans="2:15" ht="15" hidden="1" customHeight="1" outlineLevel="1" x14ac:dyDescent="0.2">
      <c r="C297" s="394"/>
      <c r="D297" s="5"/>
      <c r="E297" s="5"/>
      <c r="F297" s="5"/>
      <c r="G297" s="5"/>
      <c r="H297" s="5"/>
      <c r="I297" s="5"/>
      <c r="J297" s="5"/>
      <c r="K297" s="5"/>
      <c r="L297" s="5"/>
      <c r="M297" s="5"/>
      <c r="N297" s="5"/>
      <c r="O297" s="393"/>
    </row>
    <row r="298" spans="2:15" ht="15" hidden="1" customHeight="1" outlineLevel="1" x14ac:dyDescent="0.2">
      <c r="B298" s="96"/>
      <c r="C298" s="394"/>
      <c r="D298" s="149" t="s">
        <v>3847</v>
      </c>
      <c r="E298" s="5"/>
      <c r="F298" s="5"/>
      <c r="G298" s="5"/>
      <c r="H298" s="5"/>
      <c r="I298" s="5"/>
      <c r="J298" s="5"/>
      <c r="K298" s="5"/>
      <c r="L298" s="5"/>
      <c r="M298" s="5"/>
      <c r="N298" s="5"/>
      <c r="O298" s="393"/>
    </row>
    <row r="299" spans="2:15" ht="15" hidden="1" customHeight="1" outlineLevel="1" x14ac:dyDescent="0.2">
      <c r="B299" s="96"/>
      <c r="C299" s="394"/>
      <c r="D299" s="631">
        <v>1000</v>
      </c>
      <c r="E299" s="6"/>
      <c r="F299" s="6"/>
      <c r="G299" s="6"/>
      <c r="H299" s="6"/>
      <c r="I299" s="6"/>
      <c r="J299" s="6"/>
      <c r="K299" s="6"/>
      <c r="L299" s="6"/>
      <c r="M299" s="6"/>
      <c r="N299" s="6"/>
      <c r="O299" s="393"/>
    </row>
    <row r="300" spans="2:15" ht="15" hidden="1" customHeight="1" outlineLevel="1" x14ac:dyDescent="0.2">
      <c r="B300" s="96"/>
      <c r="C300" s="394"/>
      <c r="D300" s="442" t="s">
        <v>285</v>
      </c>
      <c r="E300" s="632">
        <v>0.9</v>
      </c>
      <c r="F300" s="632">
        <v>0.1</v>
      </c>
      <c r="G300" s="632">
        <v>0.1</v>
      </c>
      <c r="H300" s="632">
        <v>0.1</v>
      </c>
      <c r="I300" s="632">
        <v>0.1</v>
      </c>
      <c r="J300" s="632">
        <v>0.1</v>
      </c>
      <c r="K300" s="632">
        <v>0.1</v>
      </c>
      <c r="L300" s="632">
        <v>0.1</v>
      </c>
      <c r="M300" s="632">
        <v>0.1</v>
      </c>
      <c r="N300" s="632">
        <v>0.1</v>
      </c>
      <c r="O300" s="162" t="s">
        <v>3848</v>
      </c>
    </row>
    <row r="301" spans="2:15" ht="15" hidden="1" customHeight="1" outlineLevel="1" x14ac:dyDescent="0.2">
      <c r="B301" s="96"/>
      <c r="C301" s="368"/>
      <c r="D301" s="442" t="s">
        <v>3701</v>
      </c>
      <c r="E301" s="633">
        <f t="shared" ref="E301:N301" si="64">eSystemsFTECalcResultWorstCaseSCL*eSystemsTrainingPercentFTEsSCL</f>
        <v>90</v>
      </c>
      <c r="F301" s="633">
        <f t="shared" si="64"/>
        <v>10</v>
      </c>
      <c r="G301" s="633">
        <f t="shared" si="64"/>
        <v>10</v>
      </c>
      <c r="H301" s="633">
        <f t="shared" si="64"/>
        <v>10</v>
      </c>
      <c r="I301" s="633">
        <f t="shared" si="64"/>
        <v>10</v>
      </c>
      <c r="J301" s="633">
        <f t="shared" si="64"/>
        <v>10</v>
      </c>
      <c r="K301" s="633">
        <f t="shared" si="64"/>
        <v>10</v>
      </c>
      <c r="L301" s="633">
        <f t="shared" si="64"/>
        <v>10</v>
      </c>
      <c r="M301" s="633">
        <f t="shared" si="64"/>
        <v>10</v>
      </c>
      <c r="N301" s="633">
        <f t="shared" si="64"/>
        <v>10</v>
      </c>
      <c r="O301" s="162" t="s">
        <v>3849</v>
      </c>
    </row>
    <row r="302" spans="2:15" ht="15" hidden="1" customHeight="1" outlineLevel="1" x14ac:dyDescent="0.2">
      <c r="B302" s="96"/>
      <c r="C302" s="368"/>
      <c r="D302" s="442" t="s">
        <v>3703</v>
      </c>
      <c r="E302" s="633">
        <f t="shared" ref="E302:N302" si="65">eSystemsFTECalcResultMostLikelySCL*eSystemsTrainingPercentFTEsSCL</f>
        <v>63</v>
      </c>
      <c r="F302" s="633">
        <f t="shared" si="65"/>
        <v>7</v>
      </c>
      <c r="G302" s="633">
        <f t="shared" si="65"/>
        <v>7</v>
      </c>
      <c r="H302" s="633">
        <f t="shared" si="65"/>
        <v>7</v>
      </c>
      <c r="I302" s="633">
        <f t="shared" si="65"/>
        <v>7</v>
      </c>
      <c r="J302" s="633">
        <f t="shared" si="65"/>
        <v>7</v>
      </c>
      <c r="K302" s="633">
        <f t="shared" si="65"/>
        <v>7</v>
      </c>
      <c r="L302" s="633">
        <f t="shared" si="65"/>
        <v>7</v>
      </c>
      <c r="M302" s="633">
        <f t="shared" si="65"/>
        <v>7</v>
      </c>
      <c r="N302" s="633">
        <f t="shared" si="65"/>
        <v>7</v>
      </c>
      <c r="O302" s="162" t="s">
        <v>3850</v>
      </c>
    </row>
    <row r="303" spans="2:15" ht="15" hidden="1" customHeight="1" outlineLevel="1" x14ac:dyDescent="0.2">
      <c r="B303" s="96"/>
      <c r="C303" s="368"/>
      <c r="D303" s="442" t="s">
        <v>3705</v>
      </c>
      <c r="E303" s="633">
        <f t="shared" ref="E303:N303" si="66">eSystemsFTECalcResultBestCaseSCL*eSystemsTrainingPercentFTEsSCL</f>
        <v>45</v>
      </c>
      <c r="F303" s="633">
        <f t="shared" si="66"/>
        <v>5</v>
      </c>
      <c r="G303" s="633">
        <f t="shared" si="66"/>
        <v>5</v>
      </c>
      <c r="H303" s="633">
        <f t="shared" si="66"/>
        <v>5</v>
      </c>
      <c r="I303" s="633">
        <f t="shared" si="66"/>
        <v>5</v>
      </c>
      <c r="J303" s="633">
        <f t="shared" si="66"/>
        <v>5</v>
      </c>
      <c r="K303" s="633">
        <f t="shared" si="66"/>
        <v>5</v>
      </c>
      <c r="L303" s="633">
        <f t="shared" si="66"/>
        <v>5</v>
      </c>
      <c r="M303" s="633">
        <f t="shared" si="66"/>
        <v>5</v>
      </c>
      <c r="N303" s="633">
        <f t="shared" si="66"/>
        <v>5</v>
      </c>
      <c r="O303" s="162" t="s">
        <v>3851</v>
      </c>
    </row>
    <row r="304" spans="2:15" s="8" customFormat="1" ht="15" hidden="1" customHeight="1" outlineLevel="1" x14ac:dyDescent="0.2">
      <c r="B304" s="622"/>
      <c r="C304" s="441"/>
      <c r="D304" s="442"/>
      <c r="E304" s="623"/>
      <c r="F304" s="623"/>
      <c r="G304" s="623"/>
      <c r="H304" s="623"/>
      <c r="I304" s="623"/>
      <c r="J304" s="623"/>
      <c r="K304" s="623"/>
      <c r="L304" s="623"/>
      <c r="M304" s="623"/>
      <c r="N304" s="623"/>
      <c r="O304" s="162"/>
    </row>
    <row r="305" spans="2:15" ht="15" hidden="1" customHeight="1" outlineLevel="1" x14ac:dyDescent="0.2">
      <c r="B305" s="96"/>
      <c r="C305" s="368"/>
      <c r="D305" s="442" t="s">
        <v>3852</v>
      </c>
      <c r="E305" s="634">
        <f>eSystemsTrainingCostPerFTE_SCL*eSystemsTrainingFTEsWorstCaseSCL</f>
        <v>90000</v>
      </c>
      <c r="F305" s="634">
        <f>eSystemsTrainingCostPerFTE_SCL*eSystemsTrainingFTEsWorstCaseSCL*(1+Inflation)</f>
        <v>10200</v>
      </c>
      <c r="G305" s="634">
        <f>eSystemsTrainingCostPerFTE_SCL*eSystemsTrainingFTEsWorstCaseSCL*(1+Inflation)^2</f>
        <v>10404</v>
      </c>
      <c r="H305" s="634">
        <f>eSystemsTrainingCostPerFTE_SCL*eSystemsTrainingFTEsWorstCaseSCL*(1+Inflation)^3</f>
        <v>10612.08</v>
      </c>
      <c r="I305" s="634">
        <f>eSystemsTrainingCostPerFTE_SCL*eSystemsTrainingFTEsWorstCaseSCL*(1+Inflation)^4</f>
        <v>10824.321599999999</v>
      </c>
      <c r="J305" s="634">
        <f>eSystemsTrainingCostPerFTE_SCL*eSystemsTrainingFTEsWorstCaseSCL*(1+Inflation)^5</f>
        <v>11040.808032000001</v>
      </c>
      <c r="K305" s="634">
        <f>eSystemsTrainingCostPerFTE_SCL*eSystemsTrainingFTEsWorstCaseSCL*(1+Inflation)^6</f>
        <v>11261.62419264</v>
      </c>
      <c r="L305" s="634">
        <f>eSystemsTrainingCostPerFTE_SCL*eSystemsTrainingFTEsWorstCaseSCL*(1+Inflation)^7</f>
        <v>11486.856676492798</v>
      </c>
      <c r="M305" s="634">
        <f>eSystemsTrainingCostPerFTE_SCL*eSystemsTrainingFTEsWorstCaseSCL*(1+Inflation)^8</f>
        <v>11716.593810022656</v>
      </c>
      <c r="N305" s="634">
        <f>eSystemsTrainingCostPerFTE_SCL*eSystemsTrainingFTEsWorstCaseSCL*(1+Inflation)^9</f>
        <v>11950.925686223109</v>
      </c>
      <c r="O305" s="162" t="s">
        <v>3853</v>
      </c>
    </row>
    <row r="306" spans="2:15" ht="15" hidden="1" customHeight="1" outlineLevel="1" x14ac:dyDescent="0.2">
      <c r="B306" s="96"/>
      <c r="C306" s="368"/>
      <c r="D306" s="442" t="s">
        <v>3854</v>
      </c>
      <c r="E306" s="634">
        <f>eSystemsTrainingCostPerFTE_SCL*eSystemsTrainingFTEsMostLikelySCL</f>
        <v>63000</v>
      </c>
      <c r="F306" s="634">
        <f>eSystemsTrainingCostPerFTE_SCL*eSystemsTrainingFTEsMostLikelySCL*(1+Inflation)</f>
        <v>7140</v>
      </c>
      <c r="G306" s="634">
        <f>eSystemsTrainingCostPerFTE_SCL*eSystemsTrainingFTEsMostLikelySCL*(1+Inflation)^2</f>
        <v>7282.8</v>
      </c>
      <c r="H306" s="634">
        <f>eSystemsTrainingCostPerFTE_SCL*eSystemsTrainingFTEsMostLikelySCL*(1+Inflation)^3</f>
        <v>7428.4559999999992</v>
      </c>
      <c r="I306" s="634">
        <f>eSystemsTrainingCostPerFTE_SCL*eSystemsTrainingFTEsMostLikelySCL*(1+Inflation)^4</f>
        <v>7577.0251200000002</v>
      </c>
      <c r="J306" s="634">
        <f>eSystemsTrainingCostPerFTE_SCL*eSystemsTrainingFTEsMostLikelySCL*(1+Inflation)^5</f>
        <v>7728.5656224000004</v>
      </c>
      <c r="K306" s="634">
        <f>eSystemsTrainingCostPerFTE_SCL*eSystemsTrainingFTEsMostLikelySCL*(1+Inflation)^6</f>
        <v>7883.1369348480002</v>
      </c>
      <c r="L306" s="634">
        <f>eSystemsTrainingCostPerFTE_SCL*eSystemsTrainingFTEsMostLikelySCL*(1+Inflation)^7</f>
        <v>8040.7996735449588</v>
      </c>
      <c r="M306" s="634">
        <f>eSystemsTrainingCostPerFTE_SCL*eSystemsTrainingFTEsMostLikelySCL*(1+Inflation)^8</f>
        <v>8201.615667015858</v>
      </c>
      <c r="N306" s="634">
        <f>eSystemsTrainingCostPerFTE_SCL*eSystemsTrainingFTEsMostLikelySCL*(1+Inflation)^9</f>
        <v>8365.647980356176</v>
      </c>
      <c r="O306" s="162" t="s">
        <v>3855</v>
      </c>
    </row>
    <row r="307" spans="2:15" ht="15" hidden="1" customHeight="1" outlineLevel="1" x14ac:dyDescent="0.2">
      <c r="B307" s="96"/>
      <c r="C307" s="368"/>
      <c r="D307" s="442" t="s">
        <v>3856</v>
      </c>
      <c r="E307" s="634">
        <f>eSystemsTrainingCostPerFTE_SCL*eSystemsTrainingFTEsBestCaseSCL</f>
        <v>45000</v>
      </c>
      <c r="F307" s="634">
        <f>eSystemsTrainingCostPerFTE_SCL*eSystemsTrainingFTEsBestCaseSCL*(1+Inflation)</f>
        <v>5100</v>
      </c>
      <c r="G307" s="634">
        <f>eSystemsTrainingCostPerFTE_SCL*eSystemsTrainingFTEsBestCaseSCL*(1+Inflation)^2</f>
        <v>5202</v>
      </c>
      <c r="H307" s="634">
        <f>eSystemsTrainingCostPerFTE_SCL*eSystemsTrainingFTEsBestCaseSCL*(1+Inflation)^3</f>
        <v>5306.04</v>
      </c>
      <c r="I307" s="634">
        <f>eSystemsTrainingCostPerFTE_SCL*eSystemsTrainingFTEsBestCaseSCL*(1+Inflation)^4</f>
        <v>5412.1607999999997</v>
      </c>
      <c r="J307" s="634">
        <f>eSystemsTrainingCostPerFTE_SCL*eSystemsTrainingFTEsBestCaseSCL*(1+Inflation)^5</f>
        <v>5520.4040160000004</v>
      </c>
      <c r="K307" s="634">
        <f>eSystemsTrainingCostPerFTE_SCL*eSystemsTrainingFTEsBestCaseSCL*(1+Inflation)^6</f>
        <v>5630.8120963199999</v>
      </c>
      <c r="L307" s="634">
        <f>eSystemsTrainingCostPerFTE_SCL*eSystemsTrainingFTEsBestCaseSCL*(1+Inflation)^7</f>
        <v>5743.4283382463991</v>
      </c>
      <c r="M307" s="634">
        <f>eSystemsTrainingCostPerFTE_SCL*eSystemsTrainingFTEsBestCaseSCL*(1+Inflation)^8</f>
        <v>5858.2969050113279</v>
      </c>
      <c r="N307" s="634">
        <f>eSystemsTrainingCostPerFTE_SCL*eSystemsTrainingFTEsBestCaseSCL*(1+Inflation)^9</f>
        <v>5975.4628431115543</v>
      </c>
      <c r="O307" s="162" t="s">
        <v>3857</v>
      </c>
    </row>
    <row r="308" spans="2:15" ht="15" hidden="1" customHeight="1" outlineLevel="1" x14ac:dyDescent="0.2">
      <c r="C308" s="394"/>
      <c r="D308" s="5"/>
      <c r="E308" s="5"/>
      <c r="F308" s="5"/>
      <c r="G308" s="5"/>
      <c r="H308" s="5"/>
      <c r="I308" s="5"/>
      <c r="J308" s="5"/>
      <c r="K308" s="5"/>
      <c r="L308" s="5"/>
      <c r="M308" s="5"/>
      <c r="N308" s="5"/>
      <c r="O308" s="393"/>
    </row>
    <row r="309" spans="2:15" ht="15" hidden="1" customHeight="1" outlineLevel="1" x14ac:dyDescent="0.2">
      <c r="B309" s="96"/>
      <c r="C309" s="394"/>
      <c r="D309" s="149" t="s">
        <v>3858</v>
      </c>
      <c r="E309" s="5"/>
      <c r="F309" s="5"/>
      <c r="G309" s="5"/>
      <c r="H309" s="5"/>
      <c r="I309" s="5"/>
      <c r="J309" s="5"/>
      <c r="K309" s="5"/>
      <c r="L309" s="5"/>
      <c r="M309" s="5"/>
      <c r="N309" s="5"/>
      <c r="O309" s="393"/>
    </row>
    <row r="310" spans="2:15" ht="15" hidden="1" customHeight="1" outlineLevel="1" x14ac:dyDescent="0.2">
      <c r="B310" s="96"/>
      <c r="C310" s="394"/>
      <c r="D310" s="631">
        <v>1000</v>
      </c>
      <c r="E310" s="6"/>
      <c r="F310" s="6"/>
      <c r="G310" s="6"/>
      <c r="H310" s="6"/>
      <c r="I310" s="6"/>
      <c r="J310" s="6"/>
      <c r="K310" s="6"/>
      <c r="L310" s="6"/>
      <c r="M310" s="6"/>
      <c r="N310" s="6"/>
      <c r="O310" s="393"/>
    </row>
    <row r="311" spans="2:15" ht="15" hidden="1" customHeight="1" outlineLevel="1" x14ac:dyDescent="0.2">
      <c r="B311" s="96"/>
      <c r="C311" s="394"/>
      <c r="D311" s="442" t="s">
        <v>3589</v>
      </c>
      <c r="E311" s="632">
        <v>0.9</v>
      </c>
      <c r="F311" s="632">
        <v>0.1</v>
      </c>
      <c r="G311" s="632">
        <v>0.1</v>
      </c>
      <c r="H311" s="632">
        <v>0.1</v>
      </c>
      <c r="I311" s="632">
        <v>0.1</v>
      </c>
      <c r="J311" s="632">
        <v>0.1</v>
      </c>
      <c r="K311" s="632">
        <v>0.1</v>
      </c>
      <c r="L311" s="632">
        <v>0.1</v>
      </c>
      <c r="M311" s="632">
        <v>0.1</v>
      </c>
      <c r="N311" s="632">
        <v>0.1</v>
      </c>
      <c r="O311" s="162" t="s">
        <v>3859</v>
      </c>
    </row>
    <row r="312" spans="2:15" ht="15" hidden="1" customHeight="1" outlineLevel="1" x14ac:dyDescent="0.2">
      <c r="B312" s="96"/>
      <c r="C312" s="368"/>
      <c r="D312" s="442" t="s">
        <v>3714</v>
      </c>
      <c r="E312" s="633">
        <f t="shared" ref="E312:N312" si="67">eSystemsFTECalcResultWorstCaseQSC*eSystemsTrainingPercentFTEsQSC</f>
        <v>45</v>
      </c>
      <c r="F312" s="633">
        <f t="shared" si="67"/>
        <v>5</v>
      </c>
      <c r="G312" s="633">
        <f t="shared" si="67"/>
        <v>5</v>
      </c>
      <c r="H312" s="633">
        <f t="shared" si="67"/>
        <v>5</v>
      </c>
      <c r="I312" s="633">
        <f t="shared" si="67"/>
        <v>5</v>
      </c>
      <c r="J312" s="633">
        <f t="shared" si="67"/>
        <v>5</v>
      </c>
      <c r="K312" s="633">
        <f t="shared" si="67"/>
        <v>5</v>
      </c>
      <c r="L312" s="633">
        <f t="shared" si="67"/>
        <v>5</v>
      </c>
      <c r="M312" s="633">
        <f t="shared" si="67"/>
        <v>5</v>
      </c>
      <c r="N312" s="633">
        <f t="shared" si="67"/>
        <v>5</v>
      </c>
      <c r="O312" s="162" t="s">
        <v>3860</v>
      </c>
    </row>
    <row r="313" spans="2:15" ht="15" hidden="1" customHeight="1" outlineLevel="1" x14ac:dyDescent="0.2">
      <c r="B313" s="96"/>
      <c r="C313" s="368"/>
      <c r="D313" s="442" t="s">
        <v>3716</v>
      </c>
      <c r="E313" s="633">
        <f t="shared" ref="E313:N313" si="68">eSystemsFTECalcResultMostLikelyQSC*eSystemsTrainingPercentFTEsQSC</f>
        <v>36</v>
      </c>
      <c r="F313" s="633">
        <f t="shared" si="68"/>
        <v>4</v>
      </c>
      <c r="G313" s="633">
        <f t="shared" si="68"/>
        <v>4</v>
      </c>
      <c r="H313" s="633">
        <f t="shared" si="68"/>
        <v>4</v>
      </c>
      <c r="I313" s="633">
        <f t="shared" si="68"/>
        <v>4</v>
      </c>
      <c r="J313" s="633">
        <f t="shared" si="68"/>
        <v>4</v>
      </c>
      <c r="K313" s="633">
        <f t="shared" si="68"/>
        <v>4</v>
      </c>
      <c r="L313" s="633">
        <f t="shared" si="68"/>
        <v>4</v>
      </c>
      <c r="M313" s="633">
        <f t="shared" si="68"/>
        <v>4</v>
      </c>
      <c r="N313" s="633">
        <f t="shared" si="68"/>
        <v>4</v>
      </c>
      <c r="O313" s="162" t="s">
        <v>3861</v>
      </c>
    </row>
    <row r="314" spans="2:15" ht="15" hidden="1" customHeight="1" outlineLevel="1" x14ac:dyDescent="0.2">
      <c r="B314" s="96"/>
      <c r="C314" s="368"/>
      <c r="D314" s="442" t="s">
        <v>3718</v>
      </c>
      <c r="E314" s="633">
        <f t="shared" ref="E314:N314" si="69">eSystemsFTECalcResultBestCaseQSC*eSystemsTrainingPercentFTEsQSC</f>
        <v>27</v>
      </c>
      <c r="F314" s="633">
        <f t="shared" si="69"/>
        <v>3</v>
      </c>
      <c r="G314" s="633">
        <f t="shared" si="69"/>
        <v>3</v>
      </c>
      <c r="H314" s="633">
        <f t="shared" si="69"/>
        <v>3</v>
      </c>
      <c r="I314" s="633">
        <f t="shared" si="69"/>
        <v>3</v>
      </c>
      <c r="J314" s="633">
        <f t="shared" si="69"/>
        <v>3</v>
      </c>
      <c r="K314" s="633">
        <f t="shared" si="69"/>
        <v>3</v>
      </c>
      <c r="L314" s="633">
        <f t="shared" si="69"/>
        <v>3</v>
      </c>
      <c r="M314" s="633">
        <f t="shared" si="69"/>
        <v>3</v>
      </c>
      <c r="N314" s="633">
        <f t="shared" si="69"/>
        <v>3</v>
      </c>
      <c r="O314" s="162" t="s">
        <v>3862</v>
      </c>
    </row>
    <row r="315" spans="2:15" s="8" customFormat="1" ht="15" hidden="1" customHeight="1" outlineLevel="1" x14ac:dyDescent="0.2">
      <c r="B315" s="622"/>
      <c r="C315" s="441"/>
      <c r="D315" s="442"/>
      <c r="E315" s="623"/>
      <c r="F315" s="623"/>
      <c r="G315" s="623"/>
      <c r="H315" s="623"/>
      <c r="I315" s="623"/>
      <c r="J315" s="623"/>
      <c r="K315" s="623"/>
      <c r="L315" s="623"/>
      <c r="M315" s="623"/>
      <c r="N315" s="623"/>
      <c r="O315" s="162"/>
    </row>
    <row r="316" spans="2:15" ht="15" hidden="1" customHeight="1" outlineLevel="1" x14ac:dyDescent="0.2">
      <c r="B316" s="96"/>
      <c r="C316" s="368"/>
      <c r="D316" s="442" t="s">
        <v>3863</v>
      </c>
      <c r="E316" s="634">
        <f>eSystemsTrainingCostPerFTE_QSC*eSystemsTrainingFTEsWorstCaseQSC</f>
        <v>45000</v>
      </c>
      <c r="F316" s="634">
        <f>eSystemsTrainingCostPerFTE_QSC*eSystemsTrainingFTEsWorstCaseQSC*(1+Inflation)</f>
        <v>5100</v>
      </c>
      <c r="G316" s="634">
        <f>eSystemsTrainingCostPerFTE_QSC*eSystemsTrainingFTEsWorstCaseQSC*(1+Inflation)^2</f>
        <v>5202</v>
      </c>
      <c r="H316" s="634">
        <f>eSystemsTrainingCostPerFTE_QSC*eSystemsTrainingFTEsWorstCaseQSC*(1+Inflation)^3</f>
        <v>5306.04</v>
      </c>
      <c r="I316" s="634">
        <f>eSystemsTrainingCostPerFTE_QSC*eSystemsTrainingFTEsWorstCaseQSC*(1+Inflation)^4</f>
        <v>5412.1607999999997</v>
      </c>
      <c r="J316" s="634">
        <f>eSystemsTrainingCostPerFTE_QSC*eSystemsTrainingFTEsWorstCaseQSC*(1+Inflation)^5</f>
        <v>5520.4040160000004</v>
      </c>
      <c r="K316" s="634">
        <f>eSystemsTrainingCostPerFTE_QSC*eSystemsTrainingFTEsWorstCaseQSC*(1+Inflation)^6</f>
        <v>5630.8120963199999</v>
      </c>
      <c r="L316" s="634">
        <f>eSystemsTrainingCostPerFTE_QSC*eSystemsTrainingFTEsWorstCaseQSC*(1+Inflation)^7</f>
        <v>5743.4283382463991</v>
      </c>
      <c r="M316" s="634">
        <f>eSystemsTrainingCostPerFTE_QSC*eSystemsTrainingFTEsWorstCaseQSC*(1+Inflation)^8</f>
        <v>5858.2969050113279</v>
      </c>
      <c r="N316" s="634">
        <f>eSystemsTrainingCostPerFTE_QSC*eSystemsTrainingFTEsWorstCaseQSC*(1+Inflation)^9</f>
        <v>5975.4628431115543</v>
      </c>
      <c r="O316" s="162" t="s">
        <v>3864</v>
      </c>
    </row>
    <row r="317" spans="2:15" ht="15" hidden="1" customHeight="1" outlineLevel="1" x14ac:dyDescent="0.2">
      <c r="B317" s="96"/>
      <c r="C317" s="368"/>
      <c r="D317" s="442" t="s">
        <v>3865</v>
      </c>
      <c r="E317" s="634">
        <f>eSystemsTrainingCostPerFTE_QSC*eSystemsTrainingFTEsMostLikelyQSC</f>
        <v>36000</v>
      </c>
      <c r="F317" s="634">
        <f>eSystemsTrainingCostPerFTE_QSC*eSystemsTrainingFTEsMostLikelyQSC*(1+Inflation)</f>
        <v>4080</v>
      </c>
      <c r="G317" s="634">
        <f>eSystemsTrainingCostPerFTE_QSC*eSystemsTrainingFTEsMostLikelyQSC*(1+Inflation)^2</f>
        <v>4161.6000000000004</v>
      </c>
      <c r="H317" s="634">
        <f>eSystemsTrainingCostPerFTE_QSC*eSystemsTrainingFTEsMostLikelyQSC*(1+Inflation)^3</f>
        <v>4244.8319999999994</v>
      </c>
      <c r="I317" s="634">
        <f>eSystemsTrainingCostPerFTE_QSC*eSystemsTrainingFTEsMostLikelyQSC*(1+Inflation)^4</f>
        <v>4329.7286400000003</v>
      </c>
      <c r="J317" s="634">
        <f>eSystemsTrainingCostPerFTE_QSC*eSystemsTrainingFTEsMostLikelyQSC*(1+Inflation)^5</f>
        <v>4416.3232128</v>
      </c>
      <c r="K317" s="634">
        <f>eSystemsTrainingCostPerFTE_QSC*eSystemsTrainingFTEsMostLikelyQSC*(1+Inflation)^6</f>
        <v>4504.6496770560007</v>
      </c>
      <c r="L317" s="634">
        <f>eSystemsTrainingCostPerFTE_QSC*eSystemsTrainingFTEsMostLikelyQSC*(1+Inflation)^7</f>
        <v>4594.7426705971193</v>
      </c>
      <c r="M317" s="634">
        <f>eSystemsTrainingCostPerFTE_QSC*eSystemsTrainingFTEsMostLikelyQSC*(1+Inflation)^8</f>
        <v>4686.637524009062</v>
      </c>
      <c r="N317" s="634">
        <f>eSystemsTrainingCostPerFTE_QSC*eSystemsTrainingFTEsMostLikelyQSC*(1+Inflation)^9</f>
        <v>4780.3702744892435</v>
      </c>
      <c r="O317" s="162" t="s">
        <v>3866</v>
      </c>
    </row>
    <row r="318" spans="2:15" ht="15" hidden="1" customHeight="1" outlineLevel="1" x14ac:dyDescent="0.2">
      <c r="B318" s="96"/>
      <c r="C318" s="368"/>
      <c r="D318" s="442" t="s">
        <v>3867</v>
      </c>
      <c r="E318" s="634">
        <f>eSystemsTrainingCostPerFTE_QSC*eSystemsTrainingFTEsBestCaseQSC</f>
        <v>27000</v>
      </c>
      <c r="F318" s="634">
        <f>eSystemsTrainingCostPerFTE_QSC*eSystemsTrainingFTEsBestCaseQSC*(1+Inflation)</f>
        <v>3060</v>
      </c>
      <c r="G318" s="634">
        <f>eSystemsTrainingCostPerFTE_QSC*eSystemsTrainingFTEsBestCaseQSC*(1+Inflation)^2</f>
        <v>3121.2</v>
      </c>
      <c r="H318" s="634">
        <f>eSystemsTrainingCostPerFTE_QSC*eSystemsTrainingFTEsBestCaseQSC*(1+Inflation)^3</f>
        <v>3183.6239999999998</v>
      </c>
      <c r="I318" s="634">
        <f>eSystemsTrainingCostPerFTE_QSC*eSystemsTrainingFTEsBestCaseQSC*(1+Inflation)^4</f>
        <v>3247.29648</v>
      </c>
      <c r="J318" s="634">
        <f>eSystemsTrainingCostPerFTE_QSC*eSystemsTrainingFTEsBestCaseQSC*(1+Inflation)^5</f>
        <v>3312.2424096</v>
      </c>
      <c r="K318" s="634">
        <f>eSystemsTrainingCostPerFTE_QSC*eSystemsTrainingFTEsBestCaseQSC*(1+Inflation)^6</f>
        <v>3378.487257792</v>
      </c>
      <c r="L318" s="634">
        <f>eSystemsTrainingCostPerFTE_QSC*eSystemsTrainingFTEsBestCaseQSC*(1+Inflation)^7</f>
        <v>3446.0570029478395</v>
      </c>
      <c r="M318" s="634">
        <f>eSystemsTrainingCostPerFTE_QSC*eSystemsTrainingFTEsBestCaseQSC*(1+Inflation)^8</f>
        <v>3514.9781430067965</v>
      </c>
      <c r="N318" s="634">
        <f>eSystemsTrainingCostPerFTE_QSC*eSystemsTrainingFTEsBestCaseQSC*(1+Inflation)^9</f>
        <v>3585.2777058669326</v>
      </c>
      <c r="O318" s="162" t="s">
        <v>3868</v>
      </c>
    </row>
    <row r="319" spans="2:15" ht="15" hidden="1" customHeight="1" outlineLevel="1" x14ac:dyDescent="0.2">
      <c r="C319" s="394"/>
      <c r="D319" s="5"/>
      <c r="E319" s="5"/>
      <c r="F319" s="5"/>
      <c r="G319" s="5"/>
      <c r="H319" s="5"/>
      <c r="I319" s="5"/>
      <c r="J319" s="5"/>
      <c r="K319" s="5"/>
      <c r="L319" s="5"/>
      <c r="M319" s="5"/>
      <c r="N319" s="5"/>
      <c r="O319" s="393"/>
    </row>
    <row r="320" spans="2:15" ht="15" hidden="1" customHeight="1" outlineLevel="1" x14ac:dyDescent="0.2">
      <c r="B320" s="96"/>
      <c r="C320" s="394"/>
      <c r="D320" s="149" t="s">
        <v>3869</v>
      </c>
      <c r="E320" s="5"/>
      <c r="F320" s="5"/>
      <c r="G320" s="5"/>
      <c r="H320" s="5"/>
      <c r="I320" s="5"/>
      <c r="J320" s="5"/>
      <c r="K320" s="5"/>
      <c r="L320" s="5"/>
      <c r="M320" s="5"/>
      <c r="N320" s="5"/>
      <c r="O320" s="393"/>
    </row>
    <row r="321" spans="2:15" ht="15" hidden="1" customHeight="1" outlineLevel="1" x14ac:dyDescent="0.2">
      <c r="B321" s="96"/>
      <c r="C321" s="394"/>
      <c r="D321" s="631">
        <v>1000</v>
      </c>
      <c r="E321" s="6"/>
      <c r="F321" s="6"/>
      <c r="G321" s="6"/>
      <c r="H321" s="6"/>
      <c r="I321" s="6"/>
      <c r="J321" s="6"/>
      <c r="K321" s="6"/>
      <c r="L321" s="6"/>
      <c r="M321" s="6"/>
      <c r="N321" s="6"/>
      <c r="O321" s="393"/>
    </row>
    <row r="322" spans="2:15" ht="15" hidden="1" customHeight="1" outlineLevel="1" x14ac:dyDescent="0.2">
      <c r="B322" s="96"/>
      <c r="C322" s="394"/>
      <c r="D322" s="442" t="s">
        <v>3593</v>
      </c>
      <c r="E322" s="632">
        <v>0.9</v>
      </c>
      <c r="F322" s="632">
        <v>0.1</v>
      </c>
      <c r="G322" s="632">
        <v>0.1</v>
      </c>
      <c r="H322" s="632">
        <v>0.1</v>
      </c>
      <c r="I322" s="632">
        <v>0.1</v>
      </c>
      <c r="J322" s="632">
        <v>0.1</v>
      </c>
      <c r="K322" s="632">
        <v>0.1</v>
      </c>
      <c r="L322" s="632">
        <v>0.1</v>
      </c>
      <c r="M322" s="632">
        <v>0.1</v>
      </c>
      <c r="N322" s="632">
        <v>0.1</v>
      </c>
      <c r="O322" s="162" t="s">
        <v>3870</v>
      </c>
    </row>
    <row r="323" spans="2:15" ht="15" hidden="1" customHeight="1" outlineLevel="1" x14ac:dyDescent="0.2">
      <c r="B323" s="96"/>
      <c r="C323" s="368"/>
      <c r="D323" s="442" t="s">
        <v>3727</v>
      </c>
      <c r="E323" s="633">
        <f t="shared" ref="E323:N323" si="70">eSystemsFTECalcResultWorstCaseEM*eSystemsTrainingPercentFTEsEM</f>
        <v>90</v>
      </c>
      <c r="F323" s="633">
        <f t="shared" si="70"/>
        <v>10</v>
      </c>
      <c r="G323" s="633">
        <f t="shared" si="70"/>
        <v>10</v>
      </c>
      <c r="H323" s="633">
        <f t="shared" si="70"/>
        <v>10</v>
      </c>
      <c r="I323" s="633">
        <f t="shared" si="70"/>
        <v>10</v>
      </c>
      <c r="J323" s="633">
        <f t="shared" si="70"/>
        <v>10</v>
      </c>
      <c r="K323" s="633">
        <f t="shared" si="70"/>
        <v>10</v>
      </c>
      <c r="L323" s="633">
        <f t="shared" si="70"/>
        <v>10</v>
      </c>
      <c r="M323" s="633">
        <f t="shared" si="70"/>
        <v>10</v>
      </c>
      <c r="N323" s="633">
        <f t="shared" si="70"/>
        <v>10</v>
      </c>
      <c r="O323" s="162" t="s">
        <v>3871</v>
      </c>
    </row>
    <row r="324" spans="2:15" ht="15" hidden="1" customHeight="1" outlineLevel="1" x14ac:dyDescent="0.2">
      <c r="B324" s="96"/>
      <c r="C324" s="368"/>
      <c r="D324" s="442" t="s">
        <v>3729</v>
      </c>
      <c r="E324" s="633">
        <f t="shared" ref="E324:N324" si="71">eSystemsFTECalcResultMostLikelyEM*eSystemsTrainingPercentFTEsEM</f>
        <v>85.5</v>
      </c>
      <c r="F324" s="633">
        <f t="shared" si="71"/>
        <v>9.49</v>
      </c>
      <c r="G324" s="633">
        <f t="shared" si="71"/>
        <v>9.48</v>
      </c>
      <c r="H324" s="633">
        <f t="shared" si="71"/>
        <v>9.4699999999999989</v>
      </c>
      <c r="I324" s="633">
        <f t="shared" si="71"/>
        <v>9.4599999999999991</v>
      </c>
      <c r="J324" s="633">
        <f t="shared" si="71"/>
        <v>9.4500000000000011</v>
      </c>
      <c r="K324" s="633">
        <f t="shared" si="71"/>
        <v>9.44</v>
      </c>
      <c r="L324" s="633">
        <f t="shared" si="71"/>
        <v>9.43</v>
      </c>
      <c r="M324" s="633">
        <f t="shared" si="71"/>
        <v>9.42</v>
      </c>
      <c r="N324" s="633">
        <f t="shared" si="71"/>
        <v>9.4100000000000019</v>
      </c>
      <c r="O324" s="162" t="s">
        <v>3872</v>
      </c>
    </row>
    <row r="325" spans="2:15" ht="15" hidden="1" customHeight="1" outlineLevel="1" x14ac:dyDescent="0.2">
      <c r="B325" s="96"/>
      <c r="C325" s="368"/>
      <c r="D325" s="442" t="s">
        <v>3731</v>
      </c>
      <c r="E325" s="633">
        <f t="shared" ref="E325:N325" si="72">eSystemsFTECalcResultBestCaseEM*eSystemsTrainingPercentFTEsEM</f>
        <v>81</v>
      </c>
      <c r="F325" s="633">
        <f t="shared" si="72"/>
        <v>8.99</v>
      </c>
      <c r="G325" s="633">
        <f t="shared" si="72"/>
        <v>8.98</v>
      </c>
      <c r="H325" s="633">
        <f t="shared" si="72"/>
        <v>8.9700000000000006</v>
      </c>
      <c r="I325" s="633">
        <f t="shared" si="72"/>
        <v>8.9600000000000009</v>
      </c>
      <c r="J325" s="633">
        <f t="shared" si="72"/>
        <v>8.9500000000000011</v>
      </c>
      <c r="K325" s="633">
        <f t="shared" si="72"/>
        <v>8.9400000000000013</v>
      </c>
      <c r="L325" s="633">
        <f t="shared" si="72"/>
        <v>8.93</v>
      </c>
      <c r="M325" s="633">
        <f t="shared" si="72"/>
        <v>8.92</v>
      </c>
      <c r="N325" s="633">
        <f t="shared" si="72"/>
        <v>8.91</v>
      </c>
      <c r="O325" s="162" t="s">
        <v>3873</v>
      </c>
    </row>
    <row r="326" spans="2:15" s="8" customFormat="1" ht="15" hidden="1" customHeight="1" outlineLevel="1" x14ac:dyDescent="0.2">
      <c r="B326" s="622"/>
      <c r="C326" s="441"/>
      <c r="D326" s="442"/>
      <c r="E326" s="623"/>
      <c r="F326" s="623"/>
      <c r="G326" s="623"/>
      <c r="H326" s="623"/>
      <c r="I326" s="623"/>
      <c r="J326" s="623"/>
      <c r="K326" s="623"/>
      <c r="L326" s="623"/>
      <c r="M326" s="623"/>
      <c r="N326" s="623"/>
      <c r="O326" s="162"/>
    </row>
    <row r="327" spans="2:15" ht="15" hidden="1" customHeight="1" outlineLevel="1" x14ac:dyDescent="0.2">
      <c r="B327" s="96"/>
      <c r="C327" s="368"/>
      <c r="D327" s="442" t="s">
        <v>3874</v>
      </c>
      <c r="E327" s="634">
        <f>eSystemsTrainingCostPerFTE_EM*eSystemsTrainingFTEsWorstCaseEM</f>
        <v>90000</v>
      </c>
      <c r="F327" s="634">
        <f>eSystemsTrainingCostPerFTE_EM*eSystemsTrainingFTEsWorstCaseEM*(1+Inflation)</f>
        <v>10200</v>
      </c>
      <c r="G327" s="634">
        <f>eSystemsTrainingCostPerFTE_EM*eSystemsTrainingFTEsWorstCaseEM*(1+Inflation)^2</f>
        <v>10404</v>
      </c>
      <c r="H327" s="634">
        <f>eSystemsTrainingCostPerFTE_EM*eSystemsTrainingFTEsWorstCaseEM*(1+Inflation)^3</f>
        <v>10612.08</v>
      </c>
      <c r="I327" s="634">
        <f>eSystemsTrainingCostPerFTE_EM*eSystemsTrainingFTEsWorstCaseEM*(1+Inflation)^4</f>
        <v>10824.321599999999</v>
      </c>
      <c r="J327" s="634">
        <f>eSystemsTrainingCostPerFTE_EM*eSystemsTrainingFTEsWorstCaseEM*(1+Inflation)^5</f>
        <v>11040.808032000001</v>
      </c>
      <c r="K327" s="634">
        <f>eSystemsTrainingCostPerFTE_EM*eSystemsTrainingFTEsWorstCaseEM*(1+Inflation)^6</f>
        <v>11261.62419264</v>
      </c>
      <c r="L327" s="634">
        <f>eSystemsTrainingCostPerFTE_EM*eSystemsTrainingFTEsWorstCaseEM*(1+Inflation)^7</f>
        <v>11486.856676492798</v>
      </c>
      <c r="M327" s="634">
        <f>eSystemsTrainingCostPerFTE_EM*eSystemsTrainingFTEsWorstCaseEM*(1+Inflation)^8</f>
        <v>11716.593810022656</v>
      </c>
      <c r="N327" s="634">
        <f>eSystemsTrainingCostPerFTE_EM*eSystemsTrainingFTEsWorstCaseEM*(1+Inflation)^9</f>
        <v>11950.925686223109</v>
      </c>
      <c r="O327" s="162" t="s">
        <v>3875</v>
      </c>
    </row>
    <row r="328" spans="2:15" ht="15" hidden="1" customHeight="1" outlineLevel="1" x14ac:dyDescent="0.2">
      <c r="B328" s="96"/>
      <c r="C328" s="368"/>
      <c r="D328" s="442" t="s">
        <v>3876</v>
      </c>
      <c r="E328" s="634">
        <f>eSystemsTrainingCostPerFTE_EM*eSystemsTrainingFTEsMostLikelyEM</f>
        <v>85500</v>
      </c>
      <c r="F328" s="634">
        <f>eSystemsTrainingCostPerFTE_EM*eSystemsTrainingFTEsMostLikelyEM*(1+Inflation)</f>
        <v>9679.7999999999993</v>
      </c>
      <c r="G328" s="634">
        <f>eSystemsTrainingCostPerFTE_EM*eSystemsTrainingFTEsMostLikelyEM*(1+Inflation)^2</f>
        <v>9862.9920000000002</v>
      </c>
      <c r="H328" s="634">
        <f>eSystemsTrainingCostPerFTE_EM*eSystemsTrainingFTEsMostLikelyEM*(1+Inflation)^3</f>
        <v>10049.639759999998</v>
      </c>
      <c r="I328" s="634">
        <f>eSystemsTrainingCostPerFTE_EM*eSystemsTrainingFTEsMostLikelyEM*(1+Inflation)^4</f>
        <v>10239.808233599997</v>
      </c>
      <c r="J328" s="634">
        <f>eSystemsTrainingCostPerFTE_EM*eSystemsTrainingFTEsMostLikelyEM*(1+Inflation)^5</f>
        <v>10433.563590240003</v>
      </c>
      <c r="K328" s="634">
        <f>eSystemsTrainingCostPerFTE_EM*eSystemsTrainingFTEsMostLikelyEM*(1+Inflation)^6</f>
        <v>10630.97323785216</v>
      </c>
      <c r="L328" s="634">
        <f>eSystemsTrainingCostPerFTE_EM*eSystemsTrainingFTEsMostLikelyEM*(1+Inflation)^7</f>
        <v>10832.105845932709</v>
      </c>
      <c r="M328" s="634">
        <f>eSystemsTrainingCostPerFTE_EM*eSystemsTrainingFTEsMostLikelyEM*(1+Inflation)^8</f>
        <v>11037.03136904134</v>
      </c>
      <c r="N328" s="634">
        <f>eSystemsTrainingCostPerFTE_EM*eSystemsTrainingFTEsMostLikelyEM*(1+Inflation)^9</f>
        <v>11245.821070735947</v>
      </c>
      <c r="O328" s="162" t="s">
        <v>3877</v>
      </c>
    </row>
    <row r="329" spans="2:15" ht="15" hidden="1" customHeight="1" outlineLevel="1" x14ac:dyDescent="0.2">
      <c r="B329" s="96"/>
      <c r="C329" s="368"/>
      <c r="D329" s="442" t="s">
        <v>3878</v>
      </c>
      <c r="E329" s="634">
        <f>eSystemsTrainingCostPerFTE_EM*eSystemsTrainingFTEsBestCaseEM</f>
        <v>81000</v>
      </c>
      <c r="F329" s="634">
        <f>eSystemsTrainingCostPerFTE_EM*eSystemsTrainingFTEsBestCaseEM*(1+Inflation)</f>
        <v>9169.7999999999993</v>
      </c>
      <c r="G329" s="634">
        <f>eSystemsTrainingCostPerFTE_EM*eSystemsTrainingFTEsBestCaseEM*(1+Inflation)^2</f>
        <v>9342.7919999999995</v>
      </c>
      <c r="H329" s="634">
        <f>eSystemsTrainingCostPerFTE_EM*eSystemsTrainingFTEsBestCaseEM*(1+Inflation)^3</f>
        <v>9519.0357599999988</v>
      </c>
      <c r="I329" s="634">
        <f>eSystemsTrainingCostPerFTE_EM*eSystemsTrainingFTEsBestCaseEM*(1+Inflation)^4</f>
        <v>9698.5921536000005</v>
      </c>
      <c r="J329" s="634">
        <f>eSystemsTrainingCostPerFTE_EM*eSystemsTrainingFTEsBestCaseEM*(1+Inflation)^5</f>
        <v>9881.5231886400015</v>
      </c>
      <c r="K329" s="634">
        <f>eSystemsTrainingCostPerFTE_EM*eSystemsTrainingFTEsBestCaseEM*(1+Inflation)^6</f>
        <v>10067.892028220163</v>
      </c>
      <c r="L329" s="634">
        <f>eSystemsTrainingCostPerFTE_EM*eSystemsTrainingFTEsBestCaseEM*(1+Inflation)^7</f>
        <v>10257.763012108069</v>
      </c>
      <c r="M329" s="634">
        <f>eSystemsTrainingCostPerFTE_EM*eSystemsTrainingFTEsBestCaseEM*(1+Inflation)^8</f>
        <v>10451.201678540208</v>
      </c>
      <c r="N329" s="634">
        <f>eSystemsTrainingCostPerFTE_EM*eSystemsTrainingFTEsBestCaseEM*(1+Inflation)^9</f>
        <v>10648.27478642479</v>
      </c>
      <c r="O329" s="162" t="s">
        <v>3879</v>
      </c>
    </row>
    <row r="330" spans="2:15" ht="15" hidden="1" customHeight="1" outlineLevel="1" x14ac:dyDescent="0.2">
      <c r="C330" s="394"/>
      <c r="D330" s="5"/>
      <c r="E330" s="5"/>
      <c r="F330" s="5"/>
      <c r="G330" s="5"/>
      <c r="H330" s="5"/>
      <c r="I330" s="5"/>
      <c r="J330" s="5"/>
      <c r="K330" s="5"/>
      <c r="L330" s="5"/>
      <c r="M330" s="5"/>
      <c r="N330" s="5"/>
      <c r="O330" s="393"/>
    </row>
    <row r="331" spans="2:15" ht="15" hidden="1" customHeight="1" outlineLevel="1" x14ac:dyDescent="0.2">
      <c r="B331" s="96"/>
      <c r="C331" s="394"/>
      <c r="D331" s="149" t="s">
        <v>3880</v>
      </c>
      <c r="E331" s="5"/>
      <c r="F331" s="5"/>
      <c r="G331" s="5"/>
      <c r="H331" s="5"/>
      <c r="I331" s="5"/>
      <c r="J331" s="5"/>
      <c r="K331" s="5"/>
      <c r="L331" s="5"/>
      <c r="M331" s="5"/>
      <c r="N331" s="5"/>
      <c r="O331" s="393"/>
    </row>
    <row r="332" spans="2:15" ht="15" hidden="1" customHeight="1" outlineLevel="1" x14ac:dyDescent="0.2">
      <c r="B332" s="96"/>
      <c r="C332" s="394"/>
      <c r="D332" s="631">
        <v>1000</v>
      </c>
      <c r="E332" s="6"/>
      <c r="F332" s="6"/>
      <c r="G332" s="6"/>
      <c r="H332" s="6"/>
      <c r="I332" s="6"/>
      <c r="J332" s="6"/>
      <c r="K332" s="6"/>
      <c r="L332" s="6"/>
      <c r="M332" s="6"/>
      <c r="N332" s="6"/>
      <c r="O332" s="393"/>
    </row>
    <row r="333" spans="2:15" ht="15" hidden="1" customHeight="1" outlineLevel="1" x14ac:dyDescent="0.2">
      <c r="B333" s="96"/>
      <c r="C333" s="394"/>
      <c r="D333" s="442" t="s">
        <v>3597</v>
      </c>
      <c r="E333" s="632">
        <v>0.9</v>
      </c>
      <c r="F333" s="632">
        <v>0.1</v>
      </c>
      <c r="G333" s="632">
        <v>0.1</v>
      </c>
      <c r="H333" s="632">
        <v>0.1</v>
      </c>
      <c r="I333" s="632">
        <v>0.1</v>
      </c>
      <c r="J333" s="632">
        <v>0.1</v>
      </c>
      <c r="K333" s="632">
        <v>0.1</v>
      </c>
      <c r="L333" s="632">
        <v>0.1</v>
      </c>
      <c r="M333" s="632">
        <v>0.1</v>
      </c>
      <c r="N333" s="632">
        <v>0.1</v>
      </c>
      <c r="O333" s="162" t="s">
        <v>3881</v>
      </c>
    </row>
    <row r="334" spans="2:15" ht="15" hidden="1" customHeight="1" outlineLevel="1" x14ac:dyDescent="0.2">
      <c r="B334" s="96"/>
      <c r="C334" s="368"/>
      <c r="D334" s="442" t="s">
        <v>3740</v>
      </c>
      <c r="E334" s="633">
        <f t="shared" ref="E334:N334" si="73">eSystemsFTECalcResultWorstCaseCM*eSystemsTrainingPercentFTEsCM</f>
        <v>90</v>
      </c>
      <c r="F334" s="633">
        <f t="shared" si="73"/>
        <v>10</v>
      </c>
      <c r="G334" s="633">
        <f t="shared" si="73"/>
        <v>10</v>
      </c>
      <c r="H334" s="633">
        <f t="shared" si="73"/>
        <v>10</v>
      </c>
      <c r="I334" s="633">
        <f t="shared" si="73"/>
        <v>10</v>
      </c>
      <c r="J334" s="633">
        <f t="shared" si="73"/>
        <v>10</v>
      </c>
      <c r="K334" s="633">
        <f t="shared" si="73"/>
        <v>10</v>
      </c>
      <c r="L334" s="633">
        <f t="shared" si="73"/>
        <v>10</v>
      </c>
      <c r="M334" s="633">
        <f t="shared" si="73"/>
        <v>10</v>
      </c>
      <c r="N334" s="633">
        <f t="shared" si="73"/>
        <v>10</v>
      </c>
      <c r="O334" s="162" t="s">
        <v>3882</v>
      </c>
    </row>
    <row r="335" spans="2:15" ht="15" hidden="1" customHeight="1" outlineLevel="1" x14ac:dyDescent="0.2">
      <c r="B335" s="96"/>
      <c r="C335" s="368"/>
      <c r="D335" s="442" t="s">
        <v>3742</v>
      </c>
      <c r="E335" s="633">
        <f t="shared" ref="E335:N335" si="74">eSystemsFTECalcResultMostLikelyCM*eSystemsTrainingPercentFTEsCM</f>
        <v>85.5</v>
      </c>
      <c r="F335" s="633">
        <f t="shared" si="74"/>
        <v>9.49</v>
      </c>
      <c r="G335" s="633">
        <f t="shared" si="74"/>
        <v>9.48</v>
      </c>
      <c r="H335" s="633">
        <f t="shared" si="74"/>
        <v>9.4699999999999989</v>
      </c>
      <c r="I335" s="633">
        <f t="shared" si="74"/>
        <v>9.4599999999999991</v>
      </c>
      <c r="J335" s="633">
        <f t="shared" si="74"/>
        <v>9.4500000000000011</v>
      </c>
      <c r="K335" s="633">
        <f t="shared" si="74"/>
        <v>9.44</v>
      </c>
      <c r="L335" s="633">
        <f t="shared" si="74"/>
        <v>9.43</v>
      </c>
      <c r="M335" s="633">
        <f t="shared" si="74"/>
        <v>9.42</v>
      </c>
      <c r="N335" s="633">
        <f t="shared" si="74"/>
        <v>9.4100000000000019</v>
      </c>
      <c r="O335" s="162" t="s">
        <v>3883</v>
      </c>
    </row>
    <row r="336" spans="2:15" ht="15" hidden="1" customHeight="1" outlineLevel="1" x14ac:dyDescent="0.2">
      <c r="B336" s="96"/>
      <c r="C336" s="368"/>
      <c r="D336" s="442" t="s">
        <v>3744</v>
      </c>
      <c r="E336" s="633">
        <f t="shared" ref="E336:N336" si="75">eSystemsFTECalcResultBestCaseCM*eSystemsTrainingPercentFTEsCM</f>
        <v>81</v>
      </c>
      <c r="F336" s="633">
        <f t="shared" si="75"/>
        <v>8.99</v>
      </c>
      <c r="G336" s="633">
        <f t="shared" si="75"/>
        <v>8.98</v>
      </c>
      <c r="H336" s="633">
        <f t="shared" si="75"/>
        <v>8.9700000000000006</v>
      </c>
      <c r="I336" s="633">
        <f t="shared" si="75"/>
        <v>8.9600000000000009</v>
      </c>
      <c r="J336" s="633">
        <f t="shared" si="75"/>
        <v>8.9500000000000011</v>
      </c>
      <c r="K336" s="633">
        <f t="shared" si="75"/>
        <v>8.9400000000000013</v>
      </c>
      <c r="L336" s="633">
        <f t="shared" si="75"/>
        <v>8.93</v>
      </c>
      <c r="M336" s="633">
        <f t="shared" si="75"/>
        <v>8.92</v>
      </c>
      <c r="N336" s="633">
        <f t="shared" si="75"/>
        <v>8.91</v>
      </c>
      <c r="O336" s="162" t="s">
        <v>3884</v>
      </c>
    </row>
    <row r="337" spans="2:15" s="8" customFormat="1" ht="15" hidden="1" customHeight="1" outlineLevel="1" x14ac:dyDescent="0.2">
      <c r="B337" s="622"/>
      <c r="C337" s="441"/>
      <c r="D337" s="442"/>
      <c r="E337" s="623"/>
      <c r="F337" s="623"/>
      <c r="G337" s="623"/>
      <c r="H337" s="623"/>
      <c r="I337" s="623"/>
      <c r="J337" s="623"/>
      <c r="K337" s="623"/>
      <c r="L337" s="623"/>
      <c r="M337" s="623"/>
      <c r="N337" s="623"/>
      <c r="O337" s="162"/>
    </row>
    <row r="338" spans="2:15" ht="15" hidden="1" customHeight="1" outlineLevel="1" x14ac:dyDescent="0.2">
      <c r="B338" s="96"/>
      <c r="C338" s="368"/>
      <c r="D338" s="442" t="s">
        <v>3885</v>
      </c>
      <c r="E338" s="634">
        <f>eSystemsTrainingCostPerFTE_CM*eSystemsTrainingFTEsWorstCaseCM</f>
        <v>90000</v>
      </c>
      <c r="F338" s="634">
        <f>eSystemsTrainingCostPerFTE_CM*eSystemsTrainingFTEsWorstCaseCM*(1+Inflation)</f>
        <v>10200</v>
      </c>
      <c r="G338" s="634">
        <f>eSystemsTrainingCostPerFTE_CM*eSystemsTrainingFTEsWorstCaseCM*(1+Inflation)^2</f>
        <v>10404</v>
      </c>
      <c r="H338" s="634">
        <f>eSystemsTrainingCostPerFTE_CM*eSystemsTrainingFTEsWorstCaseCM*(1+Inflation)^3</f>
        <v>10612.08</v>
      </c>
      <c r="I338" s="634">
        <f>eSystemsTrainingCostPerFTE_CM*eSystemsTrainingFTEsWorstCaseCM*(1+Inflation)^4</f>
        <v>10824.321599999999</v>
      </c>
      <c r="J338" s="634">
        <f>eSystemsTrainingCostPerFTE_CM*eSystemsTrainingFTEsWorstCaseCM*(1+Inflation)^5</f>
        <v>11040.808032000001</v>
      </c>
      <c r="K338" s="634">
        <f>eSystemsTrainingCostPerFTE_CM*eSystemsTrainingFTEsWorstCaseCM*(1+Inflation)^6</f>
        <v>11261.62419264</v>
      </c>
      <c r="L338" s="634">
        <f>eSystemsTrainingCostPerFTE_CM*eSystemsTrainingFTEsWorstCaseCM*(1+Inflation)^7</f>
        <v>11486.856676492798</v>
      </c>
      <c r="M338" s="634">
        <f>eSystemsTrainingCostPerFTE_CM*eSystemsTrainingFTEsWorstCaseCM*(1+Inflation)^8</f>
        <v>11716.593810022656</v>
      </c>
      <c r="N338" s="634">
        <f>eSystemsTrainingCostPerFTE_CM*eSystemsTrainingFTEsWorstCaseCM*(1+Inflation)^9</f>
        <v>11950.925686223109</v>
      </c>
      <c r="O338" s="162" t="s">
        <v>3886</v>
      </c>
    </row>
    <row r="339" spans="2:15" ht="15" hidden="1" customHeight="1" outlineLevel="1" x14ac:dyDescent="0.2">
      <c r="B339" s="96"/>
      <c r="C339" s="368"/>
      <c r="D339" s="442" t="s">
        <v>3887</v>
      </c>
      <c r="E339" s="634">
        <f>eSystemsTrainingCostPerFTE_CM*eSystemsTrainingFTEsMostLikelyCM</f>
        <v>85500</v>
      </c>
      <c r="F339" s="634">
        <f>eSystemsTrainingCostPerFTE_CM*eSystemsTrainingFTEsMostLikelyCM*(1+Inflation)</f>
        <v>9679.7999999999993</v>
      </c>
      <c r="G339" s="634">
        <f>eSystemsTrainingCostPerFTE_CM*eSystemsTrainingFTEsMostLikelyCM*(1+Inflation)^2</f>
        <v>9862.9920000000002</v>
      </c>
      <c r="H339" s="634">
        <f>eSystemsTrainingCostPerFTE_CM*eSystemsTrainingFTEsMostLikelyCM*(1+Inflation)^3</f>
        <v>10049.639759999998</v>
      </c>
      <c r="I339" s="634">
        <f>eSystemsTrainingCostPerFTE_CM*eSystemsTrainingFTEsMostLikelyCM*(1+Inflation)^4</f>
        <v>10239.808233599997</v>
      </c>
      <c r="J339" s="634">
        <f>eSystemsTrainingCostPerFTE_CM*eSystemsTrainingFTEsMostLikelyCM*(1+Inflation)^5</f>
        <v>10433.563590240003</v>
      </c>
      <c r="K339" s="634">
        <f>eSystemsTrainingCostPerFTE_CM*eSystemsTrainingFTEsMostLikelyCM*(1+Inflation)^6</f>
        <v>10630.97323785216</v>
      </c>
      <c r="L339" s="634">
        <f>eSystemsTrainingCostPerFTE_CM*eSystemsTrainingFTEsMostLikelyCM*(1+Inflation)^7</f>
        <v>10832.105845932709</v>
      </c>
      <c r="M339" s="634">
        <f>eSystemsTrainingCostPerFTE_CM*eSystemsTrainingFTEsMostLikelyCM*(1+Inflation)^8</f>
        <v>11037.03136904134</v>
      </c>
      <c r="N339" s="634">
        <f>eSystemsTrainingCostPerFTE_CM*eSystemsTrainingFTEsMostLikelyCM*(1+Inflation)^9</f>
        <v>11245.821070735947</v>
      </c>
      <c r="O339" s="162" t="s">
        <v>3888</v>
      </c>
    </row>
    <row r="340" spans="2:15" ht="15" hidden="1" customHeight="1" outlineLevel="1" x14ac:dyDescent="0.2">
      <c r="B340" s="96"/>
      <c r="C340" s="368"/>
      <c r="D340" s="442" t="s">
        <v>3889</v>
      </c>
      <c r="E340" s="634">
        <f>eSystemsTrainingCostPerFTE_CM*eSystemsTrainingFTEsBestCaseCM</f>
        <v>81000</v>
      </c>
      <c r="F340" s="634">
        <f>eSystemsTrainingCostPerFTE_CM*eSystemsTrainingFTEsBestCaseCM*(1+Inflation)</f>
        <v>9169.7999999999993</v>
      </c>
      <c r="G340" s="634">
        <f>eSystemsTrainingCostPerFTE_CM*eSystemsTrainingFTEsBestCaseCM*(1+Inflation)^2</f>
        <v>9342.7919999999995</v>
      </c>
      <c r="H340" s="634">
        <f>eSystemsTrainingCostPerFTE_CM*eSystemsTrainingFTEsBestCaseCM*(1+Inflation)^3</f>
        <v>9519.0357599999988</v>
      </c>
      <c r="I340" s="634">
        <f>eSystemsTrainingCostPerFTE_CM*eSystemsTrainingFTEsBestCaseCM*(1+Inflation)^4</f>
        <v>9698.5921536000005</v>
      </c>
      <c r="J340" s="634">
        <f>eSystemsTrainingCostPerFTE_CM*eSystemsTrainingFTEsBestCaseCM*(1+Inflation)^5</f>
        <v>9881.5231886400015</v>
      </c>
      <c r="K340" s="634">
        <f>eSystemsTrainingCostPerFTE_CM*eSystemsTrainingFTEsBestCaseCM*(1+Inflation)^6</f>
        <v>10067.892028220163</v>
      </c>
      <c r="L340" s="634">
        <f>eSystemsTrainingCostPerFTE_CM*eSystemsTrainingFTEsBestCaseCM*(1+Inflation)^7</f>
        <v>10257.763012108069</v>
      </c>
      <c r="M340" s="634">
        <f>eSystemsTrainingCostPerFTE_CM*eSystemsTrainingFTEsBestCaseCM*(1+Inflation)^8</f>
        <v>10451.201678540208</v>
      </c>
      <c r="N340" s="634">
        <f>eSystemsTrainingCostPerFTE_CM*eSystemsTrainingFTEsBestCaseCM*(1+Inflation)^9</f>
        <v>10648.27478642479</v>
      </c>
      <c r="O340" s="162" t="s">
        <v>3890</v>
      </c>
    </row>
    <row r="341" spans="2:15" ht="15" hidden="1" customHeight="1" outlineLevel="1" x14ac:dyDescent="0.2">
      <c r="C341" s="394"/>
      <c r="D341" s="5"/>
      <c r="E341" s="5"/>
      <c r="F341" s="5"/>
      <c r="G341" s="5"/>
      <c r="H341" s="5"/>
      <c r="I341" s="5"/>
      <c r="J341" s="5"/>
      <c r="K341" s="5"/>
      <c r="L341" s="5"/>
      <c r="M341" s="5"/>
      <c r="N341" s="5"/>
      <c r="O341" s="393"/>
    </row>
    <row r="342" spans="2:15" ht="15" hidden="1" customHeight="1" outlineLevel="1" x14ac:dyDescent="0.2">
      <c r="B342" s="96"/>
      <c r="C342" s="394"/>
      <c r="D342" s="149" t="s">
        <v>3891</v>
      </c>
      <c r="E342" s="5"/>
      <c r="F342" s="5"/>
      <c r="G342" s="5"/>
      <c r="H342" s="5"/>
      <c r="I342" s="5"/>
      <c r="J342" s="5"/>
      <c r="K342" s="5"/>
      <c r="L342" s="5"/>
      <c r="M342" s="5"/>
      <c r="N342" s="5"/>
      <c r="O342" s="393"/>
    </row>
    <row r="343" spans="2:15" ht="15" hidden="1" customHeight="1" outlineLevel="1" x14ac:dyDescent="0.2">
      <c r="B343" s="96"/>
      <c r="C343" s="394"/>
      <c r="D343" s="631">
        <v>1000</v>
      </c>
      <c r="E343" s="6"/>
      <c r="F343" s="6"/>
      <c r="G343" s="6"/>
      <c r="H343" s="6"/>
      <c r="I343" s="6"/>
      <c r="J343" s="6"/>
      <c r="K343" s="6"/>
      <c r="L343" s="6"/>
      <c r="M343" s="6"/>
      <c r="N343" s="6"/>
      <c r="O343" s="393"/>
    </row>
    <row r="344" spans="2:15" ht="15" hidden="1" customHeight="1" outlineLevel="1" x14ac:dyDescent="0.2">
      <c r="B344" s="96"/>
      <c r="C344" s="394"/>
      <c r="D344" s="442" t="s">
        <v>3601</v>
      </c>
      <c r="E344" s="632">
        <v>0.9</v>
      </c>
      <c r="F344" s="632">
        <v>0.1</v>
      </c>
      <c r="G344" s="632">
        <v>0.1</v>
      </c>
      <c r="H344" s="632">
        <v>0.1</v>
      </c>
      <c r="I344" s="632">
        <v>0.1</v>
      </c>
      <c r="J344" s="632">
        <v>0.1</v>
      </c>
      <c r="K344" s="632">
        <v>0.1</v>
      </c>
      <c r="L344" s="632">
        <v>0.1</v>
      </c>
      <c r="M344" s="632">
        <v>0.1</v>
      </c>
      <c r="N344" s="632">
        <v>0.1</v>
      </c>
      <c r="O344" s="162" t="s">
        <v>3892</v>
      </c>
    </row>
    <row r="345" spans="2:15" ht="15" hidden="1" customHeight="1" outlineLevel="1" x14ac:dyDescent="0.2">
      <c r="B345" s="96"/>
      <c r="C345" s="368"/>
      <c r="D345" s="442" t="s">
        <v>3753</v>
      </c>
      <c r="E345" s="633">
        <f t="shared" ref="E345:N345" si="76">eSystemsFTECalcResultWorstCaseSMCS*eSystemsTrainingPercentFTEsSMCS</f>
        <v>45</v>
      </c>
      <c r="F345" s="633">
        <f t="shared" si="76"/>
        <v>5</v>
      </c>
      <c r="G345" s="633">
        <f t="shared" si="76"/>
        <v>5</v>
      </c>
      <c r="H345" s="633">
        <f t="shared" si="76"/>
        <v>5</v>
      </c>
      <c r="I345" s="633">
        <f t="shared" si="76"/>
        <v>5</v>
      </c>
      <c r="J345" s="633">
        <f t="shared" si="76"/>
        <v>5</v>
      </c>
      <c r="K345" s="633">
        <f t="shared" si="76"/>
        <v>5</v>
      </c>
      <c r="L345" s="633">
        <f t="shared" si="76"/>
        <v>5</v>
      </c>
      <c r="M345" s="633">
        <f t="shared" si="76"/>
        <v>5</v>
      </c>
      <c r="N345" s="633">
        <f t="shared" si="76"/>
        <v>5</v>
      </c>
      <c r="O345" s="162" t="s">
        <v>3893</v>
      </c>
    </row>
    <row r="346" spans="2:15" ht="15" hidden="1" customHeight="1" outlineLevel="1" x14ac:dyDescent="0.2">
      <c r="B346" s="96"/>
      <c r="C346" s="368"/>
      <c r="D346" s="442" t="s">
        <v>3755</v>
      </c>
      <c r="E346" s="633">
        <f t="shared" ref="E346:N346" si="77">eSystemsFTECalcResultMostLikelySMCS*eSystemsTrainingPercentFTEsSMCS</f>
        <v>42.75</v>
      </c>
      <c r="F346" s="633">
        <f t="shared" si="77"/>
        <v>4.7450000000000001</v>
      </c>
      <c r="G346" s="633">
        <f t="shared" si="77"/>
        <v>4.74</v>
      </c>
      <c r="H346" s="633">
        <f t="shared" si="77"/>
        <v>4.7349999999999994</v>
      </c>
      <c r="I346" s="633">
        <f t="shared" si="77"/>
        <v>4.7299999999999995</v>
      </c>
      <c r="J346" s="633">
        <f t="shared" si="77"/>
        <v>4.7250000000000005</v>
      </c>
      <c r="K346" s="633">
        <f t="shared" si="77"/>
        <v>4.72</v>
      </c>
      <c r="L346" s="633">
        <f t="shared" si="77"/>
        <v>4.7149999999999999</v>
      </c>
      <c r="M346" s="633">
        <f t="shared" si="77"/>
        <v>4.71</v>
      </c>
      <c r="N346" s="633">
        <f t="shared" si="77"/>
        <v>4.705000000000001</v>
      </c>
      <c r="O346" s="162" t="s">
        <v>3894</v>
      </c>
    </row>
    <row r="347" spans="2:15" ht="15" hidden="1" customHeight="1" outlineLevel="1" x14ac:dyDescent="0.2">
      <c r="B347" s="96"/>
      <c r="C347" s="368"/>
      <c r="D347" s="442" t="s">
        <v>3757</v>
      </c>
      <c r="E347" s="633">
        <f t="shared" ref="E347:N347" si="78">eSystemsFTECalcResultBestCaseSMCS*eSystemsTrainingPercentFTEsSMCS</f>
        <v>40.5</v>
      </c>
      <c r="F347" s="633">
        <f t="shared" si="78"/>
        <v>4.4950000000000001</v>
      </c>
      <c r="G347" s="633">
        <f t="shared" si="78"/>
        <v>4.49</v>
      </c>
      <c r="H347" s="633">
        <f t="shared" si="78"/>
        <v>4.4850000000000003</v>
      </c>
      <c r="I347" s="633">
        <f t="shared" si="78"/>
        <v>4.4800000000000004</v>
      </c>
      <c r="J347" s="633">
        <f t="shared" si="78"/>
        <v>4.4750000000000005</v>
      </c>
      <c r="K347" s="633">
        <f t="shared" si="78"/>
        <v>4.4700000000000006</v>
      </c>
      <c r="L347" s="633">
        <f t="shared" si="78"/>
        <v>4.4649999999999999</v>
      </c>
      <c r="M347" s="633">
        <f t="shared" si="78"/>
        <v>4.46</v>
      </c>
      <c r="N347" s="633">
        <f t="shared" si="78"/>
        <v>4.4550000000000001</v>
      </c>
      <c r="O347" s="162" t="s">
        <v>3895</v>
      </c>
    </row>
    <row r="348" spans="2:15" s="8" customFormat="1" ht="15" hidden="1" customHeight="1" outlineLevel="1" x14ac:dyDescent="0.2">
      <c r="B348" s="622"/>
      <c r="C348" s="441"/>
      <c r="D348" s="442"/>
      <c r="E348" s="623"/>
      <c r="F348" s="623"/>
      <c r="G348" s="623"/>
      <c r="H348" s="623"/>
      <c r="I348" s="623"/>
      <c r="J348" s="623"/>
      <c r="K348" s="623"/>
      <c r="L348" s="623"/>
      <c r="M348" s="623"/>
      <c r="N348" s="623"/>
      <c r="O348" s="162"/>
    </row>
    <row r="349" spans="2:15" ht="15" hidden="1" customHeight="1" outlineLevel="1" x14ac:dyDescent="0.2">
      <c r="B349" s="96"/>
      <c r="C349" s="368"/>
      <c r="D349" s="442" t="s">
        <v>3896</v>
      </c>
      <c r="E349" s="634">
        <f>eSystemsTrainingCostPerFTE_SMCS*eSystemsTrainingFTEsWorstCaseSMCS</f>
        <v>45000</v>
      </c>
      <c r="F349" s="634">
        <f>eSystemsTrainingCostPerFTE_SMCS*eSystemsTrainingFTEsWorstCaseSMCS*(1+Inflation)</f>
        <v>5100</v>
      </c>
      <c r="G349" s="634">
        <f>eSystemsTrainingCostPerFTE_SMCS*eSystemsTrainingFTEsWorstCaseSMCS*(1+Inflation)^2</f>
        <v>5202</v>
      </c>
      <c r="H349" s="634">
        <f>eSystemsTrainingCostPerFTE_SMCS*eSystemsTrainingFTEsWorstCaseSMCS*(1+Inflation)^3</f>
        <v>5306.04</v>
      </c>
      <c r="I349" s="634">
        <f>eSystemsTrainingCostPerFTE_SMCS*eSystemsTrainingFTEsWorstCaseSMCS*(1+Inflation)^4</f>
        <v>5412.1607999999997</v>
      </c>
      <c r="J349" s="634">
        <f>eSystemsTrainingCostPerFTE_SMCS*eSystemsTrainingFTEsWorstCaseSMCS*(1+Inflation)^5</f>
        <v>5520.4040160000004</v>
      </c>
      <c r="K349" s="634">
        <f>eSystemsTrainingCostPerFTE_SMCS*eSystemsTrainingFTEsWorstCaseSMCS*(1+Inflation)^6</f>
        <v>5630.8120963199999</v>
      </c>
      <c r="L349" s="634">
        <f>eSystemsTrainingCostPerFTE_SMCS*eSystemsTrainingFTEsWorstCaseSMCS*(1+Inflation)^7</f>
        <v>5743.4283382463991</v>
      </c>
      <c r="M349" s="634">
        <f>eSystemsTrainingCostPerFTE_SMCS*eSystemsTrainingFTEsWorstCaseSMCS*(1+Inflation)^8</f>
        <v>5858.2969050113279</v>
      </c>
      <c r="N349" s="634">
        <f>eSystemsTrainingCostPerFTE_SMCS*eSystemsTrainingFTEsWorstCaseSMCS*(1+Inflation)^9</f>
        <v>5975.4628431115543</v>
      </c>
      <c r="O349" s="162" t="s">
        <v>3897</v>
      </c>
    </row>
    <row r="350" spans="2:15" ht="15" hidden="1" customHeight="1" outlineLevel="1" x14ac:dyDescent="0.2">
      <c r="B350" s="96"/>
      <c r="C350" s="368"/>
      <c r="D350" s="442" t="s">
        <v>3898</v>
      </c>
      <c r="E350" s="634">
        <f>eSystemsTrainingCostPerFTE_SMCS*eSystemsTrainingFTEsMostLikelySMCS</f>
        <v>42750</v>
      </c>
      <c r="F350" s="634">
        <f>eSystemsTrainingCostPerFTE_SMCS*eSystemsTrainingFTEsMostLikelySMCS*(1+Inflation)</f>
        <v>4839.8999999999996</v>
      </c>
      <c r="G350" s="634">
        <f>eSystemsTrainingCostPerFTE_SMCS*eSystemsTrainingFTEsMostLikelySMCS*(1+Inflation)^2</f>
        <v>4931.4960000000001</v>
      </c>
      <c r="H350" s="634">
        <f>eSystemsTrainingCostPerFTE_SMCS*eSystemsTrainingFTEsMostLikelySMCS*(1+Inflation)^3</f>
        <v>5024.8198799999991</v>
      </c>
      <c r="I350" s="634">
        <f>eSystemsTrainingCostPerFTE_SMCS*eSystemsTrainingFTEsMostLikelySMCS*(1+Inflation)^4</f>
        <v>5119.9041167999985</v>
      </c>
      <c r="J350" s="634">
        <f>eSystemsTrainingCostPerFTE_SMCS*eSystemsTrainingFTEsMostLikelySMCS*(1+Inflation)^5</f>
        <v>5216.7817951200013</v>
      </c>
      <c r="K350" s="634">
        <f>eSystemsTrainingCostPerFTE_SMCS*eSystemsTrainingFTEsMostLikelySMCS*(1+Inflation)^6</f>
        <v>5315.4866189260802</v>
      </c>
      <c r="L350" s="634">
        <f>eSystemsTrainingCostPerFTE_SMCS*eSystemsTrainingFTEsMostLikelySMCS*(1+Inflation)^7</f>
        <v>5416.0529229663543</v>
      </c>
      <c r="M350" s="634">
        <f>eSystemsTrainingCostPerFTE_SMCS*eSystemsTrainingFTEsMostLikelySMCS*(1+Inflation)^8</f>
        <v>5518.5156845206702</v>
      </c>
      <c r="N350" s="634">
        <f>eSystemsTrainingCostPerFTE_SMCS*eSystemsTrainingFTEsMostLikelySMCS*(1+Inflation)^9</f>
        <v>5622.9105353679734</v>
      </c>
      <c r="O350" s="162" t="s">
        <v>3899</v>
      </c>
    </row>
    <row r="351" spans="2:15" ht="15" hidden="1" customHeight="1" outlineLevel="1" x14ac:dyDescent="0.2">
      <c r="B351" s="96"/>
      <c r="C351" s="368"/>
      <c r="D351" s="442" t="s">
        <v>3900</v>
      </c>
      <c r="E351" s="634">
        <f>eSystemsTrainingCostPerFTE_SMCS*eSystemsTrainingFTEsBestCaseSMCS</f>
        <v>40500</v>
      </c>
      <c r="F351" s="634">
        <f>eSystemsTrainingCostPerFTE_SMCS*eSystemsTrainingFTEsBestCaseSMCS*(1+Inflation)</f>
        <v>4584.8999999999996</v>
      </c>
      <c r="G351" s="634">
        <f>eSystemsTrainingCostPerFTE_SMCS*eSystemsTrainingFTEsBestCaseSMCS*(1+Inflation)^2</f>
        <v>4671.3959999999997</v>
      </c>
      <c r="H351" s="634">
        <f>eSystemsTrainingCostPerFTE_SMCS*eSystemsTrainingFTEsBestCaseSMCS*(1+Inflation)^3</f>
        <v>4759.5178799999994</v>
      </c>
      <c r="I351" s="634">
        <f>eSystemsTrainingCostPerFTE_SMCS*eSystemsTrainingFTEsBestCaseSMCS*(1+Inflation)^4</f>
        <v>4849.2960768000003</v>
      </c>
      <c r="J351" s="634">
        <f>eSystemsTrainingCostPerFTE_SMCS*eSystemsTrainingFTEsBestCaseSMCS*(1+Inflation)^5</f>
        <v>4940.7615943200008</v>
      </c>
      <c r="K351" s="634">
        <f>eSystemsTrainingCostPerFTE_SMCS*eSystemsTrainingFTEsBestCaseSMCS*(1+Inflation)^6</f>
        <v>5033.9460141100817</v>
      </c>
      <c r="L351" s="634">
        <f>eSystemsTrainingCostPerFTE_SMCS*eSystemsTrainingFTEsBestCaseSMCS*(1+Inflation)^7</f>
        <v>5128.8815060540346</v>
      </c>
      <c r="M351" s="634">
        <f>eSystemsTrainingCostPerFTE_SMCS*eSystemsTrainingFTEsBestCaseSMCS*(1+Inflation)^8</f>
        <v>5225.6008392701042</v>
      </c>
      <c r="N351" s="634">
        <f>eSystemsTrainingCostPerFTE_SMCS*eSystemsTrainingFTEsBestCaseSMCS*(1+Inflation)^9</f>
        <v>5324.1373932123952</v>
      </c>
      <c r="O351" s="162" t="s">
        <v>3901</v>
      </c>
    </row>
    <row r="352" spans="2:15" ht="15" hidden="1" customHeight="1" outlineLevel="1" x14ac:dyDescent="0.2">
      <c r="C352" s="394"/>
      <c r="D352" s="5"/>
      <c r="E352" s="5"/>
      <c r="F352" s="5"/>
      <c r="G352" s="5"/>
      <c r="H352" s="5"/>
      <c r="I352" s="5"/>
      <c r="J352" s="5"/>
      <c r="K352" s="5"/>
      <c r="L352" s="5"/>
      <c r="M352" s="5"/>
      <c r="N352" s="5"/>
      <c r="O352" s="393"/>
    </row>
    <row r="353" spans="2:15" ht="15" hidden="1" customHeight="1" outlineLevel="1" x14ac:dyDescent="0.2">
      <c r="B353" s="96"/>
      <c r="C353" s="394"/>
      <c r="D353" s="149" t="s">
        <v>3902</v>
      </c>
      <c r="E353" s="5"/>
      <c r="F353" s="5"/>
      <c r="G353" s="5"/>
      <c r="H353" s="5"/>
      <c r="I353" s="5"/>
      <c r="J353" s="5"/>
      <c r="K353" s="5"/>
      <c r="L353" s="5"/>
      <c r="M353" s="5"/>
      <c r="N353" s="5"/>
      <c r="O353" s="393"/>
    </row>
    <row r="354" spans="2:15" ht="15" hidden="1" customHeight="1" outlineLevel="1" x14ac:dyDescent="0.2">
      <c r="B354" s="96"/>
      <c r="C354" s="394"/>
      <c r="D354" s="631">
        <v>1000</v>
      </c>
      <c r="E354" s="6"/>
      <c r="F354" s="6"/>
      <c r="G354" s="6"/>
      <c r="H354" s="6"/>
      <c r="I354" s="6"/>
      <c r="J354" s="6"/>
      <c r="K354" s="6"/>
      <c r="L354" s="6"/>
      <c r="M354" s="6"/>
      <c r="N354" s="6"/>
      <c r="O354" s="393"/>
    </row>
    <row r="355" spans="2:15" ht="15" hidden="1" customHeight="1" outlineLevel="1" x14ac:dyDescent="0.2">
      <c r="B355" s="96"/>
      <c r="C355" s="394"/>
      <c r="D355" s="442" t="s">
        <v>3765</v>
      </c>
      <c r="E355" s="632">
        <v>0.1</v>
      </c>
      <c r="F355" s="632">
        <v>0.1</v>
      </c>
      <c r="G355" s="632">
        <v>0.1</v>
      </c>
      <c r="H355" s="632">
        <v>0.1</v>
      </c>
      <c r="I355" s="632">
        <v>0.1</v>
      </c>
      <c r="J355" s="632">
        <v>0.1</v>
      </c>
      <c r="K355" s="632">
        <v>0.1</v>
      </c>
      <c r="L355" s="632">
        <v>0.1</v>
      </c>
      <c r="M355" s="632">
        <v>0.1</v>
      </c>
      <c r="N355" s="632">
        <v>0.1</v>
      </c>
      <c r="O355" s="162" t="s">
        <v>3903</v>
      </c>
    </row>
    <row r="356" spans="2:15" ht="15" hidden="1" customHeight="1" outlineLevel="1" x14ac:dyDescent="0.2">
      <c r="B356" s="96"/>
      <c r="C356" s="368"/>
      <c r="D356" s="442" t="s">
        <v>3767</v>
      </c>
      <c r="E356" s="633">
        <f t="shared" ref="E356:N356" si="79">eSystemsFTECalcResultWorstCaseO1*eSystemsTrainingPercentFTEsO1</f>
        <v>1</v>
      </c>
      <c r="F356" s="633">
        <f t="shared" si="79"/>
        <v>1</v>
      </c>
      <c r="G356" s="633">
        <f t="shared" si="79"/>
        <v>1</v>
      </c>
      <c r="H356" s="633">
        <f t="shared" si="79"/>
        <v>1</v>
      </c>
      <c r="I356" s="633">
        <f t="shared" si="79"/>
        <v>1</v>
      </c>
      <c r="J356" s="633">
        <f t="shared" si="79"/>
        <v>1</v>
      </c>
      <c r="K356" s="633">
        <f t="shared" si="79"/>
        <v>1</v>
      </c>
      <c r="L356" s="633">
        <f t="shared" si="79"/>
        <v>1</v>
      </c>
      <c r="M356" s="633">
        <f t="shared" si="79"/>
        <v>1</v>
      </c>
      <c r="N356" s="633">
        <f t="shared" si="79"/>
        <v>1</v>
      </c>
      <c r="O356" s="162" t="s">
        <v>3904</v>
      </c>
    </row>
    <row r="357" spans="2:15" ht="15" hidden="1" customHeight="1" outlineLevel="1" x14ac:dyDescent="0.2">
      <c r="B357" s="96"/>
      <c r="C357" s="368"/>
      <c r="D357" s="442" t="s">
        <v>3769</v>
      </c>
      <c r="E357" s="633">
        <f t="shared" ref="E357:N357" si="80">eSystemsFTECalcResultMostLikelyO1*eSystemsTrainingPercentFTEsO1</f>
        <v>0.95000000000000007</v>
      </c>
      <c r="F357" s="633">
        <f t="shared" si="80"/>
        <v>0.94900000000000007</v>
      </c>
      <c r="G357" s="633">
        <f t="shared" si="80"/>
        <v>0.94800000000000006</v>
      </c>
      <c r="H357" s="633">
        <f t="shared" si="80"/>
        <v>0.94699999999999995</v>
      </c>
      <c r="I357" s="633">
        <f t="shared" si="80"/>
        <v>0.94599999999999995</v>
      </c>
      <c r="J357" s="633">
        <f t="shared" si="80"/>
        <v>0.94499999999999995</v>
      </c>
      <c r="K357" s="633">
        <f t="shared" si="80"/>
        <v>0.94399999999999995</v>
      </c>
      <c r="L357" s="633">
        <f t="shared" si="80"/>
        <v>0.94300000000000006</v>
      </c>
      <c r="M357" s="633">
        <f t="shared" si="80"/>
        <v>0.94200000000000006</v>
      </c>
      <c r="N357" s="633">
        <f t="shared" si="80"/>
        <v>0.94100000000000006</v>
      </c>
      <c r="O357" s="162" t="s">
        <v>3905</v>
      </c>
    </row>
    <row r="358" spans="2:15" ht="15" hidden="1" customHeight="1" outlineLevel="1" x14ac:dyDescent="0.2">
      <c r="B358" s="96"/>
      <c r="C358" s="368"/>
      <c r="D358" s="442" t="s">
        <v>3771</v>
      </c>
      <c r="E358" s="633">
        <f t="shared" ref="E358:N358" si="81">eSystemsFTECalcResultBestCaseO1*eSystemsTrainingPercentFTEsO1</f>
        <v>0.9</v>
      </c>
      <c r="F358" s="633">
        <f t="shared" si="81"/>
        <v>0.89900000000000002</v>
      </c>
      <c r="G358" s="633">
        <f t="shared" si="81"/>
        <v>0.89800000000000013</v>
      </c>
      <c r="H358" s="633">
        <f t="shared" si="81"/>
        <v>0.89700000000000013</v>
      </c>
      <c r="I358" s="633">
        <f t="shared" si="81"/>
        <v>0.89600000000000013</v>
      </c>
      <c r="J358" s="633">
        <f t="shared" si="81"/>
        <v>0.89500000000000002</v>
      </c>
      <c r="K358" s="633">
        <f t="shared" si="81"/>
        <v>0.89400000000000002</v>
      </c>
      <c r="L358" s="633">
        <f t="shared" si="81"/>
        <v>0.89300000000000002</v>
      </c>
      <c r="M358" s="633">
        <f t="shared" si="81"/>
        <v>0.89200000000000002</v>
      </c>
      <c r="N358" s="633">
        <f t="shared" si="81"/>
        <v>0.89100000000000001</v>
      </c>
      <c r="O358" s="162" t="s">
        <v>3906</v>
      </c>
    </row>
    <row r="359" spans="2:15" s="8" customFormat="1" ht="15" hidden="1" customHeight="1" outlineLevel="1" x14ac:dyDescent="0.2">
      <c r="B359" s="622"/>
      <c r="C359" s="441"/>
      <c r="D359" s="442"/>
      <c r="E359" s="623"/>
      <c r="F359" s="623"/>
      <c r="G359" s="623"/>
      <c r="H359" s="623"/>
      <c r="I359" s="623"/>
      <c r="J359" s="623"/>
      <c r="K359" s="623"/>
      <c r="L359" s="623"/>
      <c r="M359" s="623"/>
      <c r="N359" s="623"/>
      <c r="O359" s="162"/>
    </row>
    <row r="360" spans="2:15" ht="15" hidden="1" customHeight="1" outlineLevel="1" x14ac:dyDescent="0.2">
      <c r="B360" s="96"/>
      <c r="C360" s="368"/>
      <c r="D360" s="442" t="s">
        <v>3907</v>
      </c>
      <c r="E360" s="634">
        <f>eSystemsTrainingCostPerFTE_O1*eSystemsTrainingFTEsWorstCaseO1</f>
        <v>1000</v>
      </c>
      <c r="F360" s="634">
        <f>eSystemsTrainingCostPerFTE_O1*eSystemsTrainingFTEsWorstCaseO1*(1+Inflation)</f>
        <v>1020</v>
      </c>
      <c r="G360" s="634">
        <f>eSystemsTrainingCostPerFTE_O1*eSystemsTrainingFTEsWorstCaseO1*(1+Inflation)^2</f>
        <v>1040.4000000000001</v>
      </c>
      <c r="H360" s="634">
        <f>eSystemsTrainingCostPerFTE_O1*eSystemsTrainingFTEsWorstCaseO1*(1+Inflation)^3</f>
        <v>1061.2079999999999</v>
      </c>
      <c r="I360" s="634">
        <f>eSystemsTrainingCostPerFTE_O1*eSystemsTrainingFTEsWorstCaseO1*(1+Inflation)^4</f>
        <v>1082.4321600000001</v>
      </c>
      <c r="J360" s="634">
        <f>eSystemsTrainingCostPerFTE_O1*eSystemsTrainingFTEsWorstCaseO1*(1+Inflation)^5</f>
        <v>1104.0808032</v>
      </c>
      <c r="K360" s="634">
        <f>eSystemsTrainingCostPerFTE_O1*eSystemsTrainingFTEsWorstCaseO1*(1+Inflation)^6</f>
        <v>1126.1624192640002</v>
      </c>
      <c r="L360" s="634">
        <f>eSystemsTrainingCostPerFTE_O1*eSystemsTrainingFTEsWorstCaseO1*(1+Inflation)^7</f>
        <v>1148.6856676492798</v>
      </c>
      <c r="M360" s="634">
        <f>eSystemsTrainingCostPerFTE_O1*eSystemsTrainingFTEsWorstCaseO1*(1+Inflation)^8</f>
        <v>1171.6593810022655</v>
      </c>
      <c r="N360" s="634">
        <f>eSystemsTrainingCostPerFTE_O1*eSystemsTrainingFTEsWorstCaseO1*(1+Inflation)^9</f>
        <v>1195.0925686223109</v>
      </c>
      <c r="O360" s="162" t="s">
        <v>3908</v>
      </c>
    </row>
    <row r="361" spans="2:15" ht="15" hidden="1" customHeight="1" outlineLevel="1" x14ac:dyDescent="0.2">
      <c r="B361" s="96"/>
      <c r="C361" s="368"/>
      <c r="D361" s="442" t="s">
        <v>3909</v>
      </c>
      <c r="E361" s="634">
        <f>eSystemsTrainingCostPerFTE_O1*eSystemsTrainingFTEsMostLikelyO1</f>
        <v>950.00000000000011</v>
      </c>
      <c r="F361" s="634">
        <f>eSystemsTrainingCostPerFTE_O1*eSystemsTrainingFTEsMostLikelyO1*(1+Inflation)</f>
        <v>967.98000000000013</v>
      </c>
      <c r="G361" s="634">
        <f>eSystemsTrainingCostPerFTE_O1*eSystemsTrainingFTEsMostLikelyO1*(1+Inflation)^2</f>
        <v>986.29920000000016</v>
      </c>
      <c r="H361" s="634">
        <f>eSystemsTrainingCostPerFTE_O1*eSystemsTrainingFTEsMostLikelyO1*(1+Inflation)^3</f>
        <v>1004.9639759999999</v>
      </c>
      <c r="I361" s="634">
        <f>eSystemsTrainingCostPerFTE_O1*eSystemsTrainingFTEsMostLikelyO1*(1+Inflation)^4</f>
        <v>1023.9808233599999</v>
      </c>
      <c r="J361" s="634">
        <f>eSystemsTrainingCostPerFTE_O1*eSystemsTrainingFTEsMostLikelyO1*(1+Inflation)^5</f>
        <v>1043.3563590240001</v>
      </c>
      <c r="K361" s="634">
        <f>eSystemsTrainingCostPerFTE_O1*eSystemsTrainingFTEsMostLikelyO1*(1+Inflation)^6</f>
        <v>1063.0973237852161</v>
      </c>
      <c r="L361" s="634">
        <f>eSystemsTrainingCostPerFTE_O1*eSystemsTrainingFTEsMostLikelyO1*(1+Inflation)^7</f>
        <v>1083.2105845932711</v>
      </c>
      <c r="M361" s="634">
        <f>eSystemsTrainingCostPerFTE_O1*eSystemsTrainingFTEsMostLikelyO1*(1+Inflation)^8</f>
        <v>1103.7031369041342</v>
      </c>
      <c r="N361" s="634">
        <f>eSystemsTrainingCostPerFTE_O1*eSystemsTrainingFTEsMostLikelyO1*(1+Inflation)^9</f>
        <v>1124.5821070735947</v>
      </c>
      <c r="O361" s="162" t="s">
        <v>3910</v>
      </c>
    </row>
    <row r="362" spans="2:15" ht="15" hidden="1" customHeight="1" outlineLevel="1" x14ac:dyDescent="0.2">
      <c r="B362" s="96"/>
      <c r="C362" s="368"/>
      <c r="D362" s="442" t="s">
        <v>3911</v>
      </c>
      <c r="E362" s="634">
        <f>eSystemsTrainingCostPerFTE_O1*eSystemsTrainingFTEsBestCaseO1</f>
        <v>900</v>
      </c>
      <c r="F362" s="634">
        <f>eSystemsTrainingCostPerFTE_O1*eSystemsTrainingFTEsBestCaseO1*(1+Inflation)</f>
        <v>916.98</v>
      </c>
      <c r="G362" s="634">
        <f>eSystemsTrainingCostPerFTE_O1*eSystemsTrainingFTEsBestCaseO1*(1+Inflation)^2</f>
        <v>934.27920000000006</v>
      </c>
      <c r="H362" s="634">
        <f>eSystemsTrainingCostPerFTE_O1*eSystemsTrainingFTEsBestCaseO1*(1+Inflation)^3</f>
        <v>951.90357600000004</v>
      </c>
      <c r="I362" s="634">
        <f>eSystemsTrainingCostPerFTE_O1*eSystemsTrainingFTEsBestCaseO1*(1+Inflation)^4</f>
        <v>969.85921536000012</v>
      </c>
      <c r="J362" s="634">
        <f>eSystemsTrainingCostPerFTE_O1*eSystemsTrainingFTEsBestCaseO1*(1+Inflation)^5</f>
        <v>988.15231886399999</v>
      </c>
      <c r="K362" s="634">
        <f>eSystemsTrainingCostPerFTE_O1*eSystemsTrainingFTEsBestCaseO1*(1+Inflation)^6</f>
        <v>1006.789202822016</v>
      </c>
      <c r="L362" s="634">
        <f>eSystemsTrainingCostPerFTE_O1*eSystemsTrainingFTEsBestCaseO1*(1+Inflation)^7</f>
        <v>1025.7763012108069</v>
      </c>
      <c r="M362" s="634">
        <f>eSystemsTrainingCostPerFTE_O1*eSystemsTrainingFTEsBestCaseO1*(1+Inflation)^8</f>
        <v>1045.1201678540208</v>
      </c>
      <c r="N362" s="634">
        <f>eSystemsTrainingCostPerFTE_O1*eSystemsTrainingFTEsBestCaseO1*(1+Inflation)^9</f>
        <v>1064.827478642479</v>
      </c>
      <c r="O362" s="162" t="s">
        <v>3912</v>
      </c>
    </row>
    <row r="363" spans="2:15" ht="15" hidden="1" customHeight="1" outlineLevel="1" x14ac:dyDescent="0.2">
      <c r="C363" s="394"/>
      <c r="D363" s="5"/>
      <c r="E363" s="5"/>
      <c r="F363" s="5"/>
      <c r="G363" s="5"/>
      <c r="H363" s="5"/>
      <c r="I363" s="5"/>
      <c r="J363" s="5"/>
      <c r="K363" s="5"/>
      <c r="L363" s="5"/>
      <c r="M363" s="5"/>
      <c r="N363" s="5"/>
      <c r="O363" s="393"/>
    </row>
    <row r="364" spans="2:15" ht="15" hidden="1" customHeight="1" outlineLevel="1" x14ac:dyDescent="0.2">
      <c r="B364" s="96"/>
      <c r="C364" s="394"/>
      <c r="D364" s="149" t="s">
        <v>3913</v>
      </c>
      <c r="E364" s="5"/>
      <c r="F364" s="5"/>
      <c r="G364" s="5"/>
      <c r="H364" s="5"/>
      <c r="I364" s="5"/>
      <c r="J364" s="5"/>
      <c r="K364" s="5"/>
      <c r="L364" s="5"/>
      <c r="M364" s="5"/>
      <c r="N364" s="5"/>
      <c r="O364" s="393"/>
    </row>
    <row r="365" spans="2:15" ht="15" hidden="1" customHeight="1" outlineLevel="1" x14ac:dyDescent="0.2">
      <c r="B365" s="96"/>
      <c r="C365" s="394"/>
      <c r="D365" s="631">
        <v>1000</v>
      </c>
      <c r="E365" s="6"/>
      <c r="F365" s="6"/>
      <c r="G365" s="6"/>
      <c r="H365" s="6"/>
      <c r="I365" s="6"/>
      <c r="J365" s="6"/>
      <c r="K365" s="6"/>
      <c r="L365" s="6"/>
      <c r="M365" s="6"/>
      <c r="N365" s="6"/>
      <c r="O365" s="393"/>
    </row>
    <row r="366" spans="2:15" ht="15" hidden="1" customHeight="1" outlineLevel="1" x14ac:dyDescent="0.2">
      <c r="B366" s="96"/>
      <c r="C366" s="394"/>
      <c r="D366" s="442" t="s">
        <v>3610</v>
      </c>
      <c r="E366" s="632">
        <v>0.1</v>
      </c>
      <c r="F366" s="632">
        <v>0.1</v>
      </c>
      <c r="G366" s="632">
        <v>0.1</v>
      </c>
      <c r="H366" s="632">
        <v>0.1</v>
      </c>
      <c r="I366" s="632">
        <v>0.1</v>
      </c>
      <c r="J366" s="632">
        <v>0.1</v>
      </c>
      <c r="K366" s="632">
        <v>0.1</v>
      </c>
      <c r="L366" s="632">
        <v>0.1</v>
      </c>
      <c r="M366" s="632">
        <v>0.1</v>
      </c>
      <c r="N366" s="632">
        <v>0.1</v>
      </c>
      <c r="O366" s="162" t="s">
        <v>3914</v>
      </c>
    </row>
    <row r="367" spans="2:15" ht="15" hidden="1" customHeight="1" outlineLevel="1" x14ac:dyDescent="0.2">
      <c r="B367" s="96"/>
      <c r="C367" s="368"/>
      <c r="D367" s="442" t="s">
        <v>3780</v>
      </c>
      <c r="E367" s="633">
        <f t="shared" ref="E367:N367" si="82">eSystemsFTECalcResultWorstCaseO2*eSystemsTrainingPercentFTEsO2</f>
        <v>1</v>
      </c>
      <c r="F367" s="633">
        <f t="shared" si="82"/>
        <v>1</v>
      </c>
      <c r="G367" s="633">
        <f t="shared" si="82"/>
        <v>1</v>
      </c>
      <c r="H367" s="633">
        <f t="shared" si="82"/>
        <v>1</v>
      </c>
      <c r="I367" s="633">
        <f t="shared" si="82"/>
        <v>1</v>
      </c>
      <c r="J367" s="633">
        <f t="shared" si="82"/>
        <v>1</v>
      </c>
      <c r="K367" s="633">
        <f t="shared" si="82"/>
        <v>1</v>
      </c>
      <c r="L367" s="633">
        <f t="shared" si="82"/>
        <v>1</v>
      </c>
      <c r="M367" s="633">
        <f t="shared" si="82"/>
        <v>1</v>
      </c>
      <c r="N367" s="633">
        <f t="shared" si="82"/>
        <v>1</v>
      </c>
      <c r="O367" s="162" t="s">
        <v>3915</v>
      </c>
    </row>
    <row r="368" spans="2:15" ht="15" hidden="1" customHeight="1" outlineLevel="1" x14ac:dyDescent="0.2">
      <c r="B368" s="96"/>
      <c r="C368" s="368"/>
      <c r="D368" s="442" t="s">
        <v>3782</v>
      </c>
      <c r="E368" s="633">
        <f t="shared" ref="E368:N368" si="83">eSystemsFTECalcResultMostLikelyO2*eSystemsTrainingPercentFTEsO2</f>
        <v>0.95000000000000007</v>
      </c>
      <c r="F368" s="633">
        <f t="shared" si="83"/>
        <v>0.94900000000000007</v>
      </c>
      <c r="G368" s="633">
        <f t="shared" si="83"/>
        <v>0.94800000000000006</v>
      </c>
      <c r="H368" s="633">
        <f t="shared" si="83"/>
        <v>0.94699999999999995</v>
      </c>
      <c r="I368" s="633">
        <f t="shared" si="83"/>
        <v>0.94599999999999995</v>
      </c>
      <c r="J368" s="633">
        <f t="shared" si="83"/>
        <v>0.94499999999999995</v>
      </c>
      <c r="K368" s="633">
        <f t="shared" si="83"/>
        <v>0.94399999999999995</v>
      </c>
      <c r="L368" s="633">
        <f t="shared" si="83"/>
        <v>0.94300000000000006</v>
      </c>
      <c r="M368" s="633">
        <f t="shared" si="83"/>
        <v>0.94200000000000006</v>
      </c>
      <c r="N368" s="633">
        <f t="shared" si="83"/>
        <v>0.94100000000000006</v>
      </c>
      <c r="O368" s="162" t="s">
        <v>3916</v>
      </c>
    </row>
    <row r="369" spans="1:32" ht="15" hidden="1" customHeight="1" outlineLevel="1" x14ac:dyDescent="0.2">
      <c r="B369" s="96"/>
      <c r="C369" s="368"/>
      <c r="D369" s="442" t="s">
        <v>3784</v>
      </c>
      <c r="E369" s="633">
        <f t="shared" ref="E369:N369" si="84">eSystemsFTECalcResultBestCaseO2*eSystemsTrainingPercentFTEsO2</f>
        <v>0.9</v>
      </c>
      <c r="F369" s="633">
        <f t="shared" si="84"/>
        <v>0.89900000000000002</v>
      </c>
      <c r="G369" s="633">
        <f t="shared" si="84"/>
        <v>0.89800000000000013</v>
      </c>
      <c r="H369" s="633">
        <f t="shared" si="84"/>
        <v>0.89700000000000013</v>
      </c>
      <c r="I369" s="633">
        <f t="shared" si="84"/>
        <v>0.89600000000000013</v>
      </c>
      <c r="J369" s="633">
        <f t="shared" si="84"/>
        <v>0.89500000000000002</v>
      </c>
      <c r="K369" s="633">
        <f t="shared" si="84"/>
        <v>0.89400000000000002</v>
      </c>
      <c r="L369" s="633">
        <f t="shared" si="84"/>
        <v>0.89300000000000002</v>
      </c>
      <c r="M369" s="633">
        <f t="shared" si="84"/>
        <v>0.89200000000000002</v>
      </c>
      <c r="N369" s="633">
        <f t="shared" si="84"/>
        <v>0.89100000000000001</v>
      </c>
      <c r="O369" s="162" t="s">
        <v>3917</v>
      </c>
    </row>
    <row r="370" spans="1:32" s="8" customFormat="1" ht="15" hidden="1" customHeight="1" outlineLevel="1" x14ac:dyDescent="0.2">
      <c r="B370" s="622"/>
      <c r="C370" s="441"/>
      <c r="D370" s="442"/>
      <c r="E370" s="623"/>
      <c r="F370" s="623"/>
      <c r="G370" s="623"/>
      <c r="H370" s="623"/>
      <c r="I370" s="623"/>
      <c r="J370" s="623"/>
      <c r="K370" s="623"/>
      <c r="L370" s="623"/>
      <c r="M370" s="623"/>
      <c r="N370" s="623"/>
      <c r="O370" s="162"/>
    </row>
    <row r="371" spans="1:32" ht="15" hidden="1" customHeight="1" outlineLevel="1" x14ac:dyDescent="0.2">
      <c r="B371" s="96"/>
      <c r="C371" s="368"/>
      <c r="D371" s="442" t="s">
        <v>3918</v>
      </c>
      <c r="E371" s="634">
        <f>eSystemsTrainingCostPerFTE_O2*eSystemsTrainingFTEsWorstCaseO2</f>
        <v>1000</v>
      </c>
      <c r="F371" s="634">
        <f>eSystemsTrainingCostPerFTE_O2*eSystemsTrainingFTEsWorstCaseO2*(1+Inflation)</f>
        <v>1020</v>
      </c>
      <c r="G371" s="634">
        <f>eSystemsTrainingCostPerFTE_O2*eSystemsTrainingFTEsWorstCaseO2*(1+Inflation)^2</f>
        <v>1040.4000000000001</v>
      </c>
      <c r="H371" s="634">
        <f>eSystemsTrainingCostPerFTE_O2*eSystemsTrainingFTEsWorstCaseO2*(1+Inflation)^3</f>
        <v>1061.2079999999999</v>
      </c>
      <c r="I371" s="634">
        <f>eSystemsTrainingCostPerFTE_O2*eSystemsTrainingFTEsWorstCaseO2*(1+Inflation)^4</f>
        <v>1082.4321600000001</v>
      </c>
      <c r="J371" s="634">
        <f>eSystemsTrainingCostPerFTE_O2*eSystemsTrainingFTEsWorstCaseO2*(1+Inflation)^5</f>
        <v>1104.0808032</v>
      </c>
      <c r="K371" s="634">
        <f>eSystemsTrainingCostPerFTE_O2*eSystemsTrainingFTEsWorstCaseO2*(1+Inflation)^6</f>
        <v>1126.1624192640002</v>
      </c>
      <c r="L371" s="634">
        <f>eSystemsTrainingCostPerFTE_O2*eSystemsTrainingFTEsWorstCaseO2*(1+Inflation)^7</f>
        <v>1148.6856676492798</v>
      </c>
      <c r="M371" s="634">
        <f>eSystemsTrainingCostPerFTE_O2*eSystemsTrainingFTEsWorstCaseO2*(1+Inflation)^8</f>
        <v>1171.6593810022655</v>
      </c>
      <c r="N371" s="634">
        <f>eSystemsTrainingCostPerFTE_O2*eSystemsTrainingFTEsWorstCaseO2*(1+Inflation)^9</f>
        <v>1195.0925686223109</v>
      </c>
      <c r="O371" s="162" t="s">
        <v>3919</v>
      </c>
    </row>
    <row r="372" spans="1:32" ht="15" hidden="1" customHeight="1" outlineLevel="1" x14ac:dyDescent="0.2">
      <c r="B372" s="96"/>
      <c r="C372" s="368"/>
      <c r="D372" s="442" t="s">
        <v>3920</v>
      </c>
      <c r="E372" s="634">
        <f>eSystemsTrainingCostPerFTE_O2*eSystemsTrainingFTEsMostLikelyO2</f>
        <v>950.00000000000011</v>
      </c>
      <c r="F372" s="634">
        <f>eSystemsTrainingCostPerFTE_O2*eSystemsTrainingFTEsMostLikelyO2*(1+Inflation)</f>
        <v>967.98000000000013</v>
      </c>
      <c r="G372" s="634">
        <f>eSystemsTrainingCostPerFTE_O2*eSystemsTrainingFTEsMostLikelyO2*(1+Inflation)^2</f>
        <v>986.29920000000016</v>
      </c>
      <c r="H372" s="634">
        <f>eSystemsTrainingCostPerFTE_O2*eSystemsTrainingFTEsMostLikelyO2*(1+Inflation)^3</f>
        <v>1004.9639759999999</v>
      </c>
      <c r="I372" s="634">
        <f>eSystemsTrainingCostPerFTE_O2*eSystemsTrainingFTEsMostLikelyO2*(1+Inflation)^4</f>
        <v>1023.9808233599999</v>
      </c>
      <c r="J372" s="634">
        <f>eSystemsTrainingCostPerFTE_O2*eSystemsTrainingFTEsMostLikelyO2*(1+Inflation)^5</f>
        <v>1043.3563590240001</v>
      </c>
      <c r="K372" s="634">
        <f>eSystemsTrainingCostPerFTE_O2*eSystemsTrainingFTEsMostLikelyO2*(1+Inflation)^6</f>
        <v>1063.0973237852161</v>
      </c>
      <c r="L372" s="634">
        <f>eSystemsTrainingCostPerFTE_O2*eSystemsTrainingFTEsMostLikelyO2*(1+Inflation)^7</f>
        <v>1083.2105845932711</v>
      </c>
      <c r="M372" s="634">
        <f>eSystemsTrainingCostPerFTE_O2*eSystemsTrainingFTEsMostLikelyO2*(1+Inflation)^8</f>
        <v>1103.7031369041342</v>
      </c>
      <c r="N372" s="634">
        <f>eSystemsTrainingCostPerFTE_O2*eSystemsTrainingFTEsMostLikelyO2*(1+Inflation)^9</f>
        <v>1124.5821070735947</v>
      </c>
      <c r="O372" s="162" t="s">
        <v>3921</v>
      </c>
    </row>
    <row r="373" spans="1:32" ht="15" hidden="1" customHeight="1" outlineLevel="1" x14ac:dyDescent="0.2">
      <c r="B373" s="96"/>
      <c r="C373" s="368"/>
      <c r="D373" s="442" t="s">
        <v>3922</v>
      </c>
      <c r="E373" s="634">
        <f>eSystemsTrainingCostPerFTE_O2*eSystemsTrainingFTEsBestCaseO2</f>
        <v>900</v>
      </c>
      <c r="F373" s="634">
        <f>eSystemsTrainingCostPerFTE_O2*eSystemsTrainingFTEsBestCaseO2*(1+Inflation)</f>
        <v>916.98</v>
      </c>
      <c r="G373" s="634">
        <f>eSystemsTrainingCostPerFTE_O2*eSystemsTrainingFTEsBestCaseO2*(1+Inflation)^2</f>
        <v>934.27920000000006</v>
      </c>
      <c r="H373" s="634">
        <f>eSystemsTrainingCostPerFTE_O2*eSystemsTrainingFTEsBestCaseO2*(1+Inflation)^3</f>
        <v>951.90357600000004</v>
      </c>
      <c r="I373" s="634">
        <f>eSystemsTrainingCostPerFTE_O2*eSystemsTrainingFTEsBestCaseO2*(1+Inflation)^4</f>
        <v>969.85921536000012</v>
      </c>
      <c r="J373" s="634">
        <f>eSystemsTrainingCostPerFTE_O2*eSystemsTrainingFTEsBestCaseO2*(1+Inflation)^5</f>
        <v>988.15231886399999</v>
      </c>
      <c r="K373" s="634">
        <f>eSystemsTrainingCostPerFTE_O2*eSystemsTrainingFTEsBestCaseO2*(1+Inflation)^6</f>
        <v>1006.789202822016</v>
      </c>
      <c r="L373" s="634">
        <f>eSystemsTrainingCostPerFTE_O2*eSystemsTrainingFTEsBestCaseO2*(1+Inflation)^7</f>
        <v>1025.7763012108069</v>
      </c>
      <c r="M373" s="634">
        <f>eSystemsTrainingCostPerFTE_O2*eSystemsTrainingFTEsBestCaseO2*(1+Inflation)^8</f>
        <v>1045.1201678540208</v>
      </c>
      <c r="N373" s="634">
        <f>eSystemsTrainingCostPerFTE_O2*eSystemsTrainingFTEsBestCaseO2*(1+Inflation)^9</f>
        <v>1064.827478642479</v>
      </c>
      <c r="O373" s="162" t="s">
        <v>3923</v>
      </c>
    </row>
    <row r="374" spans="1:32" ht="15" hidden="1" customHeight="1" outlineLevel="1" thickBot="1" x14ac:dyDescent="0.25">
      <c r="C374" s="246"/>
      <c r="D374" s="429"/>
      <c r="E374" s="429"/>
      <c r="F374" s="429"/>
      <c r="G374" s="429"/>
      <c r="H374" s="429"/>
      <c r="I374" s="429"/>
      <c r="J374" s="429"/>
      <c r="K374" s="429"/>
      <c r="L374" s="429"/>
      <c r="M374" s="429"/>
      <c r="N374" s="429"/>
      <c r="O374" s="635"/>
    </row>
    <row r="375" spans="1:32" ht="14.1" hidden="1" customHeight="1" outlineLevel="1" x14ac:dyDescent="0.2">
      <c r="B375" s="95"/>
      <c r="C375" s="6"/>
      <c r="D375" s="6"/>
      <c r="E375" s="6"/>
      <c r="F375" s="6"/>
      <c r="G375" s="6"/>
      <c r="H375" s="6"/>
      <c r="I375" s="6"/>
      <c r="J375" s="6"/>
      <c r="K375" s="6"/>
      <c r="L375" s="6"/>
      <c r="M375" s="6"/>
      <c r="N375" s="6"/>
      <c r="O375" s="84"/>
    </row>
    <row r="376" spans="1:32" s="122" customFormat="1" ht="15.75" collapsed="1" x14ac:dyDescent="0.2">
      <c r="A376" s="1043">
        <v>3</v>
      </c>
      <c r="B376" s="1039"/>
      <c r="C376" s="1039"/>
      <c r="D376" s="1039"/>
      <c r="E376" s="1039"/>
      <c r="F376" s="1039"/>
      <c r="G376" s="1039"/>
      <c r="H376" s="1039"/>
      <c r="I376" s="1039"/>
      <c r="J376" s="1039"/>
      <c r="K376" s="1039"/>
      <c r="L376" s="1039"/>
      <c r="M376" s="1039"/>
      <c r="N376" s="1039"/>
      <c r="O376" s="1039"/>
      <c r="P376" s="206"/>
      <c r="Q376" s="206"/>
      <c r="R376" s="206"/>
      <c r="S376" s="206"/>
      <c r="T376" s="206"/>
      <c r="U376" s="206"/>
      <c r="V376" s="206"/>
      <c r="W376" s="206"/>
      <c r="X376" s="206"/>
      <c r="Y376" s="206"/>
      <c r="Z376" s="206"/>
      <c r="AA376" s="206"/>
      <c r="AB376" s="206"/>
      <c r="AC376" s="206"/>
      <c r="AD376" s="206"/>
      <c r="AE376" s="206"/>
      <c r="AF376" s="206"/>
    </row>
    <row r="377" spans="1:32" ht="14.1" customHeight="1" x14ac:dyDescent="0.2">
      <c r="B377" s="95"/>
      <c r="C377" s="6"/>
      <c r="D377" s="6"/>
      <c r="E377" s="6"/>
      <c r="F377" s="6"/>
      <c r="G377" s="6"/>
      <c r="H377" s="6"/>
      <c r="I377" s="6"/>
      <c r="J377" s="6"/>
      <c r="K377" s="6"/>
      <c r="L377" s="6"/>
      <c r="M377" s="6"/>
      <c r="N377" s="6"/>
      <c r="O377" s="84"/>
    </row>
    <row r="378" spans="1:32" s="206" customFormat="1" ht="20.100000000000001" customHeight="1" x14ac:dyDescent="0.2">
      <c r="A378" s="1397" t="s">
        <v>4237</v>
      </c>
      <c r="C378" s="974" t="s">
        <v>4236</v>
      </c>
      <c r="D378" s="187"/>
      <c r="E378" s="223"/>
      <c r="F378" s="223"/>
      <c r="G378" s="223"/>
      <c r="H378" s="223"/>
      <c r="I378" s="223"/>
      <c r="J378" s="223"/>
      <c r="K378" s="223"/>
      <c r="L378" s="223"/>
      <c r="M378" s="223"/>
      <c r="N378" s="223"/>
      <c r="O378" s="224"/>
      <c r="P378" s="210"/>
    </row>
    <row r="379" spans="1:32" s="203" customFormat="1" x14ac:dyDescent="0.2">
      <c r="A379" s="1398"/>
      <c r="B379" s="211"/>
      <c r="C379" s="211"/>
      <c r="D379" s="214"/>
      <c r="E379" s="210"/>
      <c r="F379" s="210"/>
      <c r="G379" s="210"/>
      <c r="H379" s="210"/>
      <c r="I379" s="210"/>
      <c r="J379" s="210"/>
      <c r="K379" s="210"/>
      <c r="L379" s="210"/>
      <c r="M379" s="210"/>
      <c r="N379" s="210"/>
      <c r="O379" s="209"/>
      <c r="P379" s="204"/>
    </row>
    <row r="380" spans="1:32" s="85" customFormat="1" ht="12.75" customHeight="1" x14ac:dyDescent="0.2">
      <c r="A380" s="1399"/>
      <c r="E380" s="62"/>
      <c r="F380" s="62"/>
      <c r="G380" s="62"/>
      <c r="H380" s="62"/>
      <c r="I380" s="62"/>
      <c r="J380" s="62"/>
      <c r="K380" s="62"/>
      <c r="L380" s="62"/>
      <c r="M380" s="62"/>
      <c r="N380" s="62"/>
      <c r="O380" s="134"/>
      <c r="P380" s="134"/>
      <c r="Q380" s="134"/>
      <c r="R380" s="134"/>
      <c r="S380" s="134"/>
      <c r="T380" s="134"/>
      <c r="U380" s="134"/>
      <c r="V380" s="134"/>
      <c r="W380" s="134"/>
      <c r="X380" s="134"/>
      <c r="Y380" s="134"/>
      <c r="Z380" s="134"/>
      <c r="AA380" s="134"/>
      <c r="AB380" s="134"/>
      <c r="AC380" s="134"/>
      <c r="AD380" s="134"/>
      <c r="AE380" s="134"/>
      <c r="AF380" s="134"/>
    </row>
    <row r="381" spans="1:32" s="85" customFormat="1" ht="14.25" customHeight="1" x14ac:dyDescent="0.2">
      <c r="E381" s="62"/>
      <c r="F381" s="62"/>
      <c r="G381" s="62"/>
      <c r="H381" s="62"/>
      <c r="I381" s="62"/>
      <c r="J381" s="62"/>
      <c r="K381" s="62"/>
      <c r="L381" s="62"/>
      <c r="M381" s="62"/>
      <c r="N381" s="62"/>
      <c r="O381" s="134"/>
      <c r="P381" s="134"/>
      <c r="Q381" s="134"/>
      <c r="R381" s="134"/>
      <c r="S381" s="134"/>
      <c r="T381" s="134"/>
      <c r="U381" s="134"/>
      <c r="V381" s="134"/>
      <c r="W381" s="134"/>
      <c r="X381" s="134"/>
      <c r="Y381" s="134"/>
      <c r="Z381" s="134"/>
      <c r="AA381" s="134"/>
      <c r="AB381" s="134"/>
      <c r="AC381" s="134"/>
      <c r="AD381" s="134"/>
      <c r="AE381" s="134"/>
      <c r="AF381" s="134"/>
    </row>
    <row r="382" spans="1:32" s="85" customFormat="1" ht="14.25" hidden="1" customHeight="1" outlineLevel="1" x14ac:dyDescent="0.2">
      <c r="E382" s="62"/>
      <c r="F382" s="62"/>
      <c r="G382" s="62"/>
      <c r="H382" s="62"/>
      <c r="I382" s="62"/>
      <c r="J382" s="62"/>
      <c r="K382" s="62"/>
      <c r="L382" s="62"/>
      <c r="M382" s="62"/>
      <c r="N382" s="62"/>
      <c r="O382" s="134"/>
      <c r="P382" s="134"/>
      <c r="Q382" s="134"/>
      <c r="R382" s="134"/>
      <c r="S382" s="134"/>
      <c r="T382" s="134"/>
      <c r="U382" s="134"/>
      <c r="V382" s="134"/>
      <c r="W382" s="134"/>
      <c r="X382" s="134"/>
      <c r="Y382" s="134"/>
      <c r="Z382" s="134"/>
      <c r="AA382" s="134"/>
      <c r="AB382" s="134"/>
      <c r="AC382" s="134"/>
      <c r="AD382" s="134"/>
      <c r="AE382" s="134"/>
      <c r="AF382" s="134"/>
    </row>
    <row r="383" spans="1:32" s="121" customFormat="1" ht="12.75" hidden="1" customHeight="1" outlineLevel="1" x14ac:dyDescent="0.3">
      <c r="A383" s="346"/>
      <c r="B383" s="346"/>
      <c r="C383" s="347"/>
      <c r="D383" s="737"/>
      <c r="E383" s="129"/>
      <c r="F383" s="129"/>
      <c r="G383" s="129"/>
      <c r="H383" s="129"/>
      <c r="I383" s="129"/>
      <c r="J383" s="129"/>
      <c r="K383" s="129"/>
      <c r="L383" s="129"/>
      <c r="M383" s="129"/>
      <c r="N383" s="129"/>
      <c r="O383" s="348"/>
      <c r="P383" s="348"/>
      <c r="Q383" s="348"/>
      <c r="R383" s="348"/>
      <c r="S383" s="348"/>
      <c r="T383" s="348"/>
      <c r="U383" s="348"/>
      <c r="V383" s="348"/>
      <c r="W383" s="348"/>
      <c r="X383" s="348"/>
      <c r="Y383" s="348"/>
      <c r="Z383" s="348"/>
      <c r="AA383" s="348"/>
      <c r="AB383" s="348"/>
      <c r="AC383" s="348"/>
      <c r="AD383" s="348"/>
      <c r="AE383" s="348"/>
      <c r="AF383" s="348"/>
    </row>
    <row r="384" spans="1:32" s="18" customFormat="1" ht="13.5" hidden="1" outlineLevel="1" thickBot="1" x14ac:dyDescent="0.25">
      <c r="A384" s="17"/>
      <c r="B384" s="30"/>
      <c r="C384" s="30"/>
      <c r="D384" s="30"/>
      <c r="E384" s="23"/>
      <c r="F384" s="23"/>
      <c r="G384" s="23"/>
      <c r="H384" s="23"/>
      <c r="I384" s="23"/>
      <c r="J384" s="23"/>
      <c r="K384" s="23"/>
      <c r="L384" s="23"/>
      <c r="M384" s="23"/>
      <c r="N384" s="23"/>
      <c r="O384" s="85"/>
      <c r="P384" s="12"/>
      <c r="Q384" s="12"/>
    </row>
    <row r="385" spans="1:32" s="3" customFormat="1" hidden="1" outlineLevel="1" x14ac:dyDescent="0.2">
      <c r="A385" s="1397" t="s">
        <v>4232</v>
      </c>
      <c r="C385" s="317"/>
      <c r="D385" s="400" t="s">
        <v>4076</v>
      </c>
      <c r="E385" s="624">
        <f t="shared" ref="E385:N385" si="85">-SUM(pSystemsTrainingCostLM+pSystemsTrainingCostHM+pSystemsTrainingCostENG+pSystemsTrainingCostPLG+pSystemsTrainingCostCRT+pSystemsTrainingCostSCL+pSystemsTrainingCostQSC+pSystemsTrainingCostEM+pSystemsTrainingCostCM+pSystemsTrainingCostSMCS+pSystemsTrainingCostO1+pSystemsTrainingCostO2)</f>
        <v>-313000</v>
      </c>
      <c r="F385" s="397">
        <f t="shared" si="85"/>
        <v>-319260</v>
      </c>
      <c r="G385" s="397">
        <f t="shared" si="85"/>
        <v>-325645.20000000007</v>
      </c>
      <c r="H385" s="397">
        <f t="shared" si="85"/>
        <v>-332158.10399999999</v>
      </c>
      <c r="I385" s="397">
        <f t="shared" si="85"/>
        <v>-338801.26608000015</v>
      </c>
      <c r="J385" s="397">
        <f t="shared" si="85"/>
        <v>-345577.29140159988</v>
      </c>
      <c r="K385" s="397">
        <f t="shared" si="85"/>
        <v>-352488.83722963196</v>
      </c>
      <c r="L385" s="397">
        <f t="shared" si="85"/>
        <v>-359538.61397422454</v>
      </c>
      <c r="M385" s="397">
        <f t="shared" si="85"/>
        <v>-366729.38625370903</v>
      </c>
      <c r="N385" s="627">
        <f t="shared" si="85"/>
        <v>-374063.97397878318</v>
      </c>
      <c r="O385" s="626" t="s">
        <v>200</v>
      </c>
      <c r="P385" s="93"/>
      <c r="R385" s="92"/>
      <c r="T385" s="92"/>
    </row>
    <row r="386" spans="1:32" s="7" customFormat="1" hidden="1" outlineLevel="1" x14ac:dyDescent="0.2">
      <c r="A386" s="1399"/>
      <c r="C386" s="302"/>
      <c r="D386" s="67"/>
      <c r="E386" s="637"/>
      <c r="F386" s="625"/>
      <c r="G386" s="625"/>
      <c r="H386" s="625"/>
      <c r="I386" s="625"/>
      <c r="J386" s="625"/>
      <c r="K386" s="625"/>
      <c r="L386" s="625"/>
      <c r="M386" s="625"/>
      <c r="N386" s="628"/>
      <c r="O386" s="398"/>
      <c r="P386" s="395"/>
      <c r="R386" s="396"/>
      <c r="T386" s="396"/>
    </row>
    <row r="387" spans="1:32" s="3" customFormat="1" hidden="1" outlineLevel="1" x14ac:dyDescent="0.2">
      <c r="C387" s="302"/>
      <c r="D387" s="401" t="s">
        <v>4089</v>
      </c>
      <c r="E387" s="624">
        <f t="shared" ref="E387:N387" si="86">-SUM(hSystemsTrainingCostWorstCaseLM+hSystemsTrainingCostWorstCaseHM+hSystemsTrainingCostWorstCaseENG+hSystemsTrainingCostWorstCasePLG+hSystemsTrainingCostWorstCaseCRT+hSystemsTrainingCostWorstCaseSCL+hSystemsTrainingCostWorstCaseQSC+hSystemsTrainingCostWorstCaseEM+hSystemsTrainingCostWorstCaseCM+hSystemsTrainingCostWorstCaseSMCS+hSystemsTrainingCostWorstCaseO1+hSystemsTrainingCostWorstCaseO2)</f>
        <v>-421000</v>
      </c>
      <c r="F387" s="624">
        <f t="shared" si="86"/>
        <v>-319260</v>
      </c>
      <c r="G387" s="624">
        <f t="shared" si="86"/>
        <v>-325645.20000000007</v>
      </c>
      <c r="H387" s="624">
        <f t="shared" si="86"/>
        <v>-332158.10399999999</v>
      </c>
      <c r="I387" s="624">
        <f t="shared" si="86"/>
        <v>-338801.26608000015</v>
      </c>
      <c r="J387" s="624">
        <f t="shared" si="86"/>
        <v>-345577.29140159988</v>
      </c>
      <c r="K387" s="624">
        <f t="shared" si="86"/>
        <v>-352488.83722963196</v>
      </c>
      <c r="L387" s="624">
        <f t="shared" si="86"/>
        <v>-359538.61397422454</v>
      </c>
      <c r="M387" s="624">
        <f t="shared" si="86"/>
        <v>-366729.38625370903</v>
      </c>
      <c r="N387" s="629">
        <f t="shared" si="86"/>
        <v>-374063.97397878318</v>
      </c>
      <c r="O387" s="318" t="s">
        <v>3924</v>
      </c>
      <c r="R387" s="92"/>
      <c r="T387" s="92"/>
    </row>
    <row r="388" spans="1:32" s="3" customFormat="1" hidden="1" outlineLevel="1" x14ac:dyDescent="0.2">
      <c r="C388" s="302"/>
      <c r="D388" s="401" t="s">
        <v>4102</v>
      </c>
      <c r="E388" s="624">
        <f t="shared" ref="E388:N388" si="87">-SUM(hSystemsTrainingCostMostLikelyLM+hSystemsTrainingCostMostLikelyHM+hSystemsTrainingCostMostLikelyENG+hSystemsTrainingCostMostLikelyPLG+hSystemsTrainingCostMostLikelyCRT+hSystemsTrainingCostMostLikelySCL+hSystemsTrainingCostMostLikelyQSC+hSystemsTrainingCostMostLikelyEM+hSystemsTrainingCostMostLikelyCM+hSystemsTrainingCostMostLikelySMCS+hSystemsTrainingCostMostLikelyO1+hSystemsTrainingCostMostLikelyO2)</f>
        <v>-377300</v>
      </c>
      <c r="F388" s="624">
        <f t="shared" si="87"/>
        <v>-300135</v>
      </c>
      <c r="G388" s="624">
        <f t="shared" si="87"/>
        <v>-305877.60000000003</v>
      </c>
      <c r="H388" s="624">
        <f t="shared" si="87"/>
        <v>-311729.85000000009</v>
      </c>
      <c r="I388" s="624">
        <f t="shared" si="87"/>
        <v>-317693.83895999996</v>
      </c>
      <c r="J388" s="624">
        <f t="shared" si="87"/>
        <v>-323771.69553840009</v>
      </c>
      <c r="K388" s="624">
        <f t="shared" si="87"/>
        <v>-329965.58884435205</v>
      </c>
      <c r="L388" s="624">
        <f t="shared" si="87"/>
        <v>-336277.72920432669</v>
      </c>
      <c r="M388" s="624">
        <f t="shared" si="87"/>
        <v>-342710.36894316267</v>
      </c>
      <c r="N388" s="629">
        <f t="shared" si="87"/>
        <v>-349265.80317987048</v>
      </c>
      <c r="O388" s="318" t="s">
        <v>3925</v>
      </c>
      <c r="R388" s="92"/>
      <c r="T388" s="92"/>
    </row>
    <row r="389" spans="1:32" s="3" customFormat="1" hidden="1" outlineLevel="1" x14ac:dyDescent="0.2">
      <c r="C389" s="302"/>
      <c r="D389" s="401" t="s">
        <v>4103</v>
      </c>
      <c r="E389" s="624">
        <f t="shared" ref="E389:N389" si="88">-SUM(hSystemsTrainingCostBestCaseLM+hSystemsTrainingCostBestCaseHM+hSystemsTrainingCostBestCaseENG+hSystemsTrainingCostBestCasePLG+hSystemsTrainingCostBestCaseCRT+hSystemsTrainingCostBestCaseSCL+hSystemsTrainingCostBestCaseQSC+hSystemsTrainingCostBestCaseEM+hSystemsTrainingCostBestCaseCM+hSystemsTrainingCostBestCaseSMCS+hSystemsTrainingCostBestCaseO1+hSystemsTrainingCostBestCaseO2)</f>
        <v>-344400</v>
      </c>
      <c r="F389" s="624">
        <f t="shared" si="88"/>
        <v>-282489</v>
      </c>
      <c r="G389" s="624">
        <f t="shared" si="88"/>
        <v>-287878.68</v>
      </c>
      <c r="H389" s="624">
        <f t="shared" si="88"/>
        <v>-293370.95159999991</v>
      </c>
      <c r="I389" s="624">
        <f t="shared" si="88"/>
        <v>-298967.76259200007</v>
      </c>
      <c r="J389" s="624">
        <f t="shared" si="88"/>
        <v>-304671.09764303989</v>
      </c>
      <c r="K389" s="624">
        <f t="shared" si="88"/>
        <v>-310482.97899108473</v>
      </c>
      <c r="L389" s="624">
        <f t="shared" si="88"/>
        <v>-316405.46715399408</v>
      </c>
      <c r="M389" s="624">
        <f t="shared" si="88"/>
        <v>-322440.6616518235</v>
      </c>
      <c r="N389" s="629">
        <f t="shared" si="88"/>
        <v>-328590.70174270443</v>
      </c>
      <c r="O389" s="318" t="s">
        <v>3926</v>
      </c>
      <c r="R389" s="92"/>
      <c r="T389" s="92"/>
    </row>
    <row r="390" spans="1:32" s="7" customFormat="1" hidden="1" outlineLevel="1" x14ac:dyDescent="0.2">
      <c r="C390" s="302"/>
      <c r="D390" s="402"/>
      <c r="E390" s="637"/>
      <c r="F390" s="625"/>
      <c r="G390" s="625"/>
      <c r="H390" s="625"/>
      <c r="I390" s="625"/>
      <c r="J390" s="625"/>
      <c r="K390" s="625"/>
      <c r="L390" s="625"/>
      <c r="M390" s="625"/>
      <c r="N390" s="628"/>
      <c r="O390" s="398"/>
      <c r="R390" s="396"/>
      <c r="T390" s="396"/>
    </row>
    <row r="391" spans="1:32" s="7" customFormat="1" hidden="1" outlineLevel="1" x14ac:dyDescent="0.2">
      <c r="C391" s="302"/>
      <c r="D391" s="403" t="s">
        <v>4238</v>
      </c>
      <c r="E391" s="624">
        <f t="shared" ref="E391:N391" si="89">-SUM(eSystemsTrainingCostWorstCaseLM+eSystemsTrainingCostWorstCaseHM+eSystemsTrainingCostWorstCaseENG+eSystemsTrainingCostWorstCasePLG+eSystemsTrainingCostWorstCaseCRT+eSystemsTrainingCostWorstCaseSCL+eSystemsTrainingCostWorstCaseQSC+eSystemsTrainingCostWorstCaseEM+eSystemsTrainingCostWorstCaseCM+eSystemsTrainingCostWorstCaseSMCS+eSystemsTrainingCostWorstCaseO1+eSystemsTrainingCostWorstCaseO2)</f>
        <v>-2801000</v>
      </c>
      <c r="F391" s="624">
        <f t="shared" si="89"/>
        <v>-319260</v>
      </c>
      <c r="G391" s="624">
        <f t="shared" si="89"/>
        <v>-325645.20000000007</v>
      </c>
      <c r="H391" s="624">
        <f t="shared" si="89"/>
        <v>-332158.10399999999</v>
      </c>
      <c r="I391" s="624">
        <f t="shared" si="89"/>
        <v>-338801.26608000015</v>
      </c>
      <c r="J391" s="624">
        <f t="shared" si="89"/>
        <v>-345577.29140159988</v>
      </c>
      <c r="K391" s="624">
        <f t="shared" si="89"/>
        <v>-352488.83722963196</v>
      </c>
      <c r="L391" s="624">
        <f t="shared" si="89"/>
        <v>-359538.61397422454</v>
      </c>
      <c r="M391" s="624">
        <f t="shared" si="89"/>
        <v>-366729.38625370903</v>
      </c>
      <c r="N391" s="629">
        <f t="shared" si="89"/>
        <v>-374063.97397878318</v>
      </c>
      <c r="O391" s="318" t="s">
        <v>3927</v>
      </c>
      <c r="R391" s="396"/>
      <c r="T391" s="396"/>
    </row>
    <row r="392" spans="1:32" s="7" customFormat="1" hidden="1" outlineLevel="1" x14ac:dyDescent="0.2">
      <c r="C392" s="302"/>
      <c r="D392" s="403" t="s">
        <v>4239</v>
      </c>
      <c r="E392" s="624">
        <f t="shared" ref="E392:N392" si="90">-SUM(eSystemsTrainingCostMostLikelyLM+eSystemsTrainingCostMostLikelyHM+eSystemsTrainingCostMostLikelyENG+eSystemsTrainingCostMostLikelyPLG+eSystemsTrainingCostMostLikelyCRT+eSystemsTrainingCostMostLikelySCL+eSystemsTrainingCostMostLikelyQSC+eSystemsTrainingCostMostLikelyEM+eSystemsTrainingCostMostLikelyCM+eSystemsTrainingCostMostLikelySMCS+eSystemsTrainingCostMostLikelyO1+eSystemsTrainingCostMostLikelyO2)</f>
        <v>-2455750</v>
      </c>
      <c r="F392" s="624">
        <f t="shared" si="90"/>
        <v>-280013.45999999996</v>
      </c>
      <c r="G392" s="624">
        <f t="shared" si="90"/>
        <v>-285585.6384</v>
      </c>
      <c r="H392" s="624">
        <f t="shared" si="90"/>
        <v>-291268.6985520001</v>
      </c>
      <c r="I392" s="624">
        <f t="shared" si="90"/>
        <v>-297064.84685471992</v>
      </c>
      <c r="J392" s="624">
        <f t="shared" si="90"/>
        <v>-302976.33361012809</v>
      </c>
      <c r="K392" s="624">
        <f t="shared" si="90"/>
        <v>-309005.45389701054</v>
      </c>
      <c r="L392" s="624">
        <f t="shared" si="90"/>
        <v>-315154.54846192413</v>
      </c>
      <c r="M392" s="624">
        <f t="shared" si="90"/>
        <v>-321426.00462787546</v>
      </c>
      <c r="N392" s="629">
        <f t="shared" si="90"/>
        <v>-327822.25722108007</v>
      </c>
      <c r="O392" s="318" t="s">
        <v>3928</v>
      </c>
      <c r="R392" s="396"/>
      <c r="T392" s="396"/>
    </row>
    <row r="393" spans="1:32" s="3" customFormat="1" hidden="1" outlineLevel="1" x14ac:dyDescent="0.2">
      <c r="B393" s="7"/>
      <c r="C393" s="167"/>
      <c r="D393" s="403" t="s">
        <v>4240</v>
      </c>
      <c r="E393" s="624">
        <f t="shared" ref="E393:N393" si="91">-SUM(eSystemsTrainingCostBestCaseLM+eSystemsTrainingCostBestCaseHM+eSystemsTrainingCostBestCaseENG+eSystemsTrainingCostBestCasePLG+eSystemsTrainingCostBestCaseCRT+eSystemsTrainingCostBestCaseSCL+eSystemsTrainingCostBestCaseQSC+eSystemsTrainingCostBestCaseEM+eSystemsTrainingCostBestCaseCM+eSystemsTrainingCostBestCaseSMCS+eSystemsTrainingCostBestCaseO1+eSystemsTrainingCostBestCaseO2)</f>
        <v>-2280600</v>
      </c>
      <c r="F393" s="624">
        <f t="shared" si="91"/>
        <v>-260072.46</v>
      </c>
      <c r="G393" s="624">
        <f t="shared" si="91"/>
        <v>-265245.81839999999</v>
      </c>
      <c r="H393" s="624">
        <f t="shared" si="91"/>
        <v>-270522.08215199999</v>
      </c>
      <c r="I393" s="624">
        <f t="shared" si="91"/>
        <v>-275903.29812672001</v>
      </c>
      <c r="J393" s="624">
        <f t="shared" si="91"/>
        <v>-281391.55390756804</v>
      </c>
      <c r="K393" s="624">
        <f t="shared" si="91"/>
        <v>-286988.97860039928</v>
      </c>
      <c r="L393" s="624">
        <f t="shared" si="91"/>
        <v>-292697.74365938059</v>
      </c>
      <c r="M393" s="624">
        <f t="shared" si="91"/>
        <v>-298520.06372928119</v>
      </c>
      <c r="N393" s="629">
        <f t="shared" si="91"/>
        <v>-304458.19750451401</v>
      </c>
      <c r="O393" s="318" t="s">
        <v>3929</v>
      </c>
      <c r="P393" s="93"/>
      <c r="R393" s="92"/>
      <c r="T393" s="92"/>
    </row>
    <row r="394" spans="1:32" s="18" customFormat="1" ht="13.5" hidden="1" outlineLevel="1" thickBot="1" x14ac:dyDescent="0.25">
      <c r="B394" s="7"/>
      <c r="C394" s="170"/>
      <c r="D394" s="529"/>
      <c r="E394" s="526"/>
      <c r="F394" s="526"/>
      <c r="G394" s="526"/>
      <c r="H394" s="526"/>
      <c r="I394" s="526"/>
      <c r="J394" s="526"/>
      <c r="K394" s="526"/>
      <c r="L394" s="526"/>
      <c r="M394" s="526"/>
      <c r="N394" s="526"/>
      <c r="O394" s="527"/>
    </row>
    <row r="395" spans="1:32" hidden="1" outlineLevel="1" x14ac:dyDescent="0.2">
      <c r="B395" s="7"/>
    </row>
    <row r="396" spans="1:32" s="122" customFormat="1" ht="15.75" collapsed="1" x14ac:dyDescent="0.2">
      <c r="A396" s="1043" t="s">
        <v>4214</v>
      </c>
      <c r="B396" s="1039"/>
      <c r="C396" s="1039"/>
      <c r="D396" s="1039"/>
      <c r="E396" s="1039"/>
      <c r="F396" s="1039"/>
      <c r="G396" s="1039"/>
      <c r="H396" s="1039"/>
      <c r="I396" s="1039"/>
      <c r="J396" s="1039"/>
      <c r="K396" s="1039"/>
      <c r="L396" s="1039"/>
      <c r="M396" s="1039"/>
      <c r="N396" s="1039"/>
      <c r="O396" s="1039"/>
      <c r="P396" s="206"/>
      <c r="Q396" s="206"/>
      <c r="R396" s="206"/>
      <c r="S396" s="206"/>
      <c r="T396" s="206"/>
      <c r="U396" s="206"/>
      <c r="V396" s="206"/>
      <c r="W396" s="206"/>
      <c r="X396" s="206"/>
      <c r="Y396" s="206"/>
      <c r="Z396" s="206"/>
      <c r="AA396" s="206"/>
      <c r="AB396" s="206"/>
      <c r="AC396" s="206"/>
      <c r="AD396" s="206"/>
      <c r="AE396" s="206"/>
      <c r="AF396" s="206"/>
    </row>
    <row r="397" spans="1:32" x14ac:dyDescent="0.2">
      <c r="B397" s="7"/>
    </row>
  </sheetData>
  <mergeCells count="11">
    <mergeCell ref="A378:A380"/>
    <mergeCell ref="A385:A386"/>
    <mergeCell ref="A22:A23"/>
    <mergeCell ref="A26:A102"/>
    <mergeCell ref="A8:A11"/>
    <mergeCell ref="A15:A17"/>
    <mergeCell ref="A2:A4"/>
    <mergeCell ref="B2:L2"/>
    <mergeCell ref="M2:O2"/>
    <mergeCell ref="B3:L4"/>
    <mergeCell ref="M3:O4"/>
  </mergeCells>
  <conditionalFormatting sqref="P384">
    <cfRule type="containsText" dxfId="13" priority="19" operator="containsText" text="N">
      <formula>NOT(ISERROR(SEARCH("N",P384)))</formula>
    </cfRule>
    <cfRule type="containsText" dxfId="12" priority="20" operator="containsText" text="Y">
      <formula>NOT(ISERROR(SEARCH("Y",P384)))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14999847407452621"/>
  </sheetPr>
  <dimension ref="A1:AG422"/>
  <sheetViews>
    <sheetView zoomScaleNormal="100" workbookViewId="0"/>
  </sheetViews>
  <sheetFormatPr defaultColWidth="11" defaultRowHeight="12.75" outlineLevelRow="1" x14ac:dyDescent="0.2"/>
  <cols>
    <col min="1" max="1" width="80.5703125" style="3" customWidth="1"/>
    <col min="2" max="2" width="5.5703125" style="3" customWidth="1"/>
    <col min="3" max="3" width="50.7109375" style="3" customWidth="1"/>
    <col min="4" max="4" width="75.5703125" style="21" customWidth="1"/>
    <col min="5" max="5" width="21.28515625" style="3" customWidth="1"/>
    <col min="6" max="9" width="21.28515625" style="3" bestFit="1" customWidth="1"/>
    <col min="10" max="14" width="21.28515625" style="22" bestFit="1" customWidth="1"/>
    <col min="15" max="15" width="55.7109375" style="83" customWidth="1"/>
    <col min="16" max="17" width="11" style="6"/>
    <col min="18" max="18" width="32" style="6" customWidth="1"/>
    <col min="19" max="33" width="11" style="6"/>
    <col min="34" max="16384" width="11" style="3"/>
  </cols>
  <sheetData>
    <row r="1" spans="1:33" s="8" customFormat="1" ht="30" customHeight="1" x14ac:dyDescent="0.2">
      <c r="A1" s="1183" t="s">
        <v>66</v>
      </c>
      <c r="B1" s="155"/>
      <c r="C1" s="1182" t="s">
        <v>357</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3"/>
    </row>
    <row r="5" spans="1:33" ht="14.1" customHeight="1" x14ac:dyDescent="0.2">
      <c r="A5" s="13"/>
      <c r="B5" s="13"/>
      <c r="C5" s="104"/>
      <c r="D5" s="13"/>
      <c r="E5" s="49"/>
      <c r="F5" s="49"/>
      <c r="G5" s="13"/>
      <c r="H5" s="13"/>
      <c r="I5" s="13"/>
      <c r="J5" s="13"/>
      <c r="K5" s="13"/>
      <c r="L5" s="13"/>
      <c r="M5" s="13"/>
      <c r="N5" s="13"/>
      <c r="O5" s="13"/>
      <c r="P5" s="132"/>
      <c r="Q5" s="19"/>
      <c r="R5" s="19"/>
      <c r="S5" s="19"/>
      <c r="T5" s="19"/>
      <c r="U5" s="19"/>
      <c r="V5" s="19"/>
      <c r="W5" s="19"/>
      <c r="X5" s="19"/>
      <c r="Y5" s="19"/>
      <c r="Z5" s="19"/>
      <c r="AA5" s="19"/>
      <c r="AB5" s="19"/>
      <c r="AC5" s="19"/>
      <c r="AD5" s="19"/>
      <c r="AE5" s="19"/>
      <c r="AF5" s="19"/>
      <c r="AG5" s="3"/>
    </row>
    <row r="6" spans="1:33" x14ac:dyDescent="0.2">
      <c r="A6" s="165"/>
      <c r="B6" s="12"/>
      <c r="C6" s="12"/>
      <c r="D6" s="25"/>
      <c r="E6" s="49"/>
      <c r="F6" s="49"/>
      <c r="G6" s="13"/>
      <c r="H6" s="11"/>
      <c r="I6" s="103"/>
      <c r="J6" s="103"/>
      <c r="K6" s="103"/>
      <c r="L6" s="103"/>
      <c r="M6" s="103"/>
      <c r="N6" s="103"/>
      <c r="O6" s="166"/>
      <c r="P6" s="13"/>
      <c r="Q6" s="13"/>
      <c r="R6" s="13"/>
      <c r="S6" s="13"/>
      <c r="T6" s="13"/>
      <c r="U6" s="13"/>
      <c r="V6" s="13"/>
      <c r="W6" s="13"/>
      <c r="X6" s="13"/>
      <c r="Y6" s="13"/>
      <c r="Z6" s="13"/>
      <c r="AA6" s="13"/>
      <c r="AB6" s="13"/>
      <c r="AC6" s="13"/>
      <c r="AD6" s="13"/>
      <c r="AE6" s="13"/>
      <c r="AF6" s="13"/>
      <c r="AG6" s="19"/>
    </row>
    <row r="7" spans="1:33" ht="15" x14ac:dyDescent="0.2">
      <c r="A7" s="167"/>
      <c r="C7" s="119" t="str">
        <f>"All currency -  "&amp;CurrSymbol&amp;" in "&amp;CurrUnits&amp;"s"</f>
        <v>All currency -  US$ in 1000s</v>
      </c>
      <c r="D7" s="20" t="s">
        <v>69</v>
      </c>
      <c r="O7" s="390"/>
      <c r="P7" s="13"/>
      <c r="Q7" s="13"/>
      <c r="R7" s="13"/>
      <c r="S7" s="13"/>
      <c r="T7" s="13"/>
      <c r="U7" s="13"/>
      <c r="V7" s="13"/>
      <c r="W7" s="13"/>
      <c r="X7" s="13"/>
      <c r="Y7" s="13"/>
      <c r="Z7" s="13"/>
      <c r="AA7" s="13"/>
      <c r="AB7" s="13"/>
      <c r="AC7" s="13"/>
      <c r="AD7" s="13"/>
      <c r="AE7" s="13"/>
      <c r="AF7" s="13"/>
      <c r="AG7" s="19"/>
    </row>
    <row r="8" spans="1:33" x14ac:dyDescent="0.2">
      <c r="A8" s="165"/>
      <c r="B8" s="6"/>
      <c r="C8" s="6"/>
      <c r="O8" s="390"/>
      <c r="P8" s="13"/>
      <c r="Q8" s="13"/>
      <c r="R8" s="13"/>
      <c r="S8" s="13"/>
      <c r="T8" s="13"/>
      <c r="U8" s="13"/>
      <c r="V8" s="13"/>
      <c r="W8" s="13"/>
      <c r="X8" s="13"/>
      <c r="Y8" s="13"/>
      <c r="Z8" s="13"/>
      <c r="AA8" s="13"/>
      <c r="AB8" s="13"/>
      <c r="AC8" s="13"/>
      <c r="AD8" s="13"/>
      <c r="AE8" s="13"/>
      <c r="AF8" s="13"/>
      <c r="AG8" s="19"/>
    </row>
    <row r="9" spans="1:33" ht="15.75" x14ac:dyDescent="0.25">
      <c r="A9" s="1404" t="s">
        <v>4211</v>
      </c>
      <c r="B9" s="13"/>
      <c r="D9" s="164" t="s">
        <v>22</v>
      </c>
      <c r="E9" s="156" t="s">
        <v>12</v>
      </c>
      <c r="F9" s="156" t="s">
        <v>11</v>
      </c>
      <c r="G9" s="156" t="s">
        <v>10</v>
      </c>
      <c r="H9" s="156" t="s">
        <v>39</v>
      </c>
      <c r="I9" s="156" t="s">
        <v>40</v>
      </c>
      <c r="J9" s="156" t="s">
        <v>41</v>
      </c>
      <c r="K9" s="156" t="s">
        <v>42</v>
      </c>
      <c r="L9" s="156" t="s">
        <v>43</v>
      </c>
      <c r="M9" s="156" t="s">
        <v>44</v>
      </c>
      <c r="N9" s="156" t="s">
        <v>45</v>
      </c>
      <c r="O9" s="390"/>
      <c r="P9" s="13"/>
      <c r="Q9" s="13"/>
      <c r="R9" s="13"/>
      <c r="S9" s="13"/>
      <c r="T9" s="13"/>
      <c r="U9" s="13"/>
      <c r="V9" s="13"/>
      <c r="W9" s="13"/>
      <c r="X9" s="13"/>
      <c r="Y9" s="13"/>
      <c r="Z9" s="13"/>
      <c r="AA9" s="13"/>
      <c r="AB9" s="13"/>
      <c r="AC9" s="13"/>
      <c r="AD9" s="13"/>
      <c r="AE9" s="13"/>
      <c r="AF9" s="13"/>
      <c r="AG9" s="19"/>
    </row>
    <row r="10" spans="1:33" customFormat="1" ht="12" customHeight="1" x14ac:dyDescent="0.2">
      <c r="A10" s="1405"/>
      <c r="B10" s="63"/>
      <c r="C10" s="3"/>
      <c r="D10" s="25"/>
      <c r="E10" s="43">
        <f>Yr1End</f>
        <v>43830</v>
      </c>
      <c r="F10" s="43">
        <f>Yr2End</f>
        <v>44196</v>
      </c>
      <c r="G10" s="43">
        <f>Yr3End</f>
        <v>44561</v>
      </c>
      <c r="H10" s="43">
        <f>Yr4end</f>
        <v>44926</v>
      </c>
      <c r="I10" s="43">
        <f>Yr5end</f>
        <v>45291</v>
      </c>
      <c r="J10" s="43">
        <f>Yr6end</f>
        <v>45657</v>
      </c>
      <c r="K10" s="43">
        <f>Yr7end</f>
        <v>46022</v>
      </c>
      <c r="L10" s="43">
        <f>Yr8end</f>
        <v>46387</v>
      </c>
      <c r="M10" s="43">
        <f>Yr9end</f>
        <v>46752</v>
      </c>
      <c r="N10" s="43">
        <f>Yr10end</f>
        <v>47118</v>
      </c>
      <c r="O10" s="640"/>
      <c r="P10" s="12"/>
      <c r="Q10" s="12"/>
      <c r="R10" s="12"/>
      <c r="S10" s="12"/>
      <c r="T10" s="12"/>
      <c r="U10" s="12"/>
      <c r="V10" s="12"/>
      <c r="W10" s="12"/>
      <c r="X10" s="12"/>
      <c r="Y10" s="12"/>
      <c r="Z10" s="12"/>
      <c r="AA10" s="12"/>
      <c r="AB10" s="12"/>
      <c r="AC10" s="12"/>
      <c r="AD10" s="12"/>
      <c r="AE10" s="12"/>
      <c r="AF10" s="12"/>
      <c r="AG10" s="18"/>
    </row>
    <row r="11" spans="1:33" customFormat="1" ht="12" customHeight="1" x14ac:dyDescent="0.2">
      <c r="A11" s="1405"/>
      <c r="B11" s="63"/>
      <c r="C11" s="3"/>
      <c r="D11" s="25"/>
      <c r="E11" s="44">
        <f>Yr1End</f>
        <v>43830</v>
      </c>
      <c r="F11" s="44">
        <f>Yr2End</f>
        <v>44196</v>
      </c>
      <c r="G11" s="44">
        <f>Yr3End</f>
        <v>44561</v>
      </c>
      <c r="H11" s="44">
        <f>Yr4end</f>
        <v>44926</v>
      </c>
      <c r="I11" s="44">
        <f>Yr5end</f>
        <v>45291</v>
      </c>
      <c r="J11" s="44">
        <f>Yr6end</f>
        <v>45657</v>
      </c>
      <c r="K11" s="44">
        <f>Yr7end</f>
        <v>46022</v>
      </c>
      <c r="L11" s="44">
        <f>Yr8end</f>
        <v>46387</v>
      </c>
      <c r="M11" s="44">
        <f>Yr9end</f>
        <v>46752</v>
      </c>
      <c r="N11" s="44">
        <f>Yr10end</f>
        <v>47118</v>
      </c>
      <c r="O11" s="640"/>
      <c r="P11" s="12"/>
      <c r="Q11" s="12"/>
      <c r="R11" s="12"/>
      <c r="S11" s="12"/>
      <c r="T11" s="12"/>
      <c r="U11" s="12"/>
      <c r="V11" s="12"/>
      <c r="W11" s="12"/>
      <c r="X11" s="12"/>
      <c r="Y11" s="12"/>
      <c r="Z11" s="12"/>
      <c r="AA11" s="12"/>
      <c r="AB11" s="12"/>
      <c r="AC11" s="12"/>
      <c r="AD11" s="12"/>
      <c r="AE11" s="12"/>
      <c r="AF11" s="12"/>
      <c r="AG11" s="18"/>
    </row>
    <row r="12" spans="1:33" customFormat="1" ht="12" customHeight="1" x14ac:dyDescent="0.2">
      <c r="A12" s="1406"/>
      <c r="B12" s="63"/>
      <c r="C12" s="3"/>
      <c r="D12" s="25"/>
      <c r="E12" s="3"/>
      <c r="F12" s="3"/>
      <c r="G12" s="3"/>
      <c r="H12" s="3"/>
      <c r="I12" s="3"/>
      <c r="J12" s="22"/>
      <c r="K12" s="22"/>
      <c r="L12" s="22"/>
      <c r="M12" s="22"/>
      <c r="N12" s="22"/>
      <c r="O12" s="640"/>
      <c r="P12" s="12"/>
      <c r="Q12" s="12"/>
      <c r="R12" s="12"/>
      <c r="S12" s="12"/>
      <c r="T12" s="12"/>
      <c r="U12" s="12"/>
      <c r="V12" s="12"/>
      <c r="W12" s="12"/>
      <c r="X12" s="12"/>
      <c r="Y12" s="12"/>
      <c r="Z12" s="12"/>
      <c r="AA12" s="12"/>
      <c r="AB12" s="12"/>
      <c r="AC12" s="12"/>
      <c r="AD12" s="12"/>
      <c r="AE12" s="12"/>
      <c r="AF12" s="12"/>
      <c r="AG12" s="18"/>
    </row>
    <row r="13" spans="1:33" customFormat="1" ht="12" customHeight="1" x14ac:dyDescent="0.2">
      <c r="A13" s="63"/>
      <c r="B13" s="63"/>
      <c r="C13" s="12"/>
      <c r="D13" s="25"/>
      <c r="E13" s="12"/>
      <c r="F13" s="12"/>
      <c r="G13" s="12"/>
      <c r="H13" s="12"/>
      <c r="I13" s="118"/>
      <c r="J13" s="118"/>
      <c r="K13" s="118"/>
      <c r="L13" s="118"/>
      <c r="M13" s="118"/>
      <c r="N13" s="118"/>
      <c r="O13" s="640"/>
      <c r="P13" s="12"/>
      <c r="Q13" s="12"/>
      <c r="R13" s="12"/>
      <c r="S13" s="12"/>
      <c r="T13" s="12"/>
      <c r="U13" s="12"/>
      <c r="V13" s="12"/>
      <c r="W13" s="12"/>
      <c r="X13" s="12"/>
      <c r="Y13" s="12"/>
      <c r="Z13" s="12"/>
      <c r="AA13" s="12"/>
      <c r="AB13" s="12"/>
      <c r="AC13" s="12"/>
      <c r="AD13" s="12"/>
      <c r="AE13" s="12"/>
      <c r="AF13" s="12"/>
      <c r="AG13" s="18"/>
    </row>
    <row r="14" spans="1:33" s="122" customFormat="1" ht="15.75" x14ac:dyDescent="0.2">
      <c r="A14" s="1043">
        <v>1</v>
      </c>
      <c r="B14" s="1039"/>
      <c r="C14" s="1039"/>
      <c r="D14" s="1039"/>
      <c r="E14" s="1039"/>
      <c r="F14" s="1039"/>
      <c r="G14" s="1039"/>
      <c r="H14" s="1039"/>
      <c r="I14" s="1039"/>
      <c r="J14" s="1039"/>
      <c r="K14" s="1039"/>
      <c r="L14" s="1039"/>
      <c r="M14" s="1039"/>
      <c r="N14" s="1039"/>
      <c r="O14" s="1039"/>
      <c r="P14" s="206"/>
      <c r="Q14" s="206"/>
      <c r="R14" s="206"/>
      <c r="S14" s="206"/>
      <c r="T14" s="206"/>
      <c r="U14" s="206"/>
      <c r="V14" s="206"/>
      <c r="W14" s="206"/>
      <c r="X14" s="206"/>
      <c r="Y14" s="206"/>
      <c r="Z14" s="206"/>
      <c r="AA14" s="206"/>
      <c r="AB14" s="206"/>
      <c r="AC14" s="206"/>
      <c r="AD14" s="206"/>
      <c r="AE14" s="206"/>
      <c r="AF14" s="206"/>
    </row>
    <row r="15" spans="1:33" s="88" customFormat="1" x14ac:dyDescent="0.2">
      <c r="D15" s="1038"/>
    </row>
    <row r="16" spans="1:33" s="217" customFormat="1" ht="20.100000000000001" customHeight="1" x14ac:dyDescent="0.2">
      <c r="A16" s="1400" t="s">
        <v>4243</v>
      </c>
      <c r="B16" s="72"/>
      <c r="C16" s="1058" t="s">
        <v>357</v>
      </c>
      <c r="D16" s="218"/>
      <c r="E16" s="218"/>
      <c r="F16" s="218"/>
      <c r="G16" s="218"/>
      <c r="H16" s="218"/>
      <c r="I16" s="218"/>
      <c r="J16" s="218"/>
      <c r="K16" s="218"/>
      <c r="L16" s="218"/>
      <c r="M16" s="218"/>
      <c r="N16" s="218"/>
      <c r="O16" s="219"/>
      <c r="P16" s="219"/>
    </row>
    <row r="17" spans="1:33" s="203" customFormat="1" x14ac:dyDescent="0.2">
      <c r="A17" s="1407"/>
      <c r="B17" s="72"/>
      <c r="C17" s="204"/>
      <c r="D17" s="723"/>
      <c r="E17" s="210"/>
      <c r="F17" s="210"/>
      <c r="G17" s="210"/>
      <c r="H17" s="210"/>
      <c r="I17" s="210"/>
      <c r="J17" s="210"/>
      <c r="K17" s="210"/>
      <c r="L17" s="210"/>
      <c r="M17" s="210"/>
      <c r="N17" s="210"/>
    </row>
    <row r="18" spans="1:33" s="203" customFormat="1" ht="105" customHeight="1" x14ac:dyDescent="0.2">
      <c r="A18" s="1408"/>
      <c r="B18" s="72"/>
      <c r="C18" s="723"/>
      <c r="D18" s="723"/>
      <c r="E18" s="210"/>
      <c r="F18" s="210"/>
      <c r="G18" s="210"/>
      <c r="H18" s="210"/>
      <c r="I18" s="210"/>
      <c r="J18" s="210"/>
      <c r="K18" s="210"/>
      <c r="L18" s="210"/>
      <c r="M18" s="210"/>
      <c r="N18" s="210"/>
    </row>
    <row r="19" spans="1:33" s="121" customFormat="1" ht="15" customHeight="1" x14ac:dyDescent="0.2">
      <c r="E19" s="99"/>
      <c r="F19" s="99"/>
      <c r="G19" s="99"/>
      <c r="H19" s="99"/>
      <c r="I19" s="99"/>
      <c r="J19" s="99"/>
      <c r="K19" s="99"/>
      <c r="L19" s="99"/>
      <c r="M19" s="99"/>
      <c r="N19" s="99"/>
    </row>
    <row r="20" spans="1:33" s="122" customFormat="1" ht="15.75" x14ac:dyDescent="0.2">
      <c r="A20" s="1043">
        <v>2</v>
      </c>
      <c r="B20" s="1039"/>
      <c r="C20" s="1039"/>
      <c r="D20" s="1039"/>
      <c r="E20" s="1039"/>
      <c r="F20" s="1039"/>
      <c r="G20" s="1039"/>
      <c r="H20" s="1039"/>
      <c r="I20" s="1039"/>
      <c r="J20" s="1039"/>
      <c r="K20" s="1039"/>
      <c r="L20" s="1039"/>
      <c r="M20" s="1039"/>
      <c r="N20" s="1039"/>
      <c r="O20" s="1039"/>
      <c r="P20" s="206"/>
      <c r="Q20" s="206"/>
      <c r="R20" s="206"/>
      <c r="S20" s="206"/>
      <c r="T20" s="206"/>
      <c r="U20" s="206"/>
      <c r="V20" s="206"/>
      <c r="W20" s="206"/>
      <c r="X20" s="206"/>
      <c r="Y20" s="206"/>
      <c r="Z20" s="206"/>
      <c r="AA20" s="206"/>
      <c r="AB20" s="206"/>
      <c r="AC20" s="206"/>
      <c r="AD20" s="206"/>
      <c r="AE20" s="206"/>
      <c r="AF20" s="206"/>
    </row>
    <row r="21" spans="1:33" customFormat="1" ht="12" customHeight="1" x14ac:dyDescent="0.2">
      <c r="A21" s="63"/>
      <c r="B21" s="63"/>
      <c r="C21" s="12"/>
      <c r="D21" s="25"/>
      <c r="E21" s="12"/>
      <c r="F21" s="12"/>
      <c r="G21" s="12"/>
      <c r="H21" s="12"/>
      <c r="I21" s="118"/>
      <c r="J21" s="118"/>
      <c r="K21" s="118"/>
      <c r="L21" s="118"/>
      <c r="M21" s="118"/>
      <c r="N21" s="118"/>
      <c r="O21" s="640"/>
      <c r="P21" s="12"/>
      <c r="Q21" s="12"/>
      <c r="R21" s="12"/>
      <c r="S21" s="12"/>
      <c r="T21" s="12"/>
      <c r="U21" s="12"/>
      <c r="V21" s="12"/>
      <c r="W21" s="12"/>
      <c r="X21" s="12"/>
      <c r="Y21" s="12"/>
      <c r="Z21" s="12"/>
      <c r="AA21" s="12"/>
      <c r="AB21" s="12"/>
      <c r="AC21" s="12"/>
      <c r="AD21" s="12"/>
      <c r="AE21" s="12"/>
      <c r="AF21" s="12"/>
      <c r="AG21" s="18"/>
    </row>
    <row r="22" spans="1:33" s="217" customFormat="1" ht="20.100000000000001" customHeight="1" x14ac:dyDescent="0.2">
      <c r="A22" s="1400" t="s">
        <v>4246</v>
      </c>
      <c r="B22" s="72"/>
      <c r="C22" s="1058" t="s">
        <v>4244</v>
      </c>
      <c r="D22" s="218"/>
      <c r="E22" s="218"/>
      <c r="F22" s="218"/>
      <c r="G22" s="218"/>
      <c r="H22" s="218"/>
      <c r="I22" s="218"/>
      <c r="J22" s="218"/>
      <c r="K22" s="218"/>
      <c r="L22" s="218"/>
      <c r="M22" s="218"/>
      <c r="N22" s="218"/>
      <c r="O22" s="219"/>
      <c r="P22" s="219"/>
    </row>
    <row r="23" spans="1:33" s="203" customFormat="1" x14ac:dyDescent="0.2">
      <c r="A23" s="1407"/>
      <c r="B23" s="72"/>
      <c r="C23" s="204"/>
      <c r="D23" s="723"/>
      <c r="E23" s="210"/>
      <c r="F23" s="210"/>
      <c r="G23" s="210"/>
      <c r="H23" s="210"/>
      <c r="I23" s="210"/>
      <c r="J23" s="210"/>
      <c r="K23" s="210"/>
      <c r="L23" s="210"/>
      <c r="M23" s="210"/>
      <c r="N23" s="210"/>
    </row>
    <row r="24" spans="1:33" s="203" customFormat="1" ht="53.25" customHeight="1" x14ac:dyDescent="0.2">
      <c r="A24" s="1408"/>
      <c r="B24" s="72"/>
      <c r="C24" s="723"/>
      <c r="D24" s="723"/>
      <c r="E24" s="210"/>
      <c r="F24" s="210"/>
      <c r="G24" s="210"/>
      <c r="H24" s="210"/>
      <c r="I24" s="210"/>
      <c r="J24" s="210"/>
      <c r="K24" s="210"/>
      <c r="L24" s="210"/>
      <c r="M24" s="210"/>
      <c r="N24" s="210"/>
    </row>
    <row r="25" spans="1:33" customFormat="1" ht="12" customHeight="1" x14ac:dyDescent="0.2">
      <c r="A25" s="63"/>
      <c r="B25" s="63"/>
      <c r="C25" s="12"/>
      <c r="D25" s="25"/>
      <c r="E25" s="12"/>
      <c r="F25" s="12"/>
      <c r="G25" s="12"/>
      <c r="H25" s="12"/>
      <c r="I25" s="118"/>
      <c r="J25" s="118"/>
      <c r="K25" s="118"/>
      <c r="L25" s="118"/>
      <c r="M25" s="118"/>
      <c r="N25" s="118"/>
      <c r="O25" s="640"/>
      <c r="P25" s="12"/>
      <c r="Q25" s="12"/>
      <c r="R25" s="12"/>
      <c r="S25" s="12"/>
      <c r="T25" s="12"/>
      <c r="U25" s="12"/>
      <c r="V25" s="12"/>
      <c r="W25" s="12"/>
      <c r="X25" s="12"/>
      <c r="Y25" s="12"/>
      <c r="Z25" s="12"/>
      <c r="AA25" s="12"/>
      <c r="AB25" s="12"/>
      <c r="AC25" s="12"/>
      <c r="AD25" s="12"/>
      <c r="AE25" s="12"/>
      <c r="AF25" s="12"/>
      <c r="AG25" s="18"/>
    </row>
    <row r="26" spans="1:33" customFormat="1" ht="12" hidden="1" customHeight="1" outlineLevel="1" thickBot="1" x14ac:dyDescent="0.25">
      <c r="A26" s="63"/>
      <c r="B26" s="63"/>
      <c r="C26" s="12"/>
      <c r="D26" s="25"/>
      <c r="E26" s="12"/>
      <c r="F26" s="12"/>
      <c r="G26" s="12"/>
      <c r="H26" s="12"/>
      <c r="I26" s="118"/>
      <c r="J26" s="118"/>
      <c r="K26" s="118"/>
      <c r="L26" s="118"/>
      <c r="M26" s="118"/>
      <c r="N26" s="118"/>
      <c r="O26" s="640"/>
      <c r="P26" s="12"/>
      <c r="Q26" s="12"/>
      <c r="R26" s="12"/>
      <c r="S26" s="12"/>
      <c r="T26" s="12"/>
      <c r="U26" s="12"/>
      <c r="V26" s="12"/>
      <c r="W26" s="12"/>
      <c r="X26" s="12"/>
      <c r="Y26" s="12"/>
      <c r="Z26" s="12"/>
      <c r="AA26" s="12"/>
      <c r="AB26" s="12"/>
      <c r="AC26" s="12"/>
      <c r="AD26" s="12"/>
      <c r="AE26" s="12"/>
      <c r="AF26" s="12"/>
      <c r="AG26" s="18"/>
    </row>
    <row r="27" spans="1:33" s="28" customFormat="1" ht="20.25" hidden="1" customHeight="1" outlineLevel="1" x14ac:dyDescent="0.3">
      <c r="A27" s="1430" t="s">
        <v>4245</v>
      </c>
      <c r="B27" s="59"/>
      <c r="C27" s="275" t="str">
        <f>Scenario1&amp;" - Used as Baseline"</f>
        <v>pSystems (Paper) - Used as Baseline</v>
      </c>
      <c r="D27" s="236"/>
      <c r="E27" s="236"/>
      <c r="F27" s="236"/>
      <c r="G27" s="236"/>
      <c r="H27" s="236"/>
      <c r="I27" s="236"/>
      <c r="J27" s="236"/>
      <c r="K27" s="236"/>
      <c r="L27" s="236"/>
      <c r="M27" s="236"/>
      <c r="N27" s="236"/>
      <c r="O27" s="1059"/>
      <c r="P27" s="29"/>
      <c r="Q27" s="29"/>
      <c r="R27" s="29"/>
      <c r="S27" s="29"/>
      <c r="T27" s="29"/>
      <c r="U27" s="29"/>
      <c r="V27" s="29"/>
      <c r="W27" s="29"/>
      <c r="X27" s="29"/>
      <c r="Y27" s="29"/>
      <c r="Z27" s="29"/>
      <c r="AA27" s="29"/>
      <c r="AB27" s="29"/>
      <c r="AC27" s="29"/>
      <c r="AD27" s="29"/>
      <c r="AE27" s="29"/>
      <c r="AF27" s="29"/>
    </row>
    <row r="28" spans="1:33" customFormat="1" ht="12.75" hidden="1" customHeight="1" outlineLevel="1" x14ac:dyDescent="0.2">
      <c r="A28" s="1431"/>
      <c r="B28" s="59"/>
      <c r="C28" s="165"/>
      <c r="D28" s="603" t="s">
        <v>3015</v>
      </c>
      <c r="E28" s="596">
        <v>1000</v>
      </c>
      <c r="F28" s="596">
        <v>1000</v>
      </c>
      <c r="G28" s="596">
        <v>1000</v>
      </c>
      <c r="H28" s="596">
        <v>1000</v>
      </c>
      <c r="I28" s="596">
        <v>1000</v>
      </c>
      <c r="J28" s="596">
        <v>1000</v>
      </c>
      <c r="K28" s="596">
        <v>1000</v>
      </c>
      <c r="L28" s="596">
        <v>1000</v>
      </c>
      <c r="M28" s="596">
        <v>1000</v>
      </c>
      <c r="N28" s="596">
        <v>1000</v>
      </c>
      <c r="O28" s="162" t="s">
        <v>278</v>
      </c>
      <c r="P28" s="12"/>
      <c r="Q28" s="12"/>
      <c r="R28" s="12"/>
      <c r="S28" s="12"/>
      <c r="T28" s="12"/>
      <c r="U28" s="12"/>
      <c r="V28" s="12"/>
      <c r="W28" s="12"/>
      <c r="X28" s="12"/>
      <c r="Y28" s="12"/>
      <c r="Z28" s="12"/>
      <c r="AA28" s="12"/>
      <c r="AB28" s="12"/>
      <c r="AC28" s="12"/>
      <c r="AD28" s="12"/>
      <c r="AE28" s="12"/>
      <c r="AF28" s="12"/>
      <c r="AG28" s="18"/>
    </row>
    <row r="29" spans="1:33" customFormat="1" ht="12.75" hidden="1" customHeight="1" outlineLevel="1" x14ac:dyDescent="0.2">
      <c r="A29" s="1431"/>
      <c r="B29" s="59"/>
      <c r="C29" s="165"/>
      <c r="D29" s="603" t="s">
        <v>3016</v>
      </c>
      <c r="E29" s="596">
        <v>1500</v>
      </c>
      <c r="F29" s="596">
        <v>1500</v>
      </c>
      <c r="G29" s="596">
        <v>1500</v>
      </c>
      <c r="H29" s="596">
        <v>1500</v>
      </c>
      <c r="I29" s="596">
        <v>1500</v>
      </c>
      <c r="J29" s="596">
        <v>1500</v>
      </c>
      <c r="K29" s="596">
        <v>1500</v>
      </c>
      <c r="L29" s="596">
        <v>1500</v>
      </c>
      <c r="M29" s="596">
        <v>1500</v>
      </c>
      <c r="N29" s="596">
        <v>1500</v>
      </c>
      <c r="O29" s="162" t="s">
        <v>277</v>
      </c>
      <c r="P29" s="12"/>
      <c r="Q29" s="12"/>
      <c r="R29" s="12"/>
      <c r="S29" s="12"/>
      <c r="T29" s="12"/>
      <c r="U29" s="12"/>
      <c r="V29" s="12"/>
      <c r="W29" s="12"/>
      <c r="X29" s="12"/>
      <c r="Y29" s="12"/>
      <c r="Z29" s="12"/>
      <c r="AA29" s="12"/>
      <c r="AB29" s="12"/>
      <c r="AC29" s="12"/>
      <c r="AD29" s="12"/>
      <c r="AE29" s="12"/>
      <c r="AF29" s="12"/>
      <c r="AG29" s="18"/>
    </row>
    <row r="30" spans="1:33" customFormat="1" ht="12.75" hidden="1" customHeight="1" outlineLevel="1" x14ac:dyDescent="0.2">
      <c r="A30" s="1431"/>
      <c r="B30" s="59"/>
      <c r="C30" s="165"/>
      <c r="D30" s="603" t="s">
        <v>3017</v>
      </c>
      <c r="E30" s="596">
        <v>100</v>
      </c>
      <c r="F30" s="596">
        <v>100</v>
      </c>
      <c r="G30" s="596">
        <v>100</v>
      </c>
      <c r="H30" s="596">
        <v>100</v>
      </c>
      <c r="I30" s="596">
        <v>100</v>
      </c>
      <c r="J30" s="596">
        <v>100</v>
      </c>
      <c r="K30" s="596">
        <v>100</v>
      </c>
      <c r="L30" s="596">
        <v>100</v>
      </c>
      <c r="M30" s="596">
        <v>100</v>
      </c>
      <c r="N30" s="596">
        <v>100</v>
      </c>
      <c r="O30" s="162" t="s">
        <v>3009</v>
      </c>
      <c r="P30" s="12"/>
      <c r="Q30" s="12"/>
      <c r="R30" s="12"/>
      <c r="S30" s="12"/>
      <c r="T30" s="12"/>
      <c r="U30" s="12"/>
      <c r="V30" s="12"/>
      <c r="W30" s="12"/>
      <c r="X30" s="12"/>
      <c r="Y30" s="12"/>
      <c r="Z30" s="12"/>
      <c r="AA30" s="12"/>
      <c r="AB30" s="12"/>
      <c r="AC30" s="12"/>
      <c r="AD30" s="12"/>
      <c r="AE30" s="12"/>
      <c r="AF30" s="12"/>
      <c r="AG30" s="18"/>
    </row>
    <row r="31" spans="1:33" customFormat="1" ht="12.75" hidden="1" customHeight="1" outlineLevel="1" x14ac:dyDescent="0.2">
      <c r="A31" s="1431"/>
      <c r="B31" s="59"/>
      <c r="C31" s="165"/>
      <c r="D31" s="603" t="s">
        <v>3018</v>
      </c>
      <c r="E31" s="596">
        <v>50</v>
      </c>
      <c r="F31" s="596">
        <v>50</v>
      </c>
      <c r="G31" s="596">
        <v>50</v>
      </c>
      <c r="H31" s="596">
        <v>50</v>
      </c>
      <c r="I31" s="596">
        <v>50</v>
      </c>
      <c r="J31" s="596">
        <v>50</v>
      </c>
      <c r="K31" s="596">
        <v>50</v>
      </c>
      <c r="L31" s="596">
        <v>50</v>
      </c>
      <c r="M31" s="596">
        <v>50</v>
      </c>
      <c r="N31" s="596">
        <v>50</v>
      </c>
      <c r="O31" s="162" t="s">
        <v>3010</v>
      </c>
      <c r="P31" s="12"/>
      <c r="Q31" s="12"/>
      <c r="R31" s="12"/>
      <c r="S31" s="12"/>
      <c r="T31" s="12"/>
      <c r="U31" s="12"/>
      <c r="V31" s="12"/>
      <c r="W31" s="12"/>
      <c r="X31" s="12"/>
      <c r="Y31" s="12"/>
      <c r="Z31" s="12"/>
      <c r="AA31" s="12"/>
      <c r="AB31" s="12"/>
      <c r="AC31" s="12"/>
      <c r="AD31" s="12"/>
      <c r="AE31" s="12"/>
      <c r="AF31" s="12"/>
      <c r="AG31" s="18"/>
    </row>
    <row r="32" spans="1:33" customFormat="1" ht="12.75" hidden="1" customHeight="1" outlineLevel="1" x14ac:dyDescent="0.2">
      <c r="A32" s="1431"/>
      <c r="B32" s="59"/>
      <c r="C32" s="165"/>
      <c r="D32" s="603" t="s">
        <v>3019</v>
      </c>
      <c r="E32" s="596">
        <v>60</v>
      </c>
      <c r="F32" s="596">
        <v>60</v>
      </c>
      <c r="G32" s="596">
        <v>60</v>
      </c>
      <c r="H32" s="596">
        <v>60</v>
      </c>
      <c r="I32" s="596">
        <v>60</v>
      </c>
      <c r="J32" s="596">
        <v>60</v>
      </c>
      <c r="K32" s="596">
        <v>60</v>
      </c>
      <c r="L32" s="596">
        <v>60</v>
      </c>
      <c r="M32" s="596">
        <v>60</v>
      </c>
      <c r="N32" s="596">
        <v>60</v>
      </c>
      <c r="O32" s="162" t="s">
        <v>3011</v>
      </c>
      <c r="P32" s="12"/>
      <c r="Q32" s="12"/>
      <c r="R32" s="12"/>
      <c r="S32" s="12"/>
      <c r="T32" s="12"/>
      <c r="U32" s="12"/>
      <c r="V32" s="12"/>
      <c r="W32" s="12"/>
      <c r="X32" s="12"/>
      <c r="Y32" s="12"/>
      <c r="Z32" s="12"/>
      <c r="AA32" s="12"/>
      <c r="AB32" s="12"/>
      <c r="AC32" s="12"/>
      <c r="AD32" s="12"/>
      <c r="AE32" s="12"/>
      <c r="AF32" s="12"/>
      <c r="AG32" s="18"/>
    </row>
    <row r="33" spans="1:33" customFormat="1" ht="12.75" hidden="1" customHeight="1" outlineLevel="1" x14ac:dyDescent="0.2">
      <c r="A33" s="1431"/>
      <c r="B33" s="59"/>
      <c r="C33" s="165"/>
      <c r="D33" s="603" t="s">
        <v>3020</v>
      </c>
      <c r="E33" s="596">
        <v>100</v>
      </c>
      <c r="F33" s="596">
        <v>100</v>
      </c>
      <c r="G33" s="596">
        <v>100</v>
      </c>
      <c r="H33" s="596">
        <v>100</v>
      </c>
      <c r="I33" s="596">
        <v>100</v>
      </c>
      <c r="J33" s="596">
        <v>100</v>
      </c>
      <c r="K33" s="596">
        <v>100</v>
      </c>
      <c r="L33" s="596">
        <v>100</v>
      </c>
      <c r="M33" s="596">
        <v>100</v>
      </c>
      <c r="N33" s="596">
        <v>100</v>
      </c>
      <c r="O33" s="162" t="s">
        <v>279</v>
      </c>
      <c r="P33" s="12"/>
      <c r="Q33" s="12"/>
      <c r="R33" s="12"/>
      <c r="S33" s="12"/>
      <c r="T33" s="12"/>
      <c r="U33" s="12"/>
      <c r="V33" s="12"/>
      <c r="W33" s="12"/>
      <c r="X33" s="12"/>
      <c r="Y33" s="12"/>
      <c r="Z33" s="12"/>
      <c r="AA33" s="12"/>
      <c r="AB33" s="12"/>
      <c r="AC33" s="12"/>
      <c r="AD33" s="12"/>
      <c r="AE33" s="12"/>
      <c r="AF33" s="12"/>
      <c r="AG33" s="18"/>
    </row>
    <row r="34" spans="1:33" customFormat="1" ht="12.75" hidden="1" customHeight="1" outlineLevel="1" x14ac:dyDescent="0.2">
      <c r="A34" s="1431"/>
      <c r="B34" s="59"/>
      <c r="C34" s="165"/>
      <c r="D34" s="603" t="s">
        <v>3021</v>
      </c>
      <c r="E34" s="596">
        <v>50</v>
      </c>
      <c r="F34" s="596">
        <v>50</v>
      </c>
      <c r="G34" s="596">
        <v>50</v>
      </c>
      <c r="H34" s="596">
        <v>50</v>
      </c>
      <c r="I34" s="596">
        <v>50</v>
      </c>
      <c r="J34" s="596">
        <v>50</v>
      </c>
      <c r="K34" s="596">
        <v>50</v>
      </c>
      <c r="L34" s="596">
        <v>50</v>
      </c>
      <c r="M34" s="596">
        <v>50</v>
      </c>
      <c r="N34" s="596">
        <v>50</v>
      </c>
      <c r="O34" s="162" t="s">
        <v>356</v>
      </c>
      <c r="P34" s="12"/>
      <c r="Q34" s="12"/>
      <c r="R34" s="12"/>
      <c r="S34" s="12"/>
      <c r="T34" s="12"/>
      <c r="U34" s="12"/>
      <c r="V34" s="12"/>
      <c r="W34" s="12"/>
      <c r="X34" s="12"/>
      <c r="Y34" s="12"/>
      <c r="Z34" s="12"/>
      <c r="AA34" s="12"/>
      <c r="AB34" s="12"/>
      <c r="AC34" s="12"/>
      <c r="AD34" s="12"/>
      <c r="AE34" s="12"/>
      <c r="AF34" s="12"/>
      <c r="AG34" s="18"/>
    </row>
    <row r="35" spans="1:33" customFormat="1" ht="12.75" hidden="1" customHeight="1" outlineLevel="1" x14ac:dyDescent="0.2">
      <c r="A35" s="1431"/>
      <c r="B35" s="59"/>
      <c r="C35" s="165"/>
      <c r="D35" s="603" t="s">
        <v>3022</v>
      </c>
      <c r="E35" s="596">
        <v>100</v>
      </c>
      <c r="F35" s="596">
        <v>100</v>
      </c>
      <c r="G35" s="596">
        <v>100</v>
      </c>
      <c r="H35" s="596">
        <v>100</v>
      </c>
      <c r="I35" s="596">
        <v>100</v>
      </c>
      <c r="J35" s="596">
        <v>100</v>
      </c>
      <c r="K35" s="596">
        <v>100</v>
      </c>
      <c r="L35" s="596">
        <v>100</v>
      </c>
      <c r="M35" s="596">
        <v>100</v>
      </c>
      <c r="N35" s="596">
        <v>100</v>
      </c>
      <c r="O35" s="162" t="s">
        <v>3012</v>
      </c>
      <c r="P35" s="12"/>
      <c r="Q35" s="12"/>
      <c r="R35" s="12"/>
      <c r="S35" s="12"/>
      <c r="T35" s="12"/>
      <c r="U35" s="12"/>
      <c r="V35" s="12"/>
      <c r="W35" s="12"/>
      <c r="X35" s="12"/>
      <c r="Y35" s="12"/>
      <c r="Z35" s="12"/>
      <c r="AA35" s="12"/>
      <c r="AB35" s="12"/>
      <c r="AC35" s="12"/>
      <c r="AD35" s="12"/>
      <c r="AE35" s="12"/>
      <c r="AF35" s="12"/>
      <c r="AG35" s="18"/>
    </row>
    <row r="36" spans="1:33" customFormat="1" ht="12.75" hidden="1" customHeight="1" outlineLevel="1" x14ac:dyDescent="0.2">
      <c r="A36" s="1431"/>
      <c r="B36" s="59"/>
      <c r="C36" s="165"/>
      <c r="D36" s="603" t="s">
        <v>3023</v>
      </c>
      <c r="E36" s="596">
        <v>100</v>
      </c>
      <c r="F36" s="596">
        <v>100</v>
      </c>
      <c r="G36" s="596">
        <v>100</v>
      </c>
      <c r="H36" s="596">
        <v>100</v>
      </c>
      <c r="I36" s="596">
        <v>100</v>
      </c>
      <c r="J36" s="596">
        <v>100</v>
      </c>
      <c r="K36" s="596">
        <v>100</v>
      </c>
      <c r="L36" s="596">
        <v>100</v>
      </c>
      <c r="M36" s="596">
        <v>100</v>
      </c>
      <c r="N36" s="596">
        <v>100</v>
      </c>
      <c r="O36" s="162" t="s">
        <v>3013</v>
      </c>
      <c r="P36" s="12"/>
      <c r="Q36" s="12"/>
      <c r="R36" s="12"/>
      <c r="S36" s="12"/>
      <c r="T36" s="12"/>
      <c r="U36" s="12"/>
      <c r="V36" s="12"/>
      <c r="W36" s="12"/>
      <c r="X36" s="12"/>
      <c r="Y36" s="12"/>
      <c r="Z36" s="12"/>
      <c r="AA36" s="12"/>
      <c r="AB36" s="12"/>
      <c r="AC36" s="12"/>
      <c r="AD36" s="12"/>
      <c r="AE36" s="12"/>
      <c r="AF36" s="12"/>
      <c r="AG36" s="18"/>
    </row>
    <row r="37" spans="1:33" customFormat="1" ht="12.75" hidden="1" customHeight="1" outlineLevel="1" x14ac:dyDescent="0.2">
      <c r="A37" s="1431"/>
      <c r="B37" s="59"/>
      <c r="C37" s="165"/>
      <c r="D37" s="603" t="s">
        <v>3024</v>
      </c>
      <c r="E37" s="596">
        <v>50</v>
      </c>
      <c r="F37" s="596">
        <v>50</v>
      </c>
      <c r="G37" s="596">
        <v>50</v>
      </c>
      <c r="H37" s="596">
        <v>50</v>
      </c>
      <c r="I37" s="596">
        <v>50</v>
      </c>
      <c r="J37" s="596">
        <v>50</v>
      </c>
      <c r="K37" s="596">
        <v>50</v>
      </c>
      <c r="L37" s="596">
        <v>50</v>
      </c>
      <c r="M37" s="596">
        <v>50</v>
      </c>
      <c r="N37" s="596">
        <v>50</v>
      </c>
      <c r="O37" s="162" t="s">
        <v>3014</v>
      </c>
      <c r="P37" s="12"/>
      <c r="Q37" s="12"/>
      <c r="R37" s="12"/>
      <c r="S37" s="12"/>
      <c r="T37" s="12"/>
      <c r="U37" s="12"/>
      <c r="V37" s="12"/>
      <c r="W37" s="12"/>
      <c r="X37" s="12"/>
      <c r="Y37" s="12"/>
      <c r="Z37" s="12"/>
      <c r="AA37" s="12"/>
      <c r="AB37" s="12"/>
      <c r="AC37" s="12"/>
      <c r="AD37" s="12"/>
      <c r="AE37" s="12"/>
      <c r="AF37" s="12"/>
      <c r="AG37" s="18"/>
    </row>
    <row r="38" spans="1:33" customFormat="1" ht="12.75" hidden="1" customHeight="1" outlineLevel="1" x14ac:dyDescent="0.2">
      <c r="A38" s="1431"/>
      <c r="B38" s="59"/>
      <c r="C38" s="165"/>
      <c r="D38" s="603" t="s">
        <v>3025</v>
      </c>
      <c r="E38" s="596">
        <v>10</v>
      </c>
      <c r="F38" s="596">
        <v>10</v>
      </c>
      <c r="G38" s="596">
        <v>10</v>
      </c>
      <c r="H38" s="596">
        <v>10</v>
      </c>
      <c r="I38" s="596">
        <v>10</v>
      </c>
      <c r="J38" s="596">
        <v>10</v>
      </c>
      <c r="K38" s="596">
        <v>10</v>
      </c>
      <c r="L38" s="596">
        <v>10</v>
      </c>
      <c r="M38" s="596">
        <v>10</v>
      </c>
      <c r="N38" s="596">
        <v>10</v>
      </c>
      <c r="O38" s="162" t="s">
        <v>280</v>
      </c>
      <c r="P38" s="12"/>
      <c r="Q38" s="12"/>
      <c r="R38" s="12"/>
      <c r="S38" s="12"/>
      <c r="T38" s="12"/>
      <c r="U38" s="12"/>
      <c r="V38" s="12"/>
      <c r="W38" s="12"/>
      <c r="X38" s="12"/>
      <c r="Y38" s="12"/>
      <c r="Z38" s="12"/>
      <c r="AA38" s="12"/>
      <c r="AB38" s="12"/>
      <c r="AC38" s="12"/>
      <c r="AD38" s="12"/>
      <c r="AE38" s="12"/>
      <c r="AF38" s="12"/>
      <c r="AG38" s="18"/>
    </row>
    <row r="39" spans="1:33" customFormat="1" ht="12.75" hidden="1" customHeight="1" outlineLevel="1" x14ac:dyDescent="0.2">
      <c r="A39" s="1431"/>
      <c r="B39" s="59"/>
      <c r="C39" s="165"/>
      <c r="D39" s="603" t="s">
        <v>3026</v>
      </c>
      <c r="E39" s="596">
        <v>10</v>
      </c>
      <c r="F39" s="596">
        <v>10</v>
      </c>
      <c r="G39" s="596">
        <v>10</v>
      </c>
      <c r="H39" s="596">
        <v>10</v>
      </c>
      <c r="I39" s="596">
        <v>10</v>
      </c>
      <c r="J39" s="596">
        <v>10</v>
      </c>
      <c r="K39" s="596">
        <v>10</v>
      </c>
      <c r="L39" s="596">
        <v>10</v>
      </c>
      <c r="M39" s="596">
        <v>10</v>
      </c>
      <c r="N39" s="596">
        <v>10</v>
      </c>
      <c r="O39" s="162" t="s">
        <v>281</v>
      </c>
      <c r="P39" s="12"/>
      <c r="Q39" s="12"/>
      <c r="R39" s="12"/>
      <c r="S39" s="12"/>
      <c r="T39" s="12"/>
      <c r="U39" s="12"/>
      <c r="V39" s="12"/>
      <c r="W39" s="12"/>
      <c r="X39" s="12"/>
      <c r="Y39" s="12"/>
      <c r="Z39" s="12"/>
      <c r="AA39" s="12"/>
      <c r="AB39" s="12"/>
      <c r="AC39" s="12"/>
      <c r="AD39" s="12"/>
      <c r="AE39" s="12"/>
      <c r="AF39" s="12"/>
      <c r="AG39" s="18"/>
    </row>
    <row r="40" spans="1:33" customFormat="1" ht="12.75" hidden="1" customHeight="1" outlineLevel="1" x14ac:dyDescent="0.2">
      <c r="A40" s="1431"/>
      <c r="B40" s="59"/>
      <c r="C40" s="165"/>
      <c r="D40" s="537" t="s">
        <v>3278</v>
      </c>
      <c r="E40" s="609">
        <f>SUM(E28:E39)</f>
        <v>3130</v>
      </c>
      <c r="F40" s="609">
        <f t="shared" ref="F40:N40" si="0">SUM(F28:F39)</f>
        <v>3130</v>
      </c>
      <c r="G40" s="609">
        <f t="shared" si="0"/>
        <v>3130</v>
      </c>
      <c r="H40" s="609">
        <f t="shared" si="0"/>
        <v>3130</v>
      </c>
      <c r="I40" s="609">
        <f t="shared" si="0"/>
        <v>3130</v>
      </c>
      <c r="J40" s="609">
        <f t="shared" si="0"/>
        <v>3130</v>
      </c>
      <c r="K40" s="609">
        <f t="shared" si="0"/>
        <v>3130</v>
      </c>
      <c r="L40" s="609">
        <f t="shared" si="0"/>
        <v>3130</v>
      </c>
      <c r="M40" s="609">
        <f t="shared" si="0"/>
        <v>3130</v>
      </c>
      <c r="N40" s="609">
        <f t="shared" si="0"/>
        <v>3130</v>
      </c>
      <c r="O40" s="162" t="s">
        <v>3279</v>
      </c>
      <c r="P40" s="12"/>
      <c r="Q40" s="12"/>
      <c r="R40" s="12"/>
      <c r="S40" s="12"/>
      <c r="T40" s="12"/>
      <c r="U40" s="12"/>
      <c r="V40" s="12"/>
      <c r="W40" s="12"/>
      <c r="X40" s="12"/>
      <c r="Y40" s="12"/>
      <c r="Z40" s="12"/>
      <c r="AA40" s="12"/>
      <c r="AB40" s="12"/>
      <c r="AC40" s="12"/>
      <c r="AD40" s="12"/>
      <c r="AE40" s="12"/>
      <c r="AF40" s="12"/>
      <c r="AG40" s="18"/>
    </row>
    <row r="41" spans="1:33" s="488" customFormat="1" ht="12.75" hidden="1" customHeight="1" outlineLevel="1" x14ac:dyDescent="0.2">
      <c r="A41" s="1431"/>
      <c r="B41" s="91"/>
      <c r="C41" s="284"/>
      <c r="D41" s="604"/>
      <c r="E41" s="598"/>
      <c r="F41" s="598"/>
      <c r="G41" s="598"/>
      <c r="H41" s="598"/>
      <c r="I41" s="598"/>
      <c r="J41" s="598"/>
      <c r="K41" s="598"/>
      <c r="L41" s="598"/>
      <c r="M41" s="598"/>
      <c r="N41" s="598"/>
      <c r="O41" s="162"/>
      <c r="P41" s="23"/>
      <c r="Q41" s="23"/>
      <c r="R41" s="23"/>
      <c r="S41" s="23"/>
      <c r="T41" s="23"/>
      <c r="U41" s="23"/>
      <c r="V41" s="23"/>
      <c r="W41" s="23"/>
      <c r="X41" s="23"/>
      <c r="Y41" s="23"/>
      <c r="Z41" s="23"/>
      <c r="AA41" s="23"/>
      <c r="AB41" s="23"/>
      <c r="AC41" s="23"/>
      <c r="AD41" s="23"/>
      <c r="AE41" s="23"/>
      <c r="AF41" s="23"/>
      <c r="AG41" s="23"/>
    </row>
    <row r="42" spans="1:33" s="488" customFormat="1" ht="12.75" hidden="1" customHeight="1" outlineLevel="1" x14ac:dyDescent="0.2">
      <c r="A42" s="1431"/>
      <c r="B42" s="91"/>
      <c r="C42" s="284"/>
      <c r="D42" s="605" t="s">
        <v>3039</v>
      </c>
      <c r="E42" s="602">
        <f>(AnnualBurdenedSalaryHM*pSystemsFTE_HM)</f>
        <v>111500000</v>
      </c>
      <c r="F42" s="602">
        <f>(AnnualBurdenedSalaryHM*pSystemsFTE_HM)*(1+Inflation)</f>
        <v>113730000</v>
      </c>
      <c r="G42" s="602">
        <f>(AnnualBurdenedSalaryHM*pSystemsFTE_HM)*(1+Inflation)^2</f>
        <v>116004600</v>
      </c>
      <c r="H42" s="602">
        <f>(AnnualBurdenedSalaryHM*pSystemsFTE_HM)*(1+Inflation)^3</f>
        <v>118324691.99999999</v>
      </c>
      <c r="I42" s="602">
        <f>(AnnualBurdenedSalaryHM*pSystemsFTE_HM)*(1+Inflation)^4</f>
        <v>120691185.84</v>
      </c>
      <c r="J42" s="602">
        <f>(AnnualBurdenedSalaryHM*pSystemsFTE_HM)*(1+Inflation)^5</f>
        <v>123105009.55680001</v>
      </c>
      <c r="K42" s="602">
        <f>(AnnualBurdenedSalaryHM*pSystemsFTE_HM)*(1+Inflation)^6</f>
        <v>125567109.74793601</v>
      </c>
      <c r="L42" s="602">
        <f>(AnnualBurdenedSalaryHM*pSystemsFTE_HM)*(1+Inflation)^7</f>
        <v>128078451.9428947</v>
      </c>
      <c r="M42" s="602">
        <f>(AnnualBurdenedSalaryHM*pSystemsFTE_HM)*(1+Inflation)^8</f>
        <v>130640020.9817526</v>
      </c>
      <c r="N42" s="602">
        <f>(AnnualBurdenedSalaryHM*pSystemsFTE_HM)*(1+Inflation)^9</f>
        <v>133252821.40138766</v>
      </c>
      <c r="O42" s="162" t="s">
        <v>3040</v>
      </c>
      <c r="P42" s="23"/>
      <c r="Q42" s="23"/>
      <c r="R42" s="23"/>
      <c r="S42" s="23"/>
      <c r="T42" s="23"/>
      <c r="U42" s="23"/>
      <c r="V42" s="23"/>
      <c r="W42" s="23"/>
      <c r="X42" s="23"/>
      <c r="Y42" s="23"/>
      <c r="Z42" s="23"/>
      <c r="AA42" s="23"/>
      <c r="AB42" s="23"/>
      <c r="AC42" s="23"/>
      <c r="AD42" s="23"/>
      <c r="AE42" s="23"/>
      <c r="AF42" s="23"/>
      <c r="AG42" s="23"/>
    </row>
    <row r="43" spans="1:33" s="488" customFormat="1" ht="12.75" hidden="1" customHeight="1" outlineLevel="1" x14ac:dyDescent="0.2">
      <c r="A43" s="1431"/>
      <c r="B43" s="91"/>
      <c r="C43" s="284"/>
      <c r="D43" s="605" t="s">
        <v>3041</v>
      </c>
      <c r="E43" s="602">
        <f>(AnnualBurdenedSalaryLM*pSystemsFTE_LM)</f>
        <v>209062500</v>
      </c>
      <c r="F43" s="602">
        <f>(AnnualBurdenedSalaryLM*pSystemsFTE_LM)*(1+Inflation)</f>
        <v>213243750</v>
      </c>
      <c r="G43" s="602">
        <f>(AnnualBurdenedSalaryLM*pSystemsFTE_LM)*(1+Inflation)^2</f>
        <v>217508625</v>
      </c>
      <c r="H43" s="602">
        <f>(AnnualBurdenedSalaryLM*pSystemsFTE_LM)*(1+Inflation)^3</f>
        <v>221858797.5</v>
      </c>
      <c r="I43" s="602">
        <f>(AnnualBurdenedSalaryLM*pSystemsFTE_LM)*(1+Inflation)^4</f>
        <v>226295973.44999999</v>
      </c>
      <c r="J43" s="602">
        <f>(AnnualBurdenedSalaryLM*pSystemsFTE_LM)*(1+Inflation)^5</f>
        <v>230821892.919</v>
      </c>
      <c r="K43" s="602">
        <f>(AnnualBurdenedSalaryLM*pSystemsFTE_LM)*(1+Inflation)^6</f>
        <v>235438330.77738002</v>
      </c>
      <c r="L43" s="602">
        <f>(AnnualBurdenedSalaryLM*pSystemsFTE_LM)*(1+Inflation)^7</f>
        <v>240147097.39292756</v>
      </c>
      <c r="M43" s="602">
        <f>(AnnualBurdenedSalaryLM*pSystemsFTE_LM)*(1+Inflation)^8</f>
        <v>244950039.34078613</v>
      </c>
      <c r="N43" s="602">
        <f>(AnnualBurdenedSalaryLM*pSystemsFTE_LM)*(1+Inflation)^9</f>
        <v>249849040.12760186</v>
      </c>
      <c r="O43" s="162" t="s">
        <v>3042</v>
      </c>
      <c r="P43" s="23"/>
      <c r="Q43" s="23"/>
      <c r="R43" s="23"/>
      <c r="S43" s="23"/>
      <c r="T43" s="23"/>
      <c r="U43" s="23"/>
      <c r="V43" s="23"/>
      <c r="W43" s="23"/>
      <c r="X43" s="23"/>
      <c r="Y43" s="23"/>
      <c r="Z43" s="23"/>
      <c r="AA43" s="23"/>
      <c r="AB43" s="23"/>
      <c r="AC43" s="23"/>
      <c r="AD43" s="23"/>
      <c r="AE43" s="23"/>
      <c r="AF43" s="23"/>
      <c r="AG43" s="23"/>
    </row>
    <row r="44" spans="1:33" s="488" customFormat="1" ht="12.75" hidden="1" customHeight="1" outlineLevel="1" x14ac:dyDescent="0.2">
      <c r="A44" s="1431"/>
      <c r="B44" s="91"/>
      <c r="C44" s="284"/>
      <c r="D44" s="605" t="s">
        <v>3043</v>
      </c>
      <c r="E44" s="602">
        <f>(AnnualBurdenedSalaryENG*pSystemsFTE_ENG)</f>
        <v>12543750</v>
      </c>
      <c r="F44" s="602">
        <f>(AnnualBurdenedSalaryENG*pSystemsFTE_ENG)*(1+Inflation)</f>
        <v>12794625</v>
      </c>
      <c r="G44" s="602">
        <f>(AnnualBurdenedSalaryENG*pSystemsFTE_ENG)*(1+Inflation)^2</f>
        <v>13050517.5</v>
      </c>
      <c r="H44" s="602">
        <f>(AnnualBurdenedSalaryENG*pSystemsFTE_ENG)*(1+Inflation)^3</f>
        <v>13311527.85</v>
      </c>
      <c r="I44" s="602">
        <f>(AnnualBurdenedSalaryENG*pSystemsFTE_ENG)*(1+Inflation)^4</f>
        <v>13577758.407</v>
      </c>
      <c r="J44" s="602">
        <f>(AnnualBurdenedSalaryENG*pSystemsFTE_ENG)*(1+Inflation)^5</f>
        <v>13849313.575139999</v>
      </c>
      <c r="K44" s="602">
        <f>(AnnualBurdenedSalaryENG*pSystemsFTE_ENG)*(1+Inflation)^6</f>
        <v>14126299.846642802</v>
      </c>
      <c r="L44" s="602">
        <f>(AnnualBurdenedSalaryENG*pSystemsFTE_ENG)*(1+Inflation)^7</f>
        <v>14408825.843575655</v>
      </c>
      <c r="M44" s="602">
        <f>(AnnualBurdenedSalaryENG*pSystemsFTE_ENG)*(1+Inflation)^8</f>
        <v>14697002.360447168</v>
      </c>
      <c r="N44" s="602">
        <f>(AnnualBurdenedSalaryENG*pSystemsFTE_ENG)*(1+Inflation)^9</f>
        <v>14990942.407656111</v>
      </c>
      <c r="O44" s="162" t="s">
        <v>3044</v>
      </c>
      <c r="P44" s="23"/>
      <c r="Q44" s="23"/>
      <c r="R44" s="23"/>
      <c r="S44" s="23"/>
      <c r="T44" s="23"/>
      <c r="U44" s="23"/>
      <c r="V44" s="23"/>
      <c r="W44" s="23"/>
      <c r="X44" s="23"/>
      <c r="Y44" s="23"/>
      <c r="Z44" s="23"/>
      <c r="AA44" s="23"/>
      <c r="AB44" s="23"/>
      <c r="AC44" s="23"/>
      <c r="AD44" s="23"/>
      <c r="AE44" s="23"/>
      <c r="AF44" s="23"/>
      <c r="AG44" s="23"/>
    </row>
    <row r="45" spans="1:33" s="488" customFormat="1" ht="12.75" hidden="1" customHeight="1" outlineLevel="1" x14ac:dyDescent="0.2">
      <c r="A45" s="1431"/>
      <c r="B45" s="91"/>
      <c r="C45" s="284"/>
      <c r="D45" s="605" t="s">
        <v>3045</v>
      </c>
      <c r="E45" s="602">
        <f>(AnnualBurdenedSalaryPLG*pSystemsFTE_PLG)</f>
        <v>5923437.5</v>
      </c>
      <c r="F45" s="602">
        <f>(AnnualBurdenedSalaryPLG*pSystemsFTE_PLG)*(1+Inflation)</f>
        <v>6041906.25</v>
      </c>
      <c r="G45" s="602">
        <f>(AnnualBurdenedSalaryPLG*pSystemsFTE_PLG)*(1+Inflation)^2</f>
        <v>6162744.375</v>
      </c>
      <c r="H45" s="602">
        <f>(AnnualBurdenedSalaryPLG*pSystemsFTE_PLG)*(1+Inflation)^3</f>
        <v>6285999.2624999993</v>
      </c>
      <c r="I45" s="602">
        <f>(AnnualBurdenedSalaryPLG*pSystemsFTE_PLG)*(1+Inflation)^4</f>
        <v>6411719.2477500001</v>
      </c>
      <c r="J45" s="602">
        <f>(AnnualBurdenedSalaryPLG*pSystemsFTE_PLG)*(1+Inflation)^5</f>
        <v>6539953.6327050002</v>
      </c>
      <c r="K45" s="602">
        <f>(AnnualBurdenedSalaryPLG*pSystemsFTE_PLG)*(1+Inflation)^6</f>
        <v>6670752.7053591004</v>
      </c>
      <c r="L45" s="602">
        <f>(AnnualBurdenedSalaryPLG*pSystemsFTE_PLG)*(1+Inflation)^7</f>
        <v>6804167.7594662812</v>
      </c>
      <c r="M45" s="602">
        <f>(AnnualBurdenedSalaryPLG*pSystemsFTE_PLG)*(1+Inflation)^8</f>
        <v>6940251.1146556074</v>
      </c>
      <c r="N45" s="602">
        <f>(AnnualBurdenedSalaryPLG*pSystemsFTE_PLG)*(1+Inflation)^9</f>
        <v>7079056.1369487196</v>
      </c>
      <c r="O45" s="162" t="s">
        <v>3046</v>
      </c>
      <c r="P45" s="23"/>
      <c r="Q45" s="23"/>
      <c r="R45" s="23"/>
      <c r="S45" s="23"/>
      <c r="T45" s="23"/>
      <c r="U45" s="23"/>
      <c r="V45" s="23"/>
      <c r="W45" s="23"/>
      <c r="X45" s="23"/>
      <c r="Y45" s="23"/>
      <c r="Z45" s="23"/>
      <c r="AA45" s="23"/>
      <c r="AB45" s="23"/>
      <c r="AC45" s="23"/>
      <c r="AD45" s="23"/>
      <c r="AE45" s="23"/>
      <c r="AF45" s="23"/>
      <c r="AG45" s="23"/>
    </row>
    <row r="46" spans="1:33" s="488" customFormat="1" ht="12.75" hidden="1" customHeight="1" outlineLevel="1" x14ac:dyDescent="0.2">
      <c r="A46" s="1431"/>
      <c r="B46" s="91"/>
      <c r="C46" s="284"/>
      <c r="D46" s="605" t="s">
        <v>3047</v>
      </c>
      <c r="E46" s="602">
        <f>(AnnualBurdenedSalaryCRT*pSystemsFTE_CRT)</f>
        <v>4181250</v>
      </c>
      <c r="F46" s="602">
        <f>(AnnualBurdenedSalaryCRT*pSystemsFTE_CRT)*(1+Inflation)</f>
        <v>4264875</v>
      </c>
      <c r="G46" s="602">
        <f>(AnnualBurdenedSalaryCRT*pSystemsFTE_CRT)*(1+Inflation)^2</f>
        <v>4350172.5</v>
      </c>
      <c r="H46" s="602">
        <f>(AnnualBurdenedSalaryCRT*pSystemsFTE_CRT)*(1+Inflation)^3</f>
        <v>4437175.9499999993</v>
      </c>
      <c r="I46" s="602">
        <f>(AnnualBurdenedSalaryCRT*pSystemsFTE_CRT)*(1+Inflation)^4</f>
        <v>4525919.4689999996</v>
      </c>
      <c r="J46" s="602">
        <f>(AnnualBurdenedSalaryCRT*pSystemsFTE_CRT)*(1+Inflation)^5</f>
        <v>4616437.8583800001</v>
      </c>
      <c r="K46" s="602">
        <f>(AnnualBurdenedSalaryCRT*pSystemsFTE_CRT)*(1+Inflation)^6</f>
        <v>4708766.6155476002</v>
      </c>
      <c r="L46" s="602">
        <f>(AnnualBurdenedSalaryCRT*pSystemsFTE_CRT)*(1+Inflation)^7</f>
        <v>4802941.9478585515</v>
      </c>
      <c r="M46" s="602">
        <f>(AnnualBurdenedSalaryCRT*pSystemsFTE_CRT)*(1+Inflation)^8</f>
        <v>4899000.7868157225</v>
      </c>
      <c r="N46" s="602">
        <f>(AnnualBurdenedSalaryCRT*pSystemsFTE_CRT)*(1+Inflation)^9</f>
        <v>4996980.8025520369</v>
      </c>
      <c r="O46" s="162" t="s">
        <v>3048</v>
      </c>
      <c r="P46" s="23"/>
      <c r="Q46" s="23"/>
      <c r="R46" s="23"/>
      <c r="S46" s="23"/>
      <c r="T46" s="23"/>
      <c r="U46" s="23"/>
      <c r="V46" s="23"/>
      <c r="W46" s="23"/>
      <c r="X46" s="23"/>
      <c r="Y46" s="23"/>
      <c r="Z46" s="23"/>
      <c r="AA46" s="23"/>
      <c r="AB46" s="23"/>
      <c r="AC46" s="23"/>
      <c r="AD46" s="23"/>
      <c r="AE46" s="23"/>
      <c r="AF46" s="23"/>
      <c r="AG46" s="23"/>
    </row>
    <row r="47" spans="1:33" s="488" customFormat="1" ht="12.75" hidden="1" customHeight="1" outlineLevel="1" x14ac:dyDescent="0.2">
      <c r="A47" s="1431"/>
      <c r="B47" s="91"/>
      <c r="C47" s="284"/>
      <c r="D47" s="605" t="s">
        <v>3285</v>
      </c>
      <c r="E47" s="602">
        <f>(AnnualBurdenedSalarySCL*pSystemsFTE_SCL)</f>
        <v>8362500</v>
      </c>
      <c r="F47" s="602">
        <f>(AnnualBurdenedSalarySCL*pSystemsFTE_SCL)*(1+Inflation)</f>
        <v>8529750</v>
      </c>
      <c r="G47" s="602">
        <f>(AnnualBurdenedSalarySCL*pSystemsFTE_SCL)*(1+Inflation)^2</f>
        <v>8700345</v>
      </c>
      <c r="H47" s="602">
        <f>(AnnualBurdenedSalarySCL*pSystemsFTE_SCL)*(1+Inflation)^3</f>
        <v>8874351.8999999985</v>
      </c>
      <c r="I47" s="602">
        <f>(AnnualBurdenedSalarySCL*pSystemsFTE_SCL)*(1+Inflation)^4</f>
        <v>9051838.9379999992</v>
      </c>
      <c r="J47" s="602">
        <f>(AnnualBurdenedSalarySCL*pSystemsFTE_SCL)*(1+Inflation)^5</f>
        <v>9232875.7167600002</v>
      </c>
      <c r="K47" s="602">
        <f>(AnnualBurdenedSalarySCL*pSystemsFTE_SCL)*(1+Inflation)^6</f>
        <v>9417533.2310952004</v>
      </c>
      <c r="L47" s="602">
        <f>(AnnualBurdenedSalarySCL*pSystemsFTE_SCL)*(1+Inflation)^7</f>
        <v>9605883.895717103</v>
      </c>
      <c r="M47" s="602">
        <f>(AnnualBurdenedSalarySCL*pSystemsFTE_SCL)*(1+Inflation)^8</f>
        <v>9798001.5736314449</v>
      </c>
      <c r="N47" s="602">
        <f>(AnnualBurdenedSalarySCL*pSystemsFTE_SCL)*(1+Inflation)^9</f>
        <v>9993961.6051040739</v>
      </c>
      <c r="O47" s="162" t="s">
        <v>3286</v>
      </c>
      <c r="P47" s="23"/>
      <c r="Q47" s="23"/>
      <c r="R47" s="23"/>
      <c r="S47" s="23"/>
      <c r="T47" s="23"/>
      <c r="U47" s="23"/>
      <c r="V47" s="23"/>
      <c r="W47" s="23"/>
      <c r="X47" s="23"/>
      <c r="Y47" s="23"/>
      <c r="Z47" s="23"/>
      <c r="AA47" s="23"/>
      <c r="AB47" s="23"/>
      <c r="AC47" s="23"/>
      <c r="AD47" s="23"/>
      <c r="AE47" s="23"/>
      <c r="AF47" s="23"/>
      <c r="AG47" s="23"/>
    </row>
    <row r="48" spans="1:33" s="488" customFormat="1" ht="12.75" hidden="1" customHeight="1" outlineLevel="1" x14ac:dyDescent="0.2">
      <c r="A48" s="1431"/>
      <c r="B48" s="91"/>
      <c r="C48" s="284"/>
      <c r="D48" s="605" t="s">
        <v>3049</v>
      </c>
      <c r="E48" s="602">
        <f>(AnnualBurdenedSalaryQSC*pSystemsFTE_QSC)</f>
        <v>5226562.5</v>
      </c>
      <c r="F48" s="602">
        <f>(AnnualBurdenedSalaryQSC*pSystemsFTE_QSC)*(1+Inflation)</f>
        <v>5331093.75</v>
      </c>
      <c r="G48" s="602">
        <f>(AnnualBurdenedSalaryQSC*pSystemsFTE_QSC)*(1+Inflation)^2</f>
        <v>5437715.625</v>
      </c>
      <c r="H48" s="602">
        <f>(AnnualBurdenedSalaryQSC*pSystemsFTE_QSC)*(1+Inflation)^3</f>
        <v>5546469.9375</v>
      </c>
      <c r="I48" s="602">
        <f>(AnnualBurdenedSalaryQSC*pSystemsFTE_QSC)*(1+Inflation)^4</f>
        <v>5657399.3362499997</v>
      </c>
      <c r="J48" s="602">
        <f>(AnnualBurdenedSalaryQSC*pSystemsFTE_QSC)*(1+Inflation)^5</f>
        <v>5770547.3229750004</v>
      </c>
      <c r="K48" s="602">
        <f>(AnnualBurdenedSalaryQSC*pSystemsFTE_QSC)*(1+Inflation)^6</f>
        <v>5885958.2694345005</v>
      </c>
      <c r="L48" s="602">
        <f>(AnnualBurdenedSalaryQSC*pSystemsFTE_QSC)*(1+Inflation)^7</f>
        <v>6003677.4348231889</v>
      </c>
      <c r="M48" s="602">
        <f>(AnnualBurdenedSalaryQSC*pSystemsFTE_QSC)*(1+Inflation)^8</f>
        <v>6123750.9835196538</v>
      </c>
      <c r="N48" s="602">
        <f>(AnnualBurdenedSalaryQSC*pSystemsFTE_QSC)*(1+Inflation)^9</f>
        <v>6246226.0031900462</v>
      </c>
      <c r="O48" s="162" t="s">
        <v>3050</v>
      </c>
      <c r="P48" s="23"/>
      <c r="Q48" s="23"/>
      <c r="R48" s="23"/>
      <c r="S48" s="23"/>
      <c r="T48" s="23"/>
      <c r="U48" s="23"/>
      <c r="V48" s="23"/>
      <c r="W48" s="23"/>
      <c r="X48" s="23"/>
      <c r="Y48" s="23"/>
      <c r="Z48" s="23"/>
      <c r="AA48" s="23"/>
      <c r="AB48" s="23"/>
      <c r="AC48" s="23"/>
      <c r="AD48" s="23"/>
      <c r="AE48" s="23"/>
      <c r="AF48" s="23"/>
      <c r="AG48" s="23"/>
    </row>
    <row r="49" spans="1:33" s="488" customFormat="1" ht="12.75" hidden="1" customHeight="1" outlineLevel="1" x14ac:dyDescent="0.2">
      <c r="A49" s="1431"/>
      <c r="B49" s="91"/>
      <c r="C49" s="284"/>
      <c r="D49" s="605" t="s">
        <v>3051</v>
      </c>
      <c r="E49" s="602">
        <f>(AnnualBurdenedSalaryEM*pSystemsFTE_EM)</f>
        <v>8362500</v>
      </c>
      <c r="F49" s="602">
        <f>(AnnualBurdenedSalaryEM*pSystemsFTE_EM)*(1+Inflation)</f>
        <v>8529750</v>
      </c>
      <c r="G49" s="602">
        <f>(AnnualBurdenedSalaryEM*pSystemsFTE_EM)*(1+Inflation)^2</f>
        <v>8700345</v>
      </c>
      <c r="H49" s="602">
        <f>(AnnualBurdenedSalaryEM*pSystemsFTE_EM)*(1+Inflation)^3</f>
        <v>8874351.8999999985</v>
      </c>
      <c r="I49" s="602">
        <f>(AnnualBurdenedSalaryEM*pSystemsFTE_EM)*(1+Inflation)^4</f>
        <v>9051838.9379999992</v>
      </c>
      <c r="J49" s="602">
        <f>(AnnualBurdenedSalaryEM*pSystemsFTE_EM)*(1+Inflation)^5</f>
        <v>9232875.7167600002</v>
      </c>
      <c r="K49" s="602">
        <f>(AnnualBurdenedSalaryEM*pSystemsFTE_EM)*(1+Inflation)^6</f>
        <v>9417533.2310952004</v>
      </c>
      <c r="L49" s="602">
        <f>(AnnualBurdenedSalaryEM*pSystemsFTE_EM)*(1+Inflation)^7</f>
        <v>9605883.895717103</v>
      </c>
      <c r="M49" s="602">
        <f>(AnnualBurdenedSalaryEM*pSystemsFTE_EM)*(1+Inflation)^8</f>
        <v>9798001.5736314449</v>
      </c>
      <c r="N49" s="602">
        <f>(AnnualBurdenedSalaryEM*pSystemsFTE_EM)*(1+Inflation)^9</f>
        <v>9993961.6051040739</v>
      </c>
      <c r="O49" s="162" t="s">
        <v>3052</v>
      </c>
      <c r="P49" s="23"/>
      <c r="Q49" s="23"/>
      <c r="R49" s="23"/>
      <c r="S49" s="23"/>
      <c r="T49" s="23"/>
      <c r="U49" s="23"/>
      <c r="V49" s="23"/>
      <c r="W49" s="23"/>
      <c r="X49" s="23"/>
      <c r="Y49" s="23"/>
      <c r="Z49" s="23"/>
      <c r="AA49" s="23"/>
      <c r="AB49" s="23"/>
      <c r="AC49" s="23"/>
      <c r="AD49" s="23"/>
      <c r="AE49" s="23"/>
      <c r="AF49" s="23"/>
      <c r="AG49" s="23"/>
    </row>
    <row r="50" spans="1:33" s="488" customFormat="1" ht="12.75" hidden="1" customHeight="1" outlineLevel="1" x14ac:dyDescent="0.2">
      <c r="A50" s="1431"/>
      <c r="B50" s="91"/>
      <c r="C50" s="284"/>
      <c r="D50" s="605" t="s">
        <v>3053</v>
      </c>
      <c r="E50" s="602">
        <f>(AnnualBurdenedSalaryCM*pSystemsFTE_CM)</f>
        <v>8362500</v>
      </c>
      <c r="F50" s="602">
        <f>(AnnualBurdenedSalaryCM*pSystemsFTE_CM)*(1+Inflation)</f>
        <v>8529750</v>
      </c>
      <c r="G50" s="602">
        <f>(AnnualBurdenedSalaryCM*pSystemsFTE_CM)*(1+Inflation)^2</f>
        <v>8700345</v>
      </c>
      <c r="H50" s="602">
        <f>(AnnualBurdenedSalaryCM*pSystemsFTE_CM)*(1+Inflation)^3</f>
        <v>8874351.8999999985</v>
      </c>
      <c r="I50" s="602">
        <f>(AnnualBurdenedSalaryCM*pSystemsFTE_CM)*(1+Inflation)^4</f>
        <v>9051838.9379999992</v>
      </c>
      <c r="J50" s="602">
        <f>(AnnualBurdenedSalaryCM*pSystemsFTE_CM)*(1+Inflation)^5</f>
        <v>9232875.7167600002</v>
      </c>
      <c r="K50" s="602">
        <f>(AnnualBurdenedSalaryCM*pSystemsFTE_CM)*(1+Inflation)^6</f>
        <v>9417533.2310952004</v>
      </c>
      <c r="L50" s="602">
        <f>(AnnualBurdenedSalaryCM*pSystemsFTE_CM)*(1+Inflation)^7</f>
        <v>9605883.895717103</v>
      </c>
      <c r="M50" s="602">
        <f>(AnnualBurdenedSalaryCM*pSystemsFTE_CM)*(1+Inflation)^8</f>
        <v>9798001.5736314449</v>
      </c>
      <c r="N50" s="602">
        <f>(AnnualBurdenedSalaryCM*pSystemsFTE_CM)*(1+Inflation)^9</f>
        <v>9993961.6051040739</v>
      </c>
      <c r="O50" s="162" t="s">
        <v>3054</v>
      </c>
      <c r="P50" s="23"/>
      <c r="Q50" s="23"/>
      <c r="R50" s="23"/>
      <c r="S50" s="23"/>
      <c r="T50" s="23"/>
      <c r="U50" s="23"/>
      <c r="V50" s="23"/>
      <c r="W50" s="23"/>
      <c r="X50" s="23"/>
      <c r="Y50" s="23"/>
      <c r="Z50" s="23"/>
      <c r="AA50" s="23"/>
      <c r="AB50" s="23"/>
      <c r="AC50" s="23"/>
      <c r="AD50" s="23"/>
      <c r="AE50" s="23"/>
      <c r="AF50" s="23"/>
      <c r="AG50" s="23"/>
    </row>
    <row r="51" spans="1:33" s="488" customFormat="1" ht="12.75" hidden="1" customHeight="1" outlineLevel="1" x14ac:dyDescent="0.2">
      <c r="A51" s="1431"/>
      <c r="B51" s="91"/>
      <c r="C51" s="284"/>
      <c r="D51" s="605" t="s">
        <v>3055</v>
      </c>
      <c r="E51" s="602">
        <f>(AnnualBurdenedSalarySMCS*pSystemsFTE_SMCS)</f>
        <v>4181250</v>
      </c>
      <c r="F51" s="602">
        <f>(AnnualBurdenedSalarySMCS*pSystemsFTE_SMCS)*(1+Inflation)</f>
        <v>4264875</v>
      </c>
      <c r="G51" s="602">
        <f>(AnnualBurdenedSalarySMCS*pSystemsFTE_SMCS)*(1+Inflation)^2</f>
        <v>4350172.5</v>
      </c>
      <c r="H51" s="602">
        <f>(AnnualBurdenedSalarySMCS*pSystemsFTE_SMCS)*(1+Inflation)^3</f>
        <v>4437175.9499999993</v>
      </c>
      <c r="I51" s="602">
        <f>(AnnualBurdenedSalarySMCS*pSystemsFTE_SMCS)*(1+Inflation)^4</f>
        <v>4525919.4689999996</v>
      </c>
      <c r="J51" s="602">
        <f>(AnnualBurdenedSalarySMCS*pSystemsFTE_SMCS)*(1+Inflation)^5</f>
        <v>4616437.8583800001</v>
      </c>
      <c r="K51" s="602">
        <f>(AnnualBurdenedSalarySMCS*pSystemsFTE_SMCS)*(1+Inflation)^6</f>
        <v>4708766.6155476002</v>
      </c>
      <c r="L51" s="602">
        <f>(AnnualBurdenedSalarySMCS*pSystemsFTE_SMCS)*(1+Inflation)^7</f>
        <v>4802941.9478585515</v>
      </c>
      <c r="M51" s="602">
        <f>(AnnualBurdenedSalarySMCS*pSystemsFTE_SMCS)*(1+Inflation)^8</f>
        <v>4899000.7868157225</v>
      </c>
      <c r="N51" s="602">
        <f>(AnnualBurdenedSalarySMCS*pSystemsFTE_SMCS)*(1+Inflation)^9</f>
        <v>4996980.8025520369</v>
      </c>
      <c r="O51" s="162" t="s">
        <v>3056</v>
      </c>
      <c r="P51" s="23"/>
      <c r="Q51" s="23"/>
      <c r="R51" s="23"/>
      <c r="S51" s="23"/>
      <c r="T51" s="23"/>
      <c r="U51" s="23"/>
      <c r="V51" s="23"/>
      <c r="W51" s="23"/>
      <c r="X51" s="23"/>
      <c r="Y51" s="23"/>
      <c r="Z51" s="23"/>
      <c r="AA51" s="23"/>
      <c r="AB51" s="23"/>
      <c r="AC51" s="23"/>
      <c r="AD51" s="23"/>
      <c r="AE51" s="23"/>
      <c r="AF51" s="23"/>
      <c r="AG51" s="23"/>
    </row>
    <row r="52" spans="1:33" s="488" customFormat="1" ht="12.75" hidden="1" customHeight="1" outlineLevel="1" x14ac:dyDescent="0.2">
      <c r="A52" s="1431"/>
      <c r="B52" s="91"/>
      <c r="C52" s="284"/>
      <c r="D52" s="605" t="s">
        <v>3057</v>
      </c>
      <c r="E52" s="602">
        <f>(AnnualBurdenedSalaryO1*pSystemsFTE_O1)</f>
        <v>836250</v>
      </c>
      <c r="F52" s="602">
        <f>(AnnualBurdenedSalaryO1*pSystemsFTE_O1)*(1+Inflation)</f>
        <v>852975</v>
      </c>
      <c r="G52" s="602">
        <f>(AnnualBurdenedSalaryO1*pSystemsFTE_O1)*(1+Inflation)^2</f>
        <v>870034.5</v>
      </c>
      <c r="H52" s="602">
        <f>(AnnualBurdenedSalaryO1*pSystemsFTE_O1)*(1+Inflation)^3</f>
        <v>887435.19</v>
      </c>
      <c r="I52" s="602">
        <f>(AnnualBurdenedSalaryO1*pSystemsFTE_O1)*(1+Inflation)^4</f>
        <v>905183.89379999996</v>
      </c>
      <c r="J52" s="602">
        <f>(AnnualBurdenedSalaryO1*pSystemsFTE_O1)*(1+Inflation)^5</f>
        <v>923287.57167600002</v>
      </c>
      <c r="K52" s="602">
        <f>(AnnualBurdenedSalaryO1*pSystemsFTE_O1)*(1+Inflation)^6</f>
        <v>941753.32310952002</v>
      </c>
      <c r="L52" s="602">
        <f>(AnnualBurdenedSalaryO1*pSystemsFTE_O1)*(1+Inflation)^7</f>
        <v>960588.38957171026</v>
      </c>
      <c r="M52" s="602">
        <f>(AnnualBurdenedSalaryO1*pSystemsFTE_O1)*(1+Inflation)^8</f>
        <v>979800.15736314456</v>
      </c>
      <c r="N52" s="602">
        <f>(AnnualBurdenedSalaryO1*pSystemsFTE_O1)*(1+Inflation)^9</f>
        <v>999396.16051040741</v>
      </c>
      <c r="O52" s="162" t="s">
        <v>3058</v>
      </c>
      <c r="P52" s="23"/>
      <c r="Q52" s="23"/>
      <c r="R52" s="23"/>
      <c r="S52" s="23"/>
      <c r="T52" s="23"/>
      <c r="U52" s="23"/>
      <c r="V52" s="23"/>
      <c r="W52" s="23"/>
      <c r="X52" s="23"/>
      <c r="Y52" s="23"/>
      <c r="Z52" s="23"/>
      <c r="AA52" s="23"/>
      <c r="AB52" s="23"/>
      <c r="AC52" s="23"/>
      <c r="AD52" s="23"/>
      <c r="AE52" s="23"/>
      <c r="AF52" s="23"/>
      <c r="AG52" s="23"/>
    </row>
    <row r="53" spans="1:33" s="488" customFormat="1" ht="12.75" hidden="1" customHeight="1" outlineLevel="1" x14ac:dyDescent="0.2">
      <c r="A53" s="1431"/>
      <c r="B53" s="91"/>
      <c r="C53" s="284"/>
      <c r="D53" s="605" t="s">
        <v>3059</v>
      </c>
      <c r="E53" s="602">
        <f>(AnnualBurdenedSalaryO2*pSystemsFTE_O2)</f>
        <v>836250</v>
      </c>
      <c r="F53" s="602">
        <f>(AnnualBurdenedSalaryO2*pSystemsFTE_O2)*(1+Inflation)</f>
        <v>852975</v>
      </c>
      <c r="G53" s="602">
        <f>(AnnualBurdenedSalaryO2*pSystemsFTE_O2)*(1+Inflation)^2</f>
        <v>870034.5</v>
      </c>
      <c r="H53" s="602">
        <f>(AnnualBurdenedSalaryO2*pSystemsFTE_O2)*(1+Inflation)^3</f>
        <v>887435.19</v>
      </c>
      <c r="I53" s="602">
        <f>(AnnualBurdenedSalaryO2*pSystemsFTE_O2)*(1+Inflation)^4</f>
        <v>905183.89379999996</v>
      </c>
      <c r="J53" s="602">
        <f>(AnnualBurdenedSalaryO2*pSystemsFTE_O2)*(1+Inflation)^5</f>
        <v>923287.57167600002</v>
      </c>
      <c r="K53" s="602">
        <f>(AnnualBurdenedSalaryO2*pSystemsFTE_O2)*(1+Inflation)^6</f>
        <v>941753.32310952002</v>
      </c>
      <c r="L53" s="602">
        <f>(AnnualBurdenedSalaryO2*pSystemsFTE_O2)*(1+Inflation)^7</f>
        <v>960588.38957171026</v>
      </c>
      <c r="M53" s="602">
        <f>(AnnualBurdenedSalaryO2*pSystemsFTE_O2)*(1+Inflation)^8</f>
        <v>979800.15736314456</v>
      </c>
      <c r="N53" s="602">
        <f>(AnnualBurdenedSalaryO2*pSystemsFTE_O2)*(1+Inflation)^9</f>
        <v>999396.16051040741</v>
      </c>
      <c r="O53" s="162" t="s">
        <v>3060</v>
      </c>
      <c r="P53" s="23"/>
      <c r="Q53" s="23"/>
      <c r="R53" s="23"/>
      <c r="S53" s="23"/>
      <c r="T53" s="23"/>
      <c r="U53" s="23"/>
      <c r="V53" s="23"/>
      <c r="W53" s="23"/>
      <c r="X53" s="23"/>
      <c r="Y53" s="23"/>
      <c r="Z53" s="23"/>
      <c r="AA53" s="23"/>
      <c r="AB53" s="23"/>
      <c r="AC53" s="23"/>
      <c r="AD53" s="23"/>
      <c r="AE53" s="23"/>
      <c r="AF53" s="23"/>
      <c r="AG53" s="23"/>
    </row>
    <row r="54" spans="1:33" s="488" customFormat="1" ht="12.75" hidden="1" customHeight="1" outlineLevel="1" x14ac:dyDescent="0.2">
      <c r="A54" s="1432"/>
      <c r="B54" s="91"/>
      <c r="C54" s="284"/>
      <c r="D54" s="607" t="s">
        <v>3280</v>
      </c>
      <c r="E54" s="608">
        <f>SUM(E42:E53)</f>
        <v>379378750</v>
      </c>
      <c r="F54" s="608">
        <f t="shared" ref="F54:N54" si="1">SUM(F42:F53)</f>
        <v>386966325</v>
      </c>
      <c r="G54" s="608">
        <f t="shared" si="1"/>
        <v>394705651.5</v>
      </c>
      <c r="H54" s="608">
        <f t="shared" si="1"/>
        <v>402599764.52999991</v>
      </c>
      <c r="I54" s="608">
        <f t="shared" si="1"/>
        <v>410651759.82060003</v>
      </c>
      <c r="J54" s="608">
        <f t="shared" si="1"/>
        <v>418864795.017012</v>
      </c>
      <c r="K54" s="608">
        <f t="shared" si="1"/>
        <v>427242090.9173522</v>
      </c>
      <c r="L54" s="608">
        <f t="shared" si="1"/>
        <v>435786932.73569924</v>
      </c>
      <c r="M54" s="608">
        <f t="shared" si="1"/>
        <v>444502671.39041322</v>
      </c>
      <c r="N54" s="608">
        <f t="shared" si="1"/>
        <v>453392724.81822163</v>
      </c>
      <c r="O54" s="162" t="s">
        <v>3281</v>
      </c>
      <c r="P54" s="23"/>
      <c r="Q54" s="23"/>
      <c r="R54" s="23"/>
      <c r="S54" s="23"/>
      <c r="T54" s="23"/>
      <c r="U54" s="23"/>
      <c r="V54" s="23"/>
      <c r="W54" s="23"/>
      <c r="X54" s="23"/>
      <c r="Y54" s="23"/>
      <c r="Z54" s="23"/>
      <c r="AA54" s="23"/>
      <c r="AB54" s="23"/>
      <c r="AC54" s="23"/>
      <c r="AD54" s="23"/>
      <c r="AE54" s="23"/>
      <c r="AF54" s="23"/>
      <c r="AG54" s="23"/>
    </row>
    <row r="55" spans="1:33" ht="13.5" hidden="1" outlineLevel="1" thickBot="1" x14ac:dyDescent="0.25">
      <c r="C55" s="238"/>
      <c r="D55" s="1060"/>
      <c r="E55" s="518"/>
      <c r="F55" s="518"/>
      <c r="G55" s="518"/>
      <c r="H55" s="518"/>
      <c r="I55" s="518"/>
      <c r="J55" s="1061"/>
      <c r="K55" s="1061"/>
      <c r="L55" s="1061"/>
      <c r="M55" s="1061"/>
      <c r="N55" s="1061"/>
      <c r="O55" s="1062"/>
    </row>
    <row r="56" spans="1:33" hidden="1" outlineLevel="1" x14ac:dyDescent="0.2"/>
    <row r="57" spans="1:33" hidden="1" outlineLevel="1" x14ac:dyDescent="0.2"/>
    <row r="58" spans="1:33" s="122" customFormat="1" ht="15.75" collapsed="1" x14ac:dyDescent="0.2">
      <c r="A58" s="1043">
        <v>3</v>
      </c>
      <c r="B58" s="1039"/>
      <c r="C58" s="1039"/>
      <c r="D58" s="1039"/>
      <c r="E58" s="1039"/>
      <c r="F58" s="1039"/>
      <c r="G58" s="1039"/>
      <c r="H58" s="1039"/>
      <c r="I58" s="1039"/>
      <c r="J58" s="1039"/>
      <c r="K58" s="1039"/>
      <c r="L58" s="1039"/>
      <c r="M58" s="1039"/>
      <c r="N58" s="1039"/>
      <c r="O58" s="1039"/>
      <c r="P58" s="206"/>
      <c r="Q58" s="206"/>
      <c r="R58" s="206"/>
      <c r="S58" s="206"/>
      <c r="T58" s="206"/>
      <c r="U58" s="206"/>
      <c r="V58" s="206"/>
      <c r="W58" s="206"/>
      <c r="X58" s="206"/>
      <c r="Y58" s="206"/>
      <c r="Z58" s="206"/>
      <c r="AA58" s="206"/>
      <c r="AB58" s="206"/>
      <c r="AC58" s="206"/>
      <c r="AD58" s="206"/>
      <c r="AE58" s="206"/>
      <c r="AF58" s="206"/>
    </row>
    <row r="59" spans="1:33" customFormat="1" ht="12" customHeight="1" x14ac:dyDescent="0.2">
      <c r="A59" s="63"/>
      <c r="B59" s="63"/>
      <c r="C59" s="12"/>
      <c r="D59" s="25"/>
      <c r="E59" s="12"/>
      <c r="F59" s="12"/>
      <c r="G59" s="12"/>
      <c r="H59" s="12"/>
      <c r="I59" s="118"/>
      <c r="J59" s="118"/>
      <c r="K59" s="118"/>
      <c r="L59" s="118"/>
      <c r="M59" s="118"/>
      <c r="N59" s="118"/>
      <c r="O59" s="640"/>
      <c r="P59" s="12"/>
      <c r="Q59" s="12"/>
      <c r="R59" s="12"/>
      <c r="S59" s="12"/>
      <c r="T59" s="12"/>
      <c r="U59" s="12"/>
      <c r="V59" s="12"/>
      <c r="W59" s="12"/>
      <c r="X59" s="12"/>
      <c r="Y59" s="12"/>
      <c r="Z59" s="12"/>
      <c r="AA59" s="12"/>
      <c r="AB59" s="12"/>
      <c r="AC59" s="12"/>
      <c r="AD59" s="12"/>
      <c r="AE59" s="12"/>
      <c r="AF59" s="12"/>
      <c r="AG59" s="18"/>
    </row>
    <row r="60" spans="1:33" s="217" customFormat="1" ht="20.100000000000001" customHeight="1" x14ac:dyDescent="0.2">
      <c r="A60" s="1400" t="s">
        <v>4247</v>
      </c>
      <c r="B60" s="72"/>
      <c r="C60" s="1058" t="str">
        <f>Scenario2&amp;" - % Reduction of FTEs &amp; Labor Cost from pSystems"</f>
        <v>hSystems (Hybrid) - % Reduction of FTEs &amp; Labor Cost from pSystems</v>
      </c>
      <c r="D60" s="1058"/>
      <c r="E60" s="218"/>
      <c r="F60" s="218"/>
      <c r="G60" s="218"/>
      <c r="H60" s="218"/>
      <c r="I60" s="218"/>
      <c r="J60" s="218"/>
      <c r="K60" s="218"/>
      <c r="L60" s="218"/>
      <c r="M60" s="218"/>
      <c r="N60" s="218"/>
      <c r="O60" s="219"/>
      <c r="P60" s="219"/>
    </row>
    <row r="61" spans="1:33" s="203" customFormat="1" x14ac:dyDescent="0.2">
      <c r="A61" s="1407"/>
      <c r="B61" s="72"/>
      <c r="C61" s="204"/>
      <c r="D61" s="723"/>
      <c r="E61" s="210"/>
      <c r="F61" s="210"/>
      <c r="G61" s="210"/>
      <c r="H61" s="210"/>
      <c r="I61" s="210"/>
      <c r="J61" s="210"/>
      <c r="K61" s="210"/>
      <c r="L61" s="210"/>
      <c r="M61" s="210"/>
      <c r="N61" s="210"/>
    </row>
    <row r="62" spans="1:33" s="203" customFormat="1" ht="53.25" customHeight="1" x14ac:dyDescent="0.2">
      <c r="A62" s="1408"/>
      <c r="B62" s="72"/>
      <c r="C62" s="723"/>
      <c r="D62" s="723"/>
      <c r="E62" s="210"/>
      <c r="F62" s="210"/>
      <c r="G62" s="210"/>
      <c r="H62" s="210"/>
      <c r="I62" s="210"/>
      <c r="J62" s="210"/>
      <c r="K62" s="210"/>
      <c r="L62" s="210"/>
      <c r="M62" s="210"/>
      <c r="N62" s="210"/>
    </row>
    <row r="64" spans="1:33" ht="13.5" hidden="1" outlineLevel="1" thickBot="1" x14ac:dyDescent="0.25"/>
    <row r="65" spans="1:33" s="33" customFormat="1" ht="17.25" hidden="1" customHeight="1" outlineLevel="1" x14ac:dyDescent="0.55000000000000004">
      <c r="A65" s="1394" t="s">
        <v>4250</v>
      </c>
      <c r="D65" s="1063" t="s">
        <v>3079</v>
      </c>
      <c r="E65" s="237"/>
      <c r="F65" s="237"/>
      <c r="G65" s="237"/>
      <c r="H65" s="237"/>
      <c r="I65" s="237"/>
      <c r="J65" s="237"/>
      <c r="K65" s="237"/>
      <c r="L65" s="237"/>
      <c r="M65" s="237"/>
      <c r="N65" s="237"/>
      <c r="O65" s="1059"/>
      <c r="P65" s="34"/>
      <c r="Q65" s="34"/>
      <c r="R65" s="34"/>
      <c r="S65" s="34"/>
      <c r="T65" s="34"/>
      <c r="U65" s="34"/>
      <c r="V65" s="34"/>
      <c r="W65" s="34"/>
      <c r="X65" s="34"/>
      <c r="Y65" s="34"/>
      <c r="Z65" s="34"/>
      <c r="AA65" s="34"/>
      <c r="AB65" s="34"/>
      <c r="AC65" s="34"/>
      <c r="AD65" s="34"/>
      <c r="AE65" s="34"/>
      <c r="AF65" s="34"/>
    </row>
    <row r="66" spans="1:33" customFormat="1" hidden="1" outlineLevel="1" x14ac:dyDescent="0.2">
      <c r="A66" s="1395"/>
      <c r="B66" s="63"/>
      <c r="C66" s="3"/>
      <c r="D66" s="1064" t="s">
        <v>3067</v>
      </c>
      <c r="E66" s="1065">
        <v>0</v>
      </c>
      <c r="F66" s="1065">
        <v>0</v>
      </c>
      <c r="G66" s="1065">
        <v>0</v>
      </c>
      <c r="H66" s="1065">
        <v>0</v>
      </c>
      <c r="I66" s="1065">
        <v>0</v>
      </c>
      <c r="J66" s="1065">
        <v>0</v>
      </c>
      <c r="K66" s="1065">
        <v>0</v>
      </c>
      <c r="L66" s="1065">
        <v>0</v>
      </c>
      <c r="M66" s="1065">
        <v>0</v>
      </c>
      <c r="N66" s="1065">
        <v>0</v>
      </c>
      <c r="O66" s="162" t="s">
        <v>3062</v>
      </c>
      <c r="P66" s="12"/>
      <c r="Q66" s="12"/>
      <c r="R66" s="12"/>
      <c r="S66" s="12"/>
      <c r="T66" s="12"/>
      <c r="U66" s="12"/>
      <c r="V66" s="12"/>
      <c r="W66" s="12"/>
      <c r="X66" s="12"/>
      <c r="Y66" s="12"/>
      <c r="Z66" s="12"/>
      <c r="AA66" s="12"/>
      <c r="AB66" s="12"/>
      <c r="AC66" s="12"/>
      <c r="AD66" s="12"/>
      <c r="AE66" s="12"/>
      <c r="AF66" s="12"/>
      <c r="AG66" s="18"/>
    </row>
    <row r="67" spans="1:33" customFormat="1" hidden="1" outlineLevel="1" x14ac:dyDescent="0.2">
      <c r="A67" s="1395"/>
      <c r="B67" s="63"/>
      <c r="C67" s="3"/>
      <c r="D67" s="1064" t="s">
        <v>3068</v>
      </c>
      <c r="E67" s="1065">
        <v>0.05</v>
      </c>
      <c r="F67" s="1065">
        <v>5.0999999999999997E-2</v>
      </c>
      <c r="G67" s="1065">
        <v>5.1999999999999998E-2</v>
      </c>
      <c r="H67" s="1065">
        <v>5.2999999999999999E-2</v>
      </c>
      <c r="I67" s="1065">
        <v>5.3999999999999999E-2</v>
      </c>
      <c r="J67" s="1065">
        <v>5.5E-2</v>
      </c>
      <c r="K67" s="1065">
        <v>5.6000000000000001E-2</v>
      </c>
      <c r="L67" s="1065">
        <v>5.7000000000000002E-2</v>
      </c>
      <c r="M67" s="1065">
        <v>5.8000000000000003E-2</v>
      </c>
      <c r="N67" s="1065">
        <v>5.8999999999999997E-2</v>
      </c>
      <c r="O67" s="162" t="s">
        <v>3061</v>
      </c>
      <c r="P67" s="12"/>
      <c r="Q67" s="12"/>
      <c r="R67" s="12"/>
      <c r="S67" s="12"/>
      <c r="T67" s="12"/>
      <c r="U67" s="12"/>
      <c r="V67" s="12"/>
      <c r="W67" s="12"/>
      <c r="X67" s="12"/>
      <c r="Y67" s="12"/>
      <c r="Z67" s="12"/>
      <c r="AA67" s="12"/>
      <c r="AB67" s="12"/>
      <c r="AC67" s="12"/>
      <c r="AD67" s="12"/>
      <c r="AE67" s="12"/>
      <c r="AF67" s="12"/>
      <c r="AG67" s="18"/>
    </row>
    <row r="68" spans="1:33" customFormat="1" hidden="1" outlineLevel="1" x14ac:dyDescent="0.2">
      <c r="A68" s="1395"/>
      <c r="B68" s="63"/>
      <c r="C68" s="3"/>
      <c r="D68" s="1064" t="s">
        <v>3069</v>
      </c>
      <c r="E68" s="1065">
        <v>0.1</v>
      </c>
      <c r="F68" s="1065">
        <v>0.10100000000000001</v>
      </c>
      <c r="G68" s="1065">
        <v>0.10199999999999999</v>
      </c>
      <c r="H68" s="1065">
        <v>0.10299999999999999</v>
      </c>
      <c r="I68" s="1065">
        <v>0.104</v>
      </c>
      <c r="J68" s="1065">
        <v>0.105</v>
      </c>
      <c r="K68" s="1065">
        <v>0.106</v>
      </c>
      <c r="L68" s="1065">
        <v>0.107</v>
      </c>
      <c r="M68" s="1065">
        <v>0.108</v>
      </c>
      <c r="N68" s="1065">
        <v>0.109</v>
      </c>
      <c r="O68" s="162" t="s">
        <v>3066</v>
      </c>
      <c r="P68" s="12"/>
      <c r="Q68" s="12"/>
      <c r="R68" s="12"/>
      <c r="S68" s="12"/>
      <c r="T68" s="12"/>
      <c r="U68" s="12"/>
      <c r="V68" s="12"/>
      <c r="W68" s="12"/>
      <c r="X68" s="12"/>
      <c r="Y68" s="12"/>
      <c r="Z68" s="12"/>
      <c r="AA68" s="12"/>
      <c r="AB68" s="12"/>
      <c r="AC68" s="12"/>
      <c r="AD68" s="12"/>
      <c r="AE68" s="12"/>
      <c r="AF68" s="12"/>
      <c r="AG68" s="18"/>
    </row>
    <row r="69" spans="1:33" s="8" customFormat="1" hidden="1" outlineLevel="1" x14ac:dyDescent="0.2">
      <c r="A69" s="1395"/>
      <c r="B69" s="65"/>
      <c r="C69" s="7"/>
      <c r="D69" s="1064"/>
      <c r="E69" s="606"/>
      <c r="F69" s="606"/>
      <c r="G69" s="606"/>
      <c r="H69" s="606"/>
      <c r="I69" s="606"/>
      <c r="J69" s="606"/>
      <c r="K69" s="606"/>
      <c r="L69" s="606"/>
      <c r="M69" s="606"/>
      <c r="N69" s="606"/>
      <c r="O69" s="162"/>
      <c r="P69" s="23"/>
      <c r="Q69" s="23"/>
      <c r="R69" s="23"/>
      <c r="S69" s="23"/>
      <c r="T69" s="23"/>
      <c r="U69" s="23"/>
      <c r="V69" s="23"/>
      <c r="W69" s="23"/>
      <c r="X69" s="23"/>
      <c r="Y69" s="23"/>
      <c r="Z69" s="23"/>
      <c r="AA69" s="23"/>
      <c r="AB69" s="23"/>
      <c r="AC69" s="23"/>
      <c r="AD69" s="23"/>
      <c r="AE69" s="23"/>
      <c r="AF69" s="23"/>
      <c r="AG69" s="17"/>
    </row>
    <row r="70" spans="1:33" customFormat="1" ht="12" hidden="1" customHeight="1" outlineLevel="1" x14ac:dyDescent="0.2">
      <c r="A70" s="1395"/>
      <c r="B70" s="63"/>
      <c r="C70" s="13"/>
      <c r="D70" s="1064" t="s">
        <v>3070</v>
      </c>
      <c r="E70" s="1066">
        <f t="shared" ref="E70:N70" si="2">(1-hSystemsFTEPercentReductionWorstCaseHM)*pSystemsFTE_HM</f>
        <v>1000</v>
      </c>
      <c r="F70" s="1066">
        <f t="shared" si="2"/>
        <v>1000</v>
      </c>
      <c r="G70" s="1066">
        <f t="shared" si="2"/>
        <v>1000</v>
      </c>
      <c r="H70" s="1066">
        <f t="shared" si="2"/>
        <v>1000</v>
      </c>
      <c r="I70" s="1066">
        <f t="shared" si="2"/>
        <v>1000</v>
      </c>
      <c r="J70" s="1066">
        <f t="shared" si="2"/>
        <v>1000</v>
      </c>
      <c r="K70" s="1066">
        <f t="shared" si="2"/>
        <v>1000</v>
      </c>
      <c r="L70" s="1066">
        <f t="shared" si="2"/>
        <v>1000</v>
      </c>
      <c r="M70" s="1066">
        <f t="shared" si="2"/>
        <v>1000</v>
      </c>
      <c r="N70" s="1066">
        <f t="shared" si="2"/>
        <v>1000</v>
      </c>
      <c r="O70" s="162" t="s">
        <v>3063</v>
      </c>
      <c r="P70" s="12"/>
      <c r="Q70" s="12"/>
      <c r="R70" s="12"/>
      <c r="S70" s="12"/>
      <c r="T70" s="12"/>
      <c r="U70" s="12"/>
      <c r="V70" s="12"/>
      <c r="W70" s="12"/>
      <c r="X70" s="12"/>
      <c r="Y70" s="12"/>
      <c r="Z70" s="12"/>
      <c r="AA70" s="12"/>
      <c r="AB70" s="12"/>
      <c r="AC70" s="12"/>
      <c r="AD70" s="12"/>
      <c r="AE70" s="12"/>
      <c r="AF70" s="12"/>
      <c r="AG70" s="18"/>
    </row>
    <row r="71" spans="1:33" customFormat="1" ht="12" hidden="1" customHeight="1" outlineLevel="1" x14ac:dyDescent="0.2">
      <c r="A71" s="1395"/>
      <c r="B71" s="63"/>
      <c r="C71" s="13"/>
      <c r="D71" s="1064" t="s">
        <v>3075</v>
      </c>
      <c r="E71" s="1066">
        <f t="shared" ref="E71:N71" si="3">(1-hSystemsFTEPercentReductionMostLikelyHM)*pSystemsFTE_HM</f>
        <v>950</v>
      </c>
      <c r="F71" s="1066">
        <f t="shared" si="3"/>
        <v>949</v>
      </c>
      <c r="G71" s="1066">
        <f t="shared" si="3"/>
        <v>948</v>
      </c>
      <c r="H71" s="1066">
        <f t="shared" si="3"/>
        <v>947</v>
      </c>
      <c r="I71" s="1066">
        <f t="shared" si="3"/>
        <v>946</v>
      </c>
      <c r="J71" s="1066">
        <f t="shared" si="3"/>
        <v>945</v>
      </c>
      <c r="K71" s="1066">
        <f t="shared" si="3"/>
        <v>944</v>
      </c>
      <c r="L71" s="1066">
        <f t="shared" si="3"/>
        <v>943</v>
      </c>
      <c r="M71" s="1066">
        <f t="shared" si="3"/>
        <v>942</v>
      </c>
      <c r="N71" s="1066">
        <f t="shared" si="3"/>
        <v>941.00000000000011</v>
      </c>
      <c r="O71" s="162" t="s">
        <v>3064</v>
      </c>
      <c r="P71" s="12"/>
      <c r="Q71" s="12"/>
      <c r="R71" s="12"/>
      <c r="S71" s="12"/>
      <c r="T71" s="12"/>
      <c r="U71" s="12"/>
      <c r="V71" s="12"/>
      <c r="W71" s="12"/>
      <c r="X71" s="12"/>
      <c r="Y71" s="12"/>
      <c r="Z71" s="12"/>
      <c r="AA71" s="12"/>
      <c r="AB71" s="12"/>
      <c r="AC71" s="12"/>
      <c r="AD71" s="12"/>
      <c r="AE71" s="12"/>
      <c r="AF71" s="12"/>
      <c r="AG71" s="18"/>
    </row>
    <row r="72" spans="1:33" customFormat="1" ht="12" hidden="1" customHeight="1" outlineLevel="1" x14ac:dyDescent="0.2">
      <c r="A72" s="1395"/>
      <c r="B72" s="63"/>
      <c r="C72" s="13"/>
      <c r="D72" s="1064" t="s">
        <v>3071</v>
      </c>
      <c r="E72" s="1066">
        <f t="shared" ref="E72:N72" si="4">(1-hSystemsFTEPercentReductionBestCaseHM)*pSystemsFTE_HM</f>
        <v>900</v>
      </c>
      <c r="F72" s="1066">
        <f t="shared" si="4"/>
        <v>899</v>
      </c>
      <c r="G72" s="1066">
        <f t="shared" si="4"/>
        <v>898</v>
      </c>
      <c r="H72" s="1066">
        <f t="shared" si="4"/>
        <v>897</v>
      </c>
      <c r="I72" s="1066">
        <f t="shared" si="4"/>
        <v>896</v>
      </c>
      <c r="J72" s="1066">
        <f t="shared" si="4"/>
        <v>895</v>
      </c>
      <c r="K72" s="1066">
        <f t="shared" si="4"/>
        <v>894</v>
      </c>
      <c r="L72" s="1066">
        <f t="shared" si="4"/>
        <v>893</v>
      </c>
      <c r="M72" s="1066">
        <f t="shared" si="4"/>
        <v>892</v>
      </c>
      <c r="N72" s="1066">
        <f t="shared" si="4"/>
        <v>891</v>
      </c>
      <c r="O72" s="162" t="s">
        <v>3065</v>
      </c>
      <c r="P72" s="12"/>
      <c r="Q72" s="12"/>
      <c r="R72" s="12"/>
      <c r="S72" s="12"/>
      <c r="T72" s="12"/>
      <c r="U72" s="12"/>
      <c r="V72" s="12"/>
      <c r="W72" s="12"/>
      <c r="X72" s="12"/>
      <c r="Y72" s="12"/>
      <c r="Z72" s="12"/>
      <c r="AA72" s="12"/>
      <c r="AB72" s="12"/>
      <c r="AC72" s="12"/>
      <c r="AD72" s="12"/>
      <c r="AE72" s="12"/>
      <c r="AF72" s="12"/>
      <c r="AG72" s="18"/>
    </row>
    <row r="73" spans="1:33" s="8" customFormat="1" ht="12" hidden="1" customHeight="1" outlineLevel="1" x14ac:dyDescent="0.2">
      <c r="A73" s="1395"/>
      <c r="B73" s="65"/>
      <c r="C73" s="50"/>
      <c r="D73" s="1064"/>
      <c r="E73" s="440"/>
      <c r="F73" s="440"/>
      <c r="G73" s="440"/>
      <c r="H73" s="440"/>
      <c r="I73" s="440"/>
      <c r="J73" s="440"/>
      <c r="K73" s="440"/>
      <c r="L73" s="440"/>
      <c r="M73" s="440"/>
      <c r="N73" s="440"/>
      <c r="O73" s="1067"/>
      <c r="P73" s="23"/>
      <c r="Q73" s="23"/>
      <c r="R73" s="23"/>
      <c r="S73" s="23"/>
      <c r="T73" s="23"/>
      <c r="U73" s="23"/>
      <c r="V73" s="23"/>
      <c r="W73" s="23"/>
      <c r="X73" s="23"/>
      <c r="Y73" s="23"/>
      <c r="Z73" s="23"/>
      <c r="AA73" s="23"/>
      <c r="AB73" s="23"/>
      <c r="AC73" s="23"/>
      <c r="AD73" s="23"/>
      <c r="AE73" s="23"/>
      <c r="AF73" s="23"/>
      <c r="AG73" s="17"/>
    </row>
    <row r="74" spans="1:33" customFormat="1" ht="12" hidden="1" customHeight="1" outlineLevel="1" x14ac:dyDescent="0.2">
      <c r="A74" s="1395"/>
      <c r="B74" s="63"/>
      <c r="C74" s="13"/>
      <c r="D74" s="1064" t="s">
        <v>3072</v>
      </c>
      <c r="E74" s="602">
        <f>(AnnualBurdenedSalaryHM*hSystemsFTECalcResultWorstCaseHM)</f>
        <v>111500000</v>
      </c>
      <c r="F74" s="602">
        <f>(AnnualBurdenedSalaryHM*hSystemsFTECalcResultWorstCaseHM)*(1+Inflation)</f>
        <v>113730000</v>
      </c>
      <c r="G74" s="602">
        <f>(AnnualBurdenedSalaryHM*hSystemsFTECalcResultWorstCaseHM)*(1+Inflation)^2</f>
        <v>116004600</v>
      </c>
      <c r="H74" s="602">
        <f>(AnnualBurdenedSalaryHM*hSystemsFTECalcResultWorstCaseHM)*(1+Inflation)^3</f>
        <v>118324691.99999999</v>
      </c>
      <c r="I74" s="602">
        <f>(AnnualBurdenedSalaryHM*hSystemsFTECalcResultWorstCaseHM)*(1+Inflation)^4</f>
        <v>120691185.84</v>
      </c>
      <c r="J74" s="602">
        <f>(AnnualBurdenedSalaryHM*hSystemsFTECalcResultWorstCaseHM)*(1+Inflation)^5</f>
        <v>123105009.55680001</v>
      </c>
      <c r="K74" s="602">
        <f>(AnnualBurdenedSalaryHM*hSystemsFTECalcResultWorstCaseHM)*(1+Inflation)^6</f>
        <v>125567109.74793601</v>
      </c>
      <c r="L74" s="602">
        <f>(AnnualBurdenedSalaryHM*hSystemsFTECalcResultWorstCaseHM)*(1+Inflation)^7</f>
        <v>128078451.9428947</v>
      </c>
      <c r="M74" s="602">
        <f>(AnnualBurdenedSalaryHM*hSystemsFTECalcResultWorstCaseHM)*(1+Inflation)^8</f>
        <v>130640020.9817526</v>
      </c>
      <c r="N74" s="602">
        <f>(AnnualBurdenedSalaryHM*hSystemsFTECalcResultWorstCaseHM)*(1+Inflation)^9</f>
        <v>133252821.40138766</v>
      </c>
      <c r="O74" s="162" t="s">
        <v>3076</v>
      </c>
      <c r="P74" s="12"/>
      <c r="Q74" s="12"/>
      <c r="R74" s="12"/>
      <c r="S74" s="12"/>
      <c r="T74" s="12"/>
      <c r="U74" s="12"/>
      <c r="V74" s="12"/>
      <c r="W74" s="12"/>
      <c r="X74" s="12"/>
      <c r="Y74" s="12"/>
      <c r="Z74" s="12"/>
      <c r="AA74" s="12"/>
      <c r="AB74" s="12"/>
      <c r="AC74" s="12"/>
      <c r="AD74" s="12"/>
      <c r="AE74" s="12"/>
      <c r="AF74" s="12"/>
      <c r="AG74" s="18"/>
    </row>
    <row r="75" spans="1:33" customFormat="1" ht="12" hidden="1" customHeight="1" outlineLevel="1" x14ac:dyDescent="0.2">
      <c r="A75" s="1395"/>
      <c r="B75" s="63"/>
      <c r="C75" s="13"/>
      <c r="D75" s="1064" t="s">
        <v>3074</v>
      </c>
      <c r="E75" s="602">
        <f>(AnnualBurdenedSalaryHM*hSystemsFTECalcResultMostLikelyHM)</f>
        <v>105925000</v>
      </c>
      <c r="F75" s="602">
        <f>(AnnualBurdenedSalaryHM*hSystemsFTECalcResultMostLikelyHM)*(1+Inflation)</f>
        <v>107929770</v>
      </c>
      <c r="G75" s="602">
        <f>(AnnualBurdenedSalaryHM*hSystemsFTECalcResultMostLikelyHM)*(1+Inflation)^2</f>
        <v>109972360.8</v>
      </c>
      <c r="H75" s="602">
        <f>(AnnualBurdenedSalaryHM*hSystemsFTECalcResultMostLikelyHM)*(1+Inflation)^3</f>
        <v>112053483.32399999</v>
      </c>
      <c r="I75" s="602">
        <f>(AnnualBurdenedSalaryHM*hSystemsFTECalcResultMostLikelyHM)*(1+Inflation)^4</f>
        <v>114173861.80464</v>
      </c>
      <c r="J75" s="602">
        <f>(AnnualBurdenedSalaryHM*hSystemsFTECalcResultMostLikelyHM)*(1+Inflation)^5</f>
        <v>116334234.031176</v>
      </c>
      <c r="K75" s="602">
        <f>(AnnualBurdenedSalaryHM*hSystemsFTECalcResultMostLikelyHM)*(1+Inflation)^6</f>
        <v>118535351.60205159</v>
      </c>
      <c r="L75" s="602">
        <f>(AnnualBurdenedSalaryHM*hSystemsFTECalcResultMostLikelyHM)*(1+Inflation)^7</f>
        <v>120777980.18214971</v>
      </c>
      <c r="M75" s="602">
        <f>(AnnualBurdenedSalaryHM*hSystemsFTECalcResultMostLikelyHM)*(1+Inflation)^8</f>
        <v>123062899.76481095</v>
      </c>
      <c r="N75" s="602">
        <f>(AnnualBurdenedSalaryHM*hSystemsFTECalcResultMostLikelyHM)*(1+Inflation)^9</f>
        <v>125390904.9387058</v>
      </c>
      <c r="O75" s="162" t="s">
        <v>3077</v>
      </c>
      <c r="P75" s="12"/>
      <c r="Q75" s="12"/>
      <c r="R75" s="12"/>
      <c r="S75" s="12"/>
      <c r="T75" s="12"/>
      <c r="U75" s="12"/>
      <c r="V75" s="12"/>
      <c r="W75" s="12"/>
      <c r="X75" s="12"/>
      <c r="Y75" s="12"/>
      <c r="Z75" s="12"/>
      <c r="AA75" s="12"/>
      <c r="AB75" s="12"/>
      <c r="AC75" s="12"/>
      <c r="AD75" s="12"/>
      <c r="AE75" s="12"/>
      <c r="AF75" s="12"/>
      <c r="AG75" s="18"/>
    </row>
    <row r="76" spans="1:33" customFormat="1" ht="12" hidden="1" customHeight="1" outlineLevel="1" x14ac:dyDescent="0.2">
      <c r="A76" s="1395"/>
      <c r="B76" s="63"/>
      <c r="C76" s="13"/>
      <c r="D76" s="1064" t="s">
        <v>3073</v>
      </c>
      <c r="E76" s="602">
        <f>(AnnualBurdenedSalaryHM*hSystemsFTECalcResultBestCaseHM)</f>
        <v>100350000</v>
      </c>
      <c r="F76" s="602">
        <f>(AnnualBurdenedSalaryHM*hSystemsFTECalcResultBestCaseHM)*(1+Inflation)</f>
        <v>102243270</v>
      </c>
      <c r="G76" s="602">
        <f>(AnnualBurdenedSalaryHM*hSystemsFTECalcResultBestCaseHM)*(1+Inflation)^2</f>
        <v>104172130.8</v>
      </c>
      <c r="H76" s="602">
        <f>(AnnualBurdenedSalaryHM*hSystemsFTECalcResultBestCaseHM)*(1+Inflation)^3</f>
        <v>106137248.72399999</v>
      </c>
      <c r="I76" s="602">
        <f>(AnnualBurdenedSalaryHM*hSystemsFTECalcResultBestCaseHM)*(1+Inflation)^4</f>
        <v>108139302.51264</v>
      </c>
      <c r="J76" s="602">
        <f>(AnnualBurdenedSalaryHM*hSystemsFTECalcResultBestCaseHM)*(1+Inflation)^5</f>
        <v>110178983.55333599</v>
      </c>
      <c r="K76" s="602">
        <f>(AnnualBurdenedSalaryHM*hSystemsFTECalcResultBestCaseHM)*(1+Inflation)^6</f>
        <v>112256996.11465479</v>
      </c>
      <c r="L76" s="602">
        <f>(AnnualBurdenedSalaryHM*hSystemsFTECalcResultBestCaseHM)*(1+Inflation)^7</f>
        <v>114374057.58500497</v>
      </c>
      <c r="M76" s="602">
        <f>(AnnualBurdenedSalaryHM*hSystemsFTECalcResultBestCaseHM)*(1+Inflation)^8</f>
        <v>116530898.71572332</v>
      </c>
      <c r="N76" s="602">
        <f>(AnnualBurdenedSalaryHM*hSystemsFTECalcResultBestCaseHM)*(1+Inflation)^9</f>
        <v>118728263.8686364</v>
      </c>
      <c r="O76" s="162" t="s">
        <v>3078</v>
      </c>
      <c r="P76" s="12"/>
      <c r="Q76" s="12"/>
      <c r="R76" s="12"/>
      <c r="S76" s="12"/>
      <c r="T76" s="12"/>
      <c r="U76" s="12"/>
      <c r="V76" s="12"/>
      <c r="W76" s="12"/>
      <c r="X76" s="12"/>
      <c r="Y76" s="12"/>
      <c r="Z76" s="12"/>
      <c r="AA76" s="12"/>
      <c r="AB76" s="12"/>
      <c r="AC76" s="12"/>
      <c r="AD76" s="12"/>
      <c r="AE76" s="12"/>
      <c r="AF76" s="12"/>
      <c r="AG76" s="18"/>
    </row>
    <row r="77" spans="1:33" s="8" customFormat="1" ht="12" hidden="1" customHeight="1" outlineLevel="1" x14ac:dyDescent="0.2">
      <c r="A77" s="1395"/>
      <c r="B77" s="65"/>
      <c r="C77" s="50"/>
      <c r="D77" s="1064"/>
      <c r="E77" s="440"/>
      <c r="F77" s="440"/>
      <c r="G77" s="440"/>
      <c r="H77" s="440"/>
      <c r="I77" s="440"/>
      <c r="J77" s="440"/>
      <c r="K77" s="440"/>
      <c r="L77" s="440"/>
      <c r="M77" s="440"/>
      <c r="N77" s="440"/>
      <c r="O77" s="1067"/>
      <c r="P77" s="23"/>
      <c r="Q77" s="23"/>
      <c r="R77" s="23"/>
      <c r="S77" s="23"/>
      <c r="T77" s="23"/>
      <c r="U77" s="23"/>
      <c r="V77" s="23"/>
      <c r="W77" s="23"/>
      <c r="X77" s="23"/>
      <c r="Y77" s="23"/>
      <c r="Z77" s="23"/>
      <c r="AA77" s="23"/>
      <c r="AB77" s="23"/>
      <c r="AC77" s="23"/>
      <c r="AD77" s="23"/>
      <c r="AE77" s="23"/>
      <c r="AF77" s="23"/>
      <c r="AG77" s="17"/>
    </row>
    <row r="78" spans="1:33" customFormat="1" hidden="1" outlineLevel="1" x14ac:dyDescent="0.2">
      <c r="A78" s="1395"/>
      <c r="B78" s="63"/>
      <c r="C78" s="6"/>
      <c r="D78" s="1064" t="s">
        <v>3080</v>
      </c>
      <c r="E78" s="1065">
        <v>0</v>
      </c>
      <c r="F78" s="1065">
        <v>0</v>
      </c>
      <c r="G78" s="1065">
        <v>0</v>
      </c>
      <c r="H78" s="1065">
        <v>0</v>
      </c>
      <c r="I78" s="1065">
        <v>0</v>
      </c>
      <c r="J78" s="1065">
        <v>0</v>
      </c>
      <c r="K78" s="1065">
        <v>0</v>
      </c>
      <c r="L78" s="1065">
        <v>0</v>
      </c>
      <c r="M78" s="1065">
        <v>0</v>
      </c>
      <c r="N78" s="1065">
        <v>0</v>
      </c>
      <c r="O78" s="162" t="s">
        <v>3081</v>
      </c>
      <c r="P78" s="12"/>
      <c r="Q78" s="12"/>
      <c r="R78" s="12"/>
      <c r="S78" s="12"/>
      <c r="T78" s="12"/>
      <c r="U78" s="12"/>
      <c r="V78" s="12"/>
      <c r="W78" s="12"/>
      <c r="X78" s="12"/>
      <c r="Y78" s="12"/>
      <c r="Z78" s="12"/>
      <c r="AA78" s="12"/>
      <c r="AB78" s="12"/>
      <c r="AC78" s="12"/>
      <c r="AD78" s="12"/>
      <c r="AE78" s="12"/>
      <c r="AF78" s="12"/>
      <c r="AG78" s="18"/>
    </row>
    <row r="79" spans="1:33" customFormat="1" hidden="1" outlineLevel="1" x14ac:dyDescent="0.2">
      <c r="A79" s="1395"/>
      <c r="B79" s="63"/>
      <c r="C79" s="6"/>
      <c r="D79" s="1064" t="s">
        <v>3082</v>
      </c>
      <c r="E79" s="1065">
        <v>0.05</v>
      </c>
      <c r="F79" s="1065">
        <v>5.0999999999999997E-2</v>
      </c>
      <c r="G79" s="1065">
        <v>5.1999999999999998E-2</v>
      </c>
      <c r="H79" s="1065">
        <v>5.2999999999999999E-2</v>
      </c>
      <c r="I79" s="1065">
        <v>5.3999999999999999E-2</v>
      </c>
      <c r="J79" s="1065">
        <v>5.5E-2</v>
      </c>
      <c r="K79" s="1065">
        <v>5.6000000000000001E-2</v>
      </c>
      <c r="L79" s="1065">
        <v>5.7000000000000002E-2</v>
      </c>
      <c r="M79" s="1065">
        <v>5.8000000000000003E-2</v>
      </c>
      <c r="N79" s="1065">
        <v>5.8999999999999997E-2</v>
      </c>
      <c r="O79" s="162" t="s">
        <v>3083</v>
      </c>
      <c r="P79" s="12"/>
      <c r="Q79" s="12"/>
      <c r="R79" s="12"/>
      <c r="S79" s="12"/>
      <c r="T79" s="12"/>
      <c r="U79" s="12"/>
      <c r="V79" s="12"/>
      <c r="W79" s="12"/>
      <c r="X79" s="12"/>
      <c r="Y79" s="12"/>
      <c r="Z79" s="12"/>
      <c r="AA79" s="12"/>
      <c r="AB79" s="12"/>
      <c r="AC79" s="12"/>
      <c r="AD79" s="12"/>
      <c r="AE79" s="12"/>
      <c r="AF79" s="12"/>
      <c r="AG79" s="18"/>
    </row>
    <row r="80" spans="1:33" customFormat="1" hidden="1" outlineLevel="1" x14ac:dyDescent="0.2">
      <c r="A80" s="1395"/>
      <c r="B80" s="63"/>
      <c r="C80" s="6"/>
      <c r="D80" s="1064" t="s">
        <v>3084</v>
      </c>
      <c r="E80" s="1065">
        <v>0.1</v>
      </c>
      <c r="F80" s="1065">
        <v>0.10100000000000001</v>
      </c>
      <c r="G80" s="1065">
        <v>0.10199999999999999</v>
      </c>
      <c r="H80" s="1065">
        <v>0.10299999999999999</v>
      </c>
      <c r="I80" s="1065">
        <v>0.104</v>
      </c>
      <c r="J80" s="1065">
        <v>0.105</v>
      </c>
      <c r="K80" s="1065">
        <v>0.106</v>
      </c>
      <c r="L80" s="1065">
        <v>0.107</v>
      </c>
      <c r="M80" s="1065">
        <v>0.108</v>
      </c>
      <c r="N80" s="1065">
        <v>0.109</v>
      </c>
      <c r="O80" s="162" t="s">
        <v>3085</v>
      </c>
      <c r="P80" s="12"/>
      <c r="Q80" s="12"/>
      <c r="R80" s="12"/>
      <c r="S80" s="12"/>
      <c r="T80" s="12"/>
      <c r="U80" s="12"/>
      <c r="V80" s="12"/>
      <c r="W80" s="12"/>
      <c r="X80" s="12"/>
      <c r="Y80" s="12"/>
      <c r="Z80" s="12"/>
      <c r="AA80" s="12"/>
      <c r="AB80" s="12"/>
      <c r="AC80" s="12"/>
      <c r="AD80" s="12"/>
      <c r="AE80" s="12"/>
      <c r="AF80" s="12"/>
      <c r="AG80" s="18"/>
    </row>
    <row r="81" spans="1:33" s="8" customFormat="1" hidden="1" outlineLevel="1" x14ac:dyDescent="0.2">
      <c r="A81" s="1395"/>
      <c r="B81" s="65"/>
      <c r="C81" s="98"/>
      <c r="D81" s="1064"/>
      <c r="E81" s="606"/>
      <c r="F81" s="606"/>
      <c r="G81" s="606"/>
      <c r="H81" s="606"/>
      <c r="I81" s="606"/>
      <c r="J81" s="606"/>
      <c r="K81" s="606"/>
      <c r="L81" s="606"/>
      <c r="M81" s="606"/>
      <c r="N81" s="606"/>
      <c r="O81" s="162"/>
      <c r="P81" s="23"/>
      <c r="Q81" s="23"/>
      <c r="R81" s="23"/>
      <c r="S81" s="23"/>
      <c r="T81" s="23"/>
      <c r="U81" s="23"/>
      <c r="V81" s="23"/>
      <c r="W81" s="23"/>
      <c r="X81" s="23"/>
      <c r="Y81" s="23"/>
      <c r="Z81" s="23"/>
      <c r="AA81" s="23"/>
      <c r="AB81" s="23"/>
      <c r="AC81" s="23"/>
      <c r="AD81" s="23"/>
      <c r="AE81" s="23"/>
      <c r="AF81" s="23"/>
      <c r="AG81" s="17"/>
    </row>
    <row r="82" spans="1:33" customFormat="1" ht="12" hidden="1" customHeight="1" outlineLevel="1" x14ac:dyDescent="0.2">
      <c r="A82" s="1395"/>
      <c r="B82" s="63"/>
      <c r="C82" s="13"/>
      <c r="D82" s="1064" t="s">
        <v>3086</v>
      </c>
      <c r="E82" s="1066">
        <f t="shared" ref="E82:N82" si="5">(1-hSystemsFTEPercentReductionWorstCaseLM)*pSystemsFTE_LM</f>
        <v>1500</v>
      </c>
      <c r="F82" s="1066">
        <f t="shared" si="5"/>
        <v>1500</v>
      </c>
      <c r="G82" s="1066">
        <f t="shared" si="5"/>
        <v>1500</v>
      </c>
      <c r="H82" s="1066">
        <f t="shared" si="5"/>
        <v>1500</v>
      </c>
      <c r="I82" s="1066">
        <f t="shared" si="5"/>
        <v>1500</v>
      </c>
      <c r="J82" s="1066">
        <f t="shared" si="5"/>
        <v>1500</v>
      </c>
      <c r="K82" s="1066">
        <f t="shared" si="5"/>
        <v>1500</v>
      </c>
      <c r="L82" s="1066">
        <f t="shared" si="5"/>
        <v>1500</v>
      </c>
      <c r="M82" s="1066">
        <f t="shared" si="5"/>
        <v>1500</v>
      </c>
      <c r="N82" s="1066">
        <f t="shared" si="5"/>
        <v>1500</v>
      </c>
      <c r="O82" s="162" t="s">
        <v>3087</v>
      </c>
      <c r="P82" s="12"/>
      <c r="Q82" s="12"/>
      <c r="R82" s="12"/>
      <c r="S82" s="12"/>
      <c r="T82" s="12"/>
      <c r="U82" s="12"/>
      <c r="V82" s="12"/>
      <c r="W82" s="12"/>
      <c r="X82" s="12"/>
      <c r="Y82" s="12"/>
      <c r="Z82" s="12"/>
      <c r="AA82" s="12"/>
      <c r="AB82" s="12"/>
      <c r="AC82" s="12"/>
      <c r="AD82" s="12"/>
      <c r="AE82" s="12"/>
      <c r="AF82" s="12"/>
      <c r="AG82" s="18"/>
    </row>
    <row r="83" spans="1:33" customFormat="1" ht="12" hidden="1" customHeight="1" outlineLevel="1" x14ac:dyDescent="0.2">
      <c r="A83" s="1395"/>
      <c r="B83" s="63"/>
      <c r="C83" s="13"/>
      <c r="D83" s="1064" t="s">
        <v>3088</v>
      </c>
      <c r="E83" s="1066">
        <f t="shared" ref="E83:N83" si="6">(1-hSystemsFTEPercentReductionMostLikelyLM)*pSystemsFTE_LM</f>
        <v>1425</v>
      </c>
      <c r="F83" s="1066">
        <f t="shared" si="6"/>
        <v>1423.5</v>
      </c>
      <c r="G83" s="1066">
        <f t="shared" si="6"/>
        <v>1422</v>
      </c>
      <c r="H83" s="1066">
        <f t="shared" si="6"/>
        <v>1420.5</v>
      </c>
      <c r="I83" s="1066">
        <f t="shared" si="6"/>
        <v>1419</v>
      </c>
      <c r="J83" s="1066">
        <f t="shared" si="6"/>
        <v>1417.5</v>
      </c>
      <c r="K83" s="1066">
        <f t="shared" si="6"/>
        <v>1416</v>
      </c>
      <c r="L83" s="1066">
        <f t="shared" si="6"/>
        <v>1414.5</v>
      </c>
      <c r="M83" s="1066">
        <f t="shared" si="6"/>
        <v>1413</v>
      </c>
      <c r="N83" s="1066">
        <f t="shared" si="6"/>
        <v>1411.5</v>
      </c>
      <c r="O83" s="162" t="s">
        <v>3089</v>
      </c>
      <c r="P83" s="12"/>
      <c r="Q83" s="12"/>
      <c r="R83" s="12"/>
      <c r="S83" s="12"/>
      <c r="T83" s="12"/>
      <c r="U83" s="12"/>
      <c r="V83" s="12"/>
      <c r="W83" s="12"/>
      <c r="X83" s="12"/>
      <c r="Y83" s="12"/>
      <c r="Z83" s="12"/>
      <c r="AA83" s="12"/>
      <c r="AB83" s="12"/>
      <c r="AC83" s="12"/>
      <c r="AD83" s="12"/>
      <c r="AE83" s="12"/>
      <c r="AF83" s="12"/>
      <c r="AG83" s="18"/>
    </row>
    <row r="84" spans="1:33" customFormat="1" ht="12" hidden="1" customHeight="1" outlineLevel="1" x14ac:dyDescent="0.2">
      <c r="A84" s="1395"/>
      <c r="B84" s="63"/>
      <c r="C84" s="13"/>
      <c r="D84" s="1064" t="s">
        <v>3090</v>
      </c>
      <c r="E84" s="1066">
        <f t="shared" ref="E84:N84" si="7">(1-hSystemsFTEPercentReductionBestCaseLM)*pSystemsFTE_LM</f>
        <v>1350</v>
      </c>
      <c r="F84" s="1066">
        <f t="shared" si="7"/>
        <v>1348.5</v>
      </c>
      <c r="G84" s="1066">
        <f t="shared" si="7"/>
        <v>1347</v>
      </c>
      <c r="H84" s="1066">
        <f t="shared" si="7"/>
        <v>1345.5</v>
      </c>
      <c r="I84" s="1066">
        <f t="shared" si="7"/>
        <v>1344</v>
      </c>
      <c r="J84" s="1066">
        <f t="shared" si="7"/>
        <v>1342.5</v>
      </c>
      <c r="K84" s="1066">
        <f t="shared" si="7"/>
        <v>1341</v>
      </c>
      <c r="L84" s="1066">
        <f t="shared" si="7"/>
        <v>1339.5</v>
      </c>
      <c r="M84" s="1066">
        <f t="shared" si="7"/>
        <v>1338</v>
      </c>
      <c r="N84" s="1066">
        <f t="shared" si="7"/>
        <v>1336.5</v>
      </c>
      <c r="O84" s="162" t="s">
        <v>3091</v>
      </c>
      <c r="P84" s="12"/>
      <c r="Q84" s="12"/>
      <c r="R84" s="12"/>
      <c r="S84" s="12"/>
      <c r="T84" s="12"/>
      <c r="U84" s="12"/>
      <c r="V84" s="12"/>
      <c r="W84" s="12"/>
      <c r="X84" s="12"/>
      <c r="Y84" s="12"/>
      <c r="Z84" s="12"/>
      <c r="AA84" s="12"/>
      <c r="AB84" s="12"/>
      <c r="AC84" s="12"/>
      <c r="AD84" s="12"/>
      <c r="AE84" s="12"/>
      <c r="AF84" s="12"/>
      <c r="AG84" s="18"/>
    </row>
    <row r="85" spans="1:33" s="8" customFormat="1" ht="12" hidden="1" customHeight="1" outlineLevel="1" x14ac:dyDescent="0.2">
      <c r="A85" s="1395"/>
      <c r="B85" s="65"/>
      <c r="C85" s="50"/>
      <c r="D85" s="1064"/>
      <c r="E85" s="440"/>
      <c r="F85" s="440"/>
      <c r="G85" s="440"/>
      <c r="H85" s="440"/>
      <c r="I85" s="440"/>
      <c r="J85" s="440"/>
      <c r="K85" s="440"/>
      <c r="L85" s="440"/>
      <c r="M85" s="440"/>
      <c r="N85" s="440"/>
      <c r="O85" s="1067"/>
      <c r="P85" s="23"/>
      <c r="Q85" s="23"/>
      <c r="R85" s="23"/>
      <c r="S85" s="23"/>
      <c r="T85" s="23"/>
      <c r="U85" s="23"/>
      <c r="V85" s="23"/>
      <c r="W85" s="23"/>
      <c r="X85" s="23"/>
      <c r="Y85" s="23"/>
      <c r="Z85" s="23"/>
      <c r="AA85" s="23"/>
      <c r="AB85" s="23"/>
      <c r="AC85" s="23"/>
      <c r="AD85" s="23"/>
      <c r="AE85" s="23"/>
      <c r="AF85" s="23"/>
      <c r="AG85" s="17"/>
    </row>
    <row r="86" spans="1:33" customFormat="1" ht="12" hidden="1" customHeight="1" outlineLevel="1" x14ac:dyDescent="0.2">
      <c r="A86" s="1395"/>
      <c r="B86" s="63"/>
      <c r="C86" s="13"/>
      <c r="D86" s="1064" t="s">
        <v>3092</v>
      </c>
      <c r="E86" s="602">
        <f>(AnnualBurdenedSalaryLM*hSystemsFTECalcResultWorstCaseLM)</f>
        <v>209062500</v>
      </c>
      <c r="F86" s="602">
        <f>(AnnualBurdenedSalaryLM*hSystemsFTECalcResultWorstCaseLM)*(1+Inflation)</f>
        <v>213243750</v>
      </c>
      <c r="G86" s="602">
        <f>(AnnualBurdenedSalaryLM*hSystemsFTECalcResultWorstCaseLM)*(1+Inflation)^2</f>
        <v>217508625</v>
      </c>
      <c r="H86" s="602">
        <f>(AnnualBurdenedSalaryLM*hSystemsFTECalcResultWorstCaseLM)*(1+Inflation)^3</f>
        <v>221858797.5</v>
      </c>
      <c r="I86" s="602">
        <f>(AnnualBurdenedSalaryLM*hSystemsFTECalcResultWorstCaseLM)*(1+Inflation)^4</f>
        <v>226295973.44999999</v>
      </c>
      <c r="J86" s="602">
        <f>(AnnualBurdenedSalaryLM*hSystemsFTECalcResultWorstCaseLM)*(1+Inflation)^5</f>
        <v>230821892.919</v>
      </c>
      <c r="K86" s="602">
        <f>(AnnualBurdenedSalaryLM*hSystemsFTECalcResultWorstCaseLM)*(1+Inflation)^6</f>
        <v>235438330.77738002</v>
      </c>
      <c r="L86" s="602">
        <f>(AnnualBurdenedSalaryLM*hSystemsFTECalcResultWorstCaseLM)*(1+Inflation)^7</f>
        <v>240147097.39292756</v>
      </c>
      <c r="M86" s="602">
        <f>(AnnualBurdenedSalaryLM*hSystemsFTECalcResultWorstCaseLM)*(1+Inflation)^8</f>
        <v>244950039.34078613</v>
      </c>
      <c r="N86" s="602">
        <f>(AnnualBurdenedSalaryLM*hSystemsFTECalcResultWorstCaseLM)*(1+Inflation)^9</f>
        <v>249849040.12760186</v>
      </c>
      <c r="O86" s="162" t="s">
        <v>3093</v>
      </c>
      <c r="P86" s="12"/>
      <c r="Q86" s="12"/>
      <c r="R86" s="12"/>
      <c r="S86" s="12"/>
      <c r="T86" s="12"/>
      <c r="U86" s="12"/>
      <c r="V86" s="12"/>
      <c r="W86" s="12"/>
      <c r="X86" s="12"/>
      <c r="Y86" s="12"/>
      <c r="Z86" s="12"/>
      <c r="AA86" s="12"/>
      <c r="AB86" s="12"/>
      <c r="AC86" s="12"/>
      <c r="AD86" s="12"/>
      <c r="AE86" s="12"/>
      <c r="AF86" s="12"/>
      <c r="AG86" s="18"/>
    </row>
    <row r="87" spans="1:33" customFormat="1" ht="12" hidden="1" customHeight="1" outlineLevel="1" x14ac:dyDescent="0.2">
      <c r="A87" s="1395"/>
      <c r="B87" s="63"/>
      <c r="C87" s="13"/>
      <c r="D87" s="1064" t="s">
        <v>3094</v>
      </c>
      <c r="E87" s="602">
        <f>(AnnualBurdenedSalaryLM*hSystemsFTECalcResultMostLikelyLM)</f>
        <v>198609375</v>
      </c>
      <c r="F87" s="602">
        <f>(AnnualBurdenedSalaryLM*hSystemsFTECalcResultMostLikelyLM)*(1+Inflation)</f>
        <v>202368318.75</v>
      </c>
      <c r="G87" s="602">
        <f>(AnnualBurdenedSalaryLM*hSystemsFTECalcResultMostLikelyLM)*(1+Inflation)^2</f>
        <v>206198176.5</v>
      </c>
      <c r="H87" s="602">
        <f>(AnnualBurdenedSalaryLM*hSystemsFTECalcResultMostLikelyLM)*(1+Inflation)^3</f>
        <v>210100281.23249999</v>
      </c>
      <c r="I87" s="602">
        <f>(AnnualBurdenedSalaryLM*hSystemsFTECalcResultMostLikelyLM)*(1+Inflation)^4</f>
        <v>214075990.88369998</v>
      </c>
      <c r="J87" s="602">
        <f>(AnnualBurdenedSalaryLM*hSystemsFTECalcResultMostLikelyLM)*(1+Inflation)^5</f>
        <v>218126688.80845499</v>
      </c>
      <c r="K87" s="602">
        <f>(AnnualBurdenedSalaryLM*hSystemsFTECalcResultMostLikelyLM)*(1+Inflation)^6</f>
        <v>222253784.25384673</v>
      </c>
      <c r="L87" s="602">
        <f>(AnnualBurdenedSalaryLM*hSystemsFTECalcResultMostLikelyLM)*(1+Inflation)^7</f>
        <v>226458712.84153068</v>
      </c>
      <c r="M87" s="602">
        <f>(AnnualBurdenedSalaryLM*hSystemsFTECalcResultMostLikelyLM)*(1+Inflation)^8</f>
        <v>230742937.05902055</v>
      </c>
      <c r="N87" s="602">
        <f>(AnnualBurdenedSalaryLM*hSystemsFTECalcResultMostLikelyLM)*(1+Inflation)^9</f>
        <v>235107946.76007336</v>
      </c>
      <c r="O87" s="162" t="s">
        <v>3095</v>
      </c>
      <c r="P87" s="12"/>
      <c r="Q87" s="12"/>
      <c r="R87" s="12"/>
      <c r="S87" s="12"/>
      <c r="T87" s="12"/>
      <c r="U87" s="12"/>
      <c r="V87" s="12"/>
      <c r="W87" s="12"/>
      <c r="X87" s="12"/>
      <c r="Y87" s="12"/>
      <c r="Z87" s="12"/>
      <c r="AA87" s="12"/>
      <c r="AB87" s="12"/>
      <c r="AC87" s="12"/>
      <c r="AD87" s="12"/>
      <c r="AE87" s="12"/>
      <c r="AF87" s="12"/>
      <c r="AG87" s="18"/>
    </row>
    <row r="88" spans="1:33" customFormat="1" ht="12" hidden="1" customHeight="1" outlineLevel="1" x14ac:dyDescent="0.2">
      <c r="A88" s="1395"/>
      <c r="B88" s="63"/>
      <c r="C88" s="13"/>
      <c r="D88" s="1064" t="s">
        <v>3096</v>
      </c>
      <c r="E88" s="602">
        <f>(AnnualBurdenedSalaryLM*hSystemsFTECalcResultBestCaseLM)</f>
        <v>188156250</v>
      </c>
      <c r="F88" s="602">
        <f>(AnnualBurdenedSalaryLM*hSystemsFTECalcResultBestCaseLM)*(1+Inflation)</f>
        <v>191706131.25</v>
      </c>
      <c r="G88" s="602">
        <f>(AnnualBurdenedSalaryLM*hSystemsFTECalcResultBestCaseLM)*(1+Inflation)^2</f>
        <v>195322745.25</v>
      </c>
      <c r="H88" s="602">
        <f>(AnnualBurdenedSalaryLM*hSystemsFTECalcResultBestCaseLM)*(1+Inflation)^3</f>
        <v>199007341.35749999</v>
      </c>
      <c r="I88" s="602">
        <f>(AnnualBurdenedSalaryLM*hSystemsFTECalcResultBestCaseLM)*(1+Inflation)^4</f>
        <v>202761192.2112</v>
      </c>
      <c r="J88" s="602">
        <f>(AnnualBurdenedSalaryLM*hSystemsFTECalcResultBestCaseLM)*(1+Inflation)^5</f>
        <v>206585594.162505</v>
      </c>
      <c r="K88" s="602">
        <f>(AnnualBurdenedSalaryLM*hSystemsFTECalcResultBestCaseLM)*(1+Inflation)^6</f>
        <v>210481867.71497774</v>
      </c>
      <c r="L88" s="602">
        <f>(AnnualBurdenedSalaryLM*hSystemsFTECalcResultBestCaseLM)*(1+Inflation)^7</f>
        <v>214451357.97188431</v>
      </c>
      <c r="M88" s="602">
        <f>(AnnualBurdenedSalaryLM*hSystemsFTECalcResultBestCaseLM)*(1+Inflation)^8</f>
        <v>218495435.09198123</v>
      </c>
      <c r="N88" s="602">
        <f>(AnnualBurdenedSalaryLM*hSystemsFTECalcResultBestCaseLM)*(1+Inflation)^9</f>
        <v>222615494.75369325</v>
      </c>
      <c r="O88" s="162" t="s">
        <v>3097</v>
      </c>
      <c r="P88" s="12"/>
      <c r="Q88" s="12"/>
      <c r="R88" s="12"/>
      <c r="S88" s="12"/>
      <c r="T88" s="12"/>
      <c r="U88" s="12"/>
      <c r="V88" s="12"/>
      <c r="W88" s="12"/>
      <c r="X88" s="12"/>
      <c r="Y88" s="12"/>
      <c r="Z88" s="12"/>
      <c r="AA88" s="12"/>
      <c r="AB88" s="12"/>
      <c r="AC88" s="12"/>
      <c r="AD88" s="12"/>
      <c r="AE88" s="12"/>
      <c r="AF88" s="12"/>
      <c r="AG88" s="18"/>
    </row>
    <row r="89" spans="1:33" s="8" customFormat="1" ht="12" hidden="1" customHeight="1" outlineLevel="1" x14ac:dyDescent="0.2">
      <c r="A89" s="1395"/>
      <c r="B89" s="65"/>
      <c r="C89" s="50"/>
      <c r="D89" s="1064"/>
      <c r="E89" s="440"/>
      <c r="F89" s="440"/>
      <c r="G89" s="440"/>
      <c r="H89" s="440"/>
      <c r="I89" s="440"/>
      <c r="J89" s="440"/>
      <c r="K89" s="440"/>
      <c r="L89" s="440"/>
      <c r="M89" s="440"/>
      <c r="N89" s="440"/>
      <c r="O89" s="642"/>
      <c r="P89" s="23"/>
      <c r="Q89" s="23"/>
      <c r="R89" s="23"/>
      <c r="S89" s="23"/>
      <c r="T89" s="23"/>
      <c r="U89" s="23"/>
      <c r="V89" s="23"/>
      <c r="W89" s="23"/>
      <c r="X89" s="23"/>
      <c r="Y89" s="23"/>
      <c r="Z89" s="23"/>
      <c r="AA89" s="23"/>
      <c r="AB89" s="23"/>
      <c r="AC89" s="23"/>
      <c r="AD89" s="23"/>
      <c r="AE89" s="23"/>
      <c r="AF89" s="23"/>
      <c r="AG89" s="17"/>
    </row>
    <row r="90" spans="1:33" customFormat="1" hidden="1" outlineLevel="1" x14ac:dyDescent="0.2">
      <c r="A90" s="1395"/>
      <c r="B90" s="63"/>
      <c r="C90" s="6"/>
      <c r="D90" s="1064" t="s">
        <v>3098</v>
      </c>
      <c r="E90" s="1065">
        <v>0</v>
      </c>
      <c r="F90" s="1065">
        <v>0</v>
      </c>
      <c r="G90" s="1065">
        <v>0</v>
      </c>
      <c r="H90" s="1065">
        <v>0</v>
      </c>
      <c r="I90" s="1065">
        <v>0</v>
      </c>
      <c r="J90" s="1065">
        <v>0</v>
      </c>
      <c r="K90" s="1065">
        <v>0</v>
      </c>
      <c r="L90" s="1065">
        <v>0</v>
      </c>
      <c r="M90" s="1065">
        <v>0</v>
      </c>
      <c r="N90" s="1065">
        <v>0</v>
      </c>
      <c r="O90" s="162" t="s">
        <v>3099</v>
      </c>
      <c r="P90" s="12"/>
      <c r="Q90" s="12"/>
      <c r="R90" s="12"/>
      <c r="S90" s="12"/>
      <c r="T90" s="12"/>
      <c r="U90" s="12"/>
      <c r="V90" s="12"/>
      <c r="W90" s="12"/>
      <c r="X90" s="12"/>
      <c r="Y90" s="12"/>
      <c r="Z90" s="12"/>
      <c r="AA90" s="12"/>
      <c r="AB90" s="12"/>
      <c r="AC90" s="12"/>
      <c r="AD90" s="12"/>
      <c r="AE90" s="12"/>
      <c r="AF90" s="12"/>
      <c r="AG90" s="18"/>
    </row>
    <row r="91" spans="1:33" customFormat="1" hidden="1" outlineLevel="1" x14ac:dyDescent="0.2">
      <c r="A91" s="1395"/>
      <c r="B91" s="63"/>
      <c r="C91" s="6"/>
      <c r="D91" s="1064" t="s">
        <v>3100</v>
      </c>
      <c r="E91" s="1065">
        <v>0.1</v>
      </c>
      <c r="F91" s="1065">
        <v>0.1</v>
      </c>
      <c r="G91" s="1065">
        <v>0.1</v>
      </c>
      <c r="H91" s="1065">
        <v>0.1</v>
      </c>
      <c r="I91" s="1065">
        <v>0.1</v>
      </c>
      <c r="J91" s="1065">
        <v>0.1</v>
      </c>
      <c r="K91" s="1065">
        <v>0.1</v>
      </c>
      <c r="L91" s="1065">
        <v>0.1</v>
      </c>
      <c r="M91" s="1065">
        <v>0.1</v>
      </c>
      <c r="N91" s="1065">
        <v>0.1</v>
      </c>
      <c r="O91" s="162" t="s">
        <v>3101</v>
      </c>
      <c r="P91" s="12"/>
      <c r="Q91" s="12"/>
      <c r="R91" s="12"/>
      <c r="S91" s="12"/>
      <c r="T91" s="12"/>
      <c r="U91" s="12"/>
      <c r="V91" s="12"/>
      <c r="W91" s="12"/>
      <c r="X91" s="12"/>
      <c r="Y91" s="12"/>
      <c r="Z91" s="12"/>
      <c r="AA91" s="12"/>
      <c r="AB91" s="12"/>
      <c r="AC91" s="12"/>
      <c r="AD91" s="12"/>
      <c r="AE91" s="12"/>
      <c r="AF91" s="12"/>
      <c r="AG91" s="18"/>
    </row>
    <row r="92" spans="1:33" customFormat="1" hidden="1" outlineLevel="1" x14ac:dyDescent="0.2">
      <c r="A92" s="1395"/>
      <c r="B92" s="63"/>
      <c r="C92" s="6"/>
      <c r="D92" s="1064" t="s">
        <v>3102</v>
      </c>
      <c r="E92" s="1065">
        <v>0.2</v>
      </c>
      <c r="F92" s="1065">
        <v>0.2</v>
      </c>
      <c r="G92" s="1065">
        <v>0.2</v>
      </c>
      <c r="H92" s="1065">
        <v>0.2</v>
      </c>
      <c r="I92" s="1065">
        <v>0.2</v>
      </c>
      <c r="J92" s="1065">
        <v>0.2</v>
      </c>
      <c r="K92" s="1065">
        <v>0.2</v>
      </c>
      <c r="L92" s="1065">
        <v>0.2</v>
      </c>
      <c r="M92" s="1065">
        <v>0.2</v>
      </c>
      <c r="N92" s="1065">
        <v>0.2</v>
      </c>
      <c r="O92" s="162" t="s">
        <v>3103</v>
      </c>
      <c r="P92" s="12"/>
      <c r="Q92" s="12"/>
      <c r="R92" s="12"/>
      <c r="S92" s="12"/>
      <c r="T92" s="12"/>
      <c r="U92" s="12"/>
      <c r="V92" s="12"/>
      <c r="W92" s="12"/>
      <c r="X92" s="12"/>
      <c r="Y92" s="12"/>
      <c r="Z92" s="12"/>
      <c r="AA92" s="12"/>
      <c r="AB92" s="12"/>
      <c r="AC92" s="12"/>
      <c r="AD92" s="12"/>
      <c r="AE92" s="12"/>
      <c r="AF92" s="12"/>
      <c r="AG92" s="18"/>
    </row>
    <row r="93" spans="1:33" s="8" customFormat="1" hidden="1" outlineLevel="1" x14ac:dyDescent="0.2">
      <c r="A93" s="1395"/>
      <c r="B93" s="65"/>
      <c r="C93" s="98"/>
      <c r="D93" s="1064"/>
      <c r="E93" s="606"/>
      <c r="F93" s="606"/>
      <c r="G93" s="606"/>
      <c r="H93" s="606"/>
      <c r="I93" s="606"/>
      <c r="J93" s="606"/>
      <c r="K93" s="606"/>
      <c r="L93" s="606"/>
      <c r="M93" s="606"/>
      <c r="N93" s="606"/>
      <c r="O93" s="162"/>
      <c r="P93" s="23"/>
      <c r="Q93" s="23"/>
      <c r="R93" s="23"/>
      <c r="S93" s="23"/>
      <c r="T93" s="23"/>
      <c r="U93" s="23"/>
      <c r="V93" s="23"/>
      <c r="W93" s="23"/>
      <c r="X93" s="23"/>
      <c r="Y93" s="23"/>
      <c r="Z93" s="23"/>
      <c r="AA93" s="23"/>
      <c r="AB93" s="23"/>
      <c r="AC93" s="23"/>
      <c r="AD93" s="23"/>
      <c r="AE93" s="23"/>
      <c r="AF93" s="23"/>
      <c r="AG93" s="17"/>
    </row>
    <row r="94" spans="1:33" customFormat="1" ht="12" hidden="1" customHeight="1" outlineLevel="1" x14ac:dyDescent="0.2">
      <c r="A94" s="1395"/>
      <c r="B94" s="63"/>
      <c r="C94" s="13"/>
      <c r="D94" s="1064" t="s">
        <v>3104</v>
      </c>
      <c r="E94" s="1066">
        <f t="shared" ref="E94:N94" si="8">(1-hSystemsFTEPercentReductionWorstCaseENG)*pSystemsFTE_ENG</f>
        <v>100</v>
      </c>
      <c r="F94" s="1066">
        <f t="shared" si="8"/>
        <v>100</v>
      </c>
      <c r="G94" s="1066">
        <f t="shared" si="8"/>
        <v>100</v>
      </c>
      <c r="H94" s="1066">
        <f t="shared" si="8"/>
        <v>100</v>
      </c>
      <c r="I94" s="1066">
        <f t="shared" si="8"/>
        <v>100</v>
      </c>
      <c r="J94" s="1066">
        <f t="shared" si="8"/>
        <v>100</v>
      </c>
      <c r="K94" s="1066">
        <f t="shared" si="8"/>
        <v>100</v>
      </c>
      <c r="L94" s="1066">
        <f t="shared" si="8"/>
        <v>100</v>
      </c>
      <c r="M94" s="1066">
        <f t="shared" si="8"/>
        <v>100</v>
      </c>
      <c r="N94" s="1066">
        <f t="shared" si="8"/>
        <v>100</v>
      </c>
      <c r="O94" s="162" t="s">
        <v>3105</v>
      </c>
      <c r="P94" s="12"/>
      <c r="Q94" s="12"/>
      <c r="R94" s="12"/>
      <c r="S94" s="12"/>
      <c r="T94" s="12"/>
      <c r="U94" s="12"/>
      <c r="V94" s="12"/>
      <c r="W94" s="12"/>
      <c r="X94" s="12"/>
      <c r="Y94" s="12"/>
      <c r="Z94" s="12"/>
      <c r="AA94" s="12"/>
      <c r="AB94" s="12"/>
      <c r="AC94" s="12"/>
      <c r="AD94" s="12"/>
      <c r="AE94" s="12"/>
      <c r="AF94" s="12"/>
      <c r="AG94" s="18"/>
    </row>
    <row r="95" spans="1:33" customFormat="1" ht="12" hidden="1" customHeight="1" outlineLevel="1" x14ac:dyDescent="0.2">
      <c r="A95" s="1395"/>
      <c r="B95" s="63"/>
      <c r="C95" s="13"/>
      <c r="D95" s="1064" t="s">
        <v>3106</v>
      </c>
      <c r="E95" s="1066">
        <f t="shared" ref="E95:N95" si="9">(1-hSystemsFTEPercentReductionMostLikelyENG)*pSystemsFTE_ENG</f>
        <v>90</v>
      </c>
      <c r="F95" s="1066">
        <f t="shared" si="9"/>
        <v>90</v>
      </c>
      <c r="G95" s="1066">
        <f t="shared" si="9"/>
        <v>90</v>
      </c>
      <c r="H95" s="1066">
        <f t="shared" si="9"/>
        <v>90</v>
      </c>
      <c r="I95" s="1066">
        <f t="shared" si="9"/>
        <v>90</v>
      </c>
      <c r="J95" s="1066">
        <f t="shared" si="9"/>
        <v>90</v>
      </c>
      <c r="K95" s="1066">
        <f t="shared" si="9"/>
        <v>90</v>
      </c>
      <c r="L95" s="1066">
        <f t="shared" si="9"/>
        <v>90</v>
      </c>
      <c r="M95" s="1066">
        <f t="shared" si="9"/>
        <v>90</v>
      </c>
      <c r="N95" s="1066">
        <f t="shared" si="9"/>
        <v>90</v>
      </c>
      <c r="O95" s="162" t="s">
        <v>3107</v>
      </c>
      <c r="P95" s="12"/>
      <c r="Q95" s="12"/>
      <c r="R95" s="12"/>
      <c r="S95" s="12"/>
      <c r="T95" s="12"/>
      <c r="U95" s="12"/>
      <c r="V95" s="12"/>
      <c r="W95" s="12"/>
      <c r="X95" s="12"/>
      <c r="Y95" s="12"/>
      <c r="Z95" s="12"/>
      <c r="AA95" s="12"/>
      <c r="AB95" s="12"/>
      <c r="AC95" s="12"/>
      <c r="AD95" s="12"/>
      <c r="AE95" s="12"/>
      <c r="AF95" s="12"/>
      <c r="AG95" s="18"/>
    </row>
    <row r="96" spans="1:33" customFormat="1" ht="12" hidden="1" customHeight="1" outlineLevel="1" x14ac:dyDescent="0.2">
      <c r="A96" s="1395"/>
      <c r="B96" s="63"/>
      <c r="C96" s="13"/>
      <c r="D96" s="1064" t="s">
        <v>3108</v>
      </c>
      <c r="E96" s="1066">
        <f t="shared" ref="E96:N96" si="10">(1-hSystemsFTEPercentReductionBestCaseENG)*pSystemsFTE_ENG</f>
        <v>80</v>
      </c>
      <c r="F96" s="1066">
        <f t="shared" si="10"/>
        <v>80</v>
      </c>
      <c r="G96" s="1066">
        <f t="shared" si="10"/>
        <v>80</v>
      </c>
      <c r="H96" s="1066">
        <f t="shared" si="10"/>
        <v>80</v>
      </c>
      <c r="I96" s="1066">
        <f t="shared" si="10"/>
        <v>80</v>
      </c>
      <c r="J96" s="1066">
        <f t="shared" si="10"/>
        <v>80</v>
      </c>
      <c r="K96" s="1066">
        <f t="shared" si="10"/>
        <v>80</v>
      </c>
      <c r="L96" s="1066">
        <f t="shared" si="10"/>
        <v>80</v>
      </c>
      <c r="M96" s="1066">
        <f t="shared" si="10"/>
        <v>80</v>
      </c>
      <c r="N96" s="1066">
        <f t="shared" si="10"/>
        <v>80</v>
      </c>
      <c r="O96" s="162" t="s">
        <v>3109</v>
      </c>
      <c r="P96" s="12"/>
      <c r="Q96" s="12"/>
      <c r="R96" s="12"/>
      <c r="S96" s="12"/>
      <c r="T96" s="12"/>
      <c r="U96" s="12"/>
      <c r="V96" s="12"/>
      <c r="W96" s="12"/>
      <c r="X96" s="12"/>
      <c r="Y96" s="12"/>
      <c r="Z96" s="12"/>
      <c r="AA96" s="12"/>
      <c r="AB96" s="12"/>
      <c r="AC96" s="12"/>
      <c r="AD96" s="12"/>
      <c r="AE96" s="12"/>
      <c r="AF96" s="12"/>
      <c r="AG96" s="18"/>
    </row>
    <row r="97" spans="1:33" s="8" customFormat="1" ht="12" hidden="1" customHeight="1" outlineLevel="1" x14ac:dyDescent="0.2">
      <c r="A97" s="1395"/>
      <c r="B97" s="65"/>
      <c r="C97" s="50"/>
      <c r="D97" s="1064"/>
      <c r="E97" s="440"/>
      <c r="F97" s="440"/>
      <c r="G97" s="440"/>
      <c r="H97" s="440"/>
      <c r="I97" s="440"/>
      <c r="J97" s="440"/>
      <c r="K97" s="440"/>
      <c r="L97" s="440"/>
      <c r="M97" s="440"/>
      <c r="N97" s="440"/>
      <c r="O97" s="1067"/>
      <c r="P97" s="23"/>
      <c r="Q97" s="23"/>
      <c r="R97" s="23"/>
      <c r="S97" s="23"/>
      <c r="T97" s="23"/>
      <c r="U97" s="23"/>
      <c r="V97" s="23"/>
      <c r="W97" s="23"/>
      <c r="X97" s="23"/>
      <c r="Y97" s="23"/>
      <c r="Z97" s="23"/>
      <c r="AA97" s="23"/>
      <c r="AB97" s="23"/>
      <c r="AC97" s="23"/>
      <c r="AD97" s="23"/>
      <c r="AE97" s="23"/>
      <c r="AF97" s="23"/>
      <c r="AG97" s="17"/>
    </row>
    <row r="98" spans="1:33" customFormat="1" ht="12" hidden="1" customHeight="1" outlineLevel="1" x14ac:dyDescent="0.2">
      <c r="A98" s="1395"/>
      <c r="B98" s="63"/>
      <c r="C98" s="13"/>
      <c r="D98" s="1064" t="s">
        <v>3110</v>
      </c>
      <c r="E98" s="602">
        <f>(AnnualBurdenedSalaryENG*hSystemsFTECalcResultWorstCaseENG)</f>
        <v>12543750</v>
      </c>
      <c r="F98" s="602">
        <f>(AnnualBurdenedSalaryENG*hSystemsFTECalcResultWorstCaseENG)*(1+Inflation)</f>
        <v>12794625</v>
      </c>
      <c r="G98" s="602">
        <f>(AnnualBurdenedSalaryENG*hSystemsFTECalcResultWorstCaseENG)*(1+Inflation)^2</f>
        <v>13050517.5</v>
      </c>
      <c r="H98" s="602">
        <f>(AnnualBurdenedSalaryENG*hSystemsFTECalcResultWorstCaseENG)*(1+Inflation)^3</f>
        <v>13311527.85</v>
      </c>
      <c r="I98" s="602">
        <f>(AnnualBurdenedSalaryENG*hSystemsFTECalcResultWorstCaseENG)*(1+Inflation)^4</f>
        <v>13577758.407</v>
      </c>
      <c r="J98" s="602">
        <f>(AnnualBurdenedSalaryENG*hSystemsFTECalcResultWorstCaseENG)*(1+Inflation)^5</f>
        <v>13849313.575139999</v>
      </c>
      <c r="K98" s="602">
        <f>(AnnualBurdenedSalaryENG*hSystemsFTECalcResultWorstCaseENG)*(1+Inflation)^6</f>
        <v>14126299.846642802</v>
      </c>
      <c r="L98" s="602">
        <f>(AnnualBurdenedSalaryENG*hSystemsFTECalcResultWorstCaseENG)*(1+Inflation)^7</f>
        <v>14408825.843575655</v>
      </c>
      <c r="M98" s="602">
        <f>(AnnualBurdenedSalaryENG*hSystemsFTECalcResultWorstCaseENG)*(1+Inflation)^8</f>
        <v>14697002.360447168</v>
      </c>
      <c r="N98" s="602">
        <f>(AnnualBurdenedSalaryENG*hSystemsFTECalcResultWorstCaseENG)*(1+Inflation)^9</f>
        <v>14990942.407656111</v>
      </c>
      <c r="O98" s="162" t="s">
        <v>3111</v>
      </c>
      <c r="P98" s="12"/>
      <c r="Q98" s="12"/>
      <c r="R98" s="12"/>
      <c r="S98" s="12"/>
      <c r="T98" s="12"/>
      <c r="U98" s="12"/>
      <c r="V98" s="12"/>
      <c r="W98" s="12"/>
      <c r="X98" s="12"/>
      <c r="Y98" s="12"/>
      <c r="Z98" s="12"/>
      <c r="AA98" s="12"/>
      <c r="AB98" s="12"/>
      <c r="AC98" s="12"/>
      <c r="AD98" s="12"/>
      <c r="AE98" s="12"/>
      <c r="AF98" s="12"/>
      <c r="AG98" s="18"/>
    </row>
    <row r="99" spans="1:33" customFormat="1" ht="12" hidden="1" customHeight="1" outlineLevel="1" x14ac:dyDescent="0.2">
      <c r="A99" s="1395"/>
      <c r="B99" s="63"/>
      <c r="C99" s="13"/>
      <c r="D99" s="1064" t="s">
        <v>3112</v>
      </c>
      <c r="E99" s="602">
        <f>(AnnualBurdenedSalaryENG*hSystemsFTECalcResultMostLikelyENG)</f>
        <v>11289375</v>
      </c>
      <c r="F99" s="602">
        <f>(AnnualBurdenedSalaryENG*hSystemsFTECalcResultMostLikelyENG)*(1+Inflation)</f>
        <v>11515162.5</v>
      </c>
      <c r="G99" s="602">
        <f>(AnnualBurdenedSalaryENG*hSystemsFTECalcResultMostLikelyENG)*(1+Inflation)^2</f>
        <v>11745465.75</v>
      </c>
      <c r="H99" s="602">
        <f>(AnnualBurdenedSalaryENG*hSystemsFTECalcResultMostLikelyENG)*(1+Inflation)^3</f>
        <v>11980375.064999999</v>
      </c>
      <c r="I99" s="602">
        <f>(AnnualBurdenedSalaryENG*hSystemsFTECalcResultMostLikelyENG)*(1+Inflation)^4</f>
        <v>12219982.566299999</v>
      </c>
      <c r="J99" s="602">
        <f>(AnnualBurdenedSalaryENG*hSystemsFTECalcResultMostLikelyENG)*(1+Inflation)^5</f>
        <v>12464382.217626</v>
      </c>
      <c r="K99" s="602">
        <f>(AnnualBurdenedSalaryENG*hSystemsFTECalcResultMostLikelyENG)*(1+Inflation)^6</f>
        <v>12713669.861978522</v>
      </c>
      <c r="L99" s="602">
        <f>(AnnualBurdenedSalaryENG*hSystemsFTECalcResultMostLikelyENG)*(1+Inflation)^7</f>
        <v>12967943.259218087</v>
      </c>
      <c r="M99" s="602">
        <f>(AnnualBurdenedSalaryENG*hSystemsFTECalcResultMostLikelyENG)*(1+Inflation)^8</f>
        <v>13227302.12440245</v>
      </c>
      <c r="N99" s="602">
        <f>(AnnualBurdenedSalaryENG*hSystemsFTECalcResultMostLikelyENG)*(1+Inflation)^9</f>
        <v>13491848.1668905</v>
      </c>
      <c r="O99" s="162" t="s">
        <v>3113</v>
      </c>
      <c r="P99" s="12"/>
      <c r="Q99" s="12"/>
      <c r="R99" s="12"/>
      <c r="S99" s="12"/>
      <c r="T99" s="12"/>
      <c r="U99" s="12"/>
      <c r="V99" s="12"/>
      <c r="W99" s="12"/>
      <c r="X99" s="12"/>
      <c r="Y99" s="12"/>
      <c r="Z99" s="12"/>
      <c r="AA99" s="12"/>
      <c r="AB99" s="12"/>
      <c r="AC99" s="12"/>
      <c r="AD99" s="12"/>
      <c r="AE99" s="12"/>
      <c r="AF99" s="12"/>
      <c r="AG99" s="18"/>
    </row>
    <row r="100" spans="1:33" customFormat="1" ht="12" hidden="1" customHeight="1" outlineLevel="1" x14ac:dyDescent="0.2">
      <c r="A100" s="1395"/>
      <c r="B100" s="63"/>
      <c r="C100" s="13"/>
      <c r="D100" s="1064" t="s">
        <v>3114</v>
      </c>
      <c r="E100" s="602">
        <f>(AnnualBurdenedSalaryENG*hSystemsFTECalcResultBestCaseENG)</f>
        <v>10035000</v>
      </c>
      <c r="F100" s="602">
        <f>(AnnualBurdenedSalaryENG*hSystemsFTECalcResultBestCaseENG)*(1+Inflation)</f>
        <v>10235700</v>
      </c>
      <c r="G100" s="602">
        <f>(AnnualBurdenedSalaryENG*hSystemsFTECalcResultBestCaseENG)*(1+Inflation)^2</f>
        <v>10440414</v>
      </c>
      <c r="H100" s="602">
        <f>(AnnualBurdenedSalaryENG*hSystemsFTECalcResultBestCaseENG)*(1+Inflation)^3</f>
        <v>10649222.279999999</v>
      </c>
      <c r="I100" s="602">
        <f>(AnnualBurdenedSalaryENG*hSystemsFTECalcResultBestCaseENG)*(1+Inflation)^4</f>
        <v>10862206.7256</v>
      </c>
      <c r="J100" s="602">
        <f>(AnnualBurdenedSalaryENG*hSystemsFTECalcResultBestCaseENG)*(1+Inflation)^5</f>
        <v>11079450.860112</v>
      </c>
      <c r="K100" s="602">
        <f>(AnnualBurdenedSalaryENG*hSystemsFTECalcResultBestCaseENG)*(1+Inflation)^6</f>
        <v>11301039.877314242</v>
      </c>
      <c r="L100" s="602">
        <f>(AnnualBurdenedSalaryENG*hSystemsFTECalcResultBestCaseENG)*(1+Inflation)^7</f>
        <v>11527060.674860522</v>
      </c>
      <c r="M100" s="602">
        <f>(AnnualBurdenedSalaryENG*hSystemsFTECalcResultBestCaseENG)*(1+Inflation)^8</f>
        <v>11757601.888357734</v>
      </c>
      <c r="N100" s="602">
        <f>(AnnualBurdenedSalaryENG*hSystemsFTECalcResultBestCaseENG)*(1+Inflation)^9</f>
        <v>11992753.926124889</v>
      </c>
      <c r="O100" s="162" t="s">
        <v>3115</v>
      </c>
      <c r="P100" s="12"/>
      <c r="Q100" s="12"/>
      <c r="R100" s="12"/>
      <c r="S100" s="12"/>
      <c r="T100" s="12"/>
      <c r="U100" s="12"/>
      <c r="V100" s="12"/>
      <c r="W100" s="12"/>
      <c r="X100" s="12"/>
      <c r="Y100" s="12"/>
      <c r="Z100" s="12"/>
      <c r="AA100" s="12"/>
      <c r="AB100" s="12"/>
      <c r="AC100" s="12"/>
      <c r="AD100" s="12"/>
      <c r="AE100" s="12"/>
      <c r="AF100" s="12"/>
      <c r="AG100" s="18"/>
    </row>
    <row r="101" spans="1:33" s="8" customFormat="1" ht="12" hidden="1" customHeight="1" outlineLevel="1" x14ac:dyDescent="0.2">
      <c r="A101" s="1395"/>
      <c r="B101" s="65"/>
      <c r="C101" s="50"/>
      <c r="D101" s="1064"/>
      <c r="E101" s="440"/>
      <c r="F101" s="440"/>
      <c r="G101" s="440"/>
      <c r="H101" s="440"/>
      <c r="I101" s="440"/>
      <c r="J101" s="440"/>
      <c r="K101" s="440"/>
      <c r="L101" s="440"/>
      <c r="M101" s="440"/>
      <c r="N101" s="440"/>
      <c r="O101" s="642"/>
      <c r="P101" s="23"/>
      <c r="Q101" s="23"/>
      <c r="R101" s="23"/>
      <c r="S101" s="23"/>
      <c r="T101" s="23"/>
      <c r="U101" s="23"/>
      <c r="V101" s="23"/>
      <c r="W101" s="23"/>
      <c r="X101" s="23"/>
      <c r="Y101" s="23"/>
      <c r="Z101" s="23"/>
      <c r="AA101" s="23"/>
      <c r="AB101" s="23"/>
      <c r="AC101" s="23"/>
      <c r="AD101" s="23"/>
      <c r="AE101" s="23"/>
      <c r="AF101" s="23"/>
      <c r="AG101" s="17"/>
    </row>
    <row r="102" spans="1:33" customFormat="1" hidden="1" outlineLevel="1" x14ac:dyDescent="0.2">
      <c r="A102" s="1395"/>
      <c r="B102" s="63"/>
      <c r="C102" s="6"/>
      <c r="D102" s="1064" t="s">
        <v>3116</v>
      </c>
      <c r="E102" s="1065">
        <v>0</v>
      </c>
      <c r="F102" s="1065">
        <v>0</v>
      </c>
      <c r="G102" s="1065">
        <v>0</v>
      </c>
      <c r="H102" s="1065">
        <v>0</v>
      </c>
      <c r="I102" s="1065">
        <v>0</v>
      </c>
      <c r="J102" s="1065">
        <v>0</v>
      </c>
      <c r="K102" s="1065">
        <v>0</v>
      </c>
      <c r="L102" s="1065">
        <v>0</v>
      </c>
      <c r="M102" s="1065">
        <v>0</v>
      </c>
      <c r="N102" s="1065">
        <v>0</v>
      </c>
      <c r="O102" s="162" t="s">
        <v>3117</v>
      </c>
      <c r="P102" s="12"/>
      <c r="Q102" s="12"/>
      <c r="R102" s="12"/>
      <c r="S102" s="12"/>
      <c r="T102" s="12"/>
      <c r="U102" s="12"/>
      <c r="V102" s="12"/>
      <c r="W102" s="12"/>
      <c r="X102" s="12"/>
      <c r="Y102" s="12"/>
      <c r="Z102" s="12"/>
      <c r="AA102" s="12"/>
      <c r="AB102" s="12"/>
      <c r="AC102" s="12"/>
      <c r="AD102" s="12"/>
      <c r="AE102" s="12"/>
      <c r="AF102" s="12"/>
      <c r="AG102" s="18"/>
    </row>
    <row r="103" spans="1:33" customFormat="1" hidden="1" outlineLevel="1" x14ac:dyDescent="0.2">
      <c r="A103" s="1395"/>
      <c r="B103" s="63"/>
      <c r="C103" s="6"/>
      <c r="D103" s="1064" t="s">
        <v>3118</v>
      </c>
      <c r="E103" s="1065">
        <v>0.1</v>
      </c>
      <c r="F103" s="1065">
        <v>0.1</v>
      </c>
      <c r="G103" s="1065">
        <v>0.1</v>
      </c>
      <c r="H103" s="1065">
        <v>0.1</v>
      </c>
      <c r="I103" s="1065">
        <v>0.1</v>
      </c>
      <c r="J103" s="1065">
        <v>0.1</v>
      </c>
      <c r="K103" s="1065">
        <v>0.1</v>
      </c>
      <c r="L103" s="1065">
        <v>0.1</v>
      </c>
      <c r="M103" s="1065">
        <v>0.1</v>
      </c>
      <c r="N103" s="1065">
        <v>0.1</v>
      </c>
      <c r="O103" s="162" t="s">
        <v>3119</v>
      </c>
      <c r="P103" s="12"/>
      <c r="Q103" s="12"/>
      <c r="R103" s="12"/>
      <c r="S103" s="12"/>
      <c r="T103" s="12"/>
      <c r="U103" s="12"/>
      <c r="V103" s="12"/>
      <c r="W103" s="12"/>
      <c r="X103" s="12"/>
      <c r="Y103" s="12"/>
      <c r="Z103" s="12"/>
      <c r="AA103" s="12"/>
      <c r="AB103" s="12"/>
      <c r="AC103" s="12"/>
      <c r="AD103" s="12"/>
      <c r="AE103" s="12"/>
      <c r="AF103" s="12"/>
      <c r="AG103" s="18"/>
    </row>
    <row r="104" spans="1:33" customFormat="1" hidden="1" outlineLevel="1" x14ac:dyDescent="0.2">
      <c r="A104" s="1395"/>
      <c r="B104" s="63"/>
      <c r="C104" s="6"/>
      <c r="D104" s="1064" t="s">
        <v>3120</v>
      </c>
      <c r="E104" s="1065">
        <v>0.2</v>
      </c>
      <c r="F104" s="1065">
        <v>0.2</v>
      </c>
      <c r="G104" s="1065">
        <v>0.2</v>
      </c>
      <c r="H104" s="1065">
        <v>0.2</v>
      </c>
      <c r="I104" s="1065">
        <v>0.2</v>
      </c>
      <c r="J104" s="1065">
        <v>0.2</v>
      </c>
      <c r="K104" s="1065">
        <v>0.2</v>
      </c>
      <c r="L104" s="1065">
        <v>0.2</v>
      </c>
      <c r="M104" s="1065">
        <v>0.2</v>
      </c>
      <c r="N104" s="1065">
        <v>0.2</v>
      </c>
      <c r="O104" s="162" t="s">
        <v>3121</v>
      </c>
      <c r="P104" s="12"/>
      <c r="Q104" s="12"/>
      <c r="R104" s="12"/>
      <c r="S104" s="12"/>
      <c r="T104" s="12"/>
      <c r="U104" s="12"/>
      <c r="V104" s="12"/>
      <c r="W104" s="12"/>
      <c r="X104" s="12"/>
      <c r="Y104" s="12"/>
      <c r="Z104" s="12"/>
      <c r="AA104" s="12"/>
      <c r="AB104" s="12"/>
      <c r="AC104" s="12"/>
      <c r="AD104" s="12"/>
      <c r="AE104" s="12"/>
      <c r="AF104" s="12"/>
      <c r="AG104" s="18"/>
    </row>
    <row r="105" spans="1:33" s="8" customFormat="1" hidden="1" outlineLevel="1" x14ac:dyDescent="0.2">
      <c r="A105" s="1395"/>
      <c r="B105" s="65"/>
      <c r="C105" s="98"/>
      <c r="D105" s="1064"/>
      <c r="E105" s="606"/>
      <c r="F105" s="606"/>
      <c r="G105" s="606"/>
      <c r="H105" s="606"/>
      <c r="I105" s="606"/>
      <c r="J105" s="606"/>
      <c r="K105" s="606"/>
      <c r="L105" s="606"/>
      <c r="M105" s="606"/>
      <c r="N105" s="606"/>
      <c r="O105" s="162"/>
      <c r="P105" s="23"/>
      <c r="Q105" s="23"/>
      <c r="R105" s="23"/>
      <c r="S105" s="23"/>
      <c r="T105" s="23"/>
      <c r="U105" s="23"/>
      <c r="V105" s="23"/>
      <c r="W105" s="23"/>
      <c r="X105" s="23"/>
      <c r="Y105" s="23"/>
      <c r="Z105" s="23"/>
      <c r="AA105" s="23"/>
      <c r="AB105" s="23"/>
      <c r="AC105" s="23"/>
      <c r="AD105" s="23"/>
      <c r="AE105" s="23"/>
      <c r="AF105" s="23"/>
      <c r="AG105" s="17"/>
    </row>
    <row r="106" spans="1:33" customFormat="1" ht="12" hidden="1" customHeight="1" outlineLevel="1" x14ac:dyDescent="0.2">
      <c r="A106" s="1395"/>
      <c r="B106" s="63"/>
      <c r="C106" s="13"/>
      <c r="D106" s="1064" t="s">
        <v>3122</v>
      </c>
      <c r="E106" s="1066">
        <f t="shared" ref="E106:N106" si="11">(1-hSystemsFTEPercentReductionWorstCasePLG)*pSystemsFTE_PLG</f>
        <v>50</v>
      </c>
      <c r="F106" s="1066">
        <f t="shared" si="11"/>
        <v>50</v>
      </c>
      <c r="G106" s="1066">
        <f t="shared" si="11"/>
        <v>50</v>
      </c>
      <c r="H106" s="1066">
        <f t="shared" si="11"/>
        <v>50</v>
      </c>
      <c r="I106" s="1066">
        <f t="shared" si="11"/>
        <v>50</v>
      </c>
      <c r="J106" s="1066">
        <f t="shared" si="11"/>
        <v>50</v>
      </c>
      <c r="K106" s="1066">
        <f t="shared" si="11"/>
        <v>50</v>
      </c>
      <c r="L106" s="1066">
        <f t="shared" si="11"/>
        <v>50</v>
      </c>
      <c r="M106" s="1066">
        <f t="shared" si="11"/>
        <v>50</v>
      </c>
      <c r="N106" s="1066">
        <f t="shared" si="11"/>
        <v>50</v>
      </c>
      <c r="O106" s="162" t="s">
        <v>3123</v>
      </c>
      <c r="P106" s="12"/>
      <c r="Q106" s="12"/>
      <c r="R106" s="12"/>
      <c r="S106" s="12"/>
      <c r="T106" s="12"/>
      <c r="U106" s="12"/>
      <c r="V106" s="12"/>
      <c r="W106" s="12"/>
      <c r="X106" s="12"/>
      <c r="Y106" s="12"/>
      <c r="Z106" s="12"/>
      <c r="AA106" s="12"/>
      <c r="AB106" s="12"/>
      <c r="AC106" s="12"/>
      <c r="AD106" s="12"/>
      <c r="AE106" s="12"/>
      <c r="AF106" s="12"/>
      <c r="AG106" s="18"/>
    </row>
    <row r="107" spans="1:33" customFormat="1" ht="12" hidden="1" customHeight="1" outlineLevel="1" x14ac:dyDescent="0.2">
      <c r="A107" s="1395"/>
      <c r="B107" s="63"/>
      <c r="C107" s="13"/>
      <c r="D107" s="1064" t="s">
        <v>3124</v>
      </c>
      <c r="E107" s="1066">
        <f t="shared" ref="E107:N107" si="12">(1-hSystemsFTEPercentReductionMostLikelyPLG)*pSystemsFTE_PLG</f>
        <v>45</v>
      </c>
      <c r="F107" s="1066">
        <f t="shared" si="12"/>
        <v>45</v>
      </c>
      <c r="G107" s="1066">
        <f t="shared" si="12"/>
        <v>45</v>
      </c>
      <c r="H107" s="1066">
        <f t="shared" si="12"/>
        <v>45</v>
      </c>
      <c r="I107" s="1066">
        <f t="shared" si="12"/>
        <v>45</v>
      </c>
      <c r="J107" s="1066">
        <f t="shared" si="12"/>
        <v>45</v>
      </c>
      <c r="K107" s="1066">
        <f t="shared" si="12"/>
        <v>45</v>
      </c>
      <c r="L107" s="1066">
        <f t="shared" si="12"/>
        <v>45</v>
      </c>
      <c r="M107" s="1066">
        <f t="shared" si="12"/>
        <v>45</v>
      </c>
      <c r="N107" s="1066">
        <f t="shared" si="12"/>
        <v>45</v>
      </c>
      <c r="O107" s="162" t="s">
        <v>3125</v>
      </c>
      <c r="P107" s="12"/>
      <c r="Q107" s="12"/>
      <c r="R107" s="12"/>
      <c r="S107" s="12"/>
      <c r="T107" s="12"/>
      <c r="U107" s="12"/>
      <c r="V107" s="12"/>
      <c r="W107" s="12"/>
      <c r="X107" s="12"/>
      <c r="Y107" s="12"/>
      <c r="Z107" s="12"/>
      <c r="AA107" s="12"/>
      <c r="AB107" s="12"/>
      <c r="AC107" s="12"/>
      <c r="AD107" s="12"/>
      <c r="AE107" s="12"/>
      <c r="AF107" s="12"/>
      <c r="AG107" s="18"/>
    </row>
    <row r="108" spans="1:33" customFormat="1" ht="12" hidden="1" customHeight="1" outlineLevel="1" x14ac:dyDescent="0.2">
      <c r="A108" s="1395"/>
      <c r="B108" s="63"/>
      <c r="C108" s="13"/>
      <c r="D108" s="1064" t="s">
        <v>3126</v>
      </c>
      <c r="E108" s="1066">
        <f t="shared" ref="E108:N108" si="13">(1-hSystemsFTEPercentReductionBestCasePLG)*pSystemsFTE_PLG</f>
        <v>40</v>
      </c>
      <c r="F108" s="1066">
        <f t="shared" si="13"/>
        <v>40</v>
      </c>
      <c r="G108" s="1066">
        <f t="shared" si="13"/>
        <v>40</v>
      </c>
      <c r="H108" s="1066">
        <f t="shared" si="13"/>
        <v>40</v>
      </c>
      <c r="I108" s="1066">
        <f t="shared" si="13"/>
        <v>40</v>
      </c>
      <c r="J108" s="1066">
        <f t="shared" si="13"/>
        <v>40</v>
      </c>
      <c r="K108" s="1066">
        <f t="shared" si="13"/>
        <v>40</v>
      </c>
      <c r="L108" s="1066">
        <f t="shared" si="13"/>
        <v>40</v>
      </c>
      <c r="M108" s="1066">
        <f t="shared" si="13"/>
        <v>40</v>
      </c>
      <c r="N108" s="1066">
        <f t="shared" si="13"/>
        <v>40</v>
      </c>
      <c r="O108" s="162" t="s">
        <v>3127</v>
      </c>
      <c r="P108" s="12"/>
      <c r="Q108" s="12"/>
      <c r="R108" s="12"/>
      <c r="S108" s="12"/>
      <c r="T108" s="12"/>
      <c r="U108" s="12"/>
      <c r="V108" s="12"/>
      <c r="W108" s="12"/>
      <c r="X108" s="12"/>
      <c r="Y108" s="12"/>
      <c r="Z108" s="12"/>
      <c r="AA108" s="12"/>
      <c r="AB108" s="12"/>
      <c r="AC108" s="12"/>
      <c r="AD108" s="12"/>
      <c r="AE108" s="12"/>
      <c r="AF108" s="12"/>
      <c r="AG108" s="18"/>
    </row>
    <row r="109" spans="1:33" s="8" customFormat="1" ht="12" hidden="1" customHeight="1" outlineLevel="1" x14ac:dyDescent="0.2">
      <c r="A109" s="1395"/>
      <c r="B109" s="65"/>
      <c r="C109" s="50"/>
      <c r="D109" s="1064"/>
      <c r="E109" s="440"/>
      <c r="F109" s="440"/>
      <c r="G109" s="440"/>
      <c r="H109" s="440"/>
      <c r="I109" s="440"/>
      <c r="J109" s="440"/>
      <c r="K109" s="440"/>
      <c r="L109" s="440"/>
      <c r="M109" s="440"/>
      <c r="N109" s="440"/>
      <c r="O109" s="1067"/>
      <c r="P109" s="23"/>
      <c r="Q109" s="23"/>
      <c r="R109" s="23"/>
      <c r="S109" s="23"/>
      <c r="T109" s="23"/>
      <c r="U109" s="23"/>
      <c r="V109" s="23"/>
      <c r="W109" s="23"/>
      <c r="X109" s="23"/>
      <c r="Y109" s="23"/>
      <c r="Z109" s="23"/>
      <c r="AA109" s="23"/>
      <c r="AB109" s="23"/>
      <c r="AC109" s="23"/>
      <c r="AD109" s="23"/>
      <c r="AE109" s="23"/>
      <c r="AF109" s="23"/>
      <c r="AG109" s="17"/>
    </row>
    <row r="110" spans="1:33" customFormat="1" ht="12" hidden="1" customHeight="1" outlineLevel="1" x14ac:dyDescent="0.2">
      <c r="A110" s="1395"/>
      <c r="B110" s="63"/>
      <c r="C110" s="13"/>
      <c r="D110" s="1064" t="s">
        <v>3128</v>
      </c>
      <c r="E110" s="602">
        <f>(AnnualBurdenedSalaryPLG*hSystemsFTECalcResultWorstCasePLG)</f>
        <v>5923437.5</v>
      </c>
      <c r="F110" s="602">
        <f>(AnnualBurdenedSalaryPLG*hSystemsFTECalcResultWorstCasePLG)*(1+Inflation)</f>
        <v>6041906.25</v>
      </c>
      <c r="G110" s="602">
        <f>(AnnualBurdenedSalaryPLG*hSystemsFTECalcResultWorstCasePLG)*(1+Inflation)^2</f>
        <v>6162744.375</v>
      </c>
      <c r="H110" s="602">
        <f>(AnnualBurdenedSalaryPLG*hSystemsFTECalcResultWorstCasePLG)*(1+Inflation)^3</f>
        <v>6285999.2624999993</v>
      </c>
      <c r="I110" s="602">
        <f>(AnnualBurdenedSalaryPLG*hSystemsFTECalcResultWorstCasePLG)*(1+Inflation)^4</f>
        <v>6411719.2477500001</v>
      </c>
      <c r="J110" s="602">
        <f>(AnnualBurdenedSalaryPLG*hSystemsFTECalcResultWorstCasePLG)*(1+Inflation)^5</f>
        <v>6539953.6327050002</v>
      </c>
      <c r="K110" s="602">
        <f>(AnnualBurdenedSalaryPLG*hSystemsFTECalcResultWorstCasePLG)*(1+Inflation)^6</f>
        <v>6670752.7053591004</v>
      </c>
      <c r="L110" s="602">
        <f>(AnnualBurdenedSalaryPLG*hSystemsFTECalcResultWorstCasePLG)*(1+Inflation)^7</f>
        <v>6804167.7594662812</v>
      </c>
      <c r="M110" s="602">
        <f>(AnnualBurdenedSalaryPLG*hSystemsFTECalcResultWorstCasePLG)*(1+Inflation)^8</f>
        <v>6940251.1146556074</v>
      </c>
      <c r="N110" s="602">
        <f>(AnnualBurdenedSalaryPLG*hSystemsFTECalcResultWorstCasePLG)*(1+Inflation)^9</f>
        <v>7079056.1369487196</v>
      </c>
      <c r="O110" s="162" t="s">
        <v>3129</v>
      </c>
      <c r="P110" s="12"/>
      <c r="Q110" s="12"/>
      <c r="R110" s="12"/>
      <c r="S110" s="12"/>
      <c r="T110" s="12"/>
      <c r="U110" s="12"/>
      <c r="V110" s="12"/>
      <c r="W110" s="12"/>
      <c r="X110" s="12"/>
      <c r="Y110" s="12"/>
      <c r="Z110" s="12"/>
      <c r="AA110" s="12"/>
      <c r="AB110" s="12"/>
      <c r="AC110" s="12"/>
      <c r="AD110" s="12"/>
      <c r="AE110" s="12"/>
      <c r="AF110" s="12"/>
      <c r="AG110" s="18"/>
    </row>
    <row r="111" spans="1:33" customFormat="1" ht="12" hidden="1" customHeight="1" outlineLevel="1" x14ac:dyDescent="0.2">
      <c r="A111" s="1395"/>
      <c r="B111" s="63"/>
      <c r="C111" s="13"/>
      <c r="D111" s="1064" t="s">
        <v>3130</v>
      </c>
      <c r="E111" s="602">
        <f>(AnnualBurdenedSalaryPLG*hSystemsFTECalcResultMostLikelyPLG)</f>
        <v>5331093.75</v>
      </c>
      <c r="F111" s="602">
        <f>(AnnualBurdenedSalaryPLG*hSystemsFTECalcResultMostLikelyPLG)*(1+Inflation)</f>
        <v>5437715.625</v>
      </c>
      <c r="G111" s="602">
        <f>(AnnualBurdenedSalaryPLG*hSystemsFTECalcResultMostLikelyPLG)*(1+Inflation)^2</f>
        <v>5546469.9375</v>
      </c>
      <c r="H111" s="602">
        <f>(AnnualBurdenedSalaryPLG*hSystemsFTECalcResultMostLikelyPLG)*(1+Inflation)^3</f>
        <v>5657399.3362499997</v>
      </c>
      <c r="I111" s="602">
        <f>(AnnualBurdenedSalaryPLG*hSystemsFTECalcResultMostLikelyPLG)*(1+Inflation)^4</f>
        <v>5770547.3229749994</v>
      </c>
      <c r="J111" s="602">
        <f>(AnnualBurdenedSalaryPLG*hSystemsFTECalcResultMostLikelyPLG)*(1+Inflation)^5</f>
        <v>5885958.2694345005</v>
      </c>
      <c r="K111" s="602">
        <f>(AnnualBurdenedSalaryPLG*hSystemsFTECalcResultMostLikelyPLG)*(1+Inflation)^6</f>
        <v>6003677.4348231908</v>
      </c>
      <c r="L111" s="602">
        <f>(AnnualBurdenedSalaryPLG*hSystemsFTECalcResultMostLikelyPLG)*(1+Inflation)^7</f>
        <v>6123750.9835196529</v>
      </c>
      <c r="M111" s="602">
        <f>(AnnualBurdenedSalaryPLG*hSystemsFTECalcResultMostLikelyPLG)*(1+Inflation)^8</f>
        <v>6246226.0031900462</v>
      </c>
      <c r="N111" s="602">
        <f>(AnnualBurdenedSalaryPLG*hSystemsFTECalcResultMostLikelyPLG)*(1+Inflation)^9</f>
        <v>6371150.5232538478</v>
      </c>
      <c r="O111" s="162" t="s">
        <v>3131</v>
      </c>
      <c r="P111" s="12"/>
      <c r="Q111" s="12"/>
      <c r="R111" s="12"/>
      <c r="S111" s="12"/>
      <c r="T111" s="12"/>
      <c r="U111" s="12"/>
      <c r="V111" s="12"/>
      <c r="W111" s="12"/>
      <c r="X111" s="12"/>
      <c r="Y111" s="12"/>
      <c r="Z111" s="12"/>
      <c r="AA111" s="12"/>
      <c r="AB111" s="12"/>
      <c r="AC111" s="12"/>
      <c r="AD111" s="12"/>
      <c r="AE111" s="12"/>
      <c r="AF111" s="12"/>
      <c r="AG111" s="18"/>
    </row>
    <row r="112" spans="1:33" customFormat="1" ht="12" hidden="1" customHeight="1" outlineLevel="1" x14ac:dyDescent="0.2">
      <c r="A112" s="1395"/>
      <c r="B112" s="63"/>
      <c r="C112" s="13"/>
      <c r="D112" s="1064" t="s">
        <v>3132</v>
      </c>
      <c r="E112" s="602">
        <f>(AnnualBurdenedSalaryPLG*hSystemsFTECalcResultBestCasePLG)</f>
        <v>4738750</v>
      </c>
      <c r="F112" s="602">
        <f>(AnnualBurdenedSalaryPLG*hSystemsFTECalcResultBestCasePLG)*(1+Inflation)</f>
        <v>4833525</v>
      </c>
      <c r="G112" s="602">
        <f>(AnnualBurdenedSalaryPLG*hSystemsFTECalcResultBestCasePLG)*(1+Inflation)^2</f>
        <v>4930195.5</v>
      </c>
      <c r="H112" s="602">
        <f>(AnnualBurdenedSalaryPLG*hSystemsFTECalcResultBestCasePLG)*(1+Inflation)^3</f>
        <v>5028799.4099999992</v>
      </c>
      <c r="I112" s="602">
        <f>(AnnualBurdenedSalaryPLG*hSystemsFTECalcResultBestCasePLG)*(1+Inflation)^4</f>
        <v>5129375.3981999997</v>
      </c>
      <c r="J112" s="602">
        <f>(AnnualBurdenedSalaryPLG*hSystemsFTECalcResultBestCasePLG)*(1+Inflation)^5</f>
        <v>5231962.9061639998</v>
      </c>
      <c r="K112" s="602">
        <f>(AnnualBurdenedSalaryPLG*hSystemsFTECalcResultBestCasePLG)*(1+Inflation)^6</f>
        <v>5336602.1642872803</v>
      </c>
      <c r="L112" s="602">
        <f>(AnnualBurdenedSalaryPLG*hSystemsFTECalcResultBestCasePLG)*(1+Inflation)^7</f>
        <v>5443334.2075730246</v>
      </c>
      <c r="M112" s="602">
        <f>(AnnualBurdenedSalaryPLG*hSystemsFTECalcResultBestCasePLG)*(1+Inflation)^8</f>
        <v>5552200.8917244859</v>
      </c>
      <c r="N112" s="602">
        <f>(AnnualBurdenedSalaryPLG*hSystemsFTECalcResultBestCasePLG)*(1+Inflation)^9</f>
        <v>5663244.9095589751</v>
      </c>
      <c r="O112" s="162" t="s">
        <v>3133</v>
      </c>
      <c r="P112" s="12"/>
      <c r="Q112" s="12"/>
      <c r="R112" s="12"/>
      <c r="S112" s="12"/>
      <c r="T112" s="12"/>
      <c r="U112" s="12"/>
      <c r="V112" s="12"/>
      <c r="W112" s="12"/>
      <c r="X112" s="12"/>
      <c r="Y112" s="12"/>
      <c r="Z112" s="12"/>
      <c r="AA112" s="12"/>
      <c r="AB112" s="12"/>
      <c r="AC112" s="12"/>
      <c r="AD112" s="12"/>
      <c r="AE112" s="12"/>
      <c r="AF112" s="12"/>
      <c r="AG112" s="18"/>
    </row>
    <row r="113" spans="1:33" s="8" customFormat="1" ht="12" hidden="1" customHeight="1" outlineLevel="1" x14ac:dyDescent="0.2">
      <c r="A113" s="1395"/>
      <c r="B113" s="65"/>
      <c r="C113" s="50"/>
      <c r="D113" s="1064"/>
      <c r="E113" s="440"/>
      <c r="F113" s="440"/>
      <c r="G113" s="440"/>
      <c r="H113" s="440"/>
      <c r="I113" s="440"/>
      <c r="J113" s="440"/>
      <c r="K113" s="440"/>
      <c r="L113" s="440"/>
      <c r="M113" s="440"/>
      <c r="N113" s="440"/>
      <c r="O113" s="642"/>
      <c r="P113" s="23"/>
      <c r="Q113" s="23"/>
      <c r="R113" s="23"/>
      <c r="S113" s="23"/>
      <c r="T113" s="23"/>
      <c r="U113" s="23"/>
      <c r="V113" s="23"/>
      <c r="W113" s="23"/>
      <c r="X113" s="23"/>
      <c r="Y113" s="23"/>
      <c r="Z113" s="23"/>
      <c r="AA113" s="23"/>
      <c r="AB113" s="23"/>
      <c r="AC113" s="23"/>
      <c r="AD113" s="23"/>
      <c r="AE113" s="23"/>
      <c r="AF113" s="23"/>
      <c r="AG113" s="17"/>
    </row>
    <row r="114" spans="1:33" customFormat="1" hidden="1" outlineLevel="1" x14ac:dyDescent="0.2">
      <c r="A114" s="1395"/>
      <c r="B114" s="63"/>
      <c r="C114" s="6"/>
      <c r="D114" s="1064" t="s">
        <v>3134</v>
      </c>
      <c r="E114" s="1065">
        <v>0</v>
      </c>
      <c r="F114" s="1065">
        <v>0</v>
      </c>
      <c r="G114" s="1065">
        <v>0</v>
      </c>
      <c r="H114" s="1065">
        <v>0</v>
      </c>
      <c r="I114" s="1065">
        <v>0</v>
      </c>
      <c r="J114" s="1065">
        <v>0</v>
      </c>
      <c r="K114" s="1065">
        <v>0</v>
      </c>
      <c r="L114" s="1065">
        <v>0</v>
      </c>
      <c r="M114" s="1065">
        <v>0</v>
      </c>
      <c r="N114" s="1065">
        <v>0</v>
      </c>
      <c r="O114" s="162" t="s">
        <v>3135</v>
      </c>
      <c r="P114" s="12"/>
      <c r="Q114" s="12"/>
      <c r="R114" s="12"/>
      <c r="S114" s="12"/>
      <c r="T114" s="12"/>
      <c r="U114" s="12"/>
      <c r="V114" s="12"/>
      <c r="W114" s="12"/>
      <c r="X114" s="12"/>
      <c r="Y114" s="12"/>
      <c r="Z114" s="12"/>
      <c r="AA114" s="12"/>
      <c r="AB114" s="12"/>
      <c r="AC114" s="12"/>
      <c r="AD114" s="12"/>
      <c r="AE114" s="12"/>
      <c r="AF114" s="12"/>
      <c r="AG114" s="18"/>
    </row>
    <row r="115" spans="1:33" customFormat="1" hidden="1" outlineLevel="1" x14ac:dyDescent="0.2">
      <c r="A115" s="1395"/>
      <c r="B115" s="63"/>
      <c r="C115" s="6"/>
      <c r="D115" s="1064" t="s">
        <v>3136</v>
      </c>
      <c r="E115" s="1065">
        <v>0.4</v>
      </c>
      <c r="F115" s="1065">
        <v>0.4</v>
      </c>
      <c r="G115" s="1065">
        <v>0.4</v>
      </c>
      <c r="H115" s="1065">
        <v>0.4</v>
      </c>
      <c r="I115" s="1065">
        <v>0.4</v>
      </c>
      <c r="J115" s="1065">
        <v>0.4</v>
      </c>
      <c r="K115" s="1065">
        <v>0.4</v>
      </c>
      <c r="L115" s="1065">
        <v>0.4</v>
      </c>
      <c r="M115" s="1065">
        <v>0.4</v>
      </c>
      <c r="N115" s="1065">
        <v>0.4</v>
      </c>
      <c r="O115" s="162" t="s">
        <v>3137</v>
      </c>
      <c r="P115" s="12"/>
      <c r="Q115" s="12"/>
      <c r="R115" s="12"/>
      <c r="S115" s="12"/>
      <c r="T115" s="12"/>
      <c r="U115" s="12"/>
      <c r="V115" s="12"/>
      <c r="W115" s="12"/>
      <c r="X115" s="12"/>
      <c r="Y115" s="12"/>
      <c r="Z115" s="12"/>
      <c r="AA115" s="12"/>
      <c r="AB115" s="12"/>
      <c r="AC115" s="12"/>
      <c r="AD115" s="12"/>
      <c r="AE115" s="12"/>
      <c r="AF115" s="12"/>
      <c r="AG115" s="18"/>
    </row>
    <row r="116" spans="1:33" customFormat="1" hidden="1" outlineLevel="1" x14ac:dyDescent="0.2">
      <c r="A116" s="1395"/>
      <c r="B116" s="63"/>
      <c r="C116" s="6"/>
      <c r="D116" s="1064" t="s">
        <v>3138</v>
      </c>
      <c r="E116" s="1065">
        <v>0.6</v>
      </c>
      <c r="F116" s="1065">
        <v>0.6</v>
      </c>
      <c r="G116" s="1065">
        <v>0.6</v>
      </c>
      <c r="H116" s="1065">
        <v>0.6</v>
      </c>
      <c r="I116" s="1065">
        <v>0.6</v>
      </c>
      <c r="J116" s="1065">
        <v>0.6</v>
      </c>
      <c r="K116" s="1065">
        <v>0.6</v>
      </c>
      <c r="L116" s="1065">
        <v>0.6</v>
      </c>
      <c r="M116" s="1065">
        <v>0.6</v>
      </c>
      <c r="N116" s="1065">
        <v>0.6</v>
      </c>
      <c r="O116" s="162" t="s">
        <v>3139</v>
      </c>
      <c r="P116" s="12"/>
      <c r="Q116" s="12"/>
      <c r="R116" s="12"/>
      <c r="S116" s="12"/>
      <c r="T116" s="12"/>
      <c r="U116" s="12"/>
      <c r="V116" s="12"/>
      <c r="W116" s="12"/>
      <c r="X116" s="12"/>
      <c r="Y116" s="12"/>
      <c r="Z116" s="12"/>
      <c r="AA116" s="12"/>
      <c r="AB116" s="12"/>
      <c r="AC116" s="12"/>
      <c r="AD116" s="12"/>
      <c r="AE116" s="12"/>
      <c r="AF116" s="12"/>
      <c r="AG116" s="18"/>
    </row>
    <row r="117" spans="1:33" s="8" customFormat="1" hidden="1" outlineLevel="1" x14ac:dyDescent="0.2">
      <c r="A117" s="1395"/>
      <c r="B117" s="65"/>
      <c r="C117" s="98"/>
      <c r="D117" s="1064"/>
      <c r="E117" s="606"/>
      <c r="F117" s="606"/>
      <c r="G117" s="606"/>
      <c r="H117" s="606"/>
      <c r="I117" s="606"/>
      <c r="J117" s="606"/>
      <c r="K117" s="606"/>
      <c r="L117" s="606"/>
      <c r="M117" s="606"/>
      <c r="N117" s="606"/>
      <c r="O117" s="162"/>
      <c r="P117" s="23"/>
      <c r="Q117" s="23"/>
      <c r="R117" s="23"/>
      <c r="S117" s="23"/>
      <c r="T117" s="23"/>
      <c r="U117" s="23"/>
      <c r="V117" s="23"/>
      <c r="W117" s="23"/>
      <c r="X117" s="23"/>
      <c r="Y117" s="23"/>
      <c r="Z117" s="23"/>
      <c r="AA117" s="23"/>
      <c r="AB117" s="23"/>
      <c r="AC117" s="23"/>
      <c r="AD117" s="23"/>
      <c r="AE117" s="23"/>
      <c r="AF117" s="23"/>
      <c r="AG117" s="17"/>
    </row>
    <row r="118" spans="1:33" customFormat="1" ht="12" hidden="1" customHeight="1" outlineLevel="1" x14ac:dyDescent="0.2">
      <c r="A118" s="1395"/>
      <c r="B118" s="63"/>
      <c r="C118" s="13"/>
      <c r="D118" s="1064" t="s">
        <v>3140</v>
      </c>
      <c r="E118" s="1066">
        <f t="shared" ref="E118:N118" si="14">(1-hSystemsFTEPercentReductionWorstCaseCRT)*pSystemsFTE_CRT</f>
        <v>60</v>
      </c>
      <c r="F118" s="1066">
        <f t="shared" si="14"/>
        <v>60</v>
      </c>
      <c r="G118" s="1066">
        <f t="shared" si="14"/>
        <v>60</v>
      </c>
      <c r="H118" s="1066">
        <f t="shared" si="14"/>
        <v>60</v>
      </c>
      <c r="I118" s="1066">
        <f t="shared" si="14"/>
        <v>60</v>
      </c>
      <c r="J118" s="1066">
        <f t="shared" si="14"/>
        <v>60</v>
      </c>
      <c r="K118" s="1066">
        <f t="shared" si="14"/>
        <v>60</v>
      </c>
      <c r="L118" s="1066">
        <f t="shared" si="14"/>
        <v>60</v>
      </c>
      <c r="M118" s="1066">
        <f t="shared" si="14"/>
        <v>60</v>
      </c>
      <c r="N118" s="1066">
        <f t="shared" si="14"/>
        <v>60</v>
      </c>
      <c r="O118" s="162" t="s">
        <v>3141</v>
      </c>
      <c r="P118" s="12"/>
      <c r="Q118" s="12"/>
      <c r="R118" s="12"/>
      <c r="S118" s="12"/>
      <c r="T118" s="12"/>
      <c r="U118" s="12"/>
      <c r="V118" s="12"/>
      <c r="W118" s="12"/>
      <c r="X118" s="12"/>
      <c r="Y118" s="12"/>
      <c r="Z118" s="12"/>
      <c r="AA118" s="12"/>
      <c r="AB118" s="12"/>
      <c r="AC118" s="12"/>
      <c r="AD118" s="12"/>
      <c r="AE118" s="12"/>
      <c r="AF118" s="12"/>
      <c r="AG118" s="18"/>
    </row>
    <row r="119" spans="1:33" customFormat="1" ht="12" hidden="1" customHeight="1" outlineLevel="1" x14ac:dyDescent="0.2">
      <c r="A119" s="1395"/>
      <c r="B119" s="63"/>
      <c r="C119" s="13"/>
      <c r="D119" s="1064" t="s">
        <v>3142</v>
      </c>
      <c r="E119" s="1066">
        <f t="shared" ref="E119:N119" si="15">(1-hSystemsFTEPercentReductionMostLikelyCRT)*pSystemsFTE_CRT</f>
        <v>36</v>
      </c>
      <c r="F119" s="1066">
        <f t="shared" si="15"/>
        <v>36</v>
      </c>
      <c r="G119" s="1066">
        <f t="shared" si="15"/>
        <v>36</v>
      </c>
      <c r="H119" s="1066">
        <f t="shared" si="15"/>
        <v>36</v>
      </c>
      <c r="I119" s="1066">
        <f t="shared" si="15"/>
        <v>36</v>
      </c>
      <c r="J119" s="1066">
        <f t="shared" si="15"/>
        <v>36</v>
      </c>
      <c r="K119" s="1066">
        <f t="shared" si="15"/>
        <v>36</v>
      </c>
      <c r="L119" s="1066">
        <f t="shared" si="15"/>
        <v>36</v>
      </c>
      <c r="M119" s="1066">
        <f t="shared" si="15"/>
        <v>36</v>
      </c>
      <c r="N119" s="1066">
        <f t="shared" si="15"/>
        <v>36</v>
      </c>
      <c r="O119" s="162" t="s">
        <v>3143</v>
      </c>
      <c r="P119" s="12"/>
      <c r="Q119" s="12"/>
      <c r="R119" s="12"/>
      <c r="S119" s="12"/>
      <c r="T119" s="12"/>
      <c r="U119" s="12"/>
      <c r="V119" s="12"/>
      <c r="W119" s="12"/>
      <c r="X119" s="12"/>
      <c r="Y119" s="12"/>
      <c r="Z119" s="12"/>
      <c r="AA119" s="12"/>
      <c r="AB119" s="12"/>
      <c r="AC119" s="12"/>
      <c r="AD119" s="12"/>
      <c r="AE119" s="12"/>
      <c r="AF119" s="12"/>
      <c r="AG119" s="18"/>
    </row>
    <row r="120" spans="1:33" customFormat="1" ht="12" hidden="1" customHeight="1" outlineLevel="1" x14ac:dyDescent="0.2">
      <c r="A120" s="1395"/>
      <c r="B120" s="63"/>
      <c r="C120" s="13"/>
      <c r="D120" s="1064" t="s">
        <v>3144</v>
      </c>
      <c r="E120" s="1066">
        <f t="shared" ref="E120:N120" si="16">(1-hSystemsFTEPercentReductionBestCaseCRT)*pSystemsFTE_CRT</f>
        <v>24</v>
      </c>
      <c r="F120" s="1066">
        <f t="shared" si="16"/>
        <v>24</v>
      </c>
      <c r="G120" s="1066">
        <f t="shared" si="16"/>
        <v>24</v>
      </c>
      <c r="H120" s="1066">
        <f t="shared" si="16"/>
        <v>24</v>
      </c>
      <c r="I120" s="1066">
        <f t="shared" si="16"/>
        <v>24</v>
      </c>
      <c r="J120" s="1066">
        <f t="shared" si="16"/>
        <v>24</v>
      </c>
      <c r="K120" s="1066">
        <f t="shared" si="16"/>
        <v>24</v>
      </c>
      <c r="L120" s="1066">
        <f t="shared" si="16"/>
        <v>24</v>
      </c>
      <c r="M120" s="1066">
        <f t="shared" si="16"/>
        <v>24</v>
      </c>
      <c r="N120" s="1066">
        <f t="shared" si="16"/>
        <v>24</v>
      </c>
      <c r="O120" s="162" t="s">
        <v>3145</v>
      </c>
      <c r="P120" s="12"/>
      <c r="Q120" s="12"/>
      <c r="R120" s="12"/>
      <c r="S120" s="12"/>
      <c r="T120" s="12"/>
      <c r="U120" s="12"/>
      <c r="V120" s="12"/>
      <c r="W120" s="12"/>
      <c r="X120" s="12"/>
      <c r="Y120" s="12"/>
      <c r="Z120" s="12"/>
      <c r="AA120" s="12"/>
      <c r="AB120" s="12"/>
      <c r="AC120" s="12"/>
      <c r="AD120" s="12"/>
      <c r="AE120" s="12"/>
      <c r="AF120" s="12"/>
      <c r="AG120" s="18"/>
    </row>
    <row r="121" spans="1:33" s="8" customFormat="1" ht="12" hidden="1" customHeight="1" outlineLevel="1" x14ac:dyDescent="0.2">
      <c r="A121" s="1395"/>
      <c r="B121" s="65"/>
      <c r="C121" s="50"/>
      <c r="D121" s="1064"/>
      <c r="E121" s="440"/>
      <c r="F121" s="440"/>
      <c r="G121" s="440"/>
      <c r="H121" s="440"/>
      <c r="I121" s="440"/>
      <c r="J121" s="440"/>
      <c r="K121" s="440"/>
      <c r="L121" s="440"/>
      <c r="M121" s="440"/>
      <c r="N121" s="440"/>
      <c r="O121" s="1067"/>
      <c r="P121" s="23"/>
      <c r="Q121" s="23"/>
      <c r="R121" s="23"/>
      <c r="S121" s="23"/>
      <c r="T121" s="23"/>
      <c r="U121" s="23"/>
      <c r="V121" s="23"/>
      <c r="W121" s="23"/>
      <c r="X121" s="23"/>
      <c r="Y121" s="23"/>
      <c r="Z121" s="23"/>
      <c r="AA121" s="23"/>
      <c r="AB121" s="23"/>
      <c r="AC121" s="23"/>
      <c r="AD121" s="23"/>
      <c r="AE121" s="23"/>
      <c r="AF121" s="23"/>
      <c r="AG121" s="17"/>
    </row>
    <row r="122" spans="1:33" customFormat="1" ht="12" hidden="1" customHeight="1" outlineLevel="1" x14ac:dyDescent="0.2">
      <c r="A122" s="1395"/>
      <c r="B122" s="63"/>
      <c r="C122" s="13"/>
      <c r="D122" s="1064" t="s">
        <v>3146</v>
      </c>
      <c r="E122" s="602">
        <f>(AnnualBurdenedSalaryCRT*hSystemsFTECalcResultWorstCaseCRT)</f>
        <v>4181250</v>
      </c>
      <c r="F122" s="602">
        <f>(AnnualBurdenedSalaryCRT*hSystemsFTECalcResultWorstCaseCRT)*(1+Inflation)</f>
        <v>4264875</v>
      </c>
      <c r="G122" s="602">
        <f>(AnnualBurdenedSalaryCRT*hSystemsFTECalcResultWorstCaseCRT)*(1+Inflation)^2</f>
        <v>4350172.5</v>
      </c>
      <c r="H122" s="602">
        <f>(AnnualBurdenedSalaryCRT*hSystemsFTECalcResultWorstCaseCRT)*(1+Inflation)^3</f>
        <v>4437175.9499999993</v>
      </c>
      <c r="I122" s="602">
        <f>(AnnualBurdenedSalaryCRT*hSystemsFTECalcResultWorstCaseCRT)*(1+Inflation)^4</f>
        <v>4525919.4689999996</v>
      </c>
      <c r="J122" s="602">
        <f>(AnnualBurdenedSalaryCRT*hSystemsFTECalcResultWorstCaseCRT)*(1+Inflation)^5</f>
        <v>4616437.8583800001</v>
      </c>
      <c r="K122" s="602">
        <f>(AnnualBurdenedSalaryCRT*hSystemsFTECalcResultWorstCaseCRT)*(1+Inflation)^6</f>
        <v>4708766.6155476002</v>
      </c>
      <c r="L122" s="602">
        <f>(AnnualBurdenedSalaryCRT*hSystemsFTECalcResultWorstCaseCRT)*(1+Inflation)^7</f>
        <v>4802941.9478585515</v>
      </c>
      <c r="M122" s="602">
        <f>(AnnualBurdenedSalaryCRT*hSystemsFTECalcResultWorstCaseCRT)*(1+Inflation)^8</f>
        <v>4899000.7868157225</v>
      </c>
      <c r="N122" s="602">
        <f>(AnnualBurdenedSalaryCRT*hSystemsFTECalcResultWorstCaseCRT)*(1+Inflation)^9</f>
        <v>4996980.8025520369</v>
      </c>
      <c r="O122" s="162" t="s">
        <v>3147</v>
      </c>
      <c r="P122" s="12"/>
      <c r="Q122" s="12"/>
      <c r="R122" s="12"/>
      <c r="S122" s="12"/>
      <c r="T122" s="12"/>
      <c r="U122" s="12"/>
      <c r="V122" s="12"/>
      <c r="W122" s="12"/>
      <c r="X122" s="12"/>
      <c r="Y122" s="12"/>
      <c r="Z122" s="12"/>
      <c r="AA122" s="12"/>
      <c r="AB122" s="12"/>
      <c r="AC122" s="12"/>
      <c r="AD122" s="12"/>
      <c r="AE122" s="12"/>
      <c r="AF122" s="12"/>
      <c r="AG122" s="18"/>
    </row>
    <row r="123" spans="1:33" customFormat="1" ht="12" hidden="1" customHeight="1" outlineLevel="1" x14ac:dyDescent="0.2">
      <c r="A123" s="1395"/>
      <c r="B123" s="63"/>
      <c r="C123" s="13"/>
      <c r="D123" s="1064" t="s">
        <v>3148</v>
      </c>
      <c r="E123" s="602">
        <f>(AnnualBurdenedSalaryCRT*hSystemsFTECalcResultMostLikelyCRT)</f>
        <v>2508750</v>
      </c>
      <c r="F123" s="602">
        <f>(AnnualBurdenedSalaryCRT*hSystemsFTECalcResultMostLikelyCRT)*(1+Inflation)</f>
        <v>2558925</v>
      </c>
      <c r="G123" s="602">
        <f>(AnnualBurdenedSalaryCRT*hSystemsFTECalcResultMostLikelyCRT)*(1+Inflation)^2</f>
        <v>2610103.5</v>
      </c>
      <c r="H123" s="602">
        <f>(AnnualBurdenedSalaryCRT*hSystemsFTECalcResultMostLikelyCRT)*(1+Inflation)^3</f>
        <v>2662305.5699999998</v>
      </c>
      <c r="I123" s="602">
        <f>(AnnualBurdenedSalaryCRT*hSystemsFTECalcResultMostLikelyCRT)*(1+Inflation)^4</f>
        <v>2715551.6814000001</v>
      </c>
      <c r="J123" s="602">
        <f>(AnnualBurdenedSalaryCRT*hSystemsFTECalcResultMostLikelyCRT)*(1+Inflation)^5</f>
        <v>2769862.7150280001</v>
      </c>
      <c r="K123" s="602">
        <f>(AnnualBurdenedSalaryCRT*hSystemsFTECalcResultMostLikelyCRT)*(1+Inflation)^6</f>
        <v>2825259.9693285604</v>
      </c>
      <c r="L123" s="602">
        <f>(AnnualBurdenedSalaryCRT*hSystemsFTECalcResultMostLikelyCRT)*(1+Inflation)^7</f>
        <v>2881765.1687151305</v>
      </c>
      <c r="M123" s="602">
        <f>(AnnualBurdenedSalaryCRT*hSystemsFTECalcResultMostLikelyCRT)*(1+Inflation)^8</f>
        <v>2939400.4720894336</v>
      </c>
      <c r="N123" s="602">
        <f>(AnnualBurdenedSalaryCRT*hSystemsFTECalcResultMostLikelyCRT)*(1+Inflation)^9</f>
        <v>2998188.4815312224</v>
      </c>
      <c r="O123" s="162" t="s">
        <v>3149</v>
      </c>
      <c r="P123" s="12"/>
      <c r="Q123" s="12"/>
      <c r="R123" s="12"/>
      <c r="S123" s="12"/>
      <c r="T123" s="12"/>
      <c r="U123" s="12"/>
      <c r="V123" s="12"/>
      <c r="W123" s="12"/>
      <c r="X123" s="12"/>
      <c r="Y123" s="12"/>
      <c r="Z123" s="12"/>
      <c r="AA123" s="12"/>
      <c r="AB123" s="12"/>
      <c r="AC123" s="12"/>
      <c r="AD123" s="12"/>
      <c r="AE123" s="12"/>
      <c r="AF123" s="12"/>
      <c r="AG123" s="18"/>
    </row>
    <row r="124" spans="1:33" customFormat="1" ht="12" hidden="1" customHeight="1" outlineLevel="1" x14ac:dyDescent="0.2">
      <c r="A124" s="1395"/>
      <c r="B124" s="63"/>
      <c r="C124" s="13"/>
      <c r="D124" s="1064" t="s">
        <v>3150</v>
      </c>
      <c r="E124" s="602">
        <f>(AnnualBurdenedSalaryCRT*hSystemsFTECalcResultBestCaseCRT)</f>
        <v>1672500</v>
      </c>
      <c r="F124" s="602">
        <f>(AnnualBurdenedSalaryCRT*hSystemsFTECalcResultBestCaseCRT)*(1+Inflation)</f>
        <v>1705950</v>
      </c>
      <c r="G124" s="602">
        <f>(AnnualBurdenedSalaryCRT*hSystemsFTECalcResultBestCaseCRT)*(1+Inflation)^2</f>
        <v>1740069</v>
      </c>
      <c r="H124" s="602">
        <f>(AnnualBurdenedSalaryCRT*hSystemsFTECalcResultBestCaseCRT)*(1+Inflation)^3</f>
        <v>1774870.38</v>
      </c>
      <c r="I124" s="602">
        <f>(AnnualBurdenedSalaryCRT*hSystemsFTECalcResultBestCaseCRT)*(1+Inflation)^4</f>
        <v>1810367.7875999999</v>
      </c>
      <c r="J124" s="602">
        <f>(AnnualBurdenedSalaryCRT*hSystemsFTECalcResultBestCaseCRT)*(1+Inflation)^5</f>
        <v>1846575.143352</v>
      </c>
      <c r="K124" s="602">
        <f>(AnnualBurdenedSalaryCRT*hSystemsFTECalcResultBestCaseCRT)*(1+Inflation)^6</f>
        <v>1883506.64621904</v>
      </c>
      <c r="L124" s="602">
        <f>(AnnualBurdenedSalaryCRT*hSystemsFTECalcResultBestCaseCRT)*(1+Inflation)^7</f>
        <v>1921176.7791434205</v>
      </c>
      <c r="M124" s="602">
        <f>(AnnualBurdenedSalaryCRT*hSystemsFTECalcResultBestCaseCRT)*(1+Inflation)^8</f>
        <v>1959600.3147262891</v>
      </c>
      <c r="N124" s="602">
        <f>(AnnualBurdenedSalaryCRT*hSystemsFTECalcResultBestCaseCRT)*(1+Inflation)^9</f>
        <v>1998792.3210208148</v>
      </c>
      <c r="O124" s="162" t="s">
        <v>3151</v>
      </c>
      <c r="P124" s="12"/>
      <c r="Q124" s="12"/>
      <c r="R124" s="12"/>
      <c r="S124" s="12"/>
      <c r="T124" s="12"/>
      <c r="U124" s="12"/>
      <c r="V124" s="12"/>
      <c r="W124" s="12"/>
      <c r="X124" s="12"/>
      <c r="Y124" s="12"/>
      <c r="Z124" s="12"/>
      <c r="AA124" s="12"/>
      <c r="AB124" s="12"/>
      <c r="AC124" s="12"/>
      <c r="AD124" s="12"/>
      <c r="AE124" s="12"/>
      <c r="AF124" s="12"/>
      <c r="AG124" s="18"/>
    </row>
    <row r="125" spans="1:33" s="8" customFormat="1" ht="12" hidden="1" customHeight="1" outlineLevel="1" x14ac:dyDescent="0.2">
      <c r="A125" s="1395"/>
      <c r="B125" s="65"/>
      <c r="C125" s="50"/>
      <c r="D125" s="1064"/>
      <c r="E125" s="440"/>
      <c r="F125" s="440"/>
      <c r="G125" s="440"/>
      <c r="H125" s="440"/>
      <c r="I125" s="440"/>
      <c r="J125" s="440"/>
      <c r="K125" s="440"/>
      <c r="L125" s="440"/>
      <c r="M125" s="440"/>
      <c r="N125" s="440"/>
      <c r="O125" s="642"/>
      <c r="P125" s="23"/>
      <c r="Q125" s="23"/>
      <c r="R125" s="23"/>
      <c r="S125" s="23"/>
      <c r="T125" s="23"/>
      <c r="U125" s="23"/>
      <c r="V125" s="23"/>
      <c r="W125" s="23"/>
      <c r="X125" s="23"/>
      <c r="Y125" s="23"/>
      <c r="Z125" s="23"/>
      <c r="AA125" s="23"/>
      <c r="AB125" s="23"/>
      <c r="AC125" s="23"/>
      <c r="AD125" s="23"/>
      <c r="AE125" s="23"/>
      <c r="AF125" s="23"/>
      <c r="AG125" s="17"/>
    </row>
    <row r="126" spans="1:33" customFormat="1" hidden="1" outlineLevel="1" x14ac:dyDescent="0.2">
      <c r="A126" s="1395"/>
      <c r="B126" s="63"/>
      <c r="C126" s="6"/>
      <c r="D126" s="1064" t="s">
        <v>3152</v>
      </c>
      <c r="E126" s="1065">
        <v>0</v>
      </c>
      <c r="F126" s="1065">
        <v>0</v>
      </c>
      <c r="G126" s="1065">
        <v>0</v>
      </c>
      <c r="H126" s="1065">
        <v>0</v>
      </c>
      <c r="I126" s="1065">
        <v>0</v>
      </c>
      <c r="J126" s="1065">
        <v>0</v>
      </c>
      <c r="K126" s="1065">
        <v>0</v>
      </c>
      <c r="L126" s="1065">
        <v>0</v>
      </c>
      <c r="M126" s="1065">
        <v>0</v>
      </c>
      <c r="N126" s="1065">
        <v>0</v>
      </c>
      <c r="O126" s="162" t="s">
        <v>3153</v>
      </c>
      <c r="P126" s="12"/>
      <c r="Q126" s="12"/>
      <c r="R126" s="12"/>
      <c r="S126" s="12"/>
      <c r="T126" s="12"/>
      <c r="U126" s="12"/>
      <c r="V126" s="12"/>
      <c r="W126" s="12"/>
      <c r="X126" s="12"/>
      <c r="Y126" s="12"/>
      <c r="Z126" s="12"/>
      <c r="AA126" s="12"/>
      <c r="AB126" s="12"/>
      <c r="AC126" s="12"/>
      <c r="AD126" s="12"/>
      <c r="AE126" s="12"/>
      <c r="AF126" s="12"/>
      <c r="AG126" s="18"/>
    </row>
    <row r="127" spans="1:33" customFormat="1" hidden="1" outlineLevel="1" x14ac:dyDescent="0.2">
      <c r="A127" s="1395"/>
      <c r="B127" s="63"/>
      <c r="C127" s="6"/>
      <c r="D127" s="1064" t="s">
        <v>3154</v>
      </c>
      <c r="E127" s="1065">
        <v>0.05</v>
      </c>
      <c r="F127" s="1065">
        <v>0.05</v>
      </c>
      <c r="G127" s="1065">
        <v>0.05</v>
      </c>
      <c r="H127" s="1065">
        <v>0.05</v>
      </c>
      <c r="I127" s="1065">
        <v>0.05</v>
      </c>
      <c r="J127" s="1065">
        <v>0.05</v>
      </c>
      <c r="K127" s="1065">
        <v>0.05</v>
      </c>
      <c r="L127" s="1065">
        <v>0.05</v>
      </c>
      <c r="M127" s="1065">
        <v>0.05</v>
      </c>
      <c r="N127" s="1065">
        <v>0.05</v>
      </c>
      <c r="O127" s="162" t="s">
        <v>3155</v>
      </c>
      <c r="P127" s="12"/>
      <c r="Q127" s="12"/>
      <c r="R127" s="12"/>
      <c r="S127" s="12"/>
      <c r="T127" s="12"/>
      <c r="U127" s="12"/>
      <c r="V127" s="12"/>
      <c r="W127" s="12"/>
      <c r="X127" s="12"/>
      <c r="Y127" s="12"/>
      <c r="Z127" s="12"/>
      <c r="AA127" s="12"/>
      <c r="AB127" s="12"/>
      <c r="AC127" s="12"/>
      <c r="AD127" s="12"/>
      <c r="AE127" s="12"/>
      <c r="AF127" s="12"/>
      <c r="AG127" s="18"/>
    </row>
    <row r="128" spans="1:33" customFormat="1" hidden="1" outlineLevel="1" x14ac:dyDescent="0.2">
      <c r="A128" s="1395"/>
      <c r="B128" s="63"/>
      <c r="C128" s="6"/>
      <c r="D128" s="1064" t="s">
        <v>3156</v>
      </c>
      <c r="E128" s="1065">
        <v>0.1</v>
      </c>
      <c r="F128" s="1065">
        <v>0.1</v>
      </c>
      <c r="G128" s="1065">
        <v>0.1</v>
      </c>
      <c r="H128" s="1065">
        <v>0.1</v>
      </c>
      <c r="I128" s="1065">
        <v>0.1</v>
      </c>
      <c r="J128" s="1065">
        <v>0.1</v>
      </c>
      <c r="K128" s="1065">
        <v>0.1</v>
      </c>
      <c r="L128" s="1065">
        <v>0.1</v>
      </c>
      <c r="M128" s="1065">
        <v>0.1</v>
      </c>
      <c r="N128" s="1065">
        <v>0.1</v>
      </c>
      <c r="O128" s="162" t="s">
        <v>3157</v>
      </c>
      <c r="P128" s="12"/>
      <c r="Q128" s="12"/>
      <c r="R128" s="12"/>
      <c r="S128" s="12"/>
      <c r="T128" s="12"/>
      <c r="U128" s="12"/>
      <c r="V128" s="12"/>
      <c r="W128" s="12"/>
      <c r="X128" s="12"/>
      <c r="Y128" s="12"/>
      <c r="Z128" s="12"/>
      <c r="AA128" s="12"/>
      <c r="AB128" s="12"/>
      <c r="AC128" s="12"/>
      <c r="AD128" s="12"/>
      <c r="AE128" s="12"/>
      <c r="AF128" s="12"/>
      <c r="AG128" s="18"/>
    </row>
    <row r="129" spans="1:33" s="8" customFormat="1" hidden="1" outlineLevel="1" x14ac:dyDescent="0.2">
      <c r="A129" s="1395"/>
      <c r="B129" s="65"/>
      <c r="C129" s="98"/>
      <c r="D129" s="1064"/>
      <c r="E129" s="606"/>
      <c r="F129" s="606"/>
      <c r="G129" s="606"/>
      <c r="H129" s="606"/>
      <c r="I129" s="606"/>
      <c r="J129" s="606"/>
      <c r="K129" s="606"/>
      <c r="L129" s="606"/>
      <c r="M129" s="606"/>
      <c r="N129" s="606"/>
      <c r="O129" s="162"/>
      <c r="P129" s="23"/>
      <c r="Q129" s="23"/>
      <c r="R129" s="23"/>
      <c r="S129" s="23"/>
      <c r="T129" s="23"/>
      <c r="U129" s="23"/>
      <c r="V129" s="23"/>
      <c r="W129" s="23"/>
      <c r="X129" s="23"/>
      <c r="Y129" s="23"/>
      <c r="Z129" s="23"/>
      <c r="AA129" s="23"/>
      <c r="AB129" s="23"/>
      <c r="AC129" s="23"/>
      <c r="AD129" s="23"/>
      <c r="AE129" s="23"/>
      <c r="AF129" s="23"/>
      <c r="AG129" s="17"/>
    </row>
    <row r="130" spans="1:33" customFormat="1" ht="12" hidden="1" customHeight="1" outlineLevel="1" x14ac:dyDescent="0.2">
      <c r="A130" s="1395"/>
      <c r="B130" s="63"/>
      <c r="C130" s="13"/>
      <c r="D130" s="1064" t="s">
        <v>3158</v>
      </c>
      <c r="E130" s="1066">
        <f t="shared" ref="E130:N130" si="17">(1-hSystemsFTEPercentReductionWorstCaseSCL)*pSystemsFTE_SCL</f>
        <v>100</v>
      </c>
      <c r="F130" s="1066">
        <f t="shared" si="17"/>
        <v>100</v>
      </c>
      <c r="G130" s="1066">
        <f t="shared" si="17"/>
        <v>100</v>
      </c>
      <c r="H130" s="1066">
        <f t="shared" si="17"/>
        <v>100</v>
      </c>
      <c r="I130" s="1066">
        <f t="shared" si="17"/>
        <v>100</v>
      </c>
      <c r="J130" s="1066">
        <f t="shared" si="17"/>
        <v>100</v>
      </c>
      <c r="K130" s="1066">
        <f t="shared" si="17"/>
        <v>100</v>
      </c>
      <c r="L130" s="1066">
        <f t="shared" si="17"/>
        <v>100</v>
      </c>
      <c r="M130" s="1066">
        <f t="shared" si="17"/>
        <v>100</v>
      </c>
      <c r="N130" s="1066">
        <f t="shared" si="17"/>
        <v>100</v>
      </c>
      <c r="O130" s="162" t="s">
        <v>3159</v>
      </c>
      <c r="P130" s="12"/>
      <c r="Q130" s="12"/>
      <c r="R130" s="12"/>
      <c r="S130" s="12"/>
      <c r="T130" s="12"/>
      <c r="U130" s="12"/>
      <c r="V130" s="12"/>
      <c r="W130" s="12"/>
      <c r="X130" s="12"/>
      <c r="Y130" s="12"/>
      <c r="Z130" s="12"/>
      <c r="AA130" s="12"/>
      <c r="AB130" s="12"/>
      <c r="AC130" s="12"/>
      <c r="AD130" s="12"/>
      <c r="AE130" s="12"/>
      <c r="AF130" s="12"/>
      <c r="AG130" s="18"/>
    </row>
    <row r="131" spans="1:33" customFormat="1" ht="12" hidden="1" customHeight="1" outlineLevel="1" x14ac:dyDescent="0.2">
      <c r="A131" s="1395"/>
      <c r="B131" s="63"/>
      <c r="C131" s="13"/>
      <c r="D131" s="1064" t="s">
        <v>3160</v>
      </c>
      <c r="E131" s="1066">
        <f t="shared" ref="E131:N131" si="18">(1-hSystemsFTEPercentReductionMostLikelySCL)*pSystemsFTE_SCL</f>
        <v>95</v>
      </c>
      <c r="F131" s="1066">
        <f t="shared" si="18"/>
        <v>95</v>
      </c>
      <c r="G131" s="1066">
        <f t="shared" si="18"/>
        <v>95</v>
      </c>
      <c r="H131" s="1066">
        <f t="shared" si="18"/>
        <v>95</v>
      </c>
      <c r="I131" s="1066">
        <f t="shared" si="18"/>
        <v>95</v>
      </c>
      <c r="J131" s="1066">
        <f t="shared" si="18"/>
        <v>95</v>
      </c>
      <c r="K131" s="1066">
        <f t="shared" si="18"/>
        <v>95</v>
      </c>
      <c r="L131" s="1066">
        <f t="shared" si="18"/>
        <v>95</v>
      </c>
      <c r="M131" s="1066">
        <f t="shared" si="18"/>
        <v>95</v>
      </c>
      <c r="N131" s="1066">
        <f t="shared" si="18"/>
        <v>95</v>
      </c>
      <c r="O131" s="162" t="s">
        <v>3161</v>
      </c>
      <c r="P131" s="12"/>
      <c r="Q131" s="12"/>
      <c r="R131" s="12"/>
      <c r="S131" s="12"/>
      <c r="T131" s="12"/>
      <c r="U131" s="12"/>
      <c r="V131" s="12"/>
      <c r="W131" s="12"/>
      <c r="X131" s="12"/>
      <c r="Y131" s="12"/>
      <c r="Z131" s="12"/>
      <c r="AA131" s="12"/>
      <c r="AB131" s="12"/>
      <c r="AC131" s="12"/>
      <c r="AD131" s="12"/>
      <c r="AE131" s="12"/>
      <c r="AF131" s="12"/>
      <c r="AG131" s="18"/>
    </row>
    <row r="132" spans="1:33" customFormat="1" ht="12" hidden="1" customHeight="1" outlineLevel="1" x14ac:dyDescent="0.2">
      <c r="A132" s="1395"/>
      <c r="B132" s="63"/>
      <c r="C132" s="13"/>
      <c r="D132" s="1064" t="s">
        <v>3162</v>
      </c>
      <c r="E132" s="1066">
        <f t="shared" ref="E132:N132" si="19">(1-hSystemsFTEPercentReductionBestCaseSCL)*pSystemsFTE_SCL</f>
        <v>90</v>
      </c>
      <c r="F132" s="1066">
        <f t="shared" si="19"/>
        <v>90</v>
      </c>
      <c r="G132" s="1066">
        <f t="shared" si="19"/>
        <v>90</v>
      </c>
      <c r="H132" s="1066">
        <f t="shared" si="19"/>
        <v>90</v>
      </c>
      <c r="I132" s="1066">
        <f t="shared" si="19"/>
        <v>90</v>
      </c>
      <c r="J132" s="1066">
        <f t="shared" si="19"/>
        <v>90</v>
      </c>
      <c r="K132" s="1066">
        <f t="shared" si="19"/>
        <v>90</v>
      </c>
      <c r="L132" s="1066">
        <f t="shared" si="19"/>
        <v>90</v>
      </c>
      <c r="M132" s="1066">
        <f t="shared" si="19"/>
        <v>90</v>
      </c>
      <c r="N132" s="1066">
        <f t="shared" si="19"/>
        <v>90</v>
      </c>
      <c r="O132" s="162" t="s">
        <v>3163</v>
      </c>
      <c r="P132" s="12"/>
      <c r="Q132" s="12"/>
      <c r="R132" s="12"/>
      <c r="S132" s="12"/>
      <c r="T132" s="12"/>
      <c r="U132" s="12"/>
      <c r="V132" s="12"/>
      <c r="W132" s="12"/>
      <c r="X132" s="12"/>
      <c r="Y132" s="12"/>
      <c r="Z132" s="12"/>
      <c r="AA132" s="12"/>
      <c r="AB132" s="12"/>
      <c r="AC132" s="12"/>
      <c r="AD132" s="12"/>
      <c r="AE132" s="12"/>
      <c r="AF132" s="12"/>
      <c r="AG132" s="18"/>
    </row>
    <row r="133" spans="1:33" s="8" customFormat="1" ht="12" hidden="1" customHeight="1" outlineLevel="1" x14ac:dyDescent="0.2">
      <c r="A133" s="1395"/>
      <c r="B133" s="65"/>
      <c r="C133" s="50"/>
      <c r="D133" s="1064"/>
      <c r="E133" s="440"/>
      <c r="F133" s="440"/>
      <c r="G133" s="440"/>
      <c r="H133" s="440"/>
      <c r="I133" s="440"/>
      <c r="J133" s="440"/>
      <c r="K133" s="440"/>
      <c r="L133" s="440"/>
      <c r="M133" s="440"/>
      <c r="N133" s="440"/>
      <c r="O133" s="1067"/>
      <c r="P133" s="23"/>
      <c r="Q133" s="23"/>
      <c r="R133" s="23"/>
      <c r="S133" s="23"/>
      <c r="T133" s="23"/>
      <c r="U133" s="23"/>
      <c r="V133" s="23"/>
      <c r="W133" s="23"/>
      <c r="X133" s="23"/>
      <c r="Y133" s="23"/>
      <c r="Z133" s="23"/>
      <c r="AA133" s="23"/>
      <c r="AB133" s="23"/>
      <c r="AC133" s="23"/>
      <c r="AD133" s="23"/>
      <c r="AE133" s="23"/>
      <c r="AF133" s="23"/>
      <c r="AG133" s="17"/>
    </row>
    <row r="134" spans="1:33" customFormat="1" ht="12" hidden="1" customHeight="1" outlineLevel="1" x14ac:dyDescent="0.2">
      <c r="A134" s="1395"/>
      <c r="B134" s="63"/>
      <c r="C134" s="13"/>
      <c r="D134" s="1064" t="s">
        <v>3164</v>
      </c>
      <c r="E134" s="602">
        <f>(AnnualBurdenedSalarySCL*hSystemsFTECalcResultWorstCaseSCL)</f>
        <v>8362500</v>
      </c>
      <c r="F134" s="602">
        <f>(AnnualBurdenedSalarySCL*hSystemsFTECalcResultWorstCaseSCL)*(1+Inflation)</f>
        <v>8529750</v>
      </c>
      <c r="G134" s="602">
        <f>(AnnualBurdenedSalarySCL*hSystemsFTECalcResultWorstCaseSCL)*(1+Inflation)^2</f>
        <v>8700345</v>
      </c>
      <c r="H134" s="602">
        <f>(AnnualBurdenedSalarySCL*hSystemsFTECalcResultWorstCaseSCL)*(1+Inflation)^3</f>
        <v>8874351.8999999985</v>
      </c>
      <c r="I134" s="602">
        <f>(AnnualBurdenedSalarySCL*hSystemsFTECalcResultWorstCaseSCL)*(1+Inflation)^4</f>
        <v>9051838.9379999992</v>
      </c>
      <c r="J134" s="602">
        <f>(AnnualBurdenedSalarySCL*hSystemsFTECalcResultWorstCaseSCL)*(1+Inflation)^5</f>
        <v>9232875.7167600002</v>
      </c>
      <c r="K134" s="602">
        <f>(AnnualBurdenedSalarySCL*hSystemsFTECalcResultWorstCaseSCL)*(1+Inflation)^6</f>
        <v>9417533.2310952004</v>
      </c>
      <c r="L134" s="602">
        <f>(AnnualBurdenedSalarySCL*hSystemsFTECalcResultWorstCaseSCL)*(1+Inflation)^7</f>
        <v>9605883.895717103</v>
      </c>
      <c r="M134" s="602">
        <f>(AnnualBurdenedSalarySCL*hSystemsFTECalcResultWorstCaseSCL)*(1+Inflation)^8</f>
        <v>9798001.5736314449</v>
      </c>
      <c r="N134" s="602">
        <f>(AnnualBurdenedSalarySCL*hSystemsFTECalcResultWorstCaseSCL)*(1+Inflation)^9</f>
        <v>9993961.6051040739</v>
      </c>
      <c r="O134" s="162" t="s">
        <v>3165</v>
      </c>
      <c r="P134" s="12"/>
      <c r="Q134" s="12"/>
      <c r="R134" s="12"/>
      <c r="S134" s="12"/>
      <c r="T134" s="12"/>
      <c r="U134" s="12"/>
      <c r="V134" s="12"/>
      <c r="W134" s="12"/>
      <c r="X134" s="12"/>
      <c r="Y134" s="12"/>
      <c r="Z134" s="12"/>
      <c r="AA134" s="12"/>
      <c r="AB134" s="12"/>
      <c r="AC134" s="12"/>
      <c r="AD134" s="12"/>
      <c r="AE134" s="12"/>
      <c r="AF134" s="12"/>
      <c r="AG134" s="18"/>
    </row>
    <row r="135" spans="1:33" customFormat="1" ht="12" hidden="1" customHeight="1" outlineLevel="1" x14ac:dyDescent="0.2">
      <c r="A135" s="1395"/>
      <c r="B135" s="63"/>
      <c r="C135" s="13"/>
      <c r="D135" s="1064" t="s">
        <v>3166</v>
      </c>
      <c r="E135" s="602">
        <f>(AnnualBurdenedSalarySCL*hSystemsFTECalcResultMostLikelySCL)</f>
        <v>7944375</v>
      </c>
      <c r="F135" s="602">
        <f>(AnnualBurdenedSalarySCL*hSystemsFTECalcResultMostLikelySCL)*(1+Inflation)</f>
        <v>8103262.5</v>
      </c>
      <c r="G135" s="602">
        <f>(AnnualBurdenedSalarySCL*hSystemsFTECalcResultMostLikelySCL)*(1+Inflation)^2</f>
        <v>8265327.75</v>
      </c>
      <c r="H135" s="602">
        <f>(AnnualBurdenedSalarySCL*hSystemsFTECalcResultMostLikelySCL)*(1+Inflation)^3</f>
        <v>8430634.3049999997</v>
      </c>
      <c r="I135" s="602">
        <f>(AnnualBurdenedSalarySCL*hSystemsFTECalcResultMostLikelySCL)*(1+Inflation)^4</f>
        <v>8599246.9911000002</v>
      </c>
      <c r="J135" s="602">
        <f>(AnnualBurdenedSalarySCL*hSystemsFTECalcResultMostLikelySCL)*(1+Inflation)^5</f>
        <v>8771231.9309219997</v>
      </c>
      <c r="K135" s="602">
        <f>(AnnualBurdenedSalarySCL*hSystemsFTECalcResultMostLikelySCL)*(1+Inflation)^6</f>
        <v>8946656.569540441</v>
      </c>
      <c r="L135" s="602">
        <f>(AnnualBurdenedSalarySCL*hSystemsFTECalcResultMostLikelySCL)*(1+Inflation)^7</f>
        <v>9125589.7009312473</v>
      </c>
      <c r="M135" s="602">
        <f>(AnnualBurdenedSalarySCL*hSystemsFTECalcResultMostLikelySCL)*(1+Inflation)^8</f>
        <v>9308101.4949498735</v>
      </c>
      <c r="N135" s="602">
        <f>(AnnualBurdenedSalarySCL*hSystemsFTECalcResultMostLikelySCL)*(1+Inflation)^9</f>
        <v>9494263.5248488709</v>
      </c>
      <c r="O135" s="162" t="s">
        <v>3167</v>
      </c>
      <c r="P135" s="12"/>
      <c r="Q135" s="12"/>
      <c r="R135" s="12"/>
      <c r="S135" s="12"/>
      <c r="T135" s="12"/>
      <c r="U135" s="12"/>
      <c r="V135" s="12"/>
      <c r="W135" s="12"/>
      <c r="X135" s="12"/>
      <c r="Y135" s="12"/>
      <c r="Z135" s="12"/>
      <c r="AA135" s="12"/>
      <c r="AB135" s="12"/>
      <c r="AC135" s="12"/>
      <c r="AD135" s="12"/>
      <c r="AE135" s="12"/>
      <c r="AF135" s="12"/>
      <c r="AG135" s="18"/>
    </row>
    <row r="136" spans="1:33" customFormat="1" ht="12" hidden="1" customHeight="1" outlineLevel="1" x14ac:dyDescent="0.2">
      <c r="A136" s="1395"/>
      <c r="B136" s="63"/>
      <c r="C136" s="13"/>
      <c r="D136" s="1064" t="s">
        <v>3168</v>
      </c>
      <c r="E136" s="602">
        <f>(AnnualBurdenedSalarySCL*hSystemsFTECalcResultBestCaseSCL)</f>
        <v>7526250</v>
      </c>
      <c r="F136" s="602">
        <f>(AnnualBurdenedSalarySCL*hSystemsFTECalcResultBestCaseSCL)*(1+Inflation)</f>
        <v>7676775</v>
      </c>
      <c r="G136" s="602">
        <f>(AnnualBurdenedSalarySCL*hSystemsFTECalcResultBestCaseSCL)*(1+Inflation)^2</f>
        <v>7830310.5</v>
      </c>
      <c r="H136" s="602">
        <f>(AnnualBurdenedSalarySCL*hSystemsFTECalcResultBestCaseSCL)*(1+Inflation)^3</f>
        <v>7986916.709999999</v>
      </c>
      <c r="I136" s="602">
        <f>(AnnualBurdenedSalarySCL*hSystemsFTECalcResultBestCaseSCL)*(1+Inflation)^4</f>
        <v>8146655.0441999994</v>
      </c>
      <c r="J136" s="602">
        <f>(AnnualBurdenedSalarySCL*hSystemsFTECalcResultBestCaseSCL)*(1+Inflation)^5</f>
        <v>8309588.1450840002</v>
      </c>
      <c r="K136" s="602">
        <f>(AnnualBurdenedSalarySCL*hSystemsFTECalcResultBestCaseSCL)*(1+Inflation)^6</f>
        <v>8475779.9079856798</v>
      </c>
      <c r="L136" s="602">
        <f>(AnnualBurdenedSalarySCL*hSystemsFTECalcResultBestCaseSCL)*(1+Inflation)^7</f>
        <v>8645295.5061453916</v>
      </c>
      <c r="M136" s="602">
        <f>(AnnualBurdenedSalarySCL*hSystemsFTECalcResultBestCaseSCL)*(1+Inflation)^8</f>
        <v>8818201.4162683003</v>
      </c>
      <c r="N136" s="602">
        <f>(AnnualBurdenedSalarySCL*hSystemsFTECalcResultBestCaseSCL)*(1+Inflation)^9</f>
        <v>8994565.4445936661</v>
      </c>
      <c r="O136" s="162" t="s">
        <v>3169</v>
      </c>
      <c r="P136" s="12"/>
      <c r="Q136" s="12"/>
      <c r="R136" s="12"/>
      <c r="S136" s="12"/>
      <c r="T136" s="12"/>
      <c r="U136" s="12"/>
      <c r="V136" s="12"/>
      <c r="W136" s="12"/>
      <c r="X136" s="12"/>
      <c r="Y136" s="12"/>
      <c r="Z136" s="12"/>
      <c r="AA136" s="12"/>
      <c r="AB136" s="12"/>
      <c r="AC136" s="12"/>
      <c r="AD136" s="12"/>
      <c r="AE136" s="12"/>
      <c r="AF136" s="12"/>
      <c r="AG136" s="18"/>
    </row>
    <row r="137" spans="1:33" s="8" customFormat="1" ht="12" hidden="1" customHeight="1" outlineLevel="1" x14ac:dyDescent="0.2">
      <c r="A137" s="1395"/>
      <c r="B137" s="65"/>
      <c r="C137" s="50"/>
      <c r="D137" s="1064"/>
      <c r="E137" s="440"/>
      <c r="F137" s="440"/>
      <c r="G137" s="440"/>
      <c r="H137" s="440"/>
      <c r="I137" s="440"/>
      <c r="J137" s="440"/>
      <c r="K137" s="440"/>
      <c r="L137" s="440"/>
      <c r="M137" s="440"/>
      <c r="N137" s="440"/>
      <c r="O137" s="642"/>
      <c r="P137" s="23"/>
      <c r="Q137" s="23"/>
      <c r="R137" s="23"/>
      <c r="S137" s="23"/>
      <c r="T137" s="23"/>
      <c r="U137" s="23"/>
      <c r="V137" s="23"/>
      <c r="W137" s="23"/>
      <c r="X137" s="23"/>
      <c r="Y137" s="23"/>
      <c r="Z137" s="23"/>
      <c r="AA137" s="23"/>
      <c r="AB137" s="23"/>
      <c r="AC137" s="23"/>
      <c r="AD137" s="23"/>
      <c r="AE137" s="23"/>
      <c r="AF137" s="23"/>
      <c r="AG137" s="17"/>
    </row>
    <row r="138" spans="1:33" customFormat="1" hidden="1" outlineLevel="1" x14ac:dyDescent="0.2">
      <c r="A138" s="1395"/>
      <c r="B138" s="63"/>
      <c r="C138" s="6"/>
      <c r="D138" s="1064" t="s">
        <v>3170</v>
      </c>
      <c r="E138" s="1065">
        <v>0</v>
      </c>
      <c r="F138" s="1065">
        <v>0</v>
      </c>
      <c r="G138" s="1065">
        <v>0</v>
      </c>
      <c r="H138" s="1065">
        <v>0</v>
      </c>
      <c r="I138" s="1065">
        <v>0</v>
      </c>
      <c r="J138" s="1065">
        <v>0</v>
      </c>
      <c r="K138" s="1065">
        <v>0</v>
      </c>
      <c r="L138" s="1065">
        <v>0</v>
      </c>
      <c r="M138" s="1065">
        <v>0</v>
      </c>
      <c r="N138" s="1065">
        <v>0</v>
      </c>
      <c r="O138" s="162" t="s">
        <v>3171</v>
      </c>
      <c r="P138" s="12"/>
      <c r="Q138" s="12"/>
      <c r="R138" s="12"/>
      <c r="S138" s="12"/>
      <c r="T138" s="12"/>
      <c r="U138" s="12"/>
      <c r="V138" s="12"/>
      <c r="W138" s="12"/>
      <c r="X138" s="12"/>
      <c r="Y138" s="12"/>
      <c r="Z138" s="12"/>
      <c r="AA138" s="12"/>
      <c r="AB138" s="12"/>
      <c r="AC138" s="12"/>
      <c r="AD138" s="12"/>
      <c r="AE138" s="12"/>
      <c r="AF138" s="12"/>
      <c r="AG138" s="18"/>
    </row>
    <row r="139" spans="1:33" customFormat="1" hidden="1" outlineLevel="1" x14ac:dyDescent="0.2">
      <c r="A139" s="1395"/>
      <c r="B139" s="63"/>
      <c r="C139" s="6"/>
      <c r="D139" s="1064" t="s">
        <v>3172</v>
      </c>
      <c r="E139" s="1065">
        <v>0.05</v>
      </c>
      <c r="F139" s="1065">
        <v>0.05</v>
      </c>
      <c r="G139" s="1065">
        <v>0.05</v>
      </c>
      <c r="H139" s="1065">
        <v>0.05</v>
      </c>
      <c r="I139" s="1065">
        <v>0.05</v>
      </c>
      <c r="J139" s="1065">
        <v>0.05</v>
      </c>
      <c r="K139" s="1065">
        <v>0.05</v>
      </c>
      <c r="L139" s="1065">
        <v>0.05</v>
      </c>
      <c r="M139" s="1065">
        <v>0.05</v>
      </c>
      <c r="N139" s="1065">
        <v>0.05</v>
      </c>
      <c r="O139" s="162" t="s">
        <v>3173</v>
      </c>
      <c r="P139" s="12"/>
      <c r="Q139" s="12"/>
      <c r="R139" s="12"/>
      <c r="S139" s="12"/>
      <c r="T139" s="12"/>
      <c r="U139" s="12"/>
      <c r="V139" s="12"/>
      <c r="W139" s="12"/>
      <c r="X139" s="12"/>
      <c r="Y139" s="12"/>
      <c r="Z139" s="12"/>
      <c r="AA139" s="12"/>
      <c r="AB139" s="12"/>
      <c r="AC139" s="12"/>
      <c r="AD139" s="12"/>
      <c r="AE139" s="12"/>
      <c r="AF139" s="12"/>
      <c r="AG139" s="18"/>
    </row>
    <row r="140" spans="1:33" customFormat="1" hidden="1" outlineLevel="1" x14ac:dyDescent="0.2">
      <c r="A140" s="1395"/>
      <c r="B140" s="63"/>
      <c r="C140" s="6"/>
      <c r="D140" s="1064" t="s">
        <v>3174</v>
      </c>
      <c r="E140" s="1065">
        <v>0.1</v>
      </c>
      <c r="F140" s="1065">
        <v>0.1</v>
      </c>
      <c r="G140" s="1065">
        <v>0.1</v>
      </c>
      <c r="H140" s="1065">
        <v>0.1</v>
      </c>
      <c r="I140" s="1065">
        <v>0.1</v>
      </c>
      <c r="J140" s="1065">
        <v>0.1</v>
      </c>
      <c r="K140" s="1065">
        <v>0.1</v>
      </c>
      <c r="L140" s="1065">
        <v>0.1</v>
      </c>
      <c r="M140" s="1065">
        <v>0.1</v>
      </c>
      <c r="N140" s="1065">
        <v>0.1</v>
      </c>
      <c r="O140" s="162" t="s">
        <v>3175</v>
      </c>
      <c r="P140" s="12"/>
      <c r="Q140" s="12"/>
      <c r="R140" s="12"/>
      <c r="S140" s="12"/>
      <c r="T140" s="12"/>
      <c r="U140" s="12"/>
      <c r="V140" s="12"/>
      <c r="W140" s="12"/>
      <c r="X140" s="12"/>
      <c r="Y140" s="12"/>
      <c r="Z140" s="12"/>
      <c r="AA140" s="12"/>
      <c r="AB140" s="12"/>
      <c r="AC140" s="12"/>
      <c r="AD140" s="12"/>
      <c r="AE140" s="12"/>
      <c r="AF140" s="12"/>
      <c r="AG140" s="18"/>
    </row>
    <row r="141" spans="1:33" s="8" customFormat="1" hidden="1" outlineLevel="1" x14ac:dyDescent="0.2">
      <c r="A141" s="1395"/>
      <c r="B141" s="65"/>
      <c r="C141" s="98"/>
      <c r="D141" s="1064"/>
      <c r="E141" s="606"/>
      <c r="F141" s="606"/>
      <c r="G141" s="606"/>
      <c r="H141" s="606"/>
      <c r="I141" s="606"/>
      <c r="J141" s="606"/>
      <c r="K141" s="606"/>
      <c r="L141" s="606"/>
      <c r="M141" s="606"/>
      <c r="N141" s="606"/>
      <c r="O141" s="162"/>
      <c r="P141" s="23"/>
      <c r="Q141" s="23"/>
      <c r="R141" s="23"/>
      <c r="S141" s="23"/>
      <c r="T141" s="23"/>
      <c r="U141" s="23"/>
      <c r="V141" s="23"/>
      <c r="W141" s="23"/>
      <c r="X141" s="23"/>
      <c r="Y141" s="23"/>
      <c r="Z141" s="23"/>
      <c r="AA141" s="23"/>
      <c r="AB141" s="23"/>
      <c r="AC141" s="23"/>
      <c r="AD141" s="23"/>
      <c r="AE141" s="23"/>
      <c r="AF141" s="23"/>
      <c r="AG141" s="17"/>
    </row>
    <row r="142" spans="1:33" customFormat="1" ht="12" hidden="1" customHeight="1" outlineLevel="1" x14ac:dyDescent="0.2">
      <c r="A142" s="1395"/>
      <c r="B142" s="63"/>
      <c r="C142" s="6"/>
      <c r="D142" s="1064" t="s">
        <v>3176</v>
      </c>
      <c r="E142" s="1066">
        <f t="shared" ref="E142:N142" si="20">(1-hSystemsFTEPercentReductionWorstCaseQSC)*pSystemsFTE_QSC</f>
        <v>50</v>
      </c>
      <c r="F142" s="1066">
        <f t="shared" si="20"/>
        <v>50</v>
      </c>
      <c r="G142" s="1066">
        <f t="shared" si="20"/>
        <v>50</v>
      </c>
      <c r="H142" s="1066">
        <f t="shared" si="20"/>
        <v>50</v>
      </c>
      <c r="I142" s="1066">
        <f t="shared" si="20"/>
        <v>50</v>
      </c>
      <c r="J142" s="1066">
        <f t="shared" si="20"/>
        <v>50</v>
      </c>
      <c r="K142" s="1066">
        <f t="shared" si="20"/>
        <v>50</v>
      </c>
      <c r="L142" s="1066">
        <f t="shared" si="20"/>
        <v>50</v>
      </c>
      <c r="M142" s="1066">
        <f t="shared" si="20"/>
        <v>50</v>
      </c>
      <c r="N142" s="1066">
        <f t="shared" si="20"/>
        <v>50</v>
      </c>
      <c r="O142" s="162" t="s">
        <v>3177</v>
      </c>
      <c r="P142" s="12"/>
      <c r="Q142" s="12"/>
      <c r="R142" s="12"/>
      <c r="S142" s="12"/>
      <c r="T142" s="12"/>
      <c r="U142" s="12"/>
      <c r="V142" s="12"/>
      <c r="W142" s="12"/>
      <c r="X142" s="12"/>
      <c r="Y142" s="12"/>
      <c r="Z142" s="12"/>
      <c r="AA142" s="12"/>
      <c r="AB142" s="12"/>
      <c r="AC142" s="12"/>
      <c r="AD142" s="12"/>
      <c r="AE142" s="12"/>
      <c r="AF142" s="12"/>
      <c r="AG142" s="18"/>
    </row>
    <row r="143" spans="1:33" customFormat="1" ht="12" hidden="1" customHeight="1" outlineLevel="1" x14ac:dyDescent="0.2">
      <c r="A143" s="1395"/>
      <c r="B143" s="63"/>
      <c r="C143" s="13"/>
      <c r="D143" s="1064" t="s">
        <v>3178</v>
      </c>
      <c r="E143" s="1066">
        <f t="shared" ref="E143:N143" si="21">(1-hSystemsFTEPercentReductionMostLikelyQSC)*pSystemsFTE_QSC</f>
        <v>47.5</v>
      </c>
      <c r="F143" s="1066">
        <f t="shared" si="21"/>
        <v>47.5</v>
      </c>
      <c r="G143" s="1066">
        <f t="shared" si="21"/>
        <v>47.5</v>
      </c>
      <c r="H143" s="1066">
        <f t="shared" si="21"/>
        <v>47.5</v>
      </c>
      <c r="I143" s="1066">
        <f t="shared" si="21"/>
        <v>47.5</v>
      </c>
      <c r="J143" s="1066">
        <f t="shared" si="21"/>
        <v>47.5</v>
      </c>
      <c r="K143" s="1066">
        <f t="shared" si="21"/>
        <v>47.5</v>
      </c>
      <c r="L143" s="1066">
        <f t="shared" si="21"/>
        <v>47.5</v>
      </c>
      <c r="M143" s="1066">
        <f t="shared" si="21"/>
        <v>47.5</v>
      </c>
      <c r="N143" s="1066">
        <f t="shared" si="21"/>
        <v>47.5</v>
      </c>
      <c r="O143" s="162" t="s">
        <v>3179</v>
      </c>
      <c r="P143" s="12"/>
      <c r="Q143" s="12"/>
      <c r="R143" s="12"/>
      <c r="S143" s="12"/>
      <c r="T143" s="12"/>
      <c r="U143" s="12"/>
      <c r="V143" s="12"/>
      <c r="W143" s="12"/>
      <c r="X143" s="12"/>
      <c r="Y143" s="12"/>
      <c r="Z143" s="12"/>
      <c r="AA143" s="12"/>
      <c r="AB143" s="12"/>
      <c r="AC143" s="12"/>
      <c r="AD143" s="12"/>
      <c r="AE143" s="12"/>
      <c r="AF143" s="12"/>
      <c r="AG143" s="18"/>
    </row>
    <row r="144" spans="1:33" customFormat="1" ht="12" hidden="1" customHeight="1" outlineLevel="1" x14ac:dyDescent="0.2">
      <c r="A144" s="1395"/>
      <c r="B144" s="63"/>
      <c r="C144" s="13"/>
      <c r="D144" s="1064" t="s">
        <v>3180</v>
      </c>
      <c r="E144" s="1066">
        <f t="shared" ref="E144:N144" si="22">(1-hSystemsFTEPercentReductionBestCaseQSC)*pSystemsFTE_QSC</f>
        <v>45</v>
      </c>
      <c r="F144" s="1066">
        <f t="shared" si="22"/>
        <v>45</v>
      </c>
      <c r="G144" s="1066">
        <f t="shared" si="22"/>
        <v>45</v>
      </c>
      <c r="H144" s="1066">
        <f t="shared" si="22"/>
        <v>45</v>
      </c>
      <c r="I144" s="1066">
        <f t="shared" si="22"/>
        <v>45</v>
      </c>
      <c r="J144" s="1066">
        <f t="shared" si="22"/>
        <v>45</v>
      </c>
      <c r="K144" s="1066">
        <f t="shared" si="22"/>
        <v>45</v>
      </c>
      <c r="L144" s="1066">
        <f t="shared" si="22"/>
        <v>45</v>
      </c>
      <c r="M144" s="1066">
        <f t="shared" si="22"/>
        <v>45</v>
      </c>
      <c r="N144" s="1066">
        <f t="shared" si="22"/>
        <v>45</v>
      </c>
      <c r="O144" s="162" t="s">
        <v>3181</v>
      </c>
      <c r="P144" s="12"/>
      <c r="Q144" s="12"/>
      <c r="R144" s="12"/>
      <c r="S144" s="12"/>
      <c r="T144" s="12"/>
      <c r="U144" s="12"/>
      <c r="V144" s="12"/>
      <c r="W144" s="12"/>
      <c r="X144" s="12"/>
      <c r="Y144" s="12"/>
      <c r="Z144" s="12"/>
      <c r="AA144" s="12"/>
      <c r="AB144" s="12"/>
      <c r="AC144" s="12"/>
      <c r="AD144" s="12"/>
      <c r="AE144" s="12"/>
      <c r="AF144" s="12"/>
      <c r="AG144" s="18"/>
    </row>
    <row r="145" spans="1:33" s="8" customFormat="1" ht="12" hidden="1" customHeight="1" outlineLevel="1" x14ac:dyDescent="0.2">
      <c r="A145" s="1395"/>
      <c r="B145" s="65"/>
      <c r="C145" s="50"/>
      <c r="D145" s="1064"/>
      <c r="E145" s="440"/>
      <c r="F145" s="440"/>
      <c r="G145" s="440"/>
      <c r="H145" s="440"/>
      <c r="I145" s="440"/>
      <c r="J145" s="440"/>
      <c r="K145" s="440"/>
      <c r="L145" s="440"/>
      <c r="M145" s="440"/>
      <c r="N145" s="440"/>
      <c r="O145" s="1067"/>
      <c r="P145" s="23"/>
      <c r="Q145" s="23"/>
      <c r="R145" s="23"/>
      <c r="S145" s="23"/>
      <c r="T145" s="23"/>
      <c r="U145" s="23"/>
      <c r="V145" s="23"/>
      <c r="W145" s="23"/>
      <c r="X145" s="23"/>
      <c r="Y145" s="23"/>
      <c r="Z145" s="23"/>
      <c r="AA145" s="23"/>
      <c r="AB145" s="23"/>
      <c r="AC145" s="23"/>
      <c r="AD145" s="23"/>
      <c r="AE145" s="23"/>
      <c r="AF145" s="23"/>
      <c r="AG145" s="17"/>
    </row>
    <row r="146" spans="1:33" customFormat="1" ht="12" hidden="1" customHeight="1" outlineLevel="1" x14ac:dyDescent="0.2">
      <c r="A146" s="1395"/>
      <c r="B146" s="63"/>
      <c r="C146" s="13"/>
      <c r="D146" s="1064" t="s">
        <v>3182</v>
      </c>
      <c r="E146" s="602">
        <f>(AnnualBurdenedSalaryQSC*hSystemsFTECalcResultWorstCaseQSC)</f>
        <v>5226562.5</v>
      </c>
      <c r="F146" s="602">
        <f>(AnnualBurdenedSalaryQSC*hSystemsFTECalcResultWorstCaseQSC)*(1+Inflation)</f>
        <v>5331093.75</v>
      </c>
      <c r="G146" s="602">
        <f>(AnnualBurdenedSalaryQSC*hSystemsFTECalcResultWorstCaseQSC)*(1+Inflation)^2</f>
        <v>5437715.625</v>
      </c>
      <c r="H146" s="602">
        <f>(AnnualBurdenedSalaryQSC*hSystemsFTECalcResultWorstCaseQSC)*(1+Inflation)^3</f>
        <v>5546469.9375</v>
      </c>
      <c r="I146" s="602">
        <f>(AnnualBurdenedSalaryQSC*hSystemsFTECalcResultWorstCaseQSC)*(1+Inflation)^4</f>
        <v>5657399.3362499997</v>
      </c>
      <c r="J146" s="602">
        <f>(AnnualBurdenedSalaryQSC*hSystemsFTECalcResultWorstCaseQSC)*(1+Inflation)^5</f>
        <v>5770547.3229750004</v>
      </c>
      <c r="K146" s="602">
        <f>(AnnualBurdenedSalaryQSC*hSystemsFTECalcResultWorstCaseQSC)*(1+Inflation)^6</f>
        <v>5885958.2694345005</v>
      </c>
      <c r="L146" s="602">
        <f>(AnnualBurdenedSalaryQSC*hSystemsFTECalcResultWorstCaseQSC)*(1+Inflation)^7</f>
        <v>6003677.4348231889</v>
      </c>
      <c r="M146" s="602">
        <f>(AnnualBurdenedSalaryQSC*hSystemsFTECalcResultWorstCaseQSC)*(1+Inflation)^8</f>
        <v>6123750.9835196538</v>
      </c>
      <c r="N146" s="602">
        <f>(AnnualBurdenedSalaryQSC*hSystemsFTECalcResultWorstCaseQSC)*(1+Inflation)^9</f>
        <v>6246226.0031900462</v>
      </c>
      <c r="O146" s="162" t="s">
        <v>3183</v>
      </c>
      <c r="P146" s="12"/>
      <c r="Q146" s="12"/>
      <c r="R146" s="12"/>
      <c r="S146" s="12"/>
      <c r="T146" s="12"/>
      <c r="U146" s="12"/>
      <c r="V146" s="12"/>
      <c r="W146" s="12"/>
      <c r="X146" s="12"/>
      <c r="Y146" s="12"/>
      <c r="Z146" s="12"/>
      <c r="AA146" s="12"/>
      <c r="AB146" s="12"/>
      <c r="AC146" s="12"/>
      <c r="AD146" s="12"/>
      <c r="AE146" s="12"/>
      <c r="AF146" s="12"/>
      <c r="AG146" s="18"/>
    </row>
    <row r="147" spans="1:33" customFormat="1" ht="12" hidden="1" customHeight="1" outlineLevel="1" x14ac:dyDescent="0.2">
      <c r="A147" s="1395"/>
      <c r="B147" s="63"/>
      <c r="C147" s="13"/>
      <c r="D147" s="1064" t="s">
        <v>3184</v>
      </c>
      <c r="E147" s="602">
        <f>(AnnualBurdenedSalaryQSC*hSystemsFTECalcResultMostLikelyQSC)</f>
        <v>4965234.375</v>
      </c>
      <c r="F147" s="602">
        <f>(AnnualBurdenedSalaryQSC*hSystemsFTECalcResultMostLikelyQSC)*(1+Inflation)</f>
        <v>5064539.0625</v>
      </c>
      <c r="G147" s="602">
        <f>(AnnualBurdenedSalaryQSC*hSystemsFTECalcResultMostLikelyQSC)*(1+Inflation)^2</f>
        <v>5165829.84375</v>
      </c>
      <c r="H147" s="602">
        <f>(AnnualBurdenedSalaryQSC*hSystemsFTECalcResultMostLikelyQSC)*(1+Inflation)^3</f>
        <v>5269146.4406249998</v>
      </c>
      <c r="I147" s="602">
        <f>(AnnualBurdenedSalaryQSC*hSystemsFTECalcResultMostLikelyQSC)*(1+Inflation)^4</f>
        <v>5374529.3694374999</v>
      </c>
      <c r="J147" s="602">
        <f>(AnnualBurdenedSalaryQSC*hSystemsFTECalcResultMostLikelyQSC)*(1+Inflation)^5</f>
        <v>5482019.9568262501</v>
      </c>
      <c r="K147" s="602">
        <f>(AnnualBurdenedSalaryQSC*hSystemsFTECalcResultMostLikelyQSC)*(1+Inflation)^6</f>
        <v>5591660.3559627756</v>
      </c>
      <c r="L147" s="602">
        <f>(AnnualBurdenedSalaryQSC*hSystemsFTECalcResultMostLikelyQSC)*(1+Inflation)^7</f>
        <v>5703493.56308203</v>
      </c>
      <c r="M147" s="602">
        <f>(AnnualBurdenedSalaryQSC*hSystemsFTECalcResultMostLikelyQSC)*(1+Inflation)^8</f>
        <v>5817563.4343436705</v>
      </c>
      <c r="N147" s="602">
        <f>(AnnualBurdenedSalaryQSC*hSystemsFTECalcResultMostLikelyQSC)*(1+Inflation)^9</f>
        <v>5933914.7030305443</v>
      </c>
      <c r="O147" s="162" t="s">
        <v>3185</v>
      </c>
      <c r="P147" s="12"/>
      <c r="Q147" s="12"/>
      <c r="R147" s="12"/>
      <c r="S147" s="12"/>
      <c r="T147" s="12"/>
      <c r="U147" s="12"/>
      <c r="V147" s="12"/>
      <c r="W147" s="12"/>
      <c r="X147" s="12"/>
      <c r="Y147" s="12"/>
      <c r="Z147" s="12"/>
      <c r="AA147" s="12"/>
      <c r="AB147" s="12"/>
      <c r="AC147" s="12"/>
      <c r="AD147" s="12"/>
      <c r="AE147" s="12"/>
      <c r="AF147" s="12"/>
      <c r="AG147" s="18"/>
    </row>
    <row r="148" spans="1:33" customFormat="1" ht="12" hidden="1" customHeight="1" outlineLevel="1" x14ac:dyDescent="0.2">
      <c r="A148" s="1395"/>
      <c r="B148" s="63"/>
      <c r="C148" s="13"/>
      <c r="D148" s="1064" t="s">
        <v>3186</v>
      </c>
      <c r="E148" s="602">
        <f>(AnnualBurdenedSalaryQSC*hSystemsFTECalcResultBestCaseQSC)</f>
        <v>4703906.25</v>
      </c>
      <c r="F148" s="602">
        <f>(AnnualBurdenedSalaryQSC*hSystemsFTECalcResultBestCaseQSC)*(1+Inflation)</f>
        <v>4797984.375</v>
      </c>
      <c r="G148" s="602">
        <f>(AnnualBurdenedSalaryQSC*hSystemsFTECalcResultBestCaseQSC)*(1+Inflation)^2</f>
        <v>4893944.0625</v>
      </c>
      <c r="H148" s="602">
        <f>(AnnualBurdenedSalaryQSC*hSystemsFTECalcResultBestCaseQSC)*(1+Inflation)^3</f>
        <v>4991822.9437499996</v>
      </c>
      <c r="I148" s="602">
        <f>(AnnualBurdenedSalaryQSC*hSystemsFTECalcResultBestCaseQSC)*(1+Inflation)^4</f>
        <v>5091659.4026250001</v>
      </c>
      <c r="J148" s="602">
        <f>(AnnualBurdenedSalaryQSC*hSystemsFTECalcResultBestCaseQSC)*(1+Inflation)^5</f>
        <v>5193492.5906774998</v>
      </c>
      <c r="K148" s="602">
        <f>(AnnualBurdenedSalaryQSC*hSystemsFTECalcResultBestCaseQSC)*(1+Inflation)^6</f>
        <v>5297362.4424910499</v>
      </c>
      <c r="L148" s="602">
        <f>(AnnualBurdenedSalaryQSC*hSystemsFTECalcResultBestCaseQSC)*(1+Inflation)^7</f>
        <v>5403309.6913408702</v>
      </c>
      <c r="M148" s="602">
        <f>(AnnualBurdenedSalaryQSC*hSystemsFTECalcResultBestCaseQSC)*(1+Inflation)^8</f>
        <v>5511375.8851676881</v>
      </c>
      <c r="N148" s="602">
        <f>(AnnualBurdenedSalaryQSC*hSystemsFTECalcResultBestCaseQSC)*(1+Inflation)^9</f>
        <v>5621603.4028710416</v>
      </c>
      <c r="O148" s="162" t="s">
        <v>3187</v>
      </c>
      <c r="P148" s="12"/>
      <c r="Q148" s="12"/>
      <c r="R148" s="12"/>
      <c r="S148" s="12"/>
      <c r="T148" s="12"/>
      <c r="U148" s="12"/>
      <c r="V148" s="12"/>
      <c r="W148" s="12"/>
      <c r="X148" s="12"/>
      <c r="Y148" s="12"/>
      <c r="Z148" s="12"/>
      <c r="AA148" s="12"/>
      <c r="AB148" s="12"/>
      <c r="AC148" s="12"/>
      <c r="AD148" s="12"/>
      <c r="AE148" s="12"/>
      <c r="AF148" s="12"/>
      <c r="AG148" s="18"/>
    </row>
    <row r="149" spans="1:33" s="8" customFormat="1" ht="12" hidden="1" customHeight="1" outlineLevel="1" x14ac:dyDescent="0.2">
      <c r="A149" s="1395"/>
      <c r="B149" s="65"/>
      <c r="C149" s="50"/>
      <c r="D149" s="1064"/>
      <c r="E149" s="440"/>
      <c r="F149" s="440"/>
      <c r="G149" s="440"/>
      <c r="H149" s="440"/>
      <c r="I149" s="440"/>
      <c r="J149" s="440"/>
      <c r="K149" s="440"/>
      <c r="L149" s="440"/>
      <c r="M149" s="440"/>
      <c r="N149" s="440"/>
      <c r="O149" s="642"/>
      <c r="P149" s="23"/>
      <c r="Q149" s="23"/>
      <c r="R149" s="23"/>
      <c r="S149" s="23"/>
      <c r="T149" s="23"/>
      <c r="U149" s="23"/>
      <c r="V149" s="23"/>
      <c r="W149" s="23"/>
      <c r="X149" s="23"/>
      <c r="Y149" s="23"/>
      <c r="Z149" s="23"/>
      <c r="AA149" s="23"/>
      <c r="AB149" s="23"/>
      <c r="AC149" s="23"/>
      <c r="AD149" s="23"/>
      <c r="AE149" s="23"/>
      <c r="AF149" s="23"/>
      <c r="AG149" s="17"/>
    </row>
    <row r="150" spans="1:33" customFormat="1" hidden="1" outlineLevel="1" x14ac:dyDescent="0.2">
      <c r="A150" s="1395"/>
      <c r="B150" s="63"/>
      <c r="C150" s="6"/>
      <c r="D150" s="1064" t="s">
        <v>3188</v>
      </c>
      <c r="E150" s="1065">
        <v>0</v>
      </c>
      <c r="F150" s="1065">
        <v>0</v>
      </c>
      <c r="G150" s="1065">
        <v>0</v>
      </c>
      <c r="H150" s="1065">
        <v>0</v>
      </c>
      <c r="I150" s="1065">
        <v>0</v>
      </c>
      <c r="J150" s="1065">
        <v>0</v>
      </c>
      <c r="K150" s="1065">
        <v>0</v>
      </c>
      <c r="L150" s="1065">
        <v>0</v>
      </c>
      <c r="M150" s="1065">
        <v>0</v>
      </c>
      <c r="N150" s="1065">
        <v>0</v>
      </c>
      <c r="O150" s="162" t="s">
        <v>3189</v>
      </c>
      <c r="P150" s="12"/>
      <c r="Q150" s="12"/>
      <c r="R150" s="12"/>
      <c r="S150" s="12"/>
      <c r="T150" s="12"/>
      <c r="U150" s="12"/>
      <c r="V150" s="12"/>
      <c r="W150" s="12"/>
      <c r="X150" s="12"/>
      <c r="Y150" s="12"/>
      <c r="Z150" s="12"/>
      <c r="AA150" s="12"/>
      <c r="AB150" s="12"/>
      <c r="AC150" s="12"/>
      <c r="AD150" s="12"/>
      <c r="AE150" s="12"/>
      <c r="AF150" s="12"/>
      <c r="AG150" s="18"/>
    </row>
    <row r="151" spans="1:33" customFormat="1" hidden="1" outlineLevel="1" x14ac:dyDescent="0.2">
      <c r="A151" s="1395"/>
      <c r="B151" s="63"/>
      <c r="C151" s="6"/>
      <c r="D151" s="1064" t="s">
        <v>3190</v>
      </c>
      <c r="E151" s="1065">
        <v>0.05</v>
      </c>
      <c r="F151" s="1065">
        <v>0.05</v>
      </c>
      <c r="G151" s="1065">
        <v>0.05</v>
      </c>
      <c r="H151" s="1065">
        <v>0.05</v>
      </c>
      <c r="I151" s="1065">
        <v>0.05</v>
      </c>
      <c r="J151" s="1065">
        <v>0.05</v>
      </c>
      <c r="K151" s="1065">
        <v>0.05</v>
      </c>
      <c r="L151" s="1065">
        <v>0.05</v>
      </c>
      <c r="M151" s="1065">
        <v>0.05</v>
      </c>
      <c r="N151" s="1065">
        <v>0.05</v>
      </c>
      <c r="O151" s="162" t="s">
        <v>3191</v>
      </c>
      <c r="P151" s="12"/>
      <c r="Q151" s="12"/>
      <c r="R151" s="12"/>
      <c r="S151" s="12"/>
      <c r="T151" s="12"/>
      <c r="U151" s="12"/>
      <c r="V151" s="12"/>
      <c r="W151" s="12"/>
      <c r="X151" s="12"/>
      <c r="Y151" s="12"/>
      <c r="Z151" s="12"/>
      <c r="AA151" s="12"/>
      <c r="AB151" s="12"/>
      <c r="AC151" s="12"/>
      <c r="AD151" s="12"/>
      <c r="AE151" s="12"/>
      <c r="AF151" s="12"/>
      <c r="AG151" s="18"/>
    </row>
    <row r="152" spans="1:33" customFormat="1" hidden="1" outlineLevel="1" x14ac:dyDescent="0.2">
      <c r="A152" s="1395"/>
      <c r="B152" s="63"/>
      <c r="C152" s="6"/>
      <c r="D152" s="1064" t="s">
        <v>3192</v>
      </c>
      <c r="E152" s="1065">
        <v>0.1</v>
      </c>
      <c r="F152" s="1065">
        <v>0.1</v>
      </c>
      <c r="G152" s="1065">
        <v>0.1</v>
      </c>
      <c r="H152" s="1065">
        <v>0.1</v>
      </c>
      <c r="I152" s="1065">
        <v>0.1</v>
      </c>
      <c r="J152" s="1065">
        <v>0.1</v>
      </c>
      <c r="K152" s="1065">
        <v>0.1</v>
      </c>
      <c r="L152" s="1065">
        <v>0.1</v>
      </c>
      <c r="M152" s="1065">
        <v>0.1</v>
      </c>
      <c r="N152" s="1065">
        <v>0.1</v>
      </c>
      <c r="O152" s="162" t="s">
        <v>3193</v>
      </c>
      <c r="P152" s="12"/>
      <c r="Q152" s="12"/>
      <c r="R152" s="12"/>
      <c r="S152" s="12"/>
      <c r="T152" s="12"/>
      <c r="U152" s="12"/>
      <c r="V152" s="12"/>
      <c r="W152" s="12"/>
      <c r="X152" s="12"/>
      <c r="Y152" s="12"/>
      <c r="Z152" s="12"/>
      <c r="AA152" s="12"/>
      <c r="AB152" s="12"/>
      <c r="AC152" s="12"/>
      <c r="AD152" s="12"/>
      <c r="AE152" s="12"/>
      <c r="AF152" s="12"/>
      <c r="AG152" s="18"/>
    </row>
    <row r="153" spans="1:33" s="8" customFormat="1" hidden="1" outlineLevel="1" x14ac:dyDescent="0.2">
      <c r="A153" s="1395"/>
      <c r="B153" s="65"/>
      <c r="C153" s="98"/>
      <c r="D153" s="1064"/>
      <c r="E153" s="606"/>
      <c r="F153" s="606"/>
      <c r="G153" s="606"/>
      <c r="H153" s="606"/>
      <c r="I153" s="606"/>
      <c r="J153" s="606"/>
      <c r="K153" s="606"/>
      <c r="L153" s="606"/>
      <c r="M153" s="606"/>
      <c r="N153" s="606"/>
      <c r="O153" s="162"/>
      <c r="P153" s="23"/>
      <c r="Q153" s="23"/>
      <c r="R153" s="23"/>
      <c r="S153" s="23"/>
      <c r="T153" s="23"/>
      <c r="U153" s="23"/>
      <c r="V153" s="23"/>
      <c r="W153" s="23"/>
      <c r="X153" s="23"/>
      <c r="Y153" s="23"/>
      <c r="Z153" s="23"/>
      <c r="AA153" s="23"/>
      <c r="AB153" s="23"/>
      <c r="AC153" s="23"/>
      <c r="AD153" s="23"/>
      <c r="AE153" s="23"/>
      <c r="AF153" s="23"/>
      <c r="AG153" s="17"/>
    </row>
    <row r="154" spans="1:33" customFormat="1" ht="12" hidden="1" customHeight="1" outlineLevel="1" x14ac:dyDescent="0.2">
      <c r="A154" s="1395"/>
      <c r="B154" s="63"/>
      <c r="C154" s="13"/>
      <c r="D154" s="1064" t="s">
        <v>3194</v>
      </c>
      <c r="E154" s="1066">
        <f t="shared" ref="E154:N154" si="23">(1-hSystemsFTEPercentReductionWorstCaseEM)*pSystemsFTE_EM</f>
        <v>100</v>
      </c>
      <c r="F154" s="1066">
        <f t="shared" si="23"/>
        <v>100</v>
      </c>
      <c r="G154" s="1066">
        <f t="shared" si="23"/>
        <v>100</v>
      </c>
      <c r="H154" s="1066">
        <f t="shared" si="23"/>
        <v>100</v>
      </c>
      <c r="I154" s="1066">
        <f t="shared" si="23"/>
        <v>100</v>
      </c>
      <c r="J154" s="1066">
        <f t="shared" si="23"/>
        <v>100</v>
      </c>
      <c r="K154" s="1066">
        <f t="shared" si="23"/>
        <v>100</v>
      </c>
      <c r="L154" s="1066">
        <f t="shared" si="23"/>
        <v>100</v>
      </c>
      <c r="M154" s="1066">
        <f t="shared" si="23"/>
        <v>100</v>
      </c>
      <c r="N154" s="1066">
        <f t="shared" si="23"/>
        <v>100</v>
      </c>
      <c r="O154" s="162" t="s">
        <v>3195</v>
      </c>
      <c r="P154" s="12"/>
      <c r="Q154" s="12"/>
      <c r="R154" s="12"/>
      <c r="S154" s="12"/>
      <c r="T154" s="12"/>
      <c r="U154" s="12"/>
      <c r="V154" s="12"/>
      <c r="W154" s="12"/>
      <c r="X154" s="12"/>
      <c r="Y154" s="12"/>
      <c r="Z154" s="12"/>
      <c r="AA154" s="12"/>
      <c r="AB154" s="12"/>
      <c r="AC154" s="12"/>
      <c r="AD154" s="12"/>
      <c r="AE154" s="12"/>
      <c r="AF154" s="12"/>
      <c r="AG154" s="18"/>
    </row>
    <row r="155" spans="1:33" customFormat="1" ht="12" hidden="1" customHeight="1" outlineLevel="1" x14ac:dyDescent="0.2">
      <c r="A155" s="1395"/>
      <c r="B155" s="63"/>
      <c r="C155" s="13"/>
      <c r="D155" s="1064" t="s">
        <v>3196</v>
      </c>
      <c r="E155" s="1066">
        <f t="shared" ref="E155:N155" si="24">(1-hSystemsFTEPercentReductionMostLikelyEM)*pSystemsFTE_EM</f>
        <v>95</v>
      </c>
      <c r="F155" s="1066">
        <f t="shared" si="24"/>
        <v>95</v>
      </c>
      <c r="G155" s="1066">
        <f t="shared" si="24"/>
        <v>95</v>
      </c>
      <c r="H155" s="1066">
        <f t="shared" si="24"/>
        <v>95</v>
      </c>
      <c r="I155" s="1066">
        <f t="shared" si="24"/>
        <v>95</v>
      </c>
      <c r="J155" s="1066">
        <f t="shared" si="24"/>
        <v>95</v>
      </c>
      <c r="K155" s="1066">
        <f t="shared" si="24"/>
        <v>95</v>
      </c>
      <c r="L155" s="1066">
        <f t="shared" si="24"/>
        <v>95</v>
      </c>
      <c r="M155" s="1066">
        <f t="shared" si="24"/>
        <v>95</v>
      </c>
      <c r="N155" s="1066">
        <f t="shared" si="24"/>
        <v>95</v>
      </c>
      <c r="O155" s="162" t="s">
        <v>3197</v>
      </c>
      <c r="P155" s="12"/>
      <c r="Q155" s="12"/>
      <c r="R155" s="12"/>
      <c r="S155" s="12"/>
      <c r="T155" s="12"/>
      <c r="U155" s="12"/>
      <c r="V155" s="12"/>
      <c r="W155" s="12"/>
      <c r="X155" s="12"/>
      <c r="Y155" s="12"/>
      <c r="Z155" s="12"/>
      <c r="AA155" s="12"/>
      <c r="AB155" s="12"/>
      <c r="AC155" s="12"/>
      <c r="AD155" s="12"/>
      <c r="AE155" s="12"/>
      <c r="AF155" s="12"/>
      <c r="AG155" s="18"/>
    </row>
    <row r="156" spans="1:33" customFormat="1" ht="12" hidden="1" customHeight="1" outlineLevel="1" x14ac:dyDescent="0.2">
      <c r="A156" s="1395"/>
      <c r="B156" s="63"/>
      <c r="C156" s="13"/>
      <c r="D156" s="1064" t="s">
        <v>3198</v>
      </c>
      <c r="E156" s="1066">
        <f t="shared" ref="E156:N156" si="25">(1-hSystemsFTEPercentReductionBestCaseEM)*pSystemsFTE_EM</f>
        <v>90</v>
      </c>
      <c r="F156" s="1066">
        <f t="shared" si="25"/>
        <v>90</v>
      </c>
      <c r="G156" s="1066">
        <f t="shared" si="25"/>
        <v>90</v>
      </c>
      <c r="H156" s="1066">
        <f t="shared" si="25"/>
        <v>90</v>
      </c>
      <c r="I156" s="1066">
        <f t="shared" si="25"/>
        <v>90</v>
      </c>
      <c r="J156" s="1066">
        <f t="shared" si="25"/>
        <v>90</v>
      </c>
      <c r="K156" s="1066">
        <f t="shared" si="25"/>
        <v>90</v>
      </c>
      <c r="L156" s="1066">
        <f t="shared" si="25"/>
        <v>90</v>
      </c>
      <c r="M156" s="1066">
        <f t="shared" si="25"/>
        <v>90</v>
      </c>
      <c r="N156" s="1066">
        <f t="shared" si="25"/>
        <v>90</v>
      </c>
      <c r="O156" s="162" t="s">
        <v>3199</v>
      </c>
      <c r="P156" s="12"/>
      <c r="Q156" s="12"/>
      <c r="R156" s="12"/>
      <c r="S156" s="12"/>
      <c r="T156" s="12"/>
      <c r="U156" s="12"/>
      <c r="V156" s="12"/>
      <c r="W156" s="12"/>
      <c r="X156" s="12"/>
      <c r="Y156" s="12"/>
      <c r="Z156" s="12"/>
      <c r="AA156" s="12"/>
      <c r="AB156" s="12"/>
      <c r="AC156" s="12"/>
      <c r="AD156" s="12"/>
      <c r="AE156" s="12"/>
      <c r="AF156" s="12"/>
      <c r="AG156" s="18"/>
    </row>
    <row r="157" spans="1:33" s="8" customFormat="1" ht="12" hidden="1" customHeight="1" outlineLevel="1" x14ac:dyDescent="0.2">
      <c r="A157" s="1395"/>
      <c r="B157" s="65"/>
      <c r="C157" s="50"/>
      <c r="D157" s="1064"/>
      <c r="E157" s="440"/>
      <c r="F157" s="440"/>
      <c r="G157" s="440"/>
      <c r="H157" s="440"/>
      <c r="I157" s="440"/>
      <c r="J157" s="440"/>
      <c r="K157" s="440"/>
      <c r="L157" s="440"/>
      <c r="M157" s="440"/>
      <c r="N157" s="440"/>
      <c r="O157" s="1067"/>
      <c r="P157" s="23"/>
      <c r="Q157" s="23"/>
      <c r="R157" s="23"/>
      <c r="S157" s="23"/>
      <c r="T157" s="23"/>
      <c r="U157" s="23"/>
      <c r="V157" s="23"/>
      <c r="W157" s="23"/>
      <c r="X157" s="23"/>
      <c r="Y157" s="23"/>
      <c r="Z157" s="23"/>
      <c r="AA157" s="23"/>
      <c r="AB157" s="23"/>
      <c r="AC157" s="23"/>
      <c r="AD157" s="23"/>
      <c r="AE157" s="23"/>
      <c r="AF157" s="23"/>
      <c r="AG157" s="17"/>
    </row>
    <row r="158" spans="1:33" customFormat="1" ht="12" hidden="1" customHeight="1" outlineLevel="1" x14ac:dyDescent="0.2">
      <c r="A158" s="1395"/>
      <c r="B158" s="63"/>
      <c r="C158" s="13"/>
      <c r="D158" s="1064" t="s">
        <v>3200</v>
      </c>
      <c r="E158" s="602">
        <f>(AnnualBurdenedSalaryEM*hSystemsFTECalcResultWorstCaseEM)</f>
        <v>8362500</v>
      </c>
      <c r="F158" s="602">
        <f>(AnnualBurdenedSalaryEM*hSystemsFTECalcResultWorstCaseEM)*(1+Inflation)</f>
        <v>8529750</v>
      </c>
      <c r="G158" s="602">
        <f>(AnnualBurdenedSalaryEM*hSystemsFTECalcResultWorstCaseEM)*(1+Inflation)^2</f>
        <v>8700345</v>
      </c>
      <c r="H158" s="602">
        <f>(AnnualBurdenedSalaryEM*hSystemsFTECalcResultWorstCaseEM)*(1+Inflation)^3</f>
        <v>8874351.8999999985</v>
      </c>
      <c r="I158" s="602">
        <f>(AnnualBurdenedSalaryEM*hSystemsFTECalcResultWorstCaseEM)*(1+Inflation)^4</f>
        <v>9051838.9379999992</v>
      </c>
      <c r="J158" s="602">
        <f>(AnnualBurdenedSalaryEM*hSystemsFTECalcResultWorstCaseEM)*(1+Inflation)^5</f>
        <v>9232875.7167600002</v>
      </c>
      <c r="K158" s="602">
        <f>(AnnualBurdenedSalaryEM*hSystemsFTECalcResultWorstCaseEM)*(1+Inflation)^6</f>
        <v>9417533.2310952004</v>
      </c>
      <c r="L158" s="602">
        <f>(AnnualBurdenedSalaryEM*hSystemsFTECalcResultWorstCaseEM)*(1+Inflation)^7</f>
        <v>9605883.895717103</v>
      </c>
      <c r="M158" s="602">
        <f>(AnnualBurdenedSalaryEM*hSystemsFTECalcResultWorstCaseEM)*(1+Inflation)^8</f>
        <v>9798001.5736314449</v>
      </c>
      <c r="N158" s="602">
        <f>(AnnualBurdenedSalaryEM*hSystemsFTECalcResultWorstCaseEM)*(1+Inflation)^9</f>
        <v>9993961.6051040739</v>
      </c>
      <c r="O158" s="162" t="s">
        <v>3201</v>
      </c>
      <c r="P158" s="12"/>
      <c r="Q158" s="12"/>
      <c r="R158" s="12"/>
      <c r="S158" s="12"/>
      <c r="T158" s="12"/>
      <c r="U158" s="12"/>
      <c r="V158" s="12"/>
      <c r="W158" s="12"/>
      <c r="X158" s="12"/>
      <c r="Y158" s="12"/>
      <c r="Z158" s="12"/>
      <c r="AA158" s="12"/>
      <c r="AB158" s="12"/>
      <c r="AC158" s="12"/>
      <c r="AD158" s="12"/>
      <c r="AE158" s="12"/>
      <c r="AF158" s="12"/>
      <c r="AG158" s="18"/>
    </row>
    <row r="159" spans="1:33" customFormat="1" ht="12" hidden="1" customHeight="1" outlineLevel="1" x14ac:dyDescent="0.2">
      <c r="A159" s="1395"/>
      <c r="B159" s="63"/>
      <c r="C159" s="13"/>
      <c r="D159" s="1064" t="s">
        <v>3202</v>
      </c>
      <c r="E159" s="602">
        <f>(AnnualBurdenedSalaryEM*hSystemsFTECalcResultMostLikelyEM)</f>
        <v>7944375</v>
      </c>
      <c r="F159" s="602">
        <f>(AnnualBurdenedSalaryEM*hSystemsFTECalcResultMostLikelyEM)*(1+Inflation)</f>
        <v>8103262.5</v>
      </c>
      <c r="G159" s="602">
        <f>(AnnualBurdenedSalaryEM*hSystemsFTECalcResultMostLikelyEM)*(1+Inflation)^2</f>
        <v>8265327.75</v>
      </c>
      <c r="H159" s="602">
        <f>(AnnualBurdenedSalaryEM*hSystemsFTECalcResultMostLikelyEM)*(1+Inflation)^3</f>
        <v>8430634.3049999997</v>
      </c>
      <c r="I159" s="602">
        <f>(AnnualBurdenedSalaryEM*hSystemsFTECalcResultMostLikelyEM)*(1+Inflation)^4</f>
        <v>8599246.9911000002</v>
      </c>
      <c r="J159" s="602">
        <f>(AnnualBurdenedSalaryEM*hSystemsFTECalcResultMostLikelyEM)*(1+Inflation)^5</f>
        <v>8771231.9309219997</v>
      </c>
      <c r="K159" s="602">
        <f>(AnnualBurdenedSalaryEM*hSystemsFTECalcResultMostLikelyEM)*(1+Inflation)^6</f>
        <v>8946656.569540441</v>
      </c>
      <c r="L159" s="602">
        <f>(AnnualBurdenedSalaryEM*hSystemsFTECalcResultMostLikelyEM)*(1+Inflation)^7</f>
        <v>9125589.7009312473</v>
      </c>
      <c r="M159" s="602">
        <f>(AnnualBurdenedSalaryEM*hSystemsFTECalcResultMostLikelyEM)*(1+Inflation)^8</f>
        <v>9308101.4949498735</v>
      </c>
      <c r="N159" s="602">
        <f>(AnnualBurdenedSalaryEM*hSystemsFTECalcResultMostLikelyEM)*(1+Inflation)^9</f>
        <v>9494263.5248488709</v>
      </c>
      <c r="O159" s="162" t="s">
        <v>3203</v>
      </c>
      <c r="P159" s="12"/>
      <c r="Q159" s="12"/>
      <c r="R159" s="12"/>
      <c r="S159" s="12"/>
      <c r="T159" s="12"/>
      <c r="U159" s="12"/>
      <c r="V159" s="12"/>
      <c r="W159" s="12"/>
      <c r="X159" s="12"/>
      <c r="Y159" s="12"/>
      <c r="Z159" s="12"/>
      <c r="AA159" s="12"/>
      <c r="AB159" s="12"/>
      <c r="AC159" s="12"/>
      <c r="AD159" s="12"/>
      <c r="AE159" s="12"/>
      <c r="AF159" s="12"/>
      <c r="AG159" s="18"/>
    </row>
    <row r="160" spans="1:33" customFormat="1" ht="12" hidden="1" customHeight="1" outlineLevel="1" x14ac:dyDescent="0.2">
      <c r="A160" s="1395"/>
      <c r="B160" s="63"/>
      <c r="C160" s="13"/>
      <c r="D160" s="1064" t="s">
        <v>3204</v>
      </c>
      <c r="E160" s="602">
        <f>(AnnualBurdenedSalaryEM*hSystemsFTECalcResultBestCaseEM)</f>
        <v>7526250</v>
      </c>
      <c r="F160" s="602">
        <f>(AnnualBurdenedSalaryEM*hSystemsFTECalcResultBestCaseEM)*(1+Inflation)</f>
        <v>7676775</v>
      </c>
      <c r="G160" s="602">
        <f>(AnnualBurdenedSalaryEM*hSystemsFTECalcResultBestCaseEM)*(1+Inflation)^2</f>
        <v>7830310.5</v>
      </c>
      <c r="H160" s="602">
        <f>(AnnualBurdenedSalaryEM*hSystemsFTECalcResultBestCaseEM)*(1+Inflation)^3</f>
        <v>7986916.709999999</v>
      </c>
      <c r="I160" s="602">
        <f>(AnnualBurdenedSalaryEM*hSystemsFTECalcResultBestCaseEM)*(1+Inflation)^4</f>
        <v>8146655.0441999994</v>
      </c>
      <c r="J160" s="602">
        <f>(AnnualBurdenedSalaryEM*hSystemsFTECalcResultBestCaseEM)*(1+Inflation)^5</f>
        <v>8309588.1450840002</v>
      </c>
      <c r="K160" s="602">
        <f>(AnnualBurdenedSalaryEM*hSystemsFTECalcResultBestCaseEM)*(1+Inflation)^6</f>
        <v>8475779.9079856798</v>
      </c>
      <c r="L160" s="602">
        <f>(AnnualBurdenedSalaryEM*hSystemsFTECalcResultBestCaseEM)*(1+Inflation)^7</f>
        <v>8645295.5061453916</v>
      </c>
      <c r="M160" s="602">
        <f>(AnnualBurdenedSalaryEM*hSystemsFTECalcResultBestCaseEM)*(1+Inflation)^8</f>
        <v>8818201.4162683003</v>
      </c>
      <c r="N160" s="602">
        <f>(AnnualBurdenedSalaryEM*hSystemsFTECalcResultBestCaseEM)*(1+Inflation)^9</f>
        <v>8994565.4445936661</v>
      </c>
      <c r="O160" s="162" t="s">
        <v>3205</v>
      </c>
      <c r="P160" s="12"/>
      <c r="Q160" s="12"/>
      <c r="R160" s="12"/>
      <c r="S160" s="12"/>
      <c r="T160" s="12"/>
      <c r="U160" s="12"/>
      <c r="V160" s="12"/>
      <c r="W160" s="12"/>
      <c r="X160" s="12"/>
      <c r="Y160" s="12"/>
      <c r="Z160" s="12"/>
      <c r="AA160" s="12"/>
      <c r="AB160" s="12"/>
      <c r="AC160" s="12"/>
      <c r="AD160" s="12"/>
      <c r="AE160" s="12"/>
      <c r="AF160" s="12"/>
      <c r="AG160" s="18"/>
    </row>
    <row r="161" spans="1:33" s="8" customFormat="1" ht="12" hidden="1" customHeight="1" outlineLevel="1" x14ac:dyDescent="0.2">
      <c r="A161" s="1395"/>
      <c r="B161" s="63"/>
      <c r="C161" s="13"/>
      <c r="D161" s="1064"/>
      <c r="E161" s="440"/>
      <c r="F161" s="440"/>
      <c r="G161" s="440"/>
      <c r="H161" s="440"/>
      <c r="I161" s="440"/>
      <c r="J161" s="440"/>
      <c r="K161" s="440"/>
      <c r="L161" s="440"/>
      <c r="M161" s="440"/>
      <c r="N161" s="440"/>
      <c r="O161" s="642"/>
      <c r="P161" s="23"/>
      <c r="Q161" s="23"/>
      <c r="R161" s="23"/>
      <c r="S161" s="23"/>
      <c r="T161" s="23"/>
      <c r="U161" s="23"/>
      <c r="V161" s="23"/>
      <c r="W161" s="23"/>
      <c r="X161" s="23"/>
      <c r="Y161" s="23"/>
      <c r="Z161" s="23"/>
      <c r="AA161" s="23"/>
      <c r="AB161" s="23"/>
      <c r="AC161" s="23"/>
      <c r="AD161" s="23"/>
      <c r="AE161" s="23"/>
      <c r="AF161" s="23"/>
      <c r="AG161" s="17"/>
    </row>
    <row r="162" spans="1:33" customFormat="1" hidden="1" outlineLevel="1" x14ac:dyDescent="0.2">
      <c r="A162" s="1395"/>
      <c r="B162" s="63"/>
      <c r="C162" s="6"/>
      <c r="D162" s="1064" t="s">
        <v>3206</v>
      </c>
      <c r="E162" s="1065">
        <v>0</v>
      </c>
      <c r="F162" s="1065">
        <v>0</v>
      </c>
      <c r="G162" s="1065">
        <v>0</v>
      </c>
      <c r="H162" s="1065">
        <v>0</v>
      </c>
      <c r="I162" s="1065">
        <v>0</v>
      </c>
      <c r="J162" s="1065">
        <v>0</v>
      </c>
      <c r="K162" s="1065">
        <v>0</v>
      </c>
      <c r="L162" s="1065">
        <v>0</v>
      </c>
      <c r="M162" s="1065">
        <v>0</v>
      </c>
      <c r="N162" s="1065">
        <v>0</v>
      </c>
      <c r="O162" s="162" t="s">
        <v>3207</v>
      </c>
      <c r="P162" s="12"/>
      <c r="Q162" s="12"/>
      <c r="R162" s="12"/>
      <c r="S162" s="12"/>
      <c r="T162" s="12"/>
      <c r="U162" s="12"/>
      <c r="V162" s="12"/>
      <c r="W162" s="12"/>
      <c r="X162" s="12"/>
      <c r="Y162" s="12"/>
      <c r="Z162" s="12"/>
      <c r="AA162" s="12"/>
      <c r="AB162" s="12"/>
      <c r="AC162" s="12"/>
      <c r="AD162" s="12"/>
      <c r="AE162" s="12"/>
      <c r="AF162" s="12"/>
      <c r="AG162" s="18"/>
    </row>
    <row r="163" spans="1:33" customFormat="1" hidden="1" outlineLevel="1" x14ac:dyDescent="0.2">
      <c r="A163" s="1395"/>
      <c r="B163" s="63"/>
      <c r="C163" s="6"/>
      <c r="D163" s="1064" t="s">
        <v>3208</v>
      </c>
      <c r="E163" s="1065">
        <v>0.05</v>
      </c>
      <c r="F163" s="1065">
        <v>0.05</v>
      </c>
      <c r="G163" s="1065">
        <v>0.05</v>
      </c>
      <c r="H163" s="1065">
        <v>0.05</v>
      </c>
      <c r="I163" s="1065">
        <v>0.05</v>
      </c>
      <c r="J163" s="1065">
        <v>0.05</v>
      </c>
      <c r="K163" s="1065">
        <v>0.05</v>
      </c>
      <c r="L163" s="1065">
        <v>0.05</v>
      </c>
      <c r="M163" s="1065">
        <v>0.05</v>
      </c>
      <c r="N163" s="1065">
        <v>0.05</v>
      </c>
      <c r="O163" s="162" t="s">
        <v>3209</v>
      </c>
      <c r="P163" s="12"/>
      <c r="Q163" s="12"/>
      <c r="R163" s="12"/>
      <c r="S163" s="12"/>
      <c r="T163" s="12"/>
      <c r="U163" s="12"/>
      <c r="V163" s="12"/>
      <c r="W163" s="12"/>
      <c r="X163" s="12"/>
      <c r="Y163" s="12"/>
      <c r="Z163" s="12"/>
      <c r="AA163" s="12"/>
      <c r="AB163" s="12"/>
      <c r="AC163" s="12"/>
      <c r="AD163" s="12"/>
      <c r="AE163" s="12"/>
      <c r="AF163" s="12"/>
      <c r="AG163" s="18"/>
    </row>
    <row r="164" spans="1:33" customFormat="1" hidden="1" outlineLevel="1" x14ac:dyDescent="0.2">
      <c r="A164" s="1395"/>
      <c r="B164" s="63"/>
      <c r="C164" s="6"/>
      <c r="D164" s="1064" t="s">
        <v>3210</v>
      </c>
      <c r="E164" s="1065">
        <v>0.1</v>
      </c>
      <c r="F164" s="1065">
        <v>0.1</v>
      </c>
      <c r="G164" s="1065">
        <v>0.1</v>
      </c>
      <c r="H164" s="1065">
        <v>0.1</v>
      </c>
      <c r="I164" s="1065">
        <v>0.1</v>
      </c>
      <c r="J164" s="1065">
        <v>0.1</v>
      </c>
      <c r="K164" s="1065">
        <v>0.1</v>
      </c>
      <c r="L164" s="1065">
        <v>0.1</v>
      </c>
      <c r="M164" s="1065">
        <v>0.1</v>
      </c>
      <c r="N164" s="1065">
        <v>0.1</v>
      </c>
      <c r="O164" s="162" t="s">
        <v>3211</v>
      </c>
      <c r="P164" s="12"/>
      <c r="Q164" s="12"/>
      <c r="R164" s="12"/>
      <c r="S164" s="12"/>
      <c r="T164" s="12"/>
      <c r="U164" s="12"/>
      <c r="V164" s="12"/>
      <c r="W164" s="12"/>
      <c r="X164" s="12"/>
      <c r="Y164" s="12"/>
      <c r="Z164" s="12"/>
      <c r="AA164" s="12"/>
      <c r="AB164" s="12"/>
      <c r="AC164" s="12"/>
      <c r="AD164" s="12"/>
      <c r="AE164" s="12"/>
      <c r="AF164" s="12"/>
      <c r="AG164" s="18"/>
    </row>
    <row r="165" spans="1:33" s="8" customFormat="1" hidden="1" outlineLevel="1" x14ac:dyDescent="0.2">
      <c r="A165" s="1395"/>
      <c r="B165" s="65"/>
      <c r="C165" s="98"/>
      <c r="D165" s="1064"/>
      <c r="E165" s="606"/>
      <c r="F165" s="606"/>
      <c r="G165" s="606"/>
      <c r="H165" s="606"/>
      <c r="I165" s="606"/>
      <c r="J165" s="606"/>
      <c r="K165" s="606"/>
      <c r="L165" s="606"/>
      <c r="M165" s="606"/>
      <c r="N165" s="606"/>
      <c r="O165" s="162"/>
      <c r="P165" s="23"/>
      <c r="Q165" s="23"/>
      <c r="R165" s="23"/>
      <c r="S165" s="23"/>
      <c r="T165" s="23"/>
      <c r="U165" s="23"/>
      <c r="V165" s="23"/>
      <c r="W165" s="23"/>
      <c r="X165" s="23"/>
      <c r="Y165" s="23"/>
      <c r="Z165" s="23"/>
      <c r="AA165" s="23"/>
      <c r="AB165" s="23"/>
      <c r="AC165" s="23"/>
      <c r="AD165" s="23"/>
      <c r="AE165" s="23"/>
      <c r="AF165" s="23"/>
      <c r="AG165" s="17"/>
    </row>
    <row r="166" spans="1:33" customFormat="1" ht="12" hidden="1" customHeight="1" outlineLevel="1" x14ac:dyDescent="0.2">
      <c r="A166" s="1395"/>
      <c r="B166" s="63"/>
      <c r="C166" s="13"/>
      <c r="D166" s="1064" t="s">
        <v>3212</v>
      </c>
      <c r="E166" s="1066">
        <f t="shared" ref="E166:N166" si="26">(1-hSystemsFTEPercentReductionWorstCaseCM)*pSystemsFTE_CM</f>
        <v>100</v>
      </c>
      <c r="F166" s="1066">
        <f t="shared" si="26"/>
        <v>100</v>
      </c>
      <c r="G166" s="1066">
        <f t="shared" si="26"/>
        <v>100</v>
      </c>
      <c r="H166" s="1066">
        <f t="shared" si="26"/>
        <v>100</v>
      </c>
      <c r="I166" s="1066">
        <f t="shared" si="26"/>
        <v>100</v>
      </c>
      <c r="J166" s="1066">
        <f t="shared" si="26"/>
        <v>100</v>
      </c>
      <c r="K166" s="1066">
        <f t="shared" si="26"/>
        <v>100</v>
      </c>
      <c r="L166" s="1066">
        <f t="shared" si="26"/>
        <v>100</v>
      </c>
      <c r="M166" s="1066">
        <f t="shared" si="26"/>
        <v>100</v>
      </c>
      <c r="N166" s="1066">
        <f t="shared" si="26"/>
        <v>100</v>
      </c>
      <c r="O166" s="162" t="s">
        <v>3213</v>
      </c>
      <c r="P166" s="12"/>
      <c r="Q166" s="12"/>
      <c r="R166" s="12"/>
      <c r="S166" s="12"/>
      <c r="T166" s="12"/>
      <c r="U166" s="12"/>
      <c r="V166" s="12"/>
      <c r="W166" s="12"/>
      <c r="X166" s="12"/>
      <c r="Y166" s="12"/>
      <c r="Z166" s="12"/>
      <c r="AA166" s="12"/>
      <c r="AB166" s="12"/>
      <c r="AC166" s="12"/>
      <c r="AD166" s="12"/>
      <c r="AE166" s="12"/>
      <c r="AF166" s="12"/>
      <c r="AG166" s="18"/>
    </row>
    <row r="167" spans="1:33" customFormat="1" ht="12" hidden="1" customHeight="1" outlineLevel="1" x14ac:dyDescent="0.2">
      <c r="A167" s="1395"/>
      <c r="B167" s="63"/>
      <c r="C167" s="13"/>
      <c r="D167" s="1064" t="s">
        <v>3214</v>
      </c>
      <c r="E167" s="1066">
        <f t="shared" ref="E167:N167" si="27">(1-hSystemsFTEPercentReductionMostLikelyEM)*pSystemsFTE_CM</f>
        <v>95</v>
      </c>
      <c r="F167" s="1066">
        <f t="shared" si="27"/>
        <v>95</v>
      </c>
      <c r="G167" s="1066">
        <f t="shared" si="27"/>
        <v>95</v>
      </c>
      <c r="H167" s="1066">
        <f t="shared" si="27"/>
        <v>95</v>
      </c>
      <c r="I167" s="1066">
        <f t="shared" si="27"/>
        <v>95</v>
      </c>
      <c r="J167" s="1066">
        <f t="shared" si="27"/>
        <v>95</v>
      </c>
      <c r="K167" s="1066">
        <f t="shared" si="27"/>
        <v>95</v>
      </c>
      <c r="L167" s="1066">
        <f t="shared" si="27"/>
        <v>95</v>
      </c>
      <c r="M167" s="1066">
        <f t="shared" si="27"/>
        <v>95</v>
      </c>
      <c r="N167" s="1066">
        <f t="shared" si="27"/>
        <v>95</v>
      </c>
      <c r="O167" s="162" t="s">
        <v>3215</v>
      </c>
      <c r="P167" s="12"/>
      <c r="Q167" s="12"/>
      <c r="R167" s="12"/>
      <c r="S167" s="12"/>
      <c r="T167" s="12"/>
      <c r="U167" s="12"/>
      <c r="V167" s="12"/>
      <c r="W167" s="12"/>
      <c r="X167" s="12"/>
      <c r="Y167" s="12"/>
      <c r="Z167" s="12"/>
      <c r="AA167" s="12"/>
      <c r="AB167" s="12"/>
      <c r="AC167" s="12"/>
      <c r="AD167" s="12"/>
      <c r="AE167" s="12"/>
      <c r="AF167" s="12"/>
      <c r="AG167" s="18"/>
    </row>
    <row r="168" spans="1:33" customFormat="1" ht="12" hidden="1" customHeight="1" outlineLevel="1" x14ac:dyDescent="0.2">
      <c r="A168" s="1395"/>
      <c r="B168" s="63"/>
      <c r="C168" s="13"/>
      <c r="D168" s="1064" t="s">
        <v>3216</v>
      </c>
      <c r="E168" s="1066">
        <f t="shared" ref="E168:N168" si="28">(1-hSystemsFTEPercentReductionBestCaseCM)*pSystemsFTE_CM</f>
        <v>90</v>
      </c>
      <c r="F168" s="1066">
        <f t="shared" si="28"/>
        <v>90</v>
      </c>
      <c r="G168" s="1066">
        <f t="shared" si="28"/>
        <v>90</v>
      </c>
      <c r="H168" s="1066">
        <f t="shared" si="28"/>
        <v>90</v>
      </c>
      <c r="I168" s="1066">
        <f t="shared" si="28"/>
        <v>90</v>
      </c>
      <c r="J168" s="1066">
        <f t="shared" si="28"/>
        <v>90</v>
      </c>
      <c r="K168" s="1066">
        <f t="shared" si="28"/>
        <v>90</v>
      </c>
      <c r="L168" s="1066">
        <f t="shared" si="28"/>
        <v>90</v>
      </c>
      <c r="M168" s="1066">
        <f t="shared" si="28"/>
        <v>90</v>
      </c>
      <c r="N168" s="1066">
        <f t="shared" si="28"/>
        <v>90</v>
      </c>
      <c r="O168" s="162" t="s">
        <v>3217</v>
      </c>
      <c r="P168" s="12"/>
      <c r="Q168" s="12"/>
      <c r="R168" s="12"/>
      <c r="S168" s="12"/>
      <c r="T168" s="12"/>
      <c r="U168" s="12"/>
      <c r="V168" s="12"/>
      <c r="W168" s="12"/>
      <c r="X168" s="12"/>
      <c r="Y168" s="12"/>
      <c r="Z168" s="12"/>
      <c r="AA168" s="12"/>
      <c r="AB168" s="12"/>
      <c r="AC168" s="12"/>
      <c r="AD168" s="12"/>
      <c r="AE168" s="12"/>
      <c r="AF168" s="12"/>
      <c r="AG168" s="18"/>
    </row>
    <row r="169" spans="1:33" s="8" customFormat="1" ht="12" hidden="1" customHeight="1" outlineLevel="1" x14ac:dyDescent="0.2">
      <c r="A169" s="1395"/>
      <c r="B169" s="65"/>
      <c r="C169" s="50"/>
      <c r="D169" s="1064"/>
      <c r="E169" s="440"/>
      <c r="F169" s="440"/>
      <c r="G169" s="440"/>
      <c r="H169" s="440"/>
      <c r="I169" s="440"/>
      <c r="J169" s="440"/>
      <c r="K169" s="440"/>
      <c r="L169" s="440"/>
      <c r="M169" s="440"/>
      <c r="N169" s="440"/>
      <c r="O169" s="1067"/>
      <c r="P169" s="23"/>
      <c r="Q169" s="23"/>
      <c r="R169" s="23"/>
      <c r="S169" s="23"/>
      <c r="T169" s="23"/>
      <c r="U169" s="23"/>
      <c r="V169" s="23"/>
      <c r="W169" s="23"/>
      <c r="X169" s="23"/>
      <c r="Y169" s="23"/>
      <c r="Z169" s="23"/>
      <c r="AA169" s="23"/>
      <c r="AB169" s="23"/>
      <c r="AC169" s="23"/>
      <c r="AD169" s="23"/>
      <c r="AE169" s="23"/>
      <c r="AF169" s="23"/>
      <c r="AG169" s="17"/>
    </row>
    <row r="170" spans="1:33" customFormat="1" ht="12" hidden="1" customHeight="1" outlineLevel="1" x14ac:dyDescent="0.2">
      <c r="A170" s="1395"/>
      <c r="B170" s="63"/>
      <c r="C170" s="13"/>
      <c r="D170" s="1064" t="s">
        <v>3218</v>
      </c>
      <c r="E170" s="602">
        <f>(AnnualBurdenedSalaryEM*hSystemsFTECalcResultWorstCaseCM)</f>
        <v>8362500</v>
      </c>
      <c r="F170" s="602">
        <f>(AnnualBurdenedSalaryEM*hSystemsFTECalcResultWorstCaseCM)*(1+Inflation)</f>
        <v>8529750</v>
      </c>
      <c r="G170" s="602">
        <f>(AnnualBurdenedSalaryEM*hSystemsFTECalcResultWorstCaseCM)*(1+Inflation)^2</f>
        <v>8700345</v>
      </c>
      <c r="H170" s="602">
        <f>(AnnualBurdenedSalaryEM*hSystemsFTECalcResultWorstCaseCM)*(1+Inflation)^3</f>
        <v>8874351.8999999985</v>
      </c>
      <c r="I170" s="602">
        <f>(AnnualBurdenedSalaryEM*hSystemsFTECalcResultWorstCaseCM)*(1+Inflation)^4</f>
        <v>9051838.9379999992</v>
      </c>
      <c r="J170" s="602">
        <f>(AnnualBurdenedSalaryEM*hSystemsFTECalcResultWorstCaseCM)*(1+Inflation)^5</f>
        <v>9232875.7167600002</v>
      </c>
      <c r="K170" s="602">
        <f>(AnnualBurdenedSalaryEM*hSystemsFTECalcResultWorstCaseCM)*(1+Inflation)^6</f>
        <v>9417533.2310952004</v>
      </c>
      <c r="L170" s="602">
        <f>(AnnualBurdenedSalaryEM*hSystemsFTECalcResultWorstCaseCM)*(1+Inflation)^7</f>
        <v>9605883.895717103</v>
      </c>
      <c r="M170" s="602">
        <f>(AnnualBurdenedSalaryEM*hSystemsFTECalcResultWorstCaseCM)*(1+Inflation)^8</f>
        <v>9798001.5736314449</v>
      </c>
      <c r="N170" s="602">
        <f>(AnnualBurdenedSalaryEM*hSystemsFTECalcResultWorstCaseCM)*(1+Inflation)^9</f>
        <v>9993961.6051040739</v>
      </c>
      <c r="O170" s="162" t="s">
        <v>3219</v>
      </c>
      <c r="P170" s="12"/>
      <c r="Q170" s="12"/>
      <c r="R170" s="12"/>
      <c r="S170" s="12"/>
      <c r="T170" s="12"/>
      <c r="U170" s="12"/>
      <c r="V170" s="12"/>
      <c r="W170" s="12"/>
      <c r="X170" s="12"/>
      <c r="Y170" s="12"/>
      <c r="Z170" s="12"/>
      <c r="AA170" s="12"/>
      <c r="AB170" s="12"/>
      <c r="AC170" s="12"/>
      <c r="AD170" s="12"/>
      <c r="AE170" s="12"/>
      <c r="AF170" s="12"/>
      <c r="AG170" s="18"/>
    </row>
    <row r="171" spans="1:33" customFormat="1" ht="12" hidden="1" customHeight="1" outlineLevel="1" x14ac:dyDescent="0.2">
      <c r="A171" s="1395"/>
      <c r="B171" s="63"/>
      <c r="C171" s="13"/>
      <c r="D171" s="1064" t="s">
        <v>3220</v>
      </c>
      <c r="E171" s="602">
        <f>(AnnualBurdenedSalaryEM*hSystemsFTECalcResultMostLikelyEM)</f>
        <v>7944375</v>
      </c>
      <c r="F171" s="602">
        <f>(AnnualBurdenedSalaryEM*hSystemsFTECalcResultMostLikelyEM)*(1+Inflation)</f>
        <v>8103262.5</v>
      </c>
      <c r="G171" s="602">
        <f>(AnnualBurdenedSalaryEM*hSystemsFTECalcResultMostLikelyEM)*(1+Inflation)^2</f>
        <v>8265327.75</v>
      </c>
      <c r="H171" s="602">
        <f>(AnnualBurdenedSalaryEM*hSystemsFTECalcResultMostLikelyEM)*(1+Inflation)^3</f>
        <v>8430634.3049999997</v>
      </c>
      <c r="I171" s="602">
        <f>(AnnualBurdenedSalaryEM*hSystemsFTECalcResultMostLikelyEM)*(1+Inflation)^4</f>
        <v>8599246.9911000002</v>
      </c>
      <c r="J171" s="602">
        <f>(AnnualBurdenedSalaryEM*hSystemsFTECalcResultMostLikelyEM)*(1+Inflation)^5</f>
        <v>8771231.9309219997</v>
      </c>
      <c r="K171" s="602">
        <f>(AnnualBurdenedSalaryEM*hSystemsFTECalcResultMostLikelyEM)*(1+Inflation)^6</f>
        <v>8946656.569540441</v>
      </c>
      <c r="L171" s="602">
        <f>(AnnualBurdenedSalaryEM*hSystemsFTECalcResultMostLikelyEM)*(1+Inflation)^7</f>
        <v>9125589.7009312473</v>
      </c>
      <c r="M171" s="602">
        <f>(AnnualBurdenedSalaryEM*hSystemsFTECalcResultMostLikelyEM)*(1+Inflation)^8</f>
        <v>9308101.4949498735</v>
      </c>
      <c r="N171" s="602">
        <f>(AnnualBurdenedSalaryEM*hSystemsFTECalcResultMostLikelyEM)*(1+Inflation)^9</f>
        <v>9494263.5248488709</v>
      </c>
      <c r="O171" s="162" t="s">
        <v>3221</v>
      </c>
      <c r="P171" s="12"/>
      <c r="Q171" s="12"/>
      <c r="R171" s="12"/>
      <c r="S171" s="12"/>
      <c r="T171" s="12"/>
      <c r="U171" s="12"/>
      <c r="V171" s="12"/>
      <c r="W171" s="12"/>
      <c r="X171" s="12"/>
      <c r="Y171" s="12"/>
      <c r="Z171" s="12"/>
      <c r="AA171" s="12"/>
      <c r="AB171" s="12"/>
      <c r="AC171" s="12"/>
      <c r="AD171" s="12"/>
      <c r="AE171" s="12"/>
      <c r="AF171" s="12"/>
      <c r="AG171" s="18"/>
    </row>
    <row r="172" spans="1:33" customFormat="1" ht="12" hidden="1" customHeight="1" outlineLevel="1" x14ac:dyDescent="0.2">
      <c r="A172" s="1395"/>
      <c r="B172" s="63"/>
      <c r="C172" s="13"/>
      <c r="D172" s="1064" t="s">
        <v>3222</v>
      </c>
      <c r="E172" s="602">
        <f>(AnnualBurdenedSalaryEM*hSystemsFTECalcResultBestCaseCM)</f>
        <v>7526250</v>
      </c>
      <c r="F172" s="602">
        <f>(AnnualBurdenedSalaryEM*hSystemsFTECalcResultBestCaseCM)*(1+Inflation)</f>
        <v>7676775</v>
      </c>
      <c r="G172" s="602">
        <f>(AnnualBurdenedSalaryEM*hSystemsFTECalcResultBestCaseCM)*(1+Inflation)^2</f>
        <v>7830310.5</v>
      </c>
      <c r="H172" s="602">
        <f>(AnnualBurdenedSalaryEM*hSystemsFTECalcResultBestCaseCM)*(1+Inflation)^3</f>
        <v>7986916.709999999</v>
      </c>
      <c r="I172" s="602">
        <f>(AnnualBurdenedSalaryEM*hSystemsFTECalcResultBestCaseCM)*(1+Inflation)^4</f>
        <v>8146655.0441999994</v>
      </c>
      <c r="J172" s="602">
        <f>(AnnualBurdenedSalaryEM*hSystemsFTECalcResultBestCaseCM)*(1+Inflation)^5</f>
        <v>8309588.1450840002</v>
      </c>
      <c r="K172" s="602">
        <f>(AnnualBurdenedSalaryEM*hSystemsFTECalcResultBestCaseCM)*(1+Inflation)^6</f>
        <v>8475779.9079856798</v>
      </c>
      <c r="L172" s="602">
        <f>(AnnualBurdenedSalaryEM*hSystemsFTECalcResultBestCaseCM)*(1+Inflation)^7</f>
        <v>8645295.5061453916</v>
      </c>
      <c r="M172" s="602">
        <f>(AnnualBurdenedSalaryEM*hSystemsFTECalcResultBestCaseCM)*(1+Inflation)^8</f>
        <v>8818201.4162683003</v>
      </c>
      <c r="N172" s="602">
        <f>(AnnualBurdenedSalaryEM*hSystemsFTECalcResultBestCaseCM)*(1+Inflation)^9</f>
        <v>8994565.4445936661</v>
      </c>
      <c r="O172" s="162" t="s">
        <v>3223</v>
      </c>
      <c r="P172" s="12"/>
      <c r="Q172" s="12"/>
      <c r="R172" s="12"/>
      <c r="S172" s="12"/>
      <c r="T172" s="12"/>
      <c r="U172" s="12"/>
      <c r="V172" s="12"/>
      <c r="W172" s="12"/>
      <c r="X172" s="12"/>
      <c r="Y172" s="12"/>
      <c r="Z172" s="12"/>
      <c r="AA172" s="12"/>
      <c r="AB172" s="12"/>
      <c r="AC172" s="12"/>
      <c r="AD172" s="12"/>
      <c r="AE172" s="12"/>
      <c r="AF172" s="12"/>
      <c r="AG172" s="18"/>
    </row>
    <row r="173" spans="1:33" s="8" customFormat="1" ht="12" hidden="1" customHeight="1" outlineLevel="1" x14ac:dyDescent="0.2">
      <c r="A173" s="1395"/>
      <c r="B173" s="63"/>
      <c r="C173" s="13"/>
      <c r="D173" s="1064"/>
      <c r="E173" s="440"/>
      <c r="F173" s="440"/>
      <c r="G173" s="440"/>
      <c r="H173" s="440"/>
      <c r="I173" s="440"/>
      <c r="J173" s="440"/>
      <c r="K173" s="440"/>
      <c r="L173" s="440"/>
      <c r="M173" s="440"/>
      <c r="N173" s="440"/>
      <c r="O173" s="642"/>
      <c r="P173" s="23"/>
      <c r="Q173" s="23"/>
      <c r="R173" s="23"/>
      <c r="S173" s="23"/>
      <c r="T173" s="23"/>
      <c r="U173" s="23"/>
      <c r="V173" s="23"/>
      <c r="W173" s="23"/>
      <c r="X173" s="23"/>
      <c r="Y173" s="23"/>
      <c r="Z173" s="23"/>
      <c r="AA173" s="23"/>
      <c r="AB173" s="23"/>
      <c r="AC173" s="23"/>
      <c r="AD173" s="23"/>
      <c r="AE173" s="23"/>
      <c r="AF173" s="23"/>
      <c r="AG173" s="17"/>
    </row>
    <row r="174" spans="1:33" customFormat="1" hidden="1" outlineLevel="1" x14ac:dyDescent="0.2">
      <c r="A174" s="1395"/>
      <c r="B174" s="63"/>
      <c r="C174" s="6"/>
      <c r="D174" s="1064" t="s">
        <v>3224</v>
      </c>
      <c r="E174" s="1065">
        <v>0</v>
      </c>
      <c r="F174" s="1065">
        <v>0</v>
      </c>
      <c r="G174" s="1065">
        <v>0</v>
      </c>
      <c r="H174" s="1065">
        <v>0</v>
      </c>
      <c r="I174" s="1065">
        <v>0</v>
      </c>
      <c r="J174" s="1065">
        <v>0</v>
      </c>
      <c r="K174" s="1065">
        <v>0</v>
      </c>
      <c r="L174" s="1065">
        <v>0</v>
      </c>
      <c r="M174" s="1065">
        <v>0</v>
      </c>
      <c r="N174" s="1065">
        <v>0</v>
      </c>
      <c r="O174" s="162" t="s">
        <v>3225</v>
      </c>
      <c r="P174" s="12"/>
      <c r="Q174" s="12"/>
      <c r="R174" s="12"/>
      <c r="S174" s="12"/>
      <c r="T174" s="12"/>
      <c r="U174" s="12"/>
      <c r="V174" s="12"/>
      <c r="W174" s="12"/>
      <c r="X174" s="12"/>
      <c r="Y174" s="12"/>
      <c r="Z174" s="12"/>
      <c r="AA174" s="12"/>
      <c r="AB174" s="12"/>
      <c r="AC174" s="12"/>
      <c r="AD174" s="12"/>
      <c r="AE174" s="12"/>
      <c r="AF174" s="12"/>
      <c r="AG174" s="18"/>
    </row>
    <row r="175" spans="1:33" customFormat="1" hidden="1" outlineLevel="1" x14ac:dyDescent="0.2">
      <c r="A175" s="1395"/>
      <c r="B175" s="63"/>
      <c r="C175" s="6"/>
      <c r="D175" s="1064" t="s">
        <v>3226</v>
      </c>
      <c r="E175" s="1065">
        <v>0.05</v>
      </c>
      <c r="F175" s="1065">
        <v>0.05</v>
      </c>
      <c r="G175" s="1065">
        <v>0.05</v>
      </c>
      <c r="H175" s="1065">
        <v>0.05</v>
      </c>
      <c r="I175" s="1065">
        <v>0.05</v>
      </c>
      <c r="J175" s="1065">
        <v>0.05</v>
      </c>
      <c r="K175" s="1065">
        <v>0.05</v>
      </c>
      <c r="L175" s="1065">
        <v>0.05</v>
      </c>
      <c r="M175" s="1065">
        <v>0.05</v>
      </c>
      <c r="N175" s="1065">
        <v>0.05</v>
      </c>
      <c r="O175" s="162" t="s">
        <v>3227</v>
      </c>
      <c r="P175" s="12"/>
      <c r="Q175" s="12"/>
      <c r="R175" s="12"/>
      <c r="S175" s="12"/>
      <c r="T175" s="12"/>
      <c r="U175" s="12"/>
      <c r="V175" s="12"/>
      <c r="W175" s="12"/>
      <c r="X175" s="12"/>
      <c r="Y175" s="12"/>
      <c r="Z175" s="12"/>
      <c r="AA175" s="12"/>
      <c r="AB175" s="12"/>
      <c r="AC175" s="12"/>
      <c r="AD175" s="12"/>
      <c r="AE175" s="12"/>
      <c r="AF175" s="12"/>
      <c r="AG175" s="18"/>
    </row>
    <row r="176" spans="1:33" customFormat="1" hidden="1" outlineLevel="1" x14ac:dyDescent="0.2">
      <c r="A176" s="1395"/>
      <c r="B176" s="63"/>
      <c r="C176" s="6"/>
      <c r="D176" s="1064" t="s">
        <v>3228</v>
      </c>
      <c r="E176" s="1065">
        <v>0.1</v>
      </c>
      <c r="F176" s="1065">
        <v>0.1</v>
      </c>
      <c r="G176" s="1065">
        <v>0.1</v>
      </c>
      <c r="H176" s="1065">
        <v>0.1</v>
      </c>
      <c r="I176" s="1065">
        <v>0.1</v>
      </c>
      <c r="J176" s="1065">
        <v>0.1</v>
      </c>
      <c r="K176" s="1065">
        <v>0.1</v>
      </c>
      <c r="L176" s="1065">
        <v>0.1</v>
      </c>
      <c r="M176" s="1065">
        <v>0.1</v>
      </c>
      <c r="N176" s="1065">
        <v>0.1</v>
      </c>
      <c r="O176" s="162" t="s">
        <v>3229</v>
      </c>
      <c r="P176" s="12"/>
      <c r="Q176" s="12"/>
      <c r="R176" s="12"/>
      <c r="S176" s="12"/>
      <c r="T176" s="12"/>
      <c r="U176" s="12"/>
      <c r="V176" s="12"/>
      <c r="W176" s="12"/>
      <c r="X176" s="12"/>
      <c r="Y176" s="12"/>
      <c r="Z176" s="12"/>
      <c r="AA176" s="12"/>
      <c r="AB176" s="12"/>
      <c r="AC176" s="12"/>
      <c r="AD176" s="12"/>
      <c r="AE176" s="12"/>
      <c r="AF176" s="12"/>
      <c r="AG176" s="18"/>
    </row>
    <row r="177" spans="1:33" s="8" customFormat="1" hidden="1" outlineLevel="1" x14ac:dyDescent="0.2">
      <c r="A177" s="1395"/>
      <c r="B177" s="63"/>
      <c r="C177" s="98"/>
      <c r="D177" s="1064"/>
      <c r="E177" s="606"/>
      <c r="F177" s="606"/>
      <c r="G177" s="606"/>
      <c r="H177" s="606"/>
      <c r="I177" s="606"/>
      <c r="J177" s="606"/>
      <c r="K177" s="606"/>
      <c r="L177" s="606"/>
      <c r="M177" s="606"/>
      <c r="N177" s="606"/>
      <c r="O177" s="162"/>
      <c r="P177" s="23"/>
      <c r="Q177" s="23"/>
      <c r="R177" s="23"/>
      <c r="S177" s="23"/>
      <c r="T177" s="23"/>
      <c r="U177" s="23"/>
      <c r="V177" s="23"/>
      <c r="W177" s="23"/>
      <c r="X177" s="23"/>
      <c r="Y177" s="23"/>
      <c r="Z177" s="23"/>
      <c r="AA177" s="23"/>
      <c r="AB177" s="23"/>
      <c r="AC177" s="23"/>
      <c r="AD177" s="23"/>
      <c r="AE177" s="23"/>
      <c r="AF177" s="23"/>
      <c r="AG177" s="17"/>
    </row>
    <row r="178" spans="1:33" customFormat="1" ht="12" hidden="1" customHeight="1" outlineLevel="1" x14ac:dyDescent="0.2">
      <c r="A178" s="1395"/>
      <c r="B178" s="63"/>
      <c r="C178" s="13"/>
      <c r="D178" s="1064" t="s">
        <v>3230</v>
      </c>
      <c r="E178" s="1066">
        <f t="shared" ref="E178:N178" si="29">(1-hSystemsFTEPercentReductionWorstCaseSMCS)*pSystemsFTE_SMCS</f>
        <v>50</v>
      </c>
      <c r="F178" s="1066">
        <f t="shared" si="29"/>
        <v>50</v>
      </c>
      <c r="G178" s="1066">
        <f t="shared" si="29"/>
        <v>50</v>
      </c>
      <c r="H178" s="1066">
        <f t="shared" si="29"/>
        <v>50</v>
      </c>
      <c r="I178" s="1066">
        <f t="shared" si="29"/>
        <v>50</v>
      </c>
      <c r="J178" s="1066">
        <f t="shared" si="29"/>
        <v>50</v>
      </c>
      <c r="K178" s="1066">
        <f t="shared" si="29"/>
        <v>50</v>
      </c>
      <c r="L178" s="1066">
        <f t="shared" si="29"/>
        <v>50</v>
      </c>
      <c r="M178" s="1066">
        <f t="shared" si="29"/>
        <v>50</v>
      </c>
      <c r="N178" s="1066">
        <f t="shared" si="29"/>
        <v>50</v>
      </c>
      <c r="O178" s="162" t="s">
        <v>3231</v>
      </c>
      <c r="P178" s="12"/>
      <c r="Q178" s="12"/>
      <c r="R178" s="12"/>
      <c r="S178" s="12"/>
      <c r="T178" s="12"/>
      <c r="U178" s="12"/>
      <c r="V178" s="12"/>
      <c r="W178" s="12"/>
      <c r="X178" s="12"/>
      <c r="Y178" s="12"/>
      <c r="Z178" s="12"/>
      <c r="AA178" s="12"/>
      <c r="AB178" s="12"/>
      <c r="AC178" s="12"/>
      <c r="AD178" s="12"/>
      <c r="AE178" s="12"/>
      <c r="AF178" s="12"/>
      <c r="AG178" s="18"/>
    </row>
    <row r="179" spans="1:33" customFormat="1" ht="12" hidden="1" customHeight="1" outlineLevel="1" x14ac:dyDescent="0.2">
      <c r="A179" s="1395"/>
      <c r="B179" s="63"/>
      <c r="C179" s="13"/>
      <c r="D179" s="1064" t="s">
        <v>3232</v>
      </c>
      <c r="E179" s="1066">
        <f t="shared" ref="E179:N179" si="30">(1-hSystemsFTEPercentReductionMostLikelySMCS)*pSystemsFTE_SMCS</f>
        <v>47.5</v>
      </c>
      <c r="F179" s="1066">
        <f t="shared" si="30"/>
        <v>47.5</v>
      </c>
      <c r="G179" s="1066">
        <f t="shared" si="30"/>
        <v>47.5</v>
      </c>
      <c r="H179" s="1066">
        <f t="shared" si="30"/>
        <v>47.5</v>
      </c>
      <c r="I179" s="1066">
        <f t="shared" si="30"/>
        <v>47.5</v>
      </c>
      <c r="J179" s="1066">
        <f t="shared" si="30"/>
        <v>47.5</v>
      </c>
      <c r="K179" s="1066">
        <f t="shared" si="30"/>
        <v>47.5</v>
      </c>
      <c r="L179" s="1066">
        <f t="shared" si="30"/>
        <v>47.5</v>
      </c>
      <c r="M179" s="1066">
        <f t="shared" si="30"/>
        <v>47.5</v>
      </c>
      <c r="N179" s="1066">
        <f t="shared" si="30"/>
        <v>47.5</v>
      </c>
      <c r="O179" s="162" t="s">
        <v>3233</v>
      </c>
      <c r="P179" s="12"/>
      <c r="Q179" s="12"/>
      <c r="R179" s="12"/>
      <c r="S179" s="12"/>
      <c r="T179" s="12"/>
      <c r="U179" s="12"/>
      <c r="V179" s="12"/>
      <c r="W179" s="12"/>
      <c r="X179" s="12"/>
      <c r="Y179" s="12"/>
      <c r="Z179" s="12"/>
      <c r="AA179" s="12"/>
      <c r="AB179" s="12"/>
      <c r="AC179" s="12"/>
      <c r="AD179" s="12"/>
      <c r="AE179" s="12"/>
      <c r="AF179" s="12"/>
      <c r="AG179" s="18"/>
    </row>
    <row r="180" spans="1:33" customFormat="1" ht="12" hidden="1" customHeight="1" outlineLevel="1" x14ac:dyDescent="0.2">
      <c r="A180" s="1395"/>
      <c r="B180" s="63"/>
      <c r="C180" s="13"/>
      <c r="D180" s="1064" t="s">
        <v>3234</v>
      </c>
      <c r="E180" s="1066">
        <f t="shared" ref="E180:N180" si="31">(1-hSystemsFTEPercentReductionBestCaseSMCS)*pSystemsFTE_SMCS</f>
        <v>45</v>
      </c>
      <c r="F180" s="1066">
        <f t="shared" si="31"/>
        <v>45</v>
      </c>
      <c r="G180" s="1066">
        <f t="shared" si="31"/>
        <v>45</v>
      </c>
      <c r="H180" s="1066">
        <f t="shared" si="31"/>
        <v>45</v>
      </c>
      <c r="I180" s="1066">
        <f t="shared" si="31"/>
        <v>45</v>
      </c>
      <c r="J180" s="1066">
        <f t="shared" si="31"/>
        <v>45</v>
      </c>
      <c r="K180" s="1066">
        <f t="shared" si="31"/>
        <v>45</v>
      </c>
      <c r="L180" s="1066">
        <f t="shared" si="31"/>
        <v>45</v>
      </c>
      <c r="M180" s="1066">
        <f t="shared" si="31"/>
        <v>45</v>
      </c>
      <c r="N180" s="1066">
        <f t="shared" si="31"/>
        <v>45</v>
      </c>
      <c r="O180" s="162" t="s">
        <v>3235</v>
      </c>
      <c r="P180" s="12"/>
      <c r="Q180" s="12"/>
      <c r="R180" s="12"/>
      <c r="S180" s="12"/>
      <c r="T180" s="12"/>
      <c r="U180" s="12"/>
      <c r="V180" s="12"/>
      <c r="W180" s="12"/>
      <c r="X180" s="12"/>
      <c r="Y180" s="12"/>
      <c r="Z180" s="12"/>
      <c r="AA180" s="12"/>
      <c r="AB180" s="12"/>
      <c r="AC180" s="12"/>
      <c r="AD180" s="12"/>
      <c r="AE180" s="12"/>
      <c r="AF180" s="12"/>
      <c r="AG180" s="18"/>
    </row>
    <row r="181" spans="1:33" s="8" customFormat="1" ht="12" hidden="1" customHeight="1" outlineLevel="1" x14ac:dyDescent="0.2">
      <c r="A181" s="1395"/>
      <c r="B181" s="63"/>
      <c r="C181" s="50"/>
      <c r="D181" s="1064"/>
      <c r="E181" s="440"/>
      <c r="F181" s="440"/>
      <c r="G181" s="440"/>
      <c r="H181" s="440"/>
      <c r="I181" s="440"/>
      <c r="J181" s="440"/>
      <c r="K181" s="440"/>
      <c r="L181" s="440"/>
      <c r="M181" s="440"/>
      <c r="N181" s="440"/>
      <c r="O181" s="1067"/>
      <c r="P181" s="23"/>
      <c r="Q181" s="23"/>
      <c r="R181" s="23"/>
      <c r="S181" s="23"/>
      <c r="T181" s="23"/>
      <c r="U181" s="23"/>
      <c r="V181" s="23"/>
      <c r="W181" s="23"/>
      <c r="X181" s="23"/>
      <c r="Y181" s="23"/>
      <c r="Z181" s="23"/>
      <c r="AA181" s="23"/>
      <c r="AB181" s="23"/>
      <c r="AC181" s="23"/>
      <c r="AD181" s="23"/>
      <c r="AE181" s="23"/>
      <c r="AF181" s="23"/>
      <c r="AG181" s="17"/>
    </row>
    <row r="182" spans="1:33" customFormat="1" ht="12" hidden="1" customHeight="1" outlineLevel="1" x14ac:dyDescent="0.2">
      <c r="A182" s="1395"/>
      <c r="B182" s="63"/>
      <c r="C182" s="13"/>
      <c r="D182" s="1064" t="s">
        <v>3236</v>
      </c>
      <c r="E182" s="602">
        <f>(AnnualBurdenedSalarySMCS*hSystemsFTECalcResultWorstCaseSMCS)</f>
        <v>4181250</v>
      </c>
      <c r="F182" s="602">
        <f>(AnnualBurdenedSalarySMCS*hSystemsFTECalcResultWorstCaseSMCS)*(1+Inflation)</f>
        <v>4264875</v>
      </c>
      <c r="G182" s="602">
        <f>(AnnualBurdenedSalarySMCS*hSystemsFTECalcResultWorstCaseSMCS)*(1+Inflation)^2</f>
        <v>4350172.5</v>
      </c>
      <c r="H182" s="602">
        <f>(AnnualBurdenedSalarySMCS*hSystemsFTECalcResultWorstCaseSMCS)*(1+Inflation)^3</f>
        <v>4437175.9499999993</v>
      </c>
      <c r="I182" s="602">
        <f>(AnnualBurdenedSalarySMCS*hSystemsFTECalcResultWorstCaseSMCS)*(1+Inflation)^4</f>
        <v>4525919.4689999996</v>
      </c>
      <c r="J182" s="602">
        <f>(AnnualBurdenedSalarySMCS*hSystemsFTECalcResultWorstCaseSMCS)*(1+Inflation)^5</f>
        <v>4616437.8583800001</v>
      </c>
      <c r="K182" s="602">
        <f>(AnnualBurdenedSalarySMCS*hSystemsFTECalcResultWorstCaseSMCS)*(1+Inflation)^6</f>
        <v>4708766.6155476002</v>
      </c>
      <c r="L182" s="602">
        <f>(AnnualBurdenedSalarySMCS*hSystemsFTECalcResultWorstCaseSMCS)*(1+Inflation)^7</f>
        <v>4802941.9478585515</v>
      </c>
      <c r="M182" s="602">
        <f>(AnnualBurdenedSalarySMCS*hSystemsFTECalcResultWorstCaseSMCS)*(1+Inflation)^8</f>
        <v>4899000.7868157225</v>
      </c>
      <c r="N182" s="602">
        <f>(AnnualBurdenedSalarySMCS*hSystemsFTECalcResultWorstCaseSMCS)*(1+Inflation)^9</f>
        <v>4996980.8025520369</v>
      </c>
      <c r="O182" s="162" t="s">
        <v>3237</v>
      </c>
      <c r="P182" s="12"/>
      <c r="Q182" s="12"/>
      <c r="R182" s="12"/>
      <c r="S182" s="12"/>
      <c r="T182" s="12"/>
      <c r="U182" s="12"/>
      <c r="V182" s="12"/>
      <c r="W182" s="12"/>
      <c r="X182" s="12"/>
      <c r="Y182" s="12"/>
      <c r="Z182" s="12"/>
      <c r="AA182" s="12"/>
      <c r="AB182" s="12"/>
      <c r="AC182" s="12"/>
      <c r="AD182" s="12"/>
      <c r="AE182" s="12"/>
      <c r="AF182" s="12"/>
      <c r="AG182" s="18"/>
    </row>
    <row r="183" spans="1:33" customFormat="1" ht="12" hidden="1" customHeight="1" outlineLevel="1" x14ac:dyDescent="0.2">
      <c r="A183" s="1395"/>
      <c r="B183" s="63"/>
      <c r="C183" s="13"/>
      <c r="D183" s="1064" t="s">
        <v>3238</v>
      </c>
      <c r="E183" s="602">
        <f>(AnnualBurdenedSalarySMCS*hSystemsFTECalcResultMostLikelySMCS)</f>
        <v>3972187.5</v>
      </c>
      <c r="F183" s="602">
        <f>(AnnualBurdenedSalarySMCS*hSystemsFTECalcResultMostLikelySMCS)*(1+Inflation)</f>
        <v>4051631.25</v>
      </c>
      <c r="G183" s="602">
        <f>(AnnualBurdenedSalarySMCS*hSystemsFTECalcResultMostLikelySMCS)*(1+Inflation)^2</f>
        <v>4132663.875</v>
      </c>
      <c r="H183" s="602">
        <f>(AnnualBurdenedSalarySMCS*hSystemsFTECalcResultMostLikelySMCS)*(1+Inflation)^3</f>
        <v>4215317.1524999999</v>
      </c>
      <c r="I183" s="602">
        <f>(AnnualBurdenedSalarySMCS*hSystemsFTECalcResultMostLikelySMCS)*(1+Inflation)^4</f>
        <v>4299623.4955500001</v>
      </c>
      <c r="J183" s="602">
        <f>(AnnualBurdenedSalarySMCS*hSystemsFTECalcResultMostLikelySMCS)*(1+Inflation)^5</f>
        <v>4385615.9654609999</v>
      </c>
      <c r="K183" s="602">
        <f>(AnnualBurdenedSalarySMCS*hSystemsFTECalcResultMostLikelySMCS)*(1+Inflation)^6</f>
        <v>4473328.2847702205</v>
      </c>
      <c r="L183" s="602">
        <f>(AnnualBurdenedSalarySMCS*hSystemsFTECalcResultMostLikelySMCS)*(1+Inflation)^7</f>
        <v>4562794.8504656237</v>
      </c>
      <c r="M183" s="602">
        <f>(AnnualBurdenedSalarySMCS*hSystemsFTECalcResultMostLikelySMCS)*(1+Inflation)^8</f>
        <v>4654050.7474749368</v>
      </c>
      <c r="N183" s="602">
        <f>(AnnualBurdenedSalarySMCS*hSystemsFTECalcResultMostLikelySMCS)*(1+Inflation)^9</f>
        <v>4747131.7624244355</v>
      </c>
      <c r="O183" s="162" t="s">
        <v>3239</v>
      </c>
      <c r="P183" s="12"/>
      <c r="Q183" s="12"/>
      <c r="R183" s="12"/>
      <c r="S183" s="12"/>
      <c r="T183" s="12"/>
      <c r="U183" s="12"/>
      <c r="V183" s="12"/>
      <c r="W183" s="12"/>
      <c r="X183" s="12"/>
      <c r="Y183" s="12"/>
      <c r="Z183" s="12"/>
      <c r="AA183" s="12"/>
      <c r="AB183" s="12"/>
      <c r="AC183" s="12"/>
      <c r="AD183" s="12"/>
      <c r="AE183" s="12"/>
      <c r="AF183" s="12"/>
      <c r="AG183" s="18"/>
    </row>
    <row r="184" spans="1:33" customFormat="1" ht="12" hidden="1" customHeight="1" outlineLevel="1" x14ac:dyDescent="0.2">
      <c r="A184" s="1395"/>
      <c r="B184" s="63"/>
      <c r="C184" s="13"/>
      <c r="D184" s="1064" t="s">
        <v>3240</v>
      </c>
      <c r="E184" s="602">
        <f>(AnnualBurdenedSalarySMCS*hSystemsFTECalcResultBestCaseSMCS)</f>
        <v>3763125</v>
      </c>
      <c r="F184" s="602">
        <f>(AnnualBurdenedSalarySMCS*hSystemsFTECalcResultBestCaseSMCS)*(1+Inflation)</f>
        <v>3838387.5</v>
      </c>
      <c r="G184" s="602">
        <f>(AnnualBurdenedSalarySMCS*hSystemsFTECalcResultBestCaseSMCS)*(1+Inflation)^2</f>
        <v>3915155.25</v>
      </c>
      <c r="H184" s="602">
        <f>(AnnualBurdenedSalarySMCS*hSystemsFTECalcResultBestCaseSMCS)*(1+Inflation)^3</f>
        <v>3993458.3549999995</v>
      </c>
      <c r="I184" s="602">
        <f>(AnnualBurdenedSalarySMCS*hSystemsFTECalcResultBestCaseSMCS)*(1+Inflation)^4</f>
        <v>4073327.5220999997</v>
      </c>
      <c r="J184" s="602">
        <f>(AnnualBurdenedSalarySMCS*hSystemsFTECalcResultBestCaseSMCS)*(1+Inflation)^5</f>
        <v>4154794.0725420001</v>
      </c>
      <c r="K184" s="602">
        <f>(AnnualBurdenedSalarySMCS*hSystemsFTECalcResultBestCaseSMCS)*(1+Inflation)^6</f>
        <v>4237889.9539928399</v>
      </c>
      <c r="L184" s="602">
        <f>(AnnualBurdenedSalarySMCS*hSystemsFTECalcResultBestCaseSMCS)*(1+Inflation)^7</f>
        <v>4322647.7530726958</v>
      </c>
      <c r="M184" s="602">
        <f>(AnnualBurdenedSalarySMCS*hSystemsFTECalcResultBestCaseSMCS)*(1+Inflation)^8</f>
        <v>4409100.7081341501</v>
      </c>
      <c r="N184" s="602">
        <f>(AnnualBurdenedSalarySMCS*hSystemsFTECalcResultBestCaseSMCS)*(1+Inflation)^9</f>
        <v>4497282.7222968331</v>
      </c>
      <c r="O184" s="162" t="s">
        <v>3241</v>
      </c>
      <c r="P184" s="12"/>
      <c r="Q184" s="12"/>
      <c r="R184" s="12"/>
      <c r="S184" s="12"/>
      <c r="T184" s="12"/>
      <c r="U184" s="12"/>
      <c r="V184" s="12"/>
      <c r="W184" s="12"/>
      <c r="X184" s="12"/>
      <c r="Y184" s="12"/>
      <c r="Z184" s="12"/>
      <c r="AA184" s="12"/>
      <c r="AB184" s="12"/>
      <c r="AC184" s="12"/>
      <c r="AD184" s="12"/>
      <c r="AE184" s="12"/>
      <c r="AF184" s="12"/>
      <c r="AG184" s="18"/>
    </row>
    <row r="185" spans="1:33" s="8" customFormat="1" ht="12" hidden="1" customHeight="1" outlineLevel="1" x14ac:dyDescent="0.2">
      <c r="A185" s="1395"/>
      <c r="B185" s="63"/>
      <c r="C185" s="13"/>
      <c r="D185" s="1064"/>
      <c r="E185" s="440"/>
      <c r="F185" s="440"/>
      <c r="G185" s="440"/>
      <c r="H185" s="440"/>
      <c r="I185" s="440"/>
      <c r="J185" s="440"/>
      <c r="K185" s="440"/>
      <c r="L185" s="440"/>
      <c r="M185" s="440"/>
      <c r="N185" s="440"/>
      <c r="O185" s="642"/>
      <c r="P185" s="23"/>
      <c r="Q185" s="23"/>
      <c r="R185" s="23"/>
      <c r="S185" s="23"/>
      <c r="T185" s="23"/>
      <c r="U185" s="23"/>
      <c r="V185" s="23"/>
      <c r="W185" s="23"/>
      <c r="X185" s="23"/>
      <c r="Y185" s="23"/>
      <c r="Z185" s="23"/>
      <c r="AA185" s="23"/>
      <c r="AB185" s="23"/>
      <c r="AC185" s="23"/>
      <c r="AD185" s="23"/>
      <c r="AE185" s="23"/>
      <c r="AF185" s="23"/>
      <c r="AG185" s="17"/>
    </row>
    <row r="186" spans="1:33" customFormat="1" hidden="1" outlineLevel="1" x14ac:dyDescent="0.2">
      <c r="A186" s="1395"/>
      <c r="B186" s="63"/>
      <c r="C186" s="6"/>
      <c r="D186" s="1064" t="s">
        <v>3242</v>
      </c>
      <c r="E186" s="1065">
        <v>0</v>
      </c>
      <c r="F186" s="1065">
        <v>0</v>
      </c>
      <c r="G186" s="1065">
        <v>0</v>
      </c>
      <c r="H186" s="1065">
        <v>0</v>
      </c>
      <c r="I186" s="1065">
        <v>0</v>
      </c>
      <c r="J186" s="1065">
        <v>0</v>
      </c>
      <c r="K186" s="1065">
        <v>0</v>
      </c>
      <c r="L186" s="1065">
        <v>0</v>
      </c>
      <c r="M186" s="1065">
        <v>0</v>
      </c>
      <c r="N186" s="1065">
        <v>0</v>
      </c>
      <c r="O186" s="162" t="s">
        <v>3243</v>
      </c>
      <c r="P186" s="12"/>
      <c r="Q186" s="12"/>
      <c r="R186" s="12"/>
      <c r="S186" s="12"/>
      <c r="T186" s="12"/>
      <c r="U186" s="12"/>
      <c r="V186" s="12"/>
      <c r="W186" s="12"/>
      <c r="X186" s="12"/>
      <c r="Y186" s="12"/>
      <c r="Z186" s="12"/>
      <c r="AA186" s="12"/>
      <c r="AB186" s="12"/>
      <c r="AC186" s="12"/>
      <c r="AD186" s="12"/>
      <c r="AE186" s="12"/>
      <c r="AF186" s="12"/>
      <c r="AG186" s="18"/>
    </row>
    <row r="187" spans="1:33" customFormat="1" hidden="1" outlineLevel="1" x14ac:dyDescent="0.2">
      <c r="A187" s="1395"/>
      <c r="B187" s="63"/>
      <c r="C187" s="6"/>
      <c r="D187" s="1064" t="s">
        <v>3244</v>
      </c>
      <c r="E187" s="1065">
        <v>0.05</v>
      </c>
      <c r="F187" s="1065">
        <v>0.05</v>
      </c>
      <c r="G187" s="1065">
        <v>0.05</v>
      </c>
      <c r="H187" s="1065">
        <v>0.05</v>
      </c>
      <c r="I187" s="1065">
        <v>0.05</v>
      </c>
      <c r="J187" s="1065">
        <v>0.05</v>
      </c>
      <c r="K187" s="1065">
        <v>0.05</v>
      </c>
      <c r="L187" s="1065">
        <v>0.05</v>
      </c>
      <c r="M187" s="1065">
        <v>0.05</v>
      </c>
      <c r="N187" s="1065">
        <v>0.05</v>
      </c>
      <c r="O187" s="162" t="s">
        <v>3245</v>
      </c>
      <c r="P187" s="12"/>
      <c r="Q187" s="12"/>
      <c r="R187" s="12"/>
      <c r="S187" s="12"/>
      <c r="T187" s="12"/>
      <c r="U187" s="12"/>
      <c r="V187" s="12"/>
      <c r="W187" s="12"/>
      <c r="X187" s="12"/>
      <c r="Y187" s="12"/>
      <c r="Z187" s="12"/>
      <c r="AA187" s="12"/>
      <c r="AB187" s="12"/>
      <c r="AC187" s="12"/>
      <c r="AD187" s="12"/>
      <c r="AE187" s="12"/>
      <c r="AF187" s="12"/>
      <c r="AG187" s="18"/>
    </row>
    <row r="188" spans="1:33" customFormat="1" hidden="1" outlineLevel="1" x14ac:dyDescent="0.2">
      <c r="A188" s="1395"/>
      <c r="B188" s="63"/>
      <c r="C188" s="6"/>
      <c r="D188" s="1064" t="s">
        <v>3246</v>
      </c>
      <c r="E188" s="1065">
        <v>0.1</v>
      </c>
      <c r="F188" s="1065">
        <v>0.1</v>
      </c>
      <c r="G188" s="1065">
        <v>0.1</v>
      </c>
      <c r="H188" s="1065">
        <v>0.1</v>
      </c>
      <c r="I188" s="1065">
        <v>0.1</v>
      </c>
      <c r="J188" s="1065">
        <v>0.1</v>
      </c>
      <c r="K188" s="1065">
        <v>0.1</v>
      </c>
      <c r="L188" s="1065">
        <v>0.1</v>
      </c>
      <c r="M188" s="1065">
        <v>0.1</v>
      </c>
      <c r="N188" s="1065">
        <v>0.1</v>
      </c>
      <c r="O188" s="162" t="s">
        <v>3247</v>
      </c>
      <c r="P188" s="12"/>
      <c r="Q188" s="12"/>
      <c r="R188" s="12"/>
      <c r="S188" s="12"/>
      <c r="T188" s="12"/>
      <c r="U188" s="12"/>
      <c r="V188" s="12"/>
      <c r="W188" s="12"/>
      <c r="X188" s="12"/>
      <c r="Y188" s="12"/>
      <c r="Z188" s="12"/>
      <c r="AA188" s="12"/>
      <c r="AB188" s="12"/>
      <c r="AC188" s="12"/>
      <c r="AD188" s="12"/>
      <c r="AE188" s="12"/>
      <c r="AF188" s="12"/>
      <c r="AG188" s="18"/>
    </row>
    <row r="189" spans="1:33" s="8" customFormat="1" hidden="1" outlineLevel="1" x14ac:dyDescent="0.2">
      <c r="A189" s="1395"/>
      <c r="B189" s="63"/>
      <c r="C189" s="98"/>
      <c r="D189" s="1064"/>
      <c r="E189" s="606"/>
      <c r="F189" s="606"/>
      <c r="G189" s="606"/>
      <c r="H189" s="606"/>
      <c r="I189" s="606"/>
      <c r="J189" s="606"/>
      <c r="K189" s="606"/>
      <c r="L189" s="606"/>
      <c r="M189" s="606"/>
      <c r="N189" s="606"/>
      <c r="O189" s="162"/>
      <c r="P189" s="23"/>
      <c r="Q189" s="23"/>
      <c r="R189" s="23"/>
      <c r="S189" s="23"/>
      <c r="T189" s="23"/>
      <c r="U189" s="23"/>
      <c r="V189" s="23"/>
      <c r="W189" s="23"/>
      <c r="X189" s="23"/>
      <c r="Y189" s="23"/>
      <c r="Z189" s="23"/>
      <c r="AA189" s="23"/>
      <c r="AB189" s="23"/>
      <c r="AC189" s="23"/>
      <c r="AD189" s="23"/>
      <c r="AE189" s="23"/>
      <c r="AF189" s="23"/>
      <c r="AG189" s="17"/>
    </row>
    <row r="190" spans="1:33" customFormat="1" ht="12" hidden="1" customHeight="1" outlineLevel="1" x14ac:dyDescent="0.2">
      <c r="A190" s="1395"/>
      <c r="B190" s="63"/>
      <c r="C190" s="13"/>
      <c r="D190" s="1064" t="s">
        <v>3248</v>
      </c>
      <c r="E190" s="1066">
        <f t="shared" ref="E190:N190" si="32">(1-hSystemsFTEPercentReductionWorstCaseO1)*pSystemsFTE_O1</f>
        <v>10</v>
      </c>
      <c r="F190" s="1066">
        <f t="shared" si="32"/>
        <v>10</v>
      </c>
      <c r="G190" s="1066">
        <f t="shared" si="32"/>
        <v>10</v>
      </c>
      <c r="H190" s="1066">
        <f t="shared" si="32"/>
        <v>10</v>
      </c>
      <c r="I190" s="1066">
        <f t="shared" si="32"/>
        <v>10</v>
      </c>
      <c r="J190" s="1066">
        <f t="shared" si="32"/>
        <v>10</v>
      </c>
      <c r="K190" s="1066">
        <f t="shared" si="32"/>
        <v>10</v>
      </c>
      <c r="L190" s="1066">
        <f t="shared" si="32"/>
        <v>10</v>
      </c>
      <c r="M190" s="1066">
        <f t="shared" si="32"/>
        <v>10</v>
      </c>
      <c r="N190" s="1066">
        <f t="shared" si="32"/>
        <v>10</v>
      </c>
      <c r="O190" s="162" t="s">
        <v>3249</v>
      </c>
      <c r="P190" s="12"/>
      <c r="Q190" s="12"/>
      <c r="R190" s="12"/>
      <c r="S190" s="12"/>
      <c r="T190" s="12"/>
      <c r="U190" s="12"/>
      <c r="V190" s="12"/>
      <c r="W190" s="12"/>
      <c r="X190" s="12"/>
      <c r="Y190" s="12"/>
      <c r="Z190" s="12"/>
      <c r="AA190" s="12"/>
      <c r="AB190" s="12"/>
      <c r="AC190" s="12"/>
      <c r="AD190" s="12"/>
      <c r="AE190" s="12"/>
      <c r="AF190" s="12"/>
      <c r="AG190" s="18"/>
    </row>
    <row r="191" spans="1:33" customFormat="1" ht="12" hidden="1" customHeight="1" outlineLevel="1" x14ac:dyDescent="0.2">
      <c r="A191" s="1395"/>
      <c r="B191" s="63"/>
      <c r="C191" s="13"/>
      <c r="D191" s="1064" t="s">
        <v>3250</v>
      </c>
      <c r="E191" s="1066">
        <f t="shared" ref="E191:N191" si="33">(1-hSystemsFTEPercentReductionMostLikelyO1)*pSystemsFTE_O1</f>
        <v>9.5</v>
      </c>
      <c r="F191" s="1066">
        <f t="shared" si="33"/>
        <v>9.5</v>
      </c>
      <c r="G191" s="1066">
        <f t="shared" si="33"/>
        <v>9.5</v>
      </c>
      <c r="H191" s="1066">
        <f t="shared" si="33"/>
        <v>9.5</v>
      </c>
      <c r="I191" s="1066">
        <f t="shared" si="33"/>
        <v>9.5</v>
      </c>
      <c r="J191" s="1066">
        <f t="shared" si="33"/>
        <v>9.5</v>
      </c>
      <c r="K191" s="1066">
        <f t="shared" si="33"/>
        <v>9.5</v>
      </c>
      <c r="L191" s="1066">
        <f t="shared" si="33"/>
        <v>9.5</v>
      </c>
      <c r="M191" s="1066">
        <f t="shared" si="33"/>
        <v>9.5</v>
      </c>
      <c r="N191" s="1066">
        <f t="shared" si="33"/>
        <v>9.5</v>
      </c>
      <c r="O191" s="162" t="s">
        <v>3251</v>
      </c>
      <c r="P191" s="12"/>
      <c r="Q191" s="12"/>
      <c r="R191" s="12"/>
      <c r="S191" s="12"/>
      <c r="T191" s="12"/>
      <c r="U191" s="12"/>
      <c r="V191" s="12"/>
      <c r="W191" s="12"/>
      <c r="X191" s="12"/>
      <c r="Y191" s="12"/>
      <c r="Z191" s="12"/>
      <c r="AA191" s="12"/>
      <c r="AB191" s="12"/>
      <c r="AC191" s="12"/>
      <c r="AD191" s="12"/>
      <c r="AE191" s="12"/>
      <c r="AF191" s="12"/>
      <c r="AG191" s="18"/>
    </row>
    <row r="192" spans="1:33" customFormat="1" ht="12" hidden="1" customHeight="1" outlineLevel="1" x14ac:dyDescent="0.2">
      <c r="A192" s="1395"/>
      <c r="B192" s="63"/>
      <c r="C192" s="13"/>
      <c r="D192" s="1064" t="s">
        <v>3252</v>
      </c>
      <c r="E192" s="1066">
        <f t="shared" ref="E192:N192" si="34">(1-hSystemsFTEPercentReductionBestCaseO1)*pSystemsFTE_O1</f>
        <v>9</v>
      </c>
      <c r="F192" s="1066">
        <f t="shared" si="34"/>
        <v>9</v>
      </c>
      <c r="G192" s="1066">
        <f t="shared" si="34"/>
        <v>9</v>
      </c>
      <c r="H192" s="1066">
        <f t="shared" si="34"/>
        <v>9</v>
      </c>
      <c r="I192" s="1066">
        <f t="shared" si="34"/>
        <v>9</v>
      </c>
      <c r="J192" s="1066">
        <f t="shared" si="34"/>
        <v>9</v>
      </c>
      <c r="K192" s="1066">
        <f t="shared" si="34"/>
        <v>9</v>
      </c>
      <c r="L192" s="1066">
        <f t="shared" si="34"/>
        <v>9</v>
      </c>
      <c r="M192" s="1066">
        <f t="shared" si="34"/>
        <v>9</v>
      </c>
      <c r="N192" s="1066">
        <f t="shared" si="34"/>
        <v>9</v>
      </c>
      <c r="O192" s="162" t="s">
        <v>3253</v>
      </c>
      <c r="P192" s="12"/>
      <c r="Q192" s="12"/>
      <c r="R192" s="12"/>
      <c r="S192" s="12"/>
      <c r="T192" s="12"/>
      <c r="U192" s="12"/>
      <c r="V192" s="12"/>
      <c r="W192" s="12"/>
      <c r="X192" s="12"/>
      <c r="Y192" s="12"/>
      <c r="Z192" s="12"/>
      <c r="AA192" s="12"/>
      <c r="AB192" s="12"/>
      <c r="AC192" s="12"/>
      <c r="AD192" s="12"/>
      <c r="AE192" s="12"/>
      <c r="AF192" s="12"/>
      <c r="AG192" s="18"/>
    </row>
    <row r="193" spans="1:33" s="8" customFormat="1" ht="12" hidden="1" customHeight="1" outlineLevel="1" x14ac:dyDescent="0.2">
      <c r="A193" s="1395"/>
      <c r="B193" s="63"/>
      <c r="C193" s="50"/>
      <c r="D193" s="1064"/>
      <c r="E193" s="440"/>
      <c r="F193" s="440"/>
      <c r="G193" s="440"/>
      <c r="H193" s="440"/>
      <c r="I193" s="440"/>
      <c r="J193" s="440"/>
      <c r="K193" s="440"/>
      <c r="L193" s="440"/>
      <c r="M193" s="440"/>
      <c r="N193" s="440"/>
      <c r="O193" s="1067"/>
      <c r="P193" s="23"/>
      <c r="Q193" s="23"/>
      <c r="R193" s="23"/>
      <c r="S193" s="23"/>
      <c r="T193" s="23"/>
      <c r="U193" s="23"/>
      <c r="V193" s="23"/>
      <c r="W193" s="23"/>
      <c r="X193" s="23"/>
      <c r="Y193" s="23"/>
      <c r="Z193" s="23"/>
      <c r="AA193" s="23"/>
      <c r="AB193" s="23"/>
      <c r="AC193" s="23"/>
      <c r="AD193" s="23"/>
      <c r="AE193" s="23"/>
      <c r="AF193" s="23"/>
      <c r="AG193" s="17"/>
    </row>
    <row r="194" spans="1:33" customFormat="1" ht="12" hidden="1" customHeight="1" outlineLevel="1" x14ac:dyDescent="0.2">
      <c r="A194" s="1395"/>
      <c r="B194" s="63"/>
      <c r="C194" s="13"/>
      <c r="D194" s="1064" t="s">
        <v>3254</v>
      </c>
      <c r="E194" s="602">
        <f>(AnnualBurdenedSalaryO1*hSystemsFTECalcResultWorstCaseO1)</f>
        <v>836250</v>
      </c>
      <c r="F194" s="602">
        <f>(AnnualBurdenedSalaryO1*hSystemsFTECalcResultWorstCaseO1)*(1+Inflation)</f>
        <v>852975</v>
      </c>
      <c r="G194" s="602">
        <f>(AnnualBurdenedSalaryO1*hSystemsFTECalcResultWorstCaseO1)*(1+Inflation)^2</f>
        <v>870034.5</v>
      </c>
      <c r="H194" s="602">
        <f>(AnnualBurdenedSalaryO1*hSystemsFTECalcResultWorstCaseO1)*(1+Inflation)^3</f>
        <v>887435.19</v>
      </c>
      <c r="I194" s="602">
        <f>(AnnualBurdenedSalaryO1*hSystemsFTECalcResultWorstCaseO1)*(1+Inflation)^4</f>
        <v>905183.89379999996</v>
      </c>
      <c r="J194" s="602">
        <f>(AnnualBurdenedSalaryO1*hSystemsFTECalcResultWorstCaseO1)*(1+Inflation)^5</f>
        <v>923287.57167600002</v>
      </c>
      <c r="K194" s="602">
        <f>(AnnualBurdenedSalaryO1*hSystemsFTECalcResultWorstCaseO1)*(1+Inflation)^6</f>
        <v>941753.32310952002</v>
      </c>
      <c r="L194" s="602">
        <f>(AnnualBurdenedSalaryO1*hSystemsFTECalcResultWorstCaseO1)*(1+Inflation)^7</f>
        <v>960588.38957171026</v>
      </c>
      <c r="M194" s="602">
        <f>(AnnualBurdenedSalaryO1*hSystemsFTECalcResultWorstCaseO1)*(1+Inflation)^8</f>
        <v>979800.15736314456</v>
      </c>
      <c r="N194" s="602">
        <f>(AnnualBurdenedSalaryO1*hSystemsFTECalcResultWorstCaseO1)*(1+Inflation)^9</f>
        <v>999396.16051040741</v>
      </c>
      <c r="O194" s="162" t="s">
        <v>3255</v>
      </c>
      <c r="P194" s="12"/>
      <c r="Q194" s="12"/>
      <c r="R194" s="12"/>
      <c r="S194" s="12"/>
      <c r="T194" s="12"/>
      <c r="U194" s="12"/>
      <c r="V194" s="12"/>
      <c r="W194" s="12"/>
      <c r="X194" s="12"/>
      <c r="Y194" s="12"/>
      <c r="Z194" s="12"/>
      <c r="AA194" s="12"/>
      <c r="AB194" s="12"/>
      <c r="AC194" s="12"/>
      <c r="AD194" s="12"/>
      <c r="AE194" s="12"/>
      <c r="AF194" s="12"/>
      <c r="AG194" s="18"/>
    </row>
    <row r="195" spans="1:33" customFormat="1" ht="12" hidden="1" customHeight="1" outlineLevel="1" x14ac:dyDescent="0.2">
      <c r="A195" s="1395"/>
      <c r="B195" s="63"/>
      <c r="C195" s="13"/>
      <c r="D195" s="1064" t="s">
        <v>3256</v>
      </c>
      <c r="E195" s="602">
        <f>(AnnualBurdenedSalaryO1*hSystemsFTECalcResultMostLikelyO1)</f>
        <v>794437.5</v>
      </c>
      <c r="F195" s="602">
        <f>(AnnualBurdenedSalaryO1*hSystemsFTECalcResultMostLikelyO1)*(1+Inflation)</f>
        <v>810326.25</v>
      </c>
      <c r="G195" s="602">
        <f>(AnnualBurdenedSalaryO1*hSystemsFTECalcResultMostLikelyO1)*(1+Inflation)^2</f>
        <v>826532.77500000002</v>
      </c>
      <c r="H195" s="602">
        <f>(AnnualBurdenedSalaryO1*hSystemsFTECalcResultMostLikelyO1)*(1+Inflation)^3</f>
        <v>843063.4304999999</v>
      </c>
      <c r="I195" s="602">
        <f>(AnnualBurdenedSalaryO1*hSystemsFTECalcResultMostLikelyO1)*(1+Inflation)^4</f>
        <v>859924.69910999993</v>
      </c>
      <c r="J195" s="602">
        <f>(AnnualBurdenedSalaryO1*hSystemsFTECalcResultMostLikelyO1)*(1+Inflation)^5</f>
        <v>877123.19309219997</v>
      </c>
      <c r="K195" s="602">
        <f>(AnnualBurdenedSalaryO1*hSystemsFTECalcResultMostLikelyO1)*(1+Inflation)^6</f>
        <v>894665.65695404401</v>
      </c>
      <c r="L195" s="602">
        <f>(AnnualBurdenedSalaryO1*hSystemsFTECalcResultMostLikelyO1)*(1+Inflation)^7</f>
        <v>912558.97009312478</v>
      </c>
      <c r="M195" s="602">
        <f>(AnnualBurdenedSalaryO1*hSystemsFTECalcResultMostLikelyO1)*(1+Inflation)^8</f>
        <v>930810.14949498733</v>
      </c>
      <c r="N195" s="602">
        <f>(AnnualBurdenedSalaryO1*hSystemsFTECalcResultMostLikelyO1)*(1+Inflation)^9</f>
        <v>949426.35248488712</v>
      </c>
      <c r="O195" s="162" t="s">
        <v>3257</v>
      </c>
      <c r="P195" s="12"/>
      <c r="Q195" s="12"/>
      <c r="R195" s="12"/>
      <c r="S195" s="12"/>
      <c r="T195" s="12"/>
      <c r="U195" s="12"/>
      <c r="V195" s="12"/>
      <c r="W195" s="12"/>
      <c r="X195" s="12"/>
      <c r="Y195" s="12"/>
      <c r="Z195" s="12"/>
      <c r="AA195" s="12"/>
      <c r="AB195" s="12"/>
      <c r="AC195" s="12"/>
      <c r="AD195" s="12"/>
      <c r="AE195" s="12"/>
      <c r="AF195" s="12"/>
      <c r="AG195" s="18"/>
    </row>
    <row r="196" spans="1:33" customFormat="1" ht="12" hidden="1" customHeight="1" outlineLevel="1" x14ac:dyDescent="0.2">
      <c r="A196" s="1395"/>
      <c r="B196" s="63"/>
      <c r="C196" s="13"/>
      <c r="D196" s="1064" t="s">
        <v>3258</v>
      </c>
      <c r="E196" s="602">
        <f>(AnnualBurdenedSalaryO1*hSystemsFTECalcResultBestCaseO1)</f>
        <v>752625</v>
      </c>
      <c r="F196" s="602">
        <f>(AnnualBurdenedSalaryO1*hSystemsFTECalcResultBestCaseO1)*(1+Inflation)</f>
        <v>767677.5</v>
      </c>
      <c r="G196" s="602">
        <f>(AnnualBurdenedSalaryO1*hSystemsFTECalcResultBestCaseO1)*(1+Inflation)^2</f>
        <v>783031.05</v>
      </c>
      <c r="H196" s="602">
        <f>(AnnualBurdenedSalaryO1*hSystemsFTECalcResultBestCaseO1)*(1+Inflation)^3</f>
        <v>798691.67099999997</v>
      </c>
      <c r="I196" s="602">
        <f>(AnnualBurdenedSalaryO1*hSystemsFTECalcResultBestCaseO1)*(1+Inflation)^4</f>
        <v>814665.50442000001</v>
      </c>
      <c r="J196" s="602">
        <f>(AnnualBurdenedSalaryO1*hSystemsFTECalcResultBestCaseO1)*(1+Inflation)^5</f>
        <v>830958.81450840004</v>
      </c>
      <c r="K196" s="602">
        <f>(AnnualBurdenedSalaryO1*hSystemsFTECalcResultBestCaseO1)*(1+Inflation)^6</f>
        <v>847577.990798568</v>
      </c>
      <c r="L196" s="602">
        <f>(AnnualBurdenedSalaryO1*hSystemsFTECalcResultBestCaseO1)*(1+Inflation)^7</f>
        <v>864529.55061453918</v>
      </c>
      <c r="M196" s="602">
        <f>(AnnualBurdenedSalaryO1*hSystemsFTECalcResultBestCaseO1)*(1+Inflation)^8</f>
        <v>881820.1416268301</v>
      </c>
      <c r="N196" s="602">
        <f>(AnnualBurdenedSalaryO1*hSystemsFTECalcResultBestCaseO1)*(1+Inflation)^9</f>
        <v>899456.54445936671</v>
      </c>
      <c r="O196" s="162" t="s">
        <v>3259</v>
      </c>
      <c r="P196" s="12"/>
      <c r="Q196" s="12"/>
      <c r="R196" s="12"/>
      <c r="S196" s="12"/>
      <c r="T196" s="12"/>
      <c r="U196" s="12"/>
      <c r="V196" s="12"/>
      <c r="W196" s="12"/>
      <c r="X196" s="12"/>
      <c r="Y196" s="12"/>
      <c r="Z196" s="12"/>
      <c r="AA196" s="12"/>
      <c r="AB196" s="12"/>
      <c r="AC196" s="12"/>
      <c r="AD196" s="12"/>
      <c r="AE196" s="12"/>
      <c r="AF196" s="12"/>
      <c r="AG196" s="18"/>
    </row>
    <row r="197" spans="1:33" s="8" customFormat="1" ht="12" hidden="1" customHeight="1" outlineLevel="1" x14ac:dyDescent="0.2">
      <c r="A197" s="1395"/>
      <c r="B197" s="63"/>
      <c r="C197" s="13"/>
      <c r="D197" s="1064"/>
      <c r="E197" s="440"/>
      <c r="F197" s="440"/>
      <c r="G197" s="440"/>
      <c r="H197" s="440"/>
      <c r="I197" s="440"/>
      <c r="J197" s="440"/>
      <c r="K197" s="440"/>
      <c r="L197" s="440"/>
      <c r="M197" s="440"/>
      <c r="N197" s="440"/>
      <c r="O197" s="642"/>
      <c r="P197" s="23"/>
      <c r="Q197" s="23"/>
      <c r="R197" s="23"/>
      <c r="S197" s="23"/>
      <c r="T197" s="23"/>
      <c r="U197" s="23"/>
      <c r="V197" s="23"/>
      <c r="W197" s="23"/>
      <c r="X197" s="23"/>
      <c r="Y197" s="23"/>
      <c r="Z197" s="23"/>
      <c r="AA197" s="23"/>
      <c r="AB197" s="23"/>
      <c r="AC197" s="23"/>
      <c r="AD197" s="23"/>
      <c r="AE197" s="23"/>
      <c r="AF197" s="23"/>
      <c r="AG197" s="17"/>
    </row>
    <row r="198" spans="1:33" customFormat="1" hidden="1" outlineLevel="1" x14ac:dyDescent="0.2">
      <c r="A198" s="1395"/>
      <c r="B198" s="63"/>
      <c r="C198" s="6"/>
      <c r="D198" s="1064" t="s">
        <v>3260</v>
      </c>
      <c r="E198" s="1065">
        <v>0</v>
      </c>
      <c r="F198" s="1065">
        <v>0</v>
      </c>
      <c r="G198" s="1065">
        <v>0</v>
      </c>
      <c r="H198" s="1065">
        <v>0</v>
      </c>
      <c r="I198" s="1065">
        <v>0</v>
      </c>
      <c r="J198" s="1065">
        <v>0</v>
      </c>
      <c r="K198" s="1065">
        <v>0</v>
      </c>
      <c r="L198" s="1065">
        <v>0</v>
      </c>
      <c r="M198" s="1065">
        <v>0</v>
      </c>
      <c r="N198" s="1065">
        <v>0</v>
      </c>
      <c r="O198" s="162" t="s">
        <v>3261</v>
      </c>
      <c r="P198" s="12"/>
      <c r="Q198" s="12"/>
      <c r="R198" s="12"/>
      <c r="S198" s="12"/>
      <c r="T198" s="12"/>
      <c r="U198" s="12"/>
      <c r="V198" s="12"/>
      <c r="W198" s="12"/>
      <c r="X198" s="12"/>
      <c r="Y198" s="12"/>
      <c r="Z198" s="12"/>
      <c r="AA198" s="12"/>
      <c r="AB198" s="12"/>
      <c r="AC198" s="12"/>
      <c r="AD198" s="12"/>
      <c r="AE198" s="12"/>
      <c r="AF198" s="12"/>
      <c r="AG198" s="18"/>
    </row>
    <row r="199" spans="1:33" customFormat="1" hidden="1" outlineLevel="1" x14ac:dyDescent="0.2">
      <c r="A199" s="1395"/>
      <c r="B199" s="63"/>
      <c r="C199" s="6"/>
      <c r="D199" s="1064" t="s">
        <v>3262</v>
      </c>
      <c r="E199" s="1065">
        <v>0.05</v>
      </c>
      <c r="F199" s="1065">
        <v>0.05</v>
      </c>
      <c r="G199" s="1065">
        <v>0.05</v>
      </c>
      <c r="H199" s="1065">
        <v>0.05</v>
      </c>
      <c r="I199" s="1065">
        <v>0.05</v>
      </c>
      <c r="J199" s="1065">
        <v>0.05</v>
      </c>
      <c r="K199" s="1065">
        <v>0.05</v>
      </c>
      <c r="L199" s="1065">
        <v>0.05</v>
      </c>
      <c r="M199" s="1065">
        <v>0.05</v>
      </c>
      <c r="N199" s="1065">
        <v>0.05</v>
      </c>
      <c r="O199" s="162" t="s">
        <v>3263</v>
      </c>
      <c r="P199" s="12"/>
      <c r="Q199" s="12"/>
      <c r="R199" s="12"/>
      <c r="S199" s="12"/>
      <c r="T199" s="12"/>
      <c r="U199" s="12"/>
      <c r="V199" s="12"/>
      <c r="W199" s="12"/>
      <c r="X199" s="12"/>
      <c r="Y199" s="12"/>
      <c r="Z199" s="12"/>
      <c r="AA199" s="12"/>
      <c r="AB199" s="12"/>
      <c r="AC199" s="12"/>
      <c r="AD199" s="12"/>
      <c r="AE199" s="12"/>
      <c r="AF199" s="12"/>
      <c r="AG199" s="18"/>
    </row>
    <row r="200" spans="1:33" customFormat="1" hidden="1" outlineLevel="1" x14ac:dyDescent="0.2">
      <c r="A200" s="1395"/>
      <c r="B200" s="63"/>
      <c r="C200" s="6"/>
      <c r="D200" s="1064" t="s">
        <v>3264</v>
      </c>
      <c r="E200" s="1065">
        <v>0.1</v>
      </c>
      <c r="F200" s="1065">
        <v>0.1</v>
      </c>
      <c r="G200" s="1065">
        <v>0.1</v>
      </c>
      <c r="H200" s="1065">
        <v>0.1</v>
      </c>
      <c r="I200" s="1065">
        <v>0.1</v>
      </c>
      <c r="J200" s="1065">
        <v>0.1</v>
      </c>
      <c r="K200" s="1065">
        <v>0.1</v>
      </c>
      <c r="L200" s="1065">
        <v>0.1</v>
      </c>
      <c r="M200" s="1065">
        <v>0.1</v>
      </c>
      <c r="N200" s="1065">
        <v>0.1</v>
      </c>
      <c r="O200" s="162" t="s">
        <v>3265</v>
      </c>
      <c r="P200" s="12"/>
      <c r="Q200" s="12"/>
      <c r="R200" s="12"/>
      <c r="S200" s="12"/>
      <c r="T200" s="12"/>
      <c r="U200" s="12"/>
      <c r="V200" s="12"/>
      <c r="W200" s="12"/>
      <c r="X200" s="12"/>
      <c r="Y200" s="12"/>
      <c r="Z200" s="12"/>
      <c r="AA200" s="12"/>
      <c r="AB200" s="12"/>
      <c r="AC200" s="12"/>
      <c r="AD200" s="12"/>
      <c r="AE200" s="12"/>
      <c r="AF200" s="12"/>
      <c r="AG200" s="18"/>
    </row>
    <row r="201" spans="1:33" s="8" customFormat="1" hidden="1" outlineLevel="1" x14ac:dyDescent="0.2">
      <c r="A201" s="1395"/>
      <c r="B201" s="63"/>
      <c r="C201" s="98"/>
      <c r="D201" s="1064"/>
      <c r="E201" s="606"/>
      <c r="F201" s="606"/>
      <c r="G201" s="606"/>
      <c r="H201" s="606"/>
      <c r="I201" s="606"/>
      <c r="J201" s="606"/>
      <c r="K201" s="606"/>
      <c r="L201" s="606"/>
      <c r="M201" s="606"/>
      <c r="N201" s="606"/>
      <c r="O201" s="162"/>
      <c r="P201" s="23"/>
      <c r="Q201" s="23"/>
      <c r="R201" s="23"/>
      <c r="S201" s="23"/>
      <c r="T201" s="23"/>
      <c r="U201" s="23"/>
      <c r="V201" s="23"/>
      <c r="W201" s="23"/>
      <c r="X201" s="23"/>
      <c r="Y201" s="23"/>
      <c r="Z201" s="23"/>
      <c r="AA201" s="23"/>
      <c r="AB201" s="23"/>
      <c r="AC201" s="23"/>
      <c r="AD201" s="23"/>
      <c r="AE201" s="23"/>
      <c r="AF201" s="23"/>
      <c r="AG201" s="17"/>
    </row>
    <row r="202" spans="1:33" customFormat="1" ht="12" hidden="1" customHeight="1" outlineLevel="1" x14ac:dyDescent="0.2">
      <c r="A202" s="1395"/>
      <c r="B202" s="63"/>
      <c r="C202" s="13"/>
      <c r="D202" s="1064" t="s">
        <v>3266</v>
      </c>
      <c r="E202" s="1066">
        <f t="shared" ref="E202:N202" si="35">(1-hSystemsFTEPercentReductionWorstCaseO2)*pSystemsFTE_O2</f>
        <v>10</v>
      </c>
      <c r="F202" s="1066">
        <f t="shared" si="35"/>
        <v>10</v>
      </c>
      <c r="G202" s="1066">
        <f t="shared" si="35"/>
        <v>10</v>
      </c>
      <c r="H202" s="1066">
        <f t="shared" si="35"/>
        <v>10</v>
      </c>
      <c r="I202" s="1066">
        <f t="shared" si="35"/>
        <v>10</v>
      </c>
      <c r="J202" s="1066">
        <f t="shared" si="35"/>
        <v>10</v>
      </c>
      <c r="K202" s="1066">
        <f t="shared" si="35"/>
        <v>10</v>
      </c>
      <c r="L202" s="1066">
        <f t="shared" si="35"/>
        <v>10</v>
      </c>
      <c r="M202" s="1066">
        <f t="shared" si="35"/>
        <v>10</v>
      </c>
      <c r="N202" s="1066">
        <f t="shared" si="35"/>
        <v>10</v>
      </c>
      <c r="O202" s="162" t="s">
        <v>3267</v>
      </c>
      <c r="P202" s="12"/>
      <c r="Q202" s="12"/>
      <c r="R202" s="12"/>
      <c r="S202" s="12"/>
      <c r="T202" s="12"/>
      <c r="U202" s="12"/>
      <c r="V202" s="12"/>
      <c r="W202" s="12"/>
      <c r="X202" s="12"/>
      <c r="Y202" s="12"/>
      <c r="Z202" s="12"/>
      <c r="AA202" s="12"/>
      <c r="AB202" s="12"/>
      <c r="AC202" s="12"/>
      <c r="AD202" s="12"/>
      <c r="AE202" s="12"/>
      <c r="AF202" s="12"/>
      <c r="AG202" s="18"/>
    </row>
    <row r="203" spans="1:33" customFormat="1" ht="12" hidden="1" customHeight="1" outlineLevel="1" x14ac:dyDescent="0.2">
      <c r="A203" s="1395"/>
      <c r="B203" s="63"/>
      <c r="C203" s="13"/>
      <c r="D203" s="1064" t="s">
        <v>3268</v>
      </c>
      <c r="E203" s="1066">
        <f t="shared" ref="E203:N203" si="36">(1-hSystemsFTEPercentReductionMostLikelyO2)*pSystemsFTE_O2</f>
        <v>9.5</v>
      </c>
      <c r="F203" s="1066">
        <f t="shared" si="36"/>
        <v>9.5</v>
      </c>
      <c r="G203" s="1066">
        <f t="shared" si="36"/>
        <v>9.5</v>
      </c>
      <c r="H203" s="1066">
        <f t="shared" si="36"/>
        <v>9.5</v>
      </c>
      <c r="I203" s="1066">
        <f t="shared" si="36"/>
        <v>9.5</v>
      </c>
      <c r="J203" s="1066">
        <f t="shared" si="36"/>
        <v>9.5</v>
      </c>
      <c r="K203" s="1066">
        <f t="shared" si="36"/>
        <v>9.5</v>
      </c>
      <c r="L203" s="1066">
        <f t="shared" si="36"/>
        <v>9.5</v>
      </c>
      <c r="M203" s="1066">
        <f t="shared" si="36"/>
        <v>9.5</v>
      </c>
      <c r="N203" s="1066">
        <f t="shared" si="36"/>
        <v>9.5</v>
      </c>
      <c r="O203" s="162" t="s">
        <v>3269</v>
      </c>
      <c r="P203" s="12"/>
      <c r="Q203" s="12"/>
      <c r="R203" s="12"/>
      <c r="S203" s="12"/>
      <c r="T203" s="12"/>
      <c r="U203" s="12"/>
      <c r="V203" s="12"/>
      <c r="W203" s="12"/>
      <c r="X203" s="12"/>
      <c r="Y203" s="12"/>
      <c r="Z203" s="12"/>
      <c r="AA203" s="12"/>
      <c r="AB203" s="12"/>
      <c r="AC203" s="12"/>
      <c r="AD203" s="12"/>
      <c r="AE203" s="12"/>
      <c r="AF203" s="12"/>
      <c r="AG203" s="18"/>
    </row>
    <row r="204" spans="1:33" customFormat="1" ht="12" hidden="1" customHeight="1" outlineLevel="1" x14ac:dyDescent="0.2">
      <c r="A204" s="1395"/>
      <c r="B204" s="63"/>
      <c r="C204" s="13"/>
      <c r="D204" s="1064" t="s">
        <v>3270</v>
      </c>
      <c r="E204" s="1066">
        <f t="shared" ref="E204:N204" si="37">(1-hSystemsFTEPercentReductionBestCaseO2)*pSystemsFTE_O2</f>
        <v>9</v>
      </c>
      <c r="F204" s="1066">
        <f t="shared" si="37"/>
        <v>9</v>
      </c>
      <c r="G204" s="1066">
        <f t="shared" si="37"/>
        <v>9</v>
      </c>
      <c r="H204" s="1066">
        <f t="shared" si="37"/>
        <v>9</v>
      </c>
      <c r="I204" s="1066">
        <f t="shared" si="37"/>
        <v>9</v>
      </c>
      <c r="J204" s="1066">
        <f t="shared" si="37"/>
        <v>9</v>
      </c>
      <c r="K204" s="1066">
        <f t="shared" si="37"/>
        <v>9</v>
      </c>
      <c r="L204" s="1066">
        <f t="shared" si="37"/>
        <v>9</v>
      </c>
      <c r="M204" s="1066">
        <f t="shared" si="37"/>
        <v>9</v>
      </c>
      <c r="N204" s="1066">
        <f t="shared" si="37"/>
        <v>9</v>
      </c>
      <c r="O204" s="162" t="s">
        <v>3271</v>
      </c>
      <c r="P204" s="12"/>
      <c r="Q204" s="12"/>
      <c r="R204" s="12"/>
      <c r="S204" s="12"/>
      <c r="T204" s="12"/>
      <c r="U204" s="12"/>
      <c r="V204" s="12"/>
      <c r="W204" s="12"/>
      <c r="X204" s="12"/>
      <c r="Y204" s="12"/>
      <c r="Z204" s="12"/>
      <c r="AA204" s="12"/>
      <c r="AB204" s="12"/>
      <c r="AC204" s="12"/>
      <c r="AD204" s="12"/>
      <c r="AE204" s="12"/>
      <c r="AF204" s="12"/>
      <c r="AG204" s="18"/>
    </row>
    <row r="205" spans="1:33" s="8" customFormat="1" ht="12" hidden="1" customHeight="1" outlineLevel="1" x14ac:dyDescent="0.2">
      <c r="A205" s="1395"/>
      <c r="B205" s="63"/>
      <c r="C205" s="50"/>
      <c r="D205" s="1064"/>
      <c r="E205" s="440"/>
      <c r="F205" s="440"/>
      <c r="G205" s="440"/>
      <c r="H205" s="440"/>
      <c r="I205" s="440"/>
      <c r="J205" s="440"/>
      <c r="K205" s="440"/>
      <c r="L205" s="440"/>
      <c r="M205" s="440"/>
      <c r="N205" s="440"/>
      <c r="O205" s="1067"/>
      <c r="P205" s="23"/>
      <c r="Q205" s="23"/>
      <c r="R205" s="23"/>
      <c r="S205" s="23"/>
      <c r="T205" s="23"/>
      <c r="U205" s="23"/>
      <c r="V205" s="23"/>
      <c r="W205" s="23"/>
      <c r="X205" s="23"/>
      <c r="Y205" s="23"/>
      <c r="Z205" s="23"/>
      <c r="AA205" s="23"/>
      <c r="AB205" s="23"/>
      <c r="AC205" s="23"/>
      <c r="AD205" s="23"/>
      <c r="AE205" s="23"/>
      <c r="AF205" s="23"/>
      <c r="AG205" s="17"/>
    </row>
    <row r="206" spans="1:33" customFormat="1" ht="12" hidden="1" customHeight="1" outlineLevel="1" x14ac:dyDescent="0.2">
      <c r="A206" s="1395"/>
      <c r="B206" s="63"/>
      <c r="C206" s="13"/>
      <c r="D206" s="1064" t="s">
        <v>3272</v>
      </c>
      <c r="E206" s="602">
        <f>(AnnualBurdenedSalaryO2*hSystemsFTECalcResultWorstCaseO2)</f>
        <v>836250</v>
      </c>
      <c r="F206" s="602">
        <f>(AnnualBurdenedSalaryO2*hSystemsFTECalcResultWorstCaseO2)*(1+Inflation)</f>
        <v>852975</v>
      </c>
      <c r="G206" s="602">
        <f>(AnnualBurdenedSalaryO2*hSystemsFTECalcResultWorstCaseO2)*(1+Inflation)^2</f>
        <v>870034.5</v>
      </c>
      <c r="H206" s="602">
        <f>(AnnualBurdenedSalaryO2*hSystemsFTECalcResultWorstCaseO2)*(1+Inflation)^3</f>
        <v>887435.19</v>
      </c>
      <c r="I206" s="602">
        <f>(AnnualBurdenedSalaryO2*hSystemsFTECalcResultWorstCaseO2)*(1+Inflation)^4</f>
        <v>905183.89379999996</v>
      </c>
      <c r="J206" s="602">
        <f>(AnnualBurdenedSalaryO2*hSystemsFTECalcResultWorstCaseO2)*(1+Inflation)^5</f>
        <v>923287.57167600002</v>
      </c>
      <c r="K206" s="602">
        <f>(AnnualBurdenedSalaryO2*hSystemsFTECalcResultWorstCaseO2)*(1+Inflation)^6</f>
        <v>941753.32310952002</v>
      </c>
      <c r="L206" s="602">
        <f>(AnnualBurdenedSalaryO2*hSystemsFTECalcResultWorstCaseO2)*(1+Inflation)^7</f>
        <v>960588.38957171026</v>
      </c>
      <c r="M206" s="602">
        <f>(AnnualBurdenedSalaryO2*hSystemsFTECalcResultWorstCaseO2)*(1+Inflation)^8</f>
        <v>979800.15736314456</v>
      </c>
      <c r="N206" s="602">
        <f>(AnnualBurdenedSalaryO2*hSystemsFTECalcResultWorstCaseO2)*(1+Inflation)^9</f>
        <v>999396.16051040741</v>
      </c>
      <c r="O206" s="162" t="s">
        <v>3273</v>
      </c>
      <c r="P206" s="12"/>
      <c r="Q206" s="12"/>
      <c r="R206" s="12"/>
      <c r="S206" s="12"/>
      <c r="T206" s="12"/>
      <c r="U206" s="12"/>
      <c r="V206" s="12"/>
      <c r="W206" s="12"/>
      <c r="X206" s="12"/>
      <c r="Y206" s="12"/>
      <c r="Z206" s="12"/>
      <c r="AA206" s="12"/>
      <c r="AB206" s="12"/>
      <c r="AC206" s="12"/>
      <c r="AD206" s="12"/>
      <c r="AE206" s="12"/>
      <c r="AF206" s="12"/>
      <c r="AG206" s="18"/>
    </row>
    <row r="207" spans="1:33" customFormat="1" ht="12" hidden="1" customHeight="1" outlineLevel="1" x14ac:dyDescent="0.2">
      <c r="A207" s="1395"/>
      <c r="B207" s="63"/>
      <c r="C207" s="13"/>
      <c r="D207" s="1064" t="s">
        <v>3274</v>
      </c>
      <c r="E207" s="602">
        <f>(AnnualBurdenedSalaryO2*hSystemsFTECalcResultMostLikelyO2)</f>
        <v>794437.5</v>
      </c>
      <c r="F207" s="602">
        <f>(AnnualBurdenedSalaryO2*hSystemsFTECalcResultMostLikelyO2)*(1+Inflation)</f>
        <v>810326.25</v>
      </c>
      <c r="G207" s="602">
        <f>(AnnualBurdenedSalaryO2*hSystemsFTECalcResultMostLikelyO2)*(1+Inflation)^2</f>
        <v>826532.77500000002</v>
      </c>
      <c r="H207" s="602">
        <f>(AnnualBurdenedSalaryO2*hSystemsFTECalcResultMostLikelyO2)*(1+Inflation)^3</f>
        <v>843063.4304999999</v>
      </c>
      <c r="I207" s="602">
        <f>(AnnualBurdenedSalaryO2*hSystemsFTECalcResultMostLikelyO2)*(1+Inflation)^4</f>
        <v>859924.69910999993</v>
      </c>
      <c r="J207" s="602">
        <f>(AnnualBurdenedSalaryO2*hSystemsFTECalcResultMostLikelyO2)*(1+Inflation)^5</f>
        <v>877123.19309219997</v>
      </c>
      <c r="K207" s="602">
        <f>(AnnualBurdenedSalaryO2*hSystemsFTECalcResultMostLikelyO2)*(1+Inflation)^6</f>
        <v>894665.65695404401</v>
      </c>
      <c r="L207" s="602">
        <f>(AnnualBurdenedSalaryO2*hSystemsFTECalcResultMostLikelyO2)*(1+Inflation)^7</f>
        <v>912558.97009312478</v>
      </c>
      <c r="M207" s="602">
        <f>(AnnualBurdenedSalaryO2*hSystemsFTECalcResultMostLikelyO2)*(1+Inflation)^8</f>
        <v>930810.14949498733</v>
      </c>
      <c r="N207" s="602">
        <f>(AnnualBurdenedSalaryO2*hSystemsFTECalcResultMostLikelyO2)*(1+Inflation)^9</f>
        <v>949426.35248488712</v>
      </c>
      <c r="O207" s="162" t="s">
        <v>3275</v>
      </c>
      <c r="P207" s="12"/>
      <c r="Q207" s="12"/>
      <c r="R207" s="12"/>
      <c r="S207" s="12"/>
      <c r="T207" s="12"/>
      <c r="U207" s="12"/>
      <c r="V207" s="12"/>
      <c r="W207" s="12"/>
      <c r="X207" s="12"/>
      <c r="Y207" s="12"/>
      <c r="Z207" s="12"/>
      <c r="AA207" s="12"/>
      <c r="AB207" s="12"/>
      <c r="AC207" s="12"/>
      <c r="AD207" s="12"/>
      <c r="AE207" s="12"/>
      <c r="AF207" s="12"/>
      <c r="AG207" s="18"/>
    </row>
    <row r="208" spans="1:33" customFormat="1" ht="12" hidden="1" customHeight="1" outlineLevel="1" x14ac:dyDescent="0.2">
      <c r="A208" s="1395"/>
      <c r="B208" s="63"/>
      <c r="C208" s="13"/>
      <c r="D208" s="1064" t="s">
        <v>3276</v>
      </c>
      <c r="E208" s="602">
        <f>(AnnualBurdenedSalaryO2*hSystemsFTECalcResultBestCaseO2)</f>
        <v>752625</v>
      </c>
      <c r="F208" s="602">
        <f>(AnnualBurdenedSalaryO2*hSystemsFTECalcResultBestCaseO2)*(1+Inflation)</f>
        <v>767677.5</v>
      </c>
      <c r="G208" s="602">
        <f>(AnnualBurdenedSalaryO2*hSystemsFTECalcResultBestCaseO2)*(1+Inflation)^2</f>
        <v>783031.05</v>
      </c>
      <c r="H208" s="602">
        <f>(AnnualBurdenedSalaryO2*hSystemsFTECalcResultBestCaseO2)*(1+Inflation)^3</f>
        <v>798691.67099999997</v>
      </c>
      <c r="I208" s="602">
        <f>(AnnualBurdenedSalaryO2*hSystemsFTECalcResultBestCaseO2)*(1+Inflation)^4</f>
        <v>814665.50442000001</v>
      </c>
      <c r="J208" s="602">
        <f>(AnnualBurdenedSalaryO2*hSystemsFTECalcResultBestCaseO2)*(1+Inflation)^5</f>
        <v>830958.81450840004</v>
      </c>
      <c r="K208" s="602">
        <f>(AnnualBurdenedSalaryO2*hSystemsFTECalcResultBestCaseO2)*(1+Inflation)^6</f>
        <v>847577.990798568</v>
      </c>
      <c r="L208" s="602">
        <f>(AnnualBurdenedSalaryO2*hSystemsFTECalcResultBestCaseO2)*(1+Inflation)^7</f>
        <v>864529.55061453918</v>
      </c>
      <c r="M208" s="602">
        <f>(AnnualBurdenedSalaryO2*hSystemsFTECalcResultBestCaseO2)*(1+Inflation)^8</f>
        <v>881820.1416268301</v>
      </c>
      <c r="N208" s="602">
        <f>(AnnualBurdenedSalaryO2*hSystemsFTECalcResultBestCaseO2)*(1+Inflation)^9</f>
        <v>899456.54445936671</v>
      </c>
      <c r="O208" s="162" t="s">
        <v>3277</v>
      </c>
      <c r="P208" s="12"/>
      <c r="Q208" s="12"/>
      <c r="R208" s="12"/>
      <c r="S208" s="12"/>
      <c r="T208" s="12"/>
      <c r="U208" s="12"/>
      <c r="V208" s="12"/>
      <c r="W208" s="12"/>
      <c r="X208" s="12"/>
      <c r="Y208" s="12"/>
      <c r="Z208" s="12"/>
      <c r="AA208" s="12"/>
      <c r="AB208" s="12"/>
      <c r="AC208" s="12"/>
      <c r="AD208" s="12"/>
      <c r="AE208" s="12"/>
      <c r="AF208" s="12"/>
      <c r="AG208" s="18"/>
    </row>
    <row r="209" spans="1:33" s="8" customFormat="1" ht="12" hidden="1" customHeight="1" outlineLevel="1" x14ac:dyDescent="0.2">
      <c r="A209" s="1395"/>
      <c r="B209" s="63"/>
      <c r="C209" s="50"/>
      <c r="D209" s="1068"/>
      <c r="E209" s="440"/>
      <c r="F209" s="440"/>
      <c r="G209" s="440"/>
      <c r="H209" s="440"/>
      <c r="I209" s="440"/>
      <c r="J209" s="440"/>
      <c r="K209" s="440"/>
      <c r="L209" s="440"/>
      <c r="M209" s="440"/>
      <c r="N209" s="440"/>
      <c r="O209" s="162"/>
      <c r="P209" s="23"/>
      <c r="Q209" s="23"/>
      <c r="R209" s="23"/>
      <c r="S209" s="23"/>
      <c r="T209" s="23"/>
      <c r="U209" s="23"/>
      <c r="V209" s="23"/>
      <c r="W209" s="23"/>
      <c r="X209" s="23"/>
      <c r="Y209" s="23"/>
      <c r="Z209" s="23"/>
      <c r="AA209" s="23"/>
      <c r="AB209" s="23"/>
      <c r="AC209" s="23"/>
      <c r="AD209" s="23"/>
      <c r="AE209" s="23"/>
      <c r="AF209" s="23"/>
      <c r="AG209" s="17"/>
    </row>
    <row r="210" spans="1:33" s="8" customFormat="1" ht="12" hidden="1" customHeight="1" outlineLevel="1" x14ac:dyDescent="0.2">
      <c r="A210" s="1395"/>
      <c r="B210" s="63"/>
      <c r="C210" s="50"/>
      <c r="D210" s="1069" t="s">
        <v>3282</v>
      </c>
      <c r="E210" s="610">
        <f t="shared" ref="E210:N210" si="38">SUM(hSystemsFTECalcResultWorstCaseHM+hSystemsFTECalcResultWorstCaseLM+hSystemsFTECalcResultWorstCaseENG+hSystemsFTECalcResultWorstCasePLG+hSystemsFTECalcResultWorstCaseCRT+hSystemsFTECalcResultWorstCaseSCL+hSystemsFTECalcResultWorstCaseQSC+hSystemsFTECalcResultWorstCaseEM+hSystemsFTECalcResultWorstCaseCM+hSystemsFTECalcResultWorstCaseSMCS+hSystemsFTECalcResultWorstCaseO1+hSystemsFTECalcResultWorstCaseO2)</f>
        <v>3130</v>
      </c>
      <c r="F210" s="610">
        <f t="shared" si="38"/>
        <v>3130</v>
      </c>
      <c r="G210" s="610">
        <f t="shared" si="38"/>
        <v>3130</v>
      </c>
      <c r="H210" s="610">
        <f t="shared" si="38"/>
        <v>3130</v>
      </c>
      <c r="I210" s="610">
        <f t="shared" si="38"/>
        <v>3130</v>
      </c>
      <c r="J210" s="610">
        <f t="shared" si="38"/>
        <v>3130</v>
      </c>
      <c r="K210" s="610">
        <f t="shared" si="38"/>
        <v>3130</v>
      </c>
      <c r="L210" s="610">
        <f t="shared" si="38"/>
        <v>3130</v>
      </c>
      <c r="M210" s="610">
        <f t="shared" si="38"/>
        <v>3130</v>
      </c>
      <c r="N210" s="610">
        <f t="shared" si="38"/>
        <v>3130</v>
      </c>
      <c r="O210" s="162" t="s">
        <v>3292</v>
      </c>
      <c r="P210" s="23"/>
      <c r="Q210" s="23"/>
      <c r="R210" s="23"/>
      <c r="S210" s="23"/>
      <c r="T210" s="23"/>
      <c r="U210" s="23"/>
      <c r="V210" s="23"/>
      <c r="W210" s="23"/>
      <c r="X210" s="23"/>
      <c r="Y210" s="23"/>
      <c r="Z210" s="23"/>
      <c r="AA210" s="23"/>
      <c r="AB210" s="23"/>
      <c r="AC210" s="23"/>
      <c r="AD210" s="23"/>
      <c r="AE210" s="23"/>
      <c r="AF210" s="23"/>
      <c r="AG210" s="17"/>
    </row>
    <row r="211" spans="1:33" s="8" customFormat="1" ht="12" hidden="1" customHeight="1" outlineLevel="1" x14ac:dyDescent="0.2">
      <c r="A211" s="1395"/>
      <c r="B211" s="63"/>
      <c r="C211" s="13"/>
      <c r="D211" s="1069" t="s">
        <v>3283</v>
      </c>
      <c r="E211" s="610">
        <f t="shared" ref="E211:N211" si="39">SUM(hSystemsFTECalcResultMostLikelyHM+hSystemsFTECalcResultMostLikelyLM+hSystemsFTECalcResultMostLikelyENG+hSystemsFTECalcResultMostLikelyPLG+hSystemsFTECalcResultMostLikelyCRT+hSystemsFTECalcResultMostLikelySCL+hSystemsFTECalcResultMostLikelyQSC+hSystemsFTECalcResultMostLikelyEM+hSystemsFTECalcResultMostLikelyCM+hSystemsFTECalcResultMostLikelySMCS+hSystemsFTECalcResultMostLikelyO1+hSystemsFTECalcResultMostLikelyO2)</f>
        <v>2945</v>
      </c>
      <c r="F211" s="610">
        <f t="shared" si="39"/>
        <v>2942.5</v>
      </c>
      <c r="G211" s="610">
        <f t="shared" si="39"/>
        <v>2940</v>
      </c>
      <c r="H211" s="610">
        <f t="shared" si="39"/>
        <v>2937.5</v>
      </c>
      <c r="I211" s="610">
        <f t="shared" si="39"/>
        <v>2935</v>
      </c>
      <c r="J211" s="610">
        <f t="shared" si="39"/>
        <v>2932.5</v>
      </c>
      <c r="K211" s="610">
        <f t="shared" si="39"/>
        <v>2930</v>
      </c>
      <c r="L211" s="610">
        <f t="shared" si="39"/>
        <v>2927.5</v>
      </c>
      <c r="M211" s="610">
        <f t="shared" si="39"/>
        <v>2925</v>
      </c>
      <c r="N211" s="610">
        <f t="shared" si="39"/>
        <v>2922.5</v>
      </c>
      <c r="O211" s="162" t="s">
        <v>3294</v>
      </c>
      <c r="P211" s="23"/>
      <c r="Q211" s="23"/>
      <c r="R211" s="23"/>
      <c r="S211" s="23"/>
      <c r="T211" s="23"/>
      <c r="U211" s="23"/>
      <c r="V211" s="23"/>
      <c r="W211" s="23"/>
      <c r="X211" s="23"/>
      <c r="Y211" s="23"/>
      <c r="Z211" s="23"/>
      <c r="AA211" s="23"/>
      <c r="AB211" s="23"/>
      <c r="AC211" s="23"/>
      <c r="AD211" s="23"/>
      <c r="AE211" s="23"/>
      <c r="AF211" s="23"/>
      <c r="AG211" s="17"/>
    </row>
    <row r="212" spans="1:33" s="8" customFormat="1" ht="12" hidden="1" customHeight="1" outlineLevel="1" x14ac:dyDescent="0.2">
      <c r="A212" s="1395"/>
      <c r="B212" s="63"/>
      <c r="C212" s="13"/>
      <c r="D212" s="1069" t="s">
        <v>3284</v>
      </c>
      <c r="E212" s="610">
        <f t="shared" ref="E212:N212" si="40">SUM(hSystemsFTECalcResultBestCaseHM+hSystemsFTECalcResultBestCaseLM+hSystemsFTECalcResultBestCaseENG+hSystemsFTECalcResultBestCasePLG+hSystemsFTECalcResultBestCaseCRT+hSystemsFTECalcResultBestCaseSCL+hSystemsFTECalcResultBestCaseQSC+hSystemsFTECalcResultBestCaseEM+hSystemsFTECalcResultBestCaseCM+hSystemsFTECalcResultBestCaseSMCS+hSystemsFTECalcResultBestCaseO1+hSystemsFTECalcResultBestCaseO2)</f>
        <v>2772</v>
      </c>
      <c r="F212" s="610">
        <f t="shared" si="40"/>
        <v>2769.5</v>
      </c>
      <c r="G212" s="610">
        <f t="shared" si="40"/>
        <v>2767</v>
      </c>
      <c r="H212" s="610">
        <f t="shared" si="40"/>
        <v>2764.5</v>
      </c>
      <c r="I212" s="610">
        <f t="shared" si="40"/>
        <v>2762</v>
      </c>
      <c r="J212" s="610">
        <f t="shared" si="40"/>
        <v>2759.5</v>
      </c>
      <c r="K212" s="610">
        <f t="shared" si="40"/>
        <v>2757</v>
      </c>
      <c r="L212" s="610">
        <f t="shared" si="40"/>
        <v>2754.5</v>
      </c>
      <c r="M212" s="610">
        <f t="shared" si="40"/>
        <v>2752</v>
      </c>
      <c r="N212" s="610">
        <f t="shared" si="40"/>
        <v>2749.5</v>
      </c>
      <c r="O212" s="162" t="s">
        <v>3293</v>
      </c>
      <c r="P212" s="23"/>
      <c r="Q212" s="23"/>
      <c r="R212" s="23"/>
      <c r="S212" s="23"/>
      <c r="T212" s="23"/>
      <c r="U212" s="23"/>
      <c r="V212" s="23"/>
      <c r="W212" s="23"/>
      <c r="X212" s="23"/>
      <c r="Y212" s="23"/>
      <c r="Z212" s="23"/>
      <c r="AA212" s="23"/>
      <c r="AB212" s="23"/>
      <c r="AC212" s="23"/>
      <c r="AD212" s="23"/>
      <c r="AE212" s="23"/>
      <c r="AF212" s="23"/>
      <c r="AG212" s="17"/>
    </row>
    <row r="213" spans="1:33" s="8" customFormat="1" ht="12" hidden="1" customHeight="1" outlineLevel="1" x14ac:dyDescent="0.2">
      <c r="A213" s="1395"/>
      <c r="B213" s="63"/>
      <c r="C213" s="13"/>
      <c r="D213" s="1069"/>
      <c r="E213" s="440"/>
      <c r="F213" s="440"/>
      <c r="G213" s="440"/>
      <c r="H213" s="440"/>
      <c r="I213" s="440"/>
      <c r="J213" s="440"/>
      <c r="K213" s="440"/>
      <c r="L213" s="440"/>
      <c r="M213" s="440"/>
      <c r="N213" s="440"/>
      <c r="O213" s="642"/>
      <c r="P213" s="23"/>
      <c r="Q213" s="23"/>
      <c r="R213" s="23"/>
      <c r="S213" s="23"/>
      <c r="T213" s="23"/>
      <c r="U213" s="23"/>
      <c r="V213" s="23"/>
      <c r="W213" s="23"/>
      <c r="X213" s="23"/>
      <c r="Y213" s="23"/>
      <c r="Z213" s="23"/>
      <c r="AA213" s="23"/>
      <c r="AB213" s="23"/>
      <c r="AC213" s="23"/>
      <c r="AD213" s="23"/>
      <c r="AE213" s="23"/>
      <c r="AF213" s="23"/>
      <c r="AG213" s="17"/>
    </row>
    <row r="214" spans="1:33" s="8" customFormat="1" ht="12" hidden="1" customHeight="1" outlineLevel="1" x14ac:dyDescent="0.2">
      <c r="A214" s="1395"/>
      <c r="B214" s="63"/>
      <c r="C214" s="13"/>
      <c r="D214" s="1069" t="s">
        <v>3287</v>
      </c>
      <c r="E214" s="602">
        <f t="shared" ref="E214:N214" si="41">SUM(hSystemsFTELaborCostWorstCaseHM+hSystemsFTELaborCostWorstCaseLM+hSystemsFTELaborCostWorstCaseENG+hSystemsFTELaborCostWorstCasePLG+hSystemsFTELaborCostWorstCaseCRT+hSystemsFTELaborCostWorstCaseSCL+hSystemsFTELaborCostWorstCaseQSC+hSystemsFTELaborCostWorstCaseEM+hSystemsFTELaborCostWorstCaseCM+hSystemsFTELaborCostWorstCaseSMCS+hSystemsFTELaborCostWorstCaseO1+hSystemsFTELaborCostWorstCaseO2)</f>
        <v>379378750</v>
      </c>
      <c r="F214" s="602">
        <f t="shared" si="41"/>
        <v>386966325</v>
      </c>
      <c r="G214" s="602">
        <f t="shared" si="41"/>
        <v>394705651.5</v>
      </c>
      <c r="H214" s="602">
        <f t="shared" si="41"/>
        <v>402599764.52999991</v>
      </c>
      <c r="I214" s="602">
        <f t="shared" si="41"/>
        <v>410651759.82060003</v>
      </c>
      <c r="J214" s="602">
        <f t="shared" si="41"/>
        <v>418864795.017012</v>
      </c>
      <c r="K214" s="602">
        <f t="shared" si="41"/>
        <v>427242090.9173522</v>
      </c>
      <c r="L214" s="602">
        <f t="shared" si="41"/>
        <v>435786932.73569924</v>
      </c>
      <c r="M214" s="602">
        <f t="shared" si="41"/>
        <v>444502671.39041322</v>
      </c>
      <c r="N214" s="602">
        <f t="shared" si="41"/>
        <v>453392724.81822163</v>
      </c>
      <c r="O214" s="162" t="s">
        <v>3290</v>
      </c>
      <c r="P214" s="23"/>
      <c r="Q214" s="23"/>
      <c r="R214" s="23"/>
      <c r="S214" s="23"/>
      <c r="T214" s="23"/>
      <c r="U214" s="23"/>
      <c r="V214" s="23"/>
      <c r="W214" s="23"/>
      <c r="X214" s="23"/>
      <c r="Y214" s="23"/>
      <c r="Z214" s="23"/>
      <c r="AA214" s="23"/>
      <c r="AB214" s="23"/>
      <c r="AC214" s="23"/>
      <c r="AD214" s="23"/>
      <c r="AE214" s="23"/>
      <c r="AF214" s="23"/>
      <c r="AG214" s="17"/>
    </row>
    <row r="215" spans="1:33" s="8" customFormat="1" ht="12" hidden="1" customHeight="1" outlineLevel="1" x14ac:dyDescent="0.2">
      <c r="A215" s="1395"/>
      <c r="B215" s="63"/>
      <c r="C215" s="13"/>
      <c r="D215" s="1069" t="s">
        <v>3288</v>
      </c>
      <c r="E215" s="602">
        <f t="shared" ref="E215:N215" si="42">SUM(hSystemsFTELaborCostMostLikelyHM+hSystemsFTELaborCostMostLikelyLM+hSystemsFTELaborCostMostLikelyENG+hSystemsFTELaborCostMostLikelyPLG+hSystemsFTELaborCostMostLikelyCRT+hSystemsFTELaborCostMostLikelySCL+hSystemsFTELaborCostMostLikelyQSC+hSystemsFTELaborCostMostLikelyEM+hSystemsFTELaborCostMostLikelyCM+hSystemsFTELaborCostMostLikelySMCS+hSystemsFTELaborCostMostLikelyO1+hSystemsFTELaborCostMostLikelyO2)</f>
        <v>358023015.625</v>
      </c>
      <c r="F215" s="602">
        <f t="shared" si="42"/>
        <v>364856502.1875</v>
      </c>
      <c r="G215" s="602">
        <f t="shared" si="42"/>
        <v>371820119.00624996</v>
      </c>
      <c r="H215" s="602">
        <f t="shared" si="42"/>
        <v>378916337.8968749</v>
      </c>
      <c r="I215" s="602">
        <f t="shared" si="42"/>
        <v>386147677.49552238</v>
      </c>
      <c r="J215" s="602">
        <f t="shared" si="42"/>
        <v>393516704.14295709</v>
      </c>
      <c r="K215" s="602">
        <f t="shared" si="42"/>
        <v>401026032.78529108</v>
      </c>
      <c r="L215" s="602">
        <f t="shared" si="42"/>
        <v>408678327.89166093</v>
      </c>
      <c r="M215" s="602">
        <f t="shared" si="42"/>
        <v>416476304.38917166</v>
      </c>
      <c r="N215" s="602">
        <f t="shared" si="42"/>
        <v>424422728.61542606</v>
      </c>
      <c r="O215" s="162" t="s">
        <v>3291</v>
      </c>
      <c r="P215" s="23"/>
      <c r="Q215" s="23"/>
      <c r="R215" s="23"/>
      <c r="S215" s="23"/>
      <c r="T215" s="23"/>
      <c r="U215" s="23"/>
      <c r="V215" s="23"/>
      <c r="W215" s="23"/>
      <c r="X215" s="23"/>
      <c r="Y215" s="23"/>
      <c r="Z215" s="23"/>
      <c r="AA215" s="23"/>
      <c r="AB215" s="23"/>
      <c r="AC215" s="23"/>
      <c r="AD215" s="23"/>
      <c r="AE215" s="23"/>
      <c r="AF215" s="23"/>
      <c r="AG215" s="17"/>
    </row>
    <row r="216" spans="1:33" s="8" customFormat="1" ht="12" hidden="1" customHeight="1" outlineLevel="1" x14ac:dyDescent="0.2">
      <c r="A216" s="1395"/>
      <c r="B216" s="63"/>
      <c r="C216" s="13"/>
      <c r="D216" s="1069" t="s">
        <v>3289</v>
      </c>
      <c r="E216" s="602">
        <f t="shared" ref="E216:N216" si="43">SUM(hSystemsFTEMostLikelyBestCaseHM+hSystemsFTEMostLikelyBestCaseLM+hSystemsFTEMostLikelyBestCaseENG+hSystemsFTEMostLikelyBestCasePLG+hSystemsFTEMostLikelyBestCaseCRT+hSystemsFTEMostLikelyBestCaseSCL+hSystemsFTEMostLikelyBestCaseQSC+hSystemsFTEMostLikelyBestCaseEM+hSystemsFTEMostLikelyBestCaseCM+hSystemsFTEMostLikelyBestCaseSMCS+hSystemsFTEMostLikelyBestCaseO1+hSystemsFTEMostLikelyBestCaseO2)</f>
        <v>337503531.25</v>
      </c>
      <c r="F216" s="602">
        <f t="shared" si="43"/>
        <v>343926628.125</v>
      </c>
      <c r="G216" s="602">
        <f t="shared" si="43"/>
        <v>350471647.46250004</v>
      </c>
      <c r="H216" s="602">
        <f t="shared" si="43"/>
        <v>357140896.92224997</v>
      </c>
      <c r="I216" s="602">
        <f t="shared" si="43"/>
        <v>363936727.70140493</v>
      </c>
      <c r="J216" s="602">
        <f t="shared" si="43"/>
        <v>370861535.35295731</v>
      </c>
      <c r="K216" s="602">
        <f t="shared" si="43"/>
        <v>377917760.61949122</v>
      </c>
      <c r="L216" s="602">
        <f t="shared" si="43"/>
        <v>385107890.28254509</v>
      </c>
      <c r="M216" s="602">
        <f t="shared" si="43"/>
        <v>392434458.02787352</v>
      </c>
      <c r="N216" s="602">
        <f t="shared" si="43"/>
        <v>399900045.32690185</v>
      </c>
      <c r="O216" s="162" t="s">
        <v>3295</v>
      </c>
      <c r="P216" s="23"/>
      <c r="Q216" s="23"/>
      <c r="R216" s="23"/>
      <c r="S216" s="23"/>
      <c r="T216" s="23"/>
      <c r="U216" s="23"/>
      <c r="V216" s="23"/>
      <c r="W216" s="23"/>
      <c r="X216" s="23"/>
      <c r="Y216" s="23"/>
      <c r="Z216" s="23"/>
      <c r="AA216" s="23"/>
      <c r="AB216" s="23"/>
      <c r="AC216" s="23"/>
      <c r="AD216" s="23"/>
      <c r="AE216" s="23"/>
      <c r="AF216" s="23"/>
      <c r="AG216" s="17"/>
    </row>
    <row r="217" spans="1:33" ht="13.5" hidden="1" outlineLevel="1" thickBot="1" x14ac:dyDescent="0.25">
      <c r="A217" s="1396"/>
      <c r="C217" s="6"/>
      <c r="D217" s="246"/>
      <c r="E217" s="1060"/>
      <c r="F217" s="518"/>
      <c r="G217" s="518"/>
      <c r="H217" s="518"/>
      <c r="I217" s="518"/>
      <c r="J217" s="1061"/>
      <c r="K217" s="1061"/>
      <c r="L217" s="1061"/>
      <c r="M217" s="1061"/>
      <c r="N217" s="1061"/>
      <c r="O217" s="1062"/>
    </row>
    <row r="218" spans="1:33" hidden="1" outlineLevel="1" x14ac:dyDescent="0.2">
      <c r="C218" s="6"/>
      <c r="D218" s="94"/>
      <c r="E218" s="6"/>
      <c r="F218" s="6"/>
      <c r="G218" s="6"/>
      <c r="H218" s="6"/>
      <c r="I218" s="6"/>
      <c r="J218" s="168"/>
      <c r="K218" s="168"/>
      <c r="L218" s="168"/>
      <c r="M218" s="168"/>
      <c r="N218" s="168"/>
      <c r="O218" s="169"/>
    </row>
    <row r="219" spans="1:33" s="122" customFormat="1" ht="15.75" collapsed="1" x14ac:dyDescent="0.2">
      <c r="A219" s="1043">
        <v>4</v>
      </c>
      <c r="B219" s="1039"/>
      <c r="C219" s="1039"/>
      <c r="D219" s="1039"/>
      <c r="E219" s="1039"/>
      <c r="F219" s="1039"/>
      <c r="G219" s="1039"/>
      <c r="H219" s="1039"/>
      <c r="I219" s="1039"/>
      <c r="J219" s="1039"/>
      <c r="K219" s="1039"/>
      <c r="L219" s="1039"/>
      <c r="M219" s="1039"/>
      <c r="N219" s="1039"/>
      <c r="O219" s="1039"/>
      <c r="P219" s="206"/>
      <c r="Q219" s="206"/>
      <c r="R219" s="206"/>
      <c r="S219" s="206"/>
      <c r="T219" s="206"/>
      <c r="U219" s="206"/>
      <c r="V219" s="206"/>
      <c r="W219" s="206"/>
      <c r="X219" s="206"/>
      <c r="Y219" s="206"/>
      <c r="Z219" s="206"/>
      <c r="AA219" s="206"/>
      <c r="AB219" s="206"/>
      <c r="AC219" s="206"/>
      <c r="AD219" s="206"/>
      <c r="AE219" s="206"/>
      <c r="AF219" s="206"/>
    </row>
    <row r="220" spans="1:33" x14ac:dyDescent="0.2">
      <c r="C220" s="6"/>
      <c r="D220" s="94"/>
      <c r="E220" s="6"/>
      <c r="F220" s="6"/>
      <c r="G220" s="6"/>
      <c r="H220" s="6"/>
      <c r="I220" s="6"/>
      <c r="J220" s="168"/>
      <c r="K220" s="168"/>
      <c r="L220" s="168"/>
      <c r="M220" s="168"/>
      <c r="N220" s="168"/>
      <c r="O220" s="169"/>
    </row>
    <row r="221" spans="1:33" s="217" customFormat="1" ht="20.100000000000001" customHeight="1" x14ac:dyDescent="0.2">
      <c r="A221" s="1400" t="s">
        <v>4248</v>
      </c>
      <c r="B221" s="72"/>
      <c r="C221" s="1058" t="str">
        <f>Scenario3&amp;" - % Reduction of FTEs &amp; Labor Cost from pSystems"</f>
        <v>eSystems (Paperless) - % Reduction of FTEs &amp; Labor Cost from pSystems</v>
      </c>
      <c r="D221" s="1058"/>
      <c r="E221" s="218"/>
      <c r="F221" s="218"/>
      <c r="G221" s="218"/>
      <c r="H221" s="218"/>
      <c r="I221" s="218"/>
      <c r="J221" s="218"/>
      <c r="K221" s="218"/>
      <c r="L221" s="218"/>
      <c r="M221" s="218"/>
      <c r="N221" s="218"/>
      <c r="O221" s="219"/>
      <c r="P221" s="219"/>
    </row>
    <row r="222" spans="1:33" s="203" customFormat="1" x14ac:dyDescent="0.2">
      <c r="A222" s="1407"/>
      <c r="B222" s="72"/>
      <c r="C222" s="204"/>
      <c r="D222" s="723"/>
      <c r="E222" s="210"/>
      <c r="F222" s="210"/>
      <c r="G222" s="210"/>
      <c r="H222" s="210"/>
      <c r="I222" s="210"/>
      <c r="J222" s="210"/>
      <c r="K222" s="210"/>
      <c r="L222" s="210"/>
      <c r="M222" s="210"/>
      <c r="N222" s="210"/>
    </row>
    <row r="223" spans="1:33" s="203" customFormat="1" ht="53.25" customHeight="1" x14ac:dyDescent="0.2">
      <c r="A223" s="1408"/>
      <c r="B223" s="72"/>
      <c r="C223" s="723"/>
      <c r="D223" s="723"/>
      <c r="E223" s="210"/>
      <c r="F223" s="210"/>
      <c r="G223" s="210"/>
      <c r="H223" s="210"/>
      <c r="I223" s="210"/>
      <c r="J223" s="210"/>
      <c r="K223" s="210"/>
      <c r="L223" s="210"/>
      <c r="M223" s="210"/>
      <c r="N223" s="210"/>
    </row>
    <row r="224" spans="1:33" x14ac:dyDescent="0.2">
      <c r="C224" s="6"/>
      <c r="D224" s="94"/>
      <c r="E224" s="6"/>
      <c r="F224" s="6"/>
      <c r="G224" s="6"/>
      <c r="H224" s="6"/>
      <c r="I224" s="6"/>
      <c r="J224" s="168"/>
      <c r="K224" s="168"/>
      <c r="L224" s="168"/>
      <c r="M224" s="168"/>
      <c r="N224" s="168"/>
      <c r="O224" s="169"/>
    </row>
    <row r="225" spans="1:33" s="33" customFormat="1" ht="11.1" hidden="1" customHeight="1" outlineLevel="1" thickBot="1" x14ac:dyDescent="0.6">
      <c r="C225" s="34"/>
      <c r="D225" s="177"/>
      <c r="E225" s="34"/>
      <c r="F225" s="34"/>
      <c r="G225" s="34"/>
      <c r="H225" s="34"/>
      <c r="I225" s="34"/>
      <c r="J225" s="34"/>
      <c r="K225" s="34"/>
      <c r="L225" s="34"/>
      <c r="M225" s="34"/>
      <c r="N225" s="34"/>
      <c r="O225" s="641"/>
      <c r="P225" s="34"/>
      <c r="Q225" s="34"/>
      <c r="R225" s="34"/>
      <c r="S225" s="34"/>
      <c r="T225" s="34"/>
      <c r="U225" s="34"/>
      <c r="V225" s="34"/>
      <c r="W225" s="34"/>
      <c r="X225" s="34"/>
      <c r="Y225" s="34"/>
      <c r="Z225" s="34"/>
      <c r="AA225" s="34"/>
      <c r="AB225" s="34"/>
      <c r="AC225" s="34"/>
      <c r="AD225" s="34"/>
      <c r="AE225" s="34"/>
      <c r="AF225" s="34"/>
    </row>
    <row r="226" spans="1:33" s="33" customFormat="1" ht="17.25" hidden="1" customHeight="1" outlineLevel="1" x14ac:dyDescent="0.55000000000000004">
      <c r="A226" s="1433" t="s">
        <v>4249</v>
      </c>
      <c r="C226" s="6"/>
      <c r="D226" s="237"/>
      <c r="E226" s="237"/>
      <c r="F226" s="237"/>
      <c r="G226" s="237"/>
      <c r="H226" s="237"/>
      <c r="I226" s="237"/>
      <c r="J226" s="237"/>
      <c r="K226" s="237"/>
      <c r="L226" s="237"/>
      <c r="M226" s="237"/>
      <c r="N226" s="237"/>
      <c r="O226" s="1059"/>
      <c r="P226" s="34"/>
      <c r="Q226" s="34"/>
      <c r="R226" s="34"/>
      <c r="S226" s="34"/>
      <c r="T226" s="34"/>
      <c r="U226" s="34"/>
      <c r="V226" s="34"/>
      <c r="W226" s="34"/>
      <c r="X226" s="34"/>
      <c r="Y226" s="34"/>
      <c r="Z226" s="34"/>
      <c r="AA226" s="34"/>
      <c r="AB226" s="34"/>
      <c r="AC226" s="34"/>
      <c r="AD226" s="34"/>
      <c r="AE226" s="34"/>
      <c r="AF226" s="34"/>
    </row>
    <row r="227" spans="1:33" customFormat="1" hidden="1" outlineLevel="1" x14ac:dyDescent="0.2">
      <c r="A227" s="1434"/>
      <c r="B227" s="63"/>
      <c r="C227" s="6"/>
      <c r="D227" s="1071" t="s">
        <v>3296</v>
      </c>
      <c r="E227" s="1065">
        <v>0</v>
      </c>
      <c r="F227" s="1065">
        <v>0</v>
      </c>
      <c r="G227" s="1065">
        <v>0</v>
      </c>
      <c r="H227" s="1065">
        <v>0</v>
      </c>
      <c r="I227" s="1065">
        <v>0</v>
      </c>
      <c r="J227" s="1065">
        <v>0</v>
      </c>
      <c r="K227" s="1065">
        <v>0</v>
      </c>
      <c r="L227" s="1065">
        <v>0</v>
      </c>
      <c r="M227" s="1065">
        <v>0</v>
      </c>
      <c r="N227" s="1065">
        <v>0</v>
      </c>
      <c r="O227" s="162" t="s">
        <v>3297</v>
      </c>
      <c r="P227" s="12"/>
      <c r="Q227" s="12"/>
      <c r="R227" s="12"/>
      <c r="S227" s="12"/>
      <c r="T227" s="12"/>
      <c r="U227" s="12"/>
      <c r="V227" s="12"/>
      <c r="W227" s="12"/>
      <c r="X227" s="12"/>
      <c r="Y227" s="12"/>
      <c r="Z227" s="12"/>
      <c r="AA227" s="12"/>
      <c r="AB227" s="12"/>
      <c r="AC227" s="12"/>
      <c r="AD227" s="12"/>
      <c r="AE227" s="12"/>
      <c r="AF227" s="12"/>
      <c r="AG227" s="18"/>
    </row>
    <row r="228" spans="1:33" customFormat="1" hidden="1" outlineLevel="1" x14ac:dyDescent="0.2">
      <c r="A228" s="1434"/>
      <c r="B228" s="63"/>
      <c r="C228" s="6"/>
      <c r="D228" s="1071" t="s">
        <v>3298</v>
      </c>
      <c r="E228" s="1065">
        <v>0.1</v>
      </c>
      <c r="F228" s="1065">
        <v>0.1</v>
      </c>
      <c r="G228" s="1065">
        <v>0.1</v>
      </c>
      <c r="H228" s="1065">
        <v>0.1</v>
      </c>
      <c r="I228" s="1065">
        <v>0.1</v>
      </c>
      <c r="J228" s="1065">
        <v>0.1</v>
      </c>
      <c r="K228" s="1065">
        <v>0.1</v>
      </c>
      <c r="L228" s="1065">
        <v>0.1</v>
      </c>
      <c r="M228" s="1065">
        <v>0.1</v>
      </c>
      <c r="N228" s="1065">
        <v>0.1</v>
      </c>
      <c r="O228" s="162" t="s">
        <v>3299</v>
      </c>
      <c r="P228" s="12"/>
      <c r="Q228" s="12"/>
      <c r="R228" s="12"/>
      <c r="S228" s="12"/>
      <c r="T228" s="12"/>
      <c r="U228" s="12"/>
      <c r="V228" s="12"/>
      <c r="W228" s="12"/>
      <c r="X228" s="12"/>
      <c r="Y228" s="12"/>
      <c r="Z228" s="12"/>
      <c r="AA228" s="12"/>
      <c r="AB228" s="12"/>
      <c r="AC228" s="12"/>
      <c r="AD228" s="12"/>
      <c r="AE228" s="12"/>
      <c r="AF228" s="12"/>
      <c r="AG228" s="18"/>
    </row>
    <row r="229" spans="1:33" customFormat="1" hidden="1" outlineLevel="1" x14ac:dyDescent="0.2">
      <c r="A229" s="1434"/>
      <c r="B229" s="63"/>
      <c r="C229" s="6"/>
      <c r="D229" s="1071" t="s">
        <v>3300</v>
      </c>
      <c r="E229" s="1065">
        <v>0.15</v>
      </c>
      <c r="F229" s="1065">
        <v>0.15</v>
      </c>
      <c r="G229" s="1065">
        <v>0.15</v>
      </c>
      <c r="H229" s="1065">
        <v>0.15</v>
      </c>
      <c r="I229" s="1065">
        <v>0.15</v>
      </c>
      <c r="J229" s="1065">
        <v>0.15</v>
      </c>
      <c r="K229" s="1065">
        <v>0.15</v>
      </c>
      <c r="L229" s="1065">
        <v>0.15</v>
      </c>
      <c r="M229" s="1065">
        <v>0.15</v>
      </c>
      <c r="N229" s="1065">
        <v>0.15</v>
      </c>
      <c r="O229" s="162" t="s">
        <v>3301</v>
      </c>
      <c r="P229" s="12"/>
      <c r="Q229" s="12"/>
      <c r="R229" s="12"/>
      <c r="S229" s="12"/>
      <c r="T229" s="12"/>
      <c r="U229" s="12"/>
      <c r="V229" s="12"/>
      <c r="W229" s="12"/>
      <c r="X229" s="12"/>
      <c r="Y229" s="12"/>
      <c r="Z229" s="12"/>
      <c r="AA229" s="12"/>
      <c r="AB229" s="12"/>
      <c r="AC229" s="12"/>
      <c r="AD229" s="12"/>
      <c r="AE229" s="12"/>
      <c r="AF229" s="12"/>
      <c r="AG229" s="18"/>
    </row>
    <row r="230" spans="1:33" s="8" customFormat="1" hidden="1" outlineLevel="1" x14ac:dyDescent="0.2">
      <c r="A230" s="1434"/>
      <c r="B230" s="65"/>
      <c r="C230" s="98"/>
      <c r="D230" s="1072"/>
      <c r="E230" s="606"/>
      <c r="F230" s="606"/>
      <c r="G230" s="606"/>
      <c r="H230" s="606"/>
      <c r="I230" s="606"/>
      <c r="J230" s="606"/>
      <c r="K230" s="606"/>
      <c r="L230" s="606"/>
      <c r="M230" s="606"/>
      <c r="N230" s="606"/>
      <c r="O230" s="162"/>
      <c r="P230" s="23"/>
      <c r="Q230" s="23"/>
      <c r="R230" s="23"/>
      <c r="S230" s="23"/>
      <c r="T230" s="23"/>
      <c r="U230" s="23"/>
      <c r="V230" s="23"/>
      <c r="W230" s="23"/>
      <c r="X230" s="23"/>
      <c r="Y230" s="23"/>
      <c r="Z230" s="23"/>
      <c r="AA230" s="23"/>
      <c r="AB230" s="23"/>
      <c r="AC230" s="23"/>
      <c r="AD230" s="23"/>
      <c r="AE230" s="23"/>
      <c r="AF230" s="23"/>
      <c r="AG230" s="17"/>
    </row>
    <row r="231" spans="1:33" customFormat="1" ht="12" hidden="1" customHeight="1" outlineLevel="1" x14ac:dyDescent="0.2">
      <c r="A231" s="1434"/>
      <c r="B231" s="63"/>
      <c r="C231" s="13"/>
      <c r="D231" s="1073" t="s">
        <v>3302</v>
      </c>
      <c r="E231" s="1066">
        <f t="shared" ref="E231:N231" si="44">(1-eSystemsFTEPercentReductionWorstCaseHM)*pSystemsFTE_HM</f>
        <v>1000</v>
      </c>
      <c r="F231" s="1066">
        <f t="shared" si="44"/>
        <v>1000</v>
      </c>
      <c r="G231" s="1066">
        <f t="shared" si="44"/>
        <v>1000</v>
      </c>
      <c r="H231" s="1066">
        <f t="shared" si="44"/>
        <v>1000</v>
      </c>
      <c r="I231" s="1066">
        <f t="shared" si="44"/>
        <v>1000</v>
      </c>
      <c r="J231" s="1066">
        <f t="shared" si="44"/>
        <v>1000</v>
      </c>
      <c r="K231" s="1066">
        <f t="shared" si="44"/>
        <v>1000</v>
      </c>
      <c r="L231" s="1066">
        <f t="shared" si="44"/>
        <v>1000</v>
      </c>
      <c r="M231" s="1066">
        <f t="shared" si="44"/>
        <v>1000</v>
      </c>
      <c r="N231" s="1066">
        <f t="shared" si="44"/>
        <v>1000</v>
      </c>
      <c r="O231" s="162" t="s">
        <v>3303</v>
      </c>
      <c r="P231" s="12"/>
      <c r="Q231" s="12"/>
      <c r="R231" s="12"/>
      <c r="S231" s="12"/>
      <c r="T231" s="12"/>
      <c r="U231" s="12"/>
      <c r="V231" s="12"/>
      <c r="W231" s="12"/>
      <c r="X231" s="12"/>
      <c r="Y231" s="12"/>
      <c r="Z231" s="12"/>
      <c r="AA231" s="12"/>
      <c r="AB231" s="12"/>
      <c r="AC231" s="12"/>
      <c r="AD231" s="12"/>
      <c r="AE231" s="12"/>
      <c r="AF231" s="12"/>
      <c r="AG231" s="18"/>
    </row>
    <row r="232" spans="1:33" customFormat="1" ht="12" hidden="1" customHeight="1" outlineLevel="1" x14ac:dyDescent="0.2">
      <c r="A232" s="1434"/>
      <c r="B232" s="63"/>
      <c r="C232" s="13"/>
      <c r="D232" s="1073" t="s">
        <v>3304</v>
      </c>
      <c r="E232" s="1066">
        <f t="shared" ref="E232:N232" si="45">(1-eSystemsFTEPercentReductionMostLikelyHM)*pSystemsFTE_HM</f>
        <v>900</v>
      </c>
      <c r="F232" s="1066">
        <f t="shared" si="45"/>
        <v>900</v>
      </c>
      <c r="G232" s="1066">
        <f t="shared" si="45"/>
        <v>900</v>
      </c>
      <c r="H232" s="1066">
        <f t="shared" si="45"/>
        <v>900</v>
      </c>
      <c r="I232" s="1066">
        <f t="shared" si="45"/>
        <v>900</v>
      </c>
      <c r="J232" s="1066">
        <f t="shared" si="45"/>
        <v>900</v>
      </c>
      <c r="K232" s="1066">
        <f t="shared" si="45"/>
        <v>900</v>
      </c>
      <c r="L232" s="1066">
        <f t="shared" si="45"/>
        <v>900</v>
      </c>
      <c r="M232" s="1066">
        <f t="shared" si="45"/>
        <v>900</v>
      </c>
      <c r="N232" s="1066">
        <f t="shared" si="45"/>
        <v>900</v>
      </c>
      <c r="O232" s="162" t="s">
        <v>3305</v>
      </c>
      <c r="P232" s="12"/>
      <c r="Q232" s="12"/>
      <c r="R232" s="12"/>
      <c r="S232" s="12"/>
      <c r="T232" s="12"/>
      <c r="U232" s="12"/>
      <c r="V232" s="12"/>
      <c r="W232" s="12"/>
      <c r="X232" s="12"/>
      <c r="Y232" s="12"/>
      <c r="Z232" s="12"/>
      <c r="AA232" s="12"/>
      <c r="AB232" s="12"/>
      <c r="AC232" s="12"/>
      <c r="AD232" s="12"/>
      <c r="AE232" s="12"/>
      <c r="AF232" s="12"/>
      <c r="AG232" s="18"/>
    </row>
    <row r="233" spans="1:33" customFormat="1" ht="12" hidden="1" customHeight="1" outlineLevel="1" x14ac:dyDescent="0.2">
      <c r="A233" s="1434"/>
      <c r="B233" s="63"/>
      <c r="C233" s="13"/>
      <c r="D233" s="1073" t="s">
        <v>3306</v>
      </c>
      <c r="E233" s="1066">
        <f t="shared" ref="E233:N233" si="46">(1-eSystemsFTEPercentReductionBestCaseHM)*pSystemsFTE_HM</f>
        <v>850</v>
      </c>
      <c r="F233" s="1066">
        <f t="shared" si="46"/>
        <v>850</v>
      </c>
      <c r="G233" s="1066">
        <f t="shared" si="46"/>
        <v>850</v>
      </c>
      <c r="H233" s="1066">
        <f t="shared" si="46"/>
        <v>850</v>
      </c>
      <c r="I233" s="1066">
        <f t="shared" si="46"/>
        <v>850</v>
      </c>
      <c r="J233" s="1066">
        <f t="shared" si="46"/>
        <v>850</v>
      </c>
      <c r="K233" s="1066">
        <f t="shared" si="46"/>
        <v>850</v>
      </c>
      <c r="L233" s="1066">
        <f t="shared" si="46"/>
        <v>850</v>
      </c>
      <c r="M233" s="1066">
        <f t="shared" si="46"/>
        <v>850</v>
      </c>
      <c r="N233" s="1066">
        <f t="shared" si="46"/>
        <v>850</v>
      </c>
      <c r="O233" s="162" t="s">
        <v>3307</v>
      </c>
      <c r="P233" s="12"/>
      <c r="Q233" s="12"/>
      <c r="R233" s="12"/>
      <c r="S233" s="12"/>
      <c r="T233" s="12"/>
      <c r="U233" s="12"/>
      <c r="V233" s="12"/>
      <c r="W233" s="12"/>
      <c r="X233" s="12"/>
      <c r="Y233" s="12"/>
      <c r="Z233" s="12"/>
      <c r="AA233" s="12"/>
      <c r="AB233" s="12"/>
      <c r="AC233" s="12"/>
      <c r="AD233" s="12"/>
      <c r="AE233" s="12"/>
      <c r="AF233" s="12"/>
      <c r="AG233" s="18"/>
    </row>
    <row r="234" spans="1:33" s="8" customFormat="1" ht="12" hidden="1" customHeight="1" outlineLevel="1" x14ac:dyDescent="0.2">
      <c r="A234" s="1434"/>
      <c r="B234" s="65"/>
      <c r="C234" s="50"/>
      <c r="D234" s="1074"/>
      <c r="E234" s="440"/>
      <c r="F234" s="440"/>
      <c r="G234" s="440"/>
      <c r="H234" s="440"/>
      <c r="I234" s="440"/>
      <c r="J234" s="440"/>
      <c r="K234" s="440"/>
      <c r="L234" s="440"/>
      <c r="M234" s="440"/>
      <c r="N234" s="440"/>
      <c r="O234" s="1067"/>
      <c r="P234" s="23"/>
      <c r="Q234" s="23"/>
      <c r="R234" s="23"/>
      <c r="S234" s="23"/>
      <c r="T234" s="23"/>
      <c r="U234" s="23"/>
      <c r="V234" s="23"/>
      <c r="W234" s="23"/>
      <c r="X234" s="23"/>
      <c r="Y234" s="23"/>
      <c r="Z234" s="23"/>
      <c r="AA234" s="23"/>
      <c r="AB234" s="23"/>
      <c r="AC234" s="23"/>
      <c r="AD234" s="23"/>
      <c r="AE234" s="23"/>
      <c r="AF234" s="23"/>
      <c r="AG234" s="17"/>
    </row>
    <row r="235" spans="1:33" customFormat="1" ht="12" hidden="1" customHeight="1" outlineLevel="1" x14ac:dyDescent="0.2">
      <c r="A235" s="1434"/>
      <c r="B235" s="63"/>
      <c r="C235" s="13"/>
      <c r="D235" s="1073" t="s">
        <v>3308</v>
      </c>
      <c r="E235" s="602">
        <f>(AnnualBurdenedSalaryHM*eSystemsFTECalcResultWorstCaseHM)</f>
        <v>111500000</v>
      </c>
      <c r="F235" s="602">
        <f>(AnnualBurdenedSalaryHM*eSystemsFTECalcResultWorstCaseHM)*(1+Inflation)</f>
        <v>113730000</v>
      </c>
      <c r="G235" s="602">
        <f>(AnnualBurdenedSalaryHM*eSystemsFTECalcResultWorstCaseHM)*(1+Inflation)^2</f>
        <v>116004600</v>
      </c>
      <c r="H235" s="602">
        <f>(AnnualBurdenedSalaryHM*eSystemsFTECalcResultWorstCaseHM)*(1+Inflation)^3</f>
        <v>118324691.99999999</v>
      </c>
      <c r="I235" s="602">
        <f>(AnnualBurdenedSalaryHM*eSystemsFTECalcResultWorstCaseHM)*(1+Inflation)^4</f>
        <v>120691185.84</v>
      </c>
      <c r="J235" s="602">
        <f>(AnnualBurdenedSalaryHM*eSystemsFTECalcResultWorstCaseHM)*(1+Inflation)^5</f>
        <v>123105009.55680001</v>
      </c>
      <c r="K235" s="602">
        <f>(AnnualBurdenedSalaryHM*eSystemsFTECalcResultWorstCaseHM)*(1+Inflation)^6</f>
        <v>125567109.74793601</v>
      </c>
      <c r="L235" s="602">
        <f>(AnnualBurdenedSalaryHM*eSystemsFTECalcResultWorstCaseHM)*(1+Inflation)^7</f>
        <v>128078451.9428947</v>
      </c>
      <c r="M235" s="602">
        <f>(AnnualBurdenedSalaryHM*eSystemsFTECalcResultWorstCaseHM)*(1+Inflation)^8</f>
        <v>130640020.9817526</v>
      </c>
      <c r="N235" s="602">
        <f>(AnnualBurdenedSalaryHM*eSystemsFTECalcResultWorstCaseHM)*(1+Inflation)^9</f>
        <v>133252821.40138766</v>
      </c>
      <c r="O235" s="162" t="s">
        <v>3309</v>
      </c>
      <c r="P235" s="12"/>
      <c r="Q235" s="12"/>
      <c r="R235" s="12"/>
      <c r="S235" s="12"/>
      <c r="T235" s="12"/>
      <c r="U235" s="12"/>
      <c r="V235" s="12"/>
      <c r="W235" s="12"/>
      <c r="X235" s="12"/>
      <c r="Y235" s="12"/>
      <c r="Z235" s="12"/>
      <c r="AA235" s="12"/>
      <c r="AB235" s="12"/>
      <c r="AC235" s="12"/>
      <c r="AD235" s="12"/>
      <c r="AE235" s="12"/>
      <c r="AF235" s="12"/>
      <c r="AG235" s="18"/>
    </row>
    <row r="236" spans="1:33" customFormat="1" ht="12" hidden="1" customHeight="1" outlineLevel="1" x14ac:dyDescent="0.2">
      <c r="A236" s="1434"/>
      <c r="B236" s="63"/>
      <c r="C236" s="13"/>
      <c r="D236" s="1073" t="s">
        <v>3310</v>
      </c>
      <c r="E236" s="602">
        <f>(AnnualBurdenedSalaryHM*eSystemsFTECalcResultMostLikelyHM)</f>
        <v>100350000</v>
      </c>
      <c r="F236" s="602">
        <f>(AnnualBurdenedSalaryHM*eSystemsFTECalcResultMostLikelyHM)*(1+Inflation)</f>
        <v>102357000</v>
      </c>
      <c r="G236" s="602">
        <f>(AnnualBurdenedSalaryHM*eSystemsFTECalcResultMostLikelyHM)*(1+Inflation)^2</f>
        <v>104404140</v>
      </c>
      <c r="H236" s="602">
        <f>(AnnualBurdenedSalaryHM*eSystemsFTECalcResultMostLikelyHM)*(1+Inflation)^3</f>
        <v>106492222.8</v>
      </c>
      <c r="I236" s="602">
        <f>(AnnualBurdenedSalaryHM*eSystemsFTECalcResultMostLikelyHM)*(1+Inflation)^4</f>
        <v>108622067.256</v>
      </c>
      <c r="J236" s="602">
        <f>(AnnualBurdenedSalaryHM*eSystemsFTECalcResultMostLikelyHM)*(1+Inflation)^5</f>
        <v>110794508.60112</v>
      </c>
      <c r="K236" s="602">
        <f>(AnnualBurdenedSalaryHM*eSystemsFTECalcResultMostLikelyHM)*(1+Inflation)^6</f>
        <v>113010398.77314241</v>
      </c>
      <c r="L236" s="602">
        <f>(AnnualBurdenedSalaryHM*eSystemsFTECalcResultMostLikelyHM)*(1+Inflation)^7</f>
        <v>115270606.74860524</v>
      </c>
      <c r="M236" s="602">
        <f>(AnnualBurdenedSalaryHM*eSystemsFTECalcResultMostLikelyHM)*(1+Inflation)^8</f>
        <v>117576018.88357735</v>
      </c>
      <c r="N236" s="602">
        <f>(AnnualBurdenedSalaryHM*eSystemsFTECalcResultMostLikelyHM)*(1+Inflation)^9</f>
        <v>119927539.26124889</v>
      </c>
      <c r="O236" s="162" t="s">
        <v>3311</v>
      </c>
      <c r="P236" s="12"/>
      <c r="Q236" s="12"/>
      <c r="R236" s="12"/>
      <c r="S236" s="12"/>
      <c r="T236" s="12"/>
      <c r="U236" s="12"/>
      <c r="V236" s="12"/>
      <c r="W236" s="12"/>
      <c r="X236" s="12"/>
      <c r="Y236" s="12"/>
      <c r="Z236" s="12"/>
      <c r="AA236" s="12"/>
      <c r="AB236" s="12"/>
      <c r="AC236" s="12"/>
      <c r="AD236" s="12"/>
      <c r="AE236" s="12"/>
      <c r="AF236" s="12"/>
      <c r="AG236" s="18"/>
    </row>
    <row r="237" spans="1:33" customFormat="1" ht="12" hidden="1" customHeight="1" outlineLevel="1" x14ac:dyDescent="0.2">
      <c r="A237" s="1434"/>
      <c r="B237" s="63"/>
      <c r="C237" s="13"/>
      <c r="D237" s="1073" t="s">
        <v>3312</v>
      </c>
      <c r="E237" s="602">
        <f>(AnnualBurdenedSalaryHM*eSystemsFTECalcResultBestCaseHM)</f>
        <v>94775000</v>
      </c>
      <c r="F237" s="602">
        <f>(AnnualBurdenedSalaryHM*eSystemsFTECalcResultBestCaseHM)*(1+Inflation)</f>
        <v>96670500</v>
      </c>
      <c r="G237" s="602">
        <f>(AnnualBurdenedSalaryHM*eSystemsFTECalcResultBestCaseHM)*(1+Inflation)^2</f>
        <v>98603910</v>
      </c>
      <c r="H237" s="602">
        <f>(AnnualBurdenedSalaryHM*eSystemsFTECalcResultBestCaseHM)*(1+Inflation)^3</f>
        <v>100575988.19999999</v>
      </c>
      <c r="I237" s="602">
        <f>(AnnualBurdenedSalaryHM*eSystemsFTECalcResultBestCaseHM)*(1+Inflation)^4</f>
        <v>102587507.964</v>
      </c>
      <c r="J237" s="602">
        <f>(AnnualBurdenedSalaryHM*eSystemsFTECalcResultBestCaseHM)*(1+Inflation)^5</f>
        <v>104639258.12328</v>
      </c>
      <c r="K237" s="602">
        <f>(AnnualBurdenedSalaryHM*eSystemsFTECalcResultBestCaseHM)*(1+Inflation)^6</f>
        <v>106732043.28574561</v>
      </c>
      <c r="L237" s="602">
        <f>(AnnualBurdenedSalaryHM*eSystemsFTECalcResultBestCaseHM)*(1+Inflation)^7</f>
        <v>108866684.1514605</v>
      </c>
      <c r="M237" s="602">
        <f>(AnnualBurdenedSalaryHM*eSystemsFTECalcResultBestCaseHM)*(1+Inflation)^8</f>
        <v>111044017.83448972</v>
      </c>
      <c r="N237" s="602">
        <f>(AnnualBurdenedSalaryHM*eSystemsFTECalcResultBestCaseHM)*(1+Inflation)^9</f>
        <v>113264898.19117951</v>
      </c>
      <c r="O237" s="162" t="s">
        <v>3313</v>
      </c>
      <c r="P237" s="12"/>
      <c r="Q237" s="12"/>
      <c r="R237" s="12"/>
      <c r="S237" s="12"/>
      <c r="T237" s="12"/>
      <c r="U237" s="12"/>
      <c r="V237" s="12"/>
      <c r="W237" s="12"/>
      <c r="X237" s="12"/>
      <c r="Y237" s="12"/>
      <c r="Z237" s="12"/>
      <c r="AA237" s="12"/>
      <c r="AB237" s="12"/>
      <c r="AC237" s="12"/>
      <c r="AD237" s="12"/>
      <c r="AE237" s="12"/>
      <c r="AF237" s="12"/>
      <c r="AG237" s="18"/>
    </row>
    <row r="238" spans="1:33" s="8" customFormat="1" ht="12" hidden="1" customHeight="1" outlineLevel="1" x14ac:dyDescent="0.2">
      <c r="A238" s="1434"/>
      <c r="B238" s="65"/>
      <c r="C238" s="50"/>
      <c r="D238" s="1074"/>
      <c r="E238" s="440"/>
      <c r="F238" s="440"/>
      <c r="G238" s="440"/>
      <c r="H238" s="440"/>
      <c r="I238" s="440"/>
      <c r="J238" s="440"/>
      <c r="K238" s="440"/>
      <c r="L238" s="440"/>
      <c r="M238" s="440"/>
      <c r="N238" s="440"/>
      <c r="O238" s="1067"/>
      <c r="P238" s="23"/>
      <c r="Q238" s="23"/>
      <c r="R238" s="23"/>
      <c r="S238" s="23"/>
      <c r="T238" s="23"/>
      <c r="U238" s="23"/>
      <c r="V238" s="23"/>
      <c r="W238" s="23"/>
      <c r="X238" s="23"/>
      <c r="Y238" s="23"/>
      <c r="Z238" s="23"/>
      <c r="AA238" s="23"/>
      <c r="AB238" s="23"/>
      <c r="AC238" s="23"/>
      <c r="AD238" s="23"/>
      <c r="AE238" s="23"/>
      <c r="AF238" s="23"/>
      <c r="AG238" s="17"/>
    </row>
    <row r="239" spans="1:33" customFormat="1" hidden="1" outlineLevel="1" x14ac:dyDescent="0.2">
      <c r="A239" s="1434"/>
      <c r="B239" s="63"/>
      <c r="C239" s="6"/>
      <c r="D239" s="1071" t="s">
        <v>3314</v>
      </c>
      <c r="E239" s="1065">
        <v>0</v>
      </c>
      <c r="F239" s="1065">
        <v>0</v>
      </c>
      <c r="G239" s="1065">
        <v>0</v>
      </c>
      <c r="H239" s="1065">
        <v>0</v>
      </c>
      <c r="I239" s="1065">
        <v>0</v>
      </c>
      <c r="J239" s="1065">
        <v>0</v>
      </c>
      <c r="K239" s="1065">
        <v>0</v>
      </c>
      <c r="L239" s="1065">
        <v>0</v>
      </c>
      <c r="M239" s="1065">
        <v>0</v>
      </c>
      <c r="N239" s="1065">
        <v>0</v>
      </c>
      <c r="O239" s="162" t="s">
        <v>3315</v>
      </c>
      <c r="P239" s="12"/>
      <c r="Q239" s="12"/>
      <c r="R239" s="12"/>
      <c r="S239" s="12"/>
      <c r="T239" s="12"/>
      <c r="U239" s="12"/>
      <c r="V239" s="12"/>
      <c r="W239" s="12"/>
      <c r="X239" s="12"/>
      <c r="Y239" s="12"/>
      <c r="Z239" s="12"/>
      <c r="AA239" s="12"/>
      <c r="AB239" s="12"/>
      <c r="AC239" s="12"/>
      <c r="AD239" s="12"/>
      <c r="AE239" s="12"/>
      <c r="AF239" s="12"/>
      <c r="AG239" s="18"/>
    </row>
    <row r="240" spans="1:33" customFormat="1" hidden="1" outlineLevel="1" x14ac:dyDescent="0.2">
      <c r="A240" s="1434"/>
      <c r="B240" s="63"/>
      <c r="C240" s="6"/>
      <c r="D240" s="1071" t="s">
        <v>3316</v>
      </c>
      <c r="E240" s="1065">
        <v>0.1</v>
      </c>
      <c r="F240" s="1065">
        <v>0.1</v>
      </c>
      <c r="G240" s="1065">
        <v>0.1</v>
      </c>
      <c r="H240" s="1065">
        <v>0.1</v>
      </c>
      <c r="I240" s="1065">
        <v>0.1</v>
      </c>
      <c r="J240" s="1065">
        <v>0.1</v>
      </c>
      <c r="K240" s="1065">
        <v>0.1</v>
      </c>
      <c r="L240" s="1065">
        <v>0.1</v>
      </c>
      <c r="M240" s="1065">
        <v>0.1</v>
      </c>
      <c r="N240" s="1065">
        <v>0.1</v>
      </c>
      <c r="O240" s="162" t="s">
        <v>3317</v>
      </c>
      <c r="P240" s="12"/>
      <c r="Q240" s="12"/>
      <c r="R240" s="12"/>
      <c r="S240" s="12"/>
      <c r="T240" s="12"/>
      <c r="U240" s="12"/>
      <c r="V240" s="12"/>
      <c r="W240" s="12"/>
      <c r="X240" s="12"/>
      <c r="Y240" s="12"/>
      <c r="Z240" s="12"/>
      <c r="AA240" s="12"/>
      <c r="AB240" s="12"/>
      <c r="AC240" s="12"/>
      <c r="AD240" s="12"/>
      <c r="AE240" s="12"/>
      <c r="AF240" s="12"/>
      <c r="AG240" s="18"/>
    </row>
    <row r="241" spans="1:33" customFormat="1" hidden="1" outlineLevel="1" x14ac:dyDescent="0.2">
      <c r="A241" s="1434"/>
      <c r="B241" s="63"/>
      <c r="C241" s="6"/>
      <c r="D241" s="1071" t="s">
        <v>3318</v>
      </c>
      <c r="E241" s="1065">
        <v>0.15</v>
      </c>
      <c r="F241" s="1065">
        <v>0.15</v>
      </c>
      <c r="G241" s="1065">
        <v>0.15</v>
      </c>
      <c r="H241" s="1065">
        <v>0.15</v>
      </c>
      <c r="I241" s="1065">
        <v>0.15</v>
      </c>
      <c r="J241" s="1065">
        <v>0.15</v>
      </c>
      <c r="K241" s="1065">
        <v>0.15</v>
      </c>
      <c r="L241" s="1065">
        <v>0.15</v>
      </c>
      <c r="M241" s="1065">
        <v>0.15</v>
      </c>
      <c r="N241" s="1065">
        <v>0.15</v>
      </c>
      <c r="O241" s="162" t="s">
        <v>3319</v>
      </c>
      <c r="P241" s="12"/>
      <c r="Q241" s="12"/>
      <c r="R241" s="12"/>
      <c r="S241" s="12"/>
      <c r="T241" s="12"/>
      <c r="U241" s="12"/>
      <c r="V241" s="12"/>
      <c r="W241" s="12"/>
      <c r="X241" s="12"/>
      <c r="Y241" s="12"/>
      <c r="Z241" s="12"/>
      <c r="AA241" s="12"/>
      <c r="AB241" s="12"/>
      <c r="AC241" s="12"/>
      <c r="AD241" s="12"/>
      <c r="AE241" s="12"/>
      <c r="AF241" s="12"/>
      <c r="AG241" s="18"/>
    </row>
    <row r="242" spans="1:33" s="8" customFormat="1" hidden="1" outlineLevel="1" x14ac:dyDescent="0.2">
      <c r="A242" s="1434"/>
      <c r="B242" s="65"/>
      <c r="C242" s="98"/>
      <c r="D242" s="1072"/>
      <c r="E242" s="606"/>
      <c r="F242" s="606"/>
      <c r="G242" s="606"/>
      <c r="H242" s="606"/>
      <c r="I242" s="606"/>
      <c r="J242" s="606"/>
      <c r="K242" s="606"/>
      <c r="L242" s="606"/>
      <c r="M242" s="606"/>
      <c r="N242" s="606"/>
      <c r="O242" s="162"/>
      <c r="P242" s="23"/>
      <c r="Q242" s="23"/>
      <c r="R242" s="23"/>
      <c r="S242" s="23"/>
      <c r="T242" s="23"/>
      <c r="U242" s="23"/>
      <c r="V242" s="23"/>
      <c r="W242" s="23"/>
      <c r="X242" s="23"/>
      <c r="Y242" s="23"/>
      <c r="Z242" s="23"/>
      <c r="AA242" s="23"/>
      <c r="AB242" s="23"/>
      <c r="AC242" s="23"/>
      <c r="AD242" s="23"/>
      <c r="AE242" s="23"/>
      <c r="AF242" s="23"/>
      <c r="AG242" s="17"/>
    </row>
    <row r="243" spans="1:33" customFormat="1" ht="12" hidden="1" customHeight="1" outlineLevel="1" x14ac:dyDescent="0.2">
      <c r="A243" s="1434"/>
      <c r="B243" s="63"/>
      <c r="C243" s="13"/>
      <c r="D243" s="1073" t="s">
        <v>3320</v>
      </c>
      <c r="E243" s="1066">
        <f t="shared" ref="E243:N243" si="47">(1-eSystemsFTEPercentReductionWorstCaseLM)*pSystemsFTE_LM</f>
        <v>1500</v>
      </c>
      <c r="F243" s="1066">
        <f t="shared" si="47"/>
        <v>1500</v>
      </c>
      <c r="G243" s="1066">
        <f t="shared" si="47"/>
        <v>1500</v>
      </c>
      <c r="H243" s="1066">
        <f t="shared" si="47"/>
        <v>1500</v>
      </c>
      <c r="I243" s="1066">
        <f t="shared" si="47"/>
        <v>1500</v>
      </c>
      <c r="J243" s="1066">
        <f t="shared" si="47"/>
        <v>1500</v>
      </c>
      <c r="K243" s="1066">
        <f t="shared" si="47"/>
        <v>1500</v>
      </c>
      <c r="L243" s="1066">
        <f t="shared" si="47"/>
        <v>1500</v>
      </c>
      <c r="M243" s="1066">
        <f t="shared" si="47"/>
        <v>1500</v>
      </c>
      <c r="N243" s="1066">
        <f t="shared" si="47"/>
        <v>1500</v>
      </c>
      <c r="O243" s="162" t="s">
        <v>3321</v>
      </c>
      <c r="P243" s="12"/>
      <c r="Q243" s="12"/>
      <c r="R243" s="12"/>
      <c r="S243" s="12"/>
      <c r="T243" s="12"/>
      <c r="U243" s="12"/>
      <c r="V243" s="12"/>
      <c r="W243" s="12"/>
      <c r="X243" s="12"/>
      <c r="Y243" s="12"/>
      <c r="Z243" s="12"/>
      <c r="AA243" s="12"/>
      <c r="AB243" s="12"/>
      <c r="AC243" s="12"/>
      <c r="AD243" s="12"/>
      <c r="AE243" s="12"/>
      <c r="AF243" s="12"/>
      <c r="AG243" s="18"/>
    </row>
    <row r="244" spans="1:33" customFormat="1" ht="12" hidden="1" customHeight="1" outlineLevel="1" x14ac:dyDescent="0.2">
      <c r="A244" s="1434"/>
      <c r="B244" s="63"/>
      <c r="C244" s="13"/>
      <c r="D244" s="1073" t="s">
        <v>3322</v>
      </c>
      <c r="E244" s="1066">
        <f t="shared" ref="E244:N244" si="48">(1-eSystemsFTEPercentReductionMostLikelyLM)*pSystemsFTE_LM</f>
        <v>1350</v>
      </c>
      <c r="F244" s="1066">
        <f t="shared" si="48"/>
        <v>1350</v>
      </c>
      <c r="G244" s="1066">
        <f t="shared" si="48"/>
        <v>1350</v>
      </c>
      <c r="H244" s="1066">
        <f t="shared" si="48"/>
        <v>1350</v>
      </c>
      <c r="I244" s="1066">
        <f t="shared" si="48"/>
        <v>1350</v>
      </c>
      <c r="J244" s="1066">
        <f t="shared" si="48"/>
        <v>1350</v>
      </c>
      <c r="K244" s="1066">
        <f t="shared" si="48"/>
        <v>1350</v>
      </c>
      <c r="L244" s="1066">
        <f t="shared" si="48"/>
        <v>1350</v>
      </c>
      <c r="M244" s="1066">
        <f t="shared" si="48"/>
        <v>1350</v>
      </c>
      <c r="N244" s="1066">
        <f t="shared" si="48"/>
        <v>1350</v>
      </c>
      <c r="O244" s="162" t="s">
        <v>3323</v>
      </c>
      <c r="P244" s="12"/>
      <c r="Q244" s="12"/>
      <c r="R244" s="12"/>
      <c r="S244" s="12"/>
      <c r="T244" s="12"/>
      <c r="U244" s="12"/>
      <c r="V244" s="12"/>
      <c r="W244" s="12"/>
      <c r="X244" s="12"/>
      <c r="Y244" s="12"/>
      <c r="Z244" s="12"/>
      <c r="AA244" s="12"/>
      <c r="AB244" s="12"/>
      <c r="AC244" s="12"/>
      <c r="AD244" s="12"/>
      <c r="AE244" s="12"/>
      <c r="AF244" s="12"/>
      <c r="AG244" s="18"/>
    </row>
    <row r="245" spans="1:33" customFormat="1" ht="12" hidden="1" customHeight="1" outlineLevel="1" x14ac:dyDescent="0.2">
      <c r="A245" s="1434"/>
      <c r="B245" s="63"/>
      <c r="C245" s="13"/>
      <c r="D245" s="1073" t="s">
        <v>3324</v>
      </c>
      <c r="E245" s="1066">
        <f t="shared" ref="E245:N245" si="49">(1-eSystemsFTEPercentReductionBestCaseLM)*pSystemsFTE_LM</f>
        <v>1275</v>
      </c>
      <c r="F245" s="1066">
        <f t="shared" si="49"/>
        <v>1275</v>
      </c>
      <c r="G245" s="1066">
        <f t="shared" si="49"/>
        <v>1275</v>
      </c>
      <c r="H245" s="1066">
        <f t="shared" si="49"/>
        <v>1275</v>
      </c>
      <c r="I245" s="1066">
        <f t="shared" si="49"/>
        <v>1275</v>
      </c>
      <c r="J245" s="1066">
        <f t="shared" si="49"/>
        <v>1275</v>
      </c>
      <c r="K245" s="1066">
        <f t="shared" si="49"/>
        <v>1275</v>
      </c>
      <c r="L245" s="1066">
        <f t="shared" si="49"/>
        <v>1275</v>
      </c>
      <c r="M245" s="1066">
        <f t="shared" si="49"/>
        <v>1275</v>
      </c>
      <c r="N245" s="1066">
        <f t="shared" si="49"/>
        <v>1275</v>
      </c>
      <c r="O245" s="162" t="s">
        <v>3325</v>
      </c>
      <c r="P245" s="12"/>
      <c r="Q245" s="12"/>
      <c r="R245" s="12"/>
      <c r="S245" s="12"/>
      <c r="T245" s="12"/>
      <c r="U245" s="12"/>
      <c r="V245" s="12"/>
      <c r="W245" s="12"/>
      <c r="X245" s="12"/>
      <c r="Y245" s="12"/>
      <c r="Z245" s="12"/>
      <c r="AA245" s="12"/>
      <c r="AB245" s="12"/>
      <c r="AC245" s="12"/>
      <c r="AD245" s="12"/>
      <c r="AE245" s="12"/>
      <c r="AF245" s="12"/>
      <c r="AG245" s="18"/>
    </row>
    <row r="246" spans="1:33" s="8" customFormat="1" ht="12" hidden="1" customHeight="1" outlineLevel="1" x14ac:dyDescent="0.2">
      <c r="A246" s="1434"/>
      <c r="B246" s="65"/>
      <c r="C246" s="50"/>
      <c r="D246" s="1074"/>
      <c r="E246" s="440"/>
      <c r="F246" s="440"/>
      <c r="G246" s="440"/>
      <c r="H246" s="440"/>
      <c r="I246" s="440"/>
      <c r="J246" s="440"/>
      <c r="K246" s="440"/>
      <c r="L246" s="440"/>
      <c r="M246" s="440"/>
      <c r="N246" s="440"/>
      <c r="O246" s="1067"/>
      <c r="P246" s="23"/>
      <c r="Q246" s="23"/>
      <c r="R246" s="23"/>
      <c r="S246" s="23"/>
      <c r="T246" s="23"/>
      <c r="U246" s="23"/>
      <c r="V246" s="23"/>
      <c r="W246" s="23"/>
      <c r="X246" s="23"/>
      <c r="Y246" s="23"/>
      <c r="Z246" s="23"/>
      <c r="AA246" s="23"/>
      <c r="AB246" s="23"/>
      <c r="AC246" s="23"/>
      <c r="AD246" s="23"/>
      <c r="AE246" s="23"/>
      <c r="AF246" s="23"/>
      <c r="AG246" s="17"/>
    </row>
    <row r="247" spans="1:33" customFormat="1" ht="12" hidden="1" customHeight="1" outlineLevel="1" x14ac:dyDescent="0.2">
      <c r="A247" s="1434"/>
      <c r="B247" s="63"/>
      <c r="C247" s="13"/>
      <c r="D247" s="1073" t="s">
        <v>3326</v>
      </c>
      <c r="E247" s="602">
        <f>(AnnualBurdenedSalaryLM*eSystemsFTECalcResultWorstCaseLM)</f>
        <v>209062500</v>
      </c>
      <c r="F247" s="602">
        <f>(AnnualBurdenedSalaryLM*eSystemsFTECalcResultWorstCaseLM)*(1+Inflation)</f>
        <v>213243750</v>
      </c>
      <c r="G247" s="602">
        <f>(AnnualBurdenedSalaryLM*eSystemsFTECalcResultWorstCaseLM)*(1+Inflation)^2</f>
        <v>217508625</v>
      </c>
      <c r="H247" s="602">
        <f>(AnnualBurdenedSalaryLM*eSystemsFTECalcResultWorstCaseLM)*(1+Inflation)^3</f>
        <v>221858797.5</v>
      </c>
      <c r="I247" s="602">
        <f>(AnnualBurdenedSalaryLM*eSystemsFTECalcResultWorstCaseLM)*(1+Inflation)^4</f>
        <v>226295973.44999999</v>
      </c>
      <c r="J247" s="602">
        <f>(AnnualBurdenedSalaryLM*eSystemsFTECalcResultWorstCaseLM)*(1+Inflation)^5</f>
        <v>230821892.919</v>
      </c>
      <c r="K247" s="602">
        <f>(AnnualBurdenedSalaryLM*eSystemsFTECalcResultWorstCaseLM)*(1+Inflation)^6</f>
        <v>235438330.77738002</v>
      </c>
      <c r="L247" s="602">
        <f>(AnnualBurdenedSalaryLM*eSystemsFTECalcResultWorstCaseLM)*(1+Inflation)^7</f>
        <v>240147097.39292756</v>
      </c>
      <c r="M247" s="602">
        <f>(AnnualBurdenedSalaryLM*eSystemsFTECalcResultWorstCaseLM)*(1+Inflation)^8</f>
        <v>244950039.34078613</v>
      </c>
      <c r="N247" s="602">
        <f>(AnnualBurdenedSalaryLM*eSystemsFTECalcResultWorstCaseLM)*(1+Inflation)^9</f>
        <v>249849040.12760186</v>
      </c>
      <c r="O247" s="162" t="s">
        <v>3327</v>
      </c>
      <c r="P247" s="12"/>
      <c r="Q247" s="12"/>
      <c r="R247" s="12"/>
      <c r="S247" s="12"/>
      <c r="T247" s="12"/>
      <c r="U247" s="12"/>
      <c r="V247" s="12"/>
      <c r="W247" s="12"/>
      <c r="X247" s="12"/>
      <c r="Y247" s="12"/>
      <c r="Z247" s="12"/>
      <c r="AA247" s="12"/>
      <c r="AB247" s="12"/>
      <c r="AC247" s="12"/>
      <c r="AD247" s="12"/>
      <c r="AE247" s="12"/>
      <c r="AF247" s="12"/>
      <c r="AG247" s="18"/>
    </row>
    <row r="248" spans="1:33" customFormat="1" ht="12" hidden="1" customHeight="1" outlineLevel="1" x14ac:dyDescent="0.2">
      <c r="A248" s="1434"/>
      <c r="B248" s="63"/>
      <c r="C248" s="13"/>
      <c r="D248" s="1073" t="s">
        <v>3328</v>
      </c>
      <c r="E248" s="602">
        <f>(AnnualBurdenedSalaryLM*eSystemsFTECalcResultMostLikelyLM)</f>
        <v>188156250</v>
      </c>
      <c r="F248" s="602">
        <f>(AnnualBurdenedSalaryLM*eSystemsFTECalcResultMostLikelyLM)*(1+Inflation)</f>
        <v>191919375</v>
      </c>
      <c r="G248" s="602">
        <f>(AnnualBurdenedSalaryLM*eSystemsFTECalcResultMostLikelyLM)*(1+Inflation)^2</f>
        <v>195757762.5</v>
      </c>
      <c r="H248" s="602">
        <f>(AnnualBurdenedSalaryLM*eSystemsFTECalcResultMostLikelyLM)*(1+Inflation)^3</f>
        <v>199672917.75</v>
      </c>
      <c r="I248" s="602">
        <f>(AnnualBurdenedSalaryLM*eSystemsFTECalcResultMostLikelyLM)*(1+Inflation)^4</f>
        <v>203666376.10499999</v>
      </c>
      <c r="J248" s="602">
        <f>(AnnualBurdenedSalaryLM*eSystemsFTECalcResultMostLikelyLM)*(1+Inflation)^5</f>
        <v>207739703.62709999</v>
      </c>
      <c r="K248" s="602">
        <f>(AnnualBurdenedSalaryLM*eSystemsFTECalcResultMostLikelyLM)*(1+Inflation)^6</f>
        <v>211894497.699642</v>
      </c>
      <c r="L248" s="602">
        <f>(AnnualBurdenedSalaryLM*eSystemsFTECalcResultMostLikelyLM)*(1+Inflation)^7</f>
        <v>216132387.65363482</v>
      </c>
      <c r="M248" s="602">
        <f>(AnnualBurdenedSalaryLM*eSystemsFTECalcResultMostLikelyLM)*(1+Inflation)^8</f>
        <v>220455035.40670753</v>
      </c>
      <c r="N248" s="602">
        <f>(AnnualBurdenedSalaryLM*eSystemsFTECalcResultMostLikelyLM)*(1+Inflation)^9</f>
        <v>224864136.11484167</v>
      </c>
      <c r="O248" s="162" t="s">
        <v>3329</v>
      </c>
      <c r="P248" s="12"/>
      <c r="Q248" s="12"/>
      <c r="R248" s="12"/>
      <c r="S248" s="12"/>
      <c r="T248" s="12"/>
      <c r="U248" s="12"/>
      <c r="V248" s="12"/>
      <c r="W248" s="12"/>
      <c r="X248" s="12"/>
      <c r="Y248" s="12"/>
      <c r="Z248" s="12"/>
      <c r="AA248" s="12"/>
      <c r="AB248" s="12"/>
      <c r="AC248" s="12"/>
      <c r="AD248" s="12"/>
      <c r="AE248" s="12"/>
      <c r="AF248" s="12"/>
      <c r="AG248" s="18"/>
    </row>
    <row r="249" spans="1:33" customFormat="1" ht="12" hidden="1" customHeight="1" outlineLevel="1" x14ac:dyDescent="0.2">
      <c r="A249" s="1434"/>
      <c r="B249" s="63"/>
      <c r="C249" s="13"/>
      <c r="D249" s="1073" t="s">
        <v>3330</v>
      </c>
      <c r="E249" s="602">
        <f>(AnnualBurdenedSalaryLM*eSystemsFTECalcResultBestCaseLM)</f>
        <v>177703125</v>
      </c>
      <c r="F249" s="602">
        <f>(AnnualBurdenedSalaryLM*eSystemsFTECalcResultBestCaseLM)*(1+Inflation)</f>
        <v>181257187.5</v>
      </c>
      <c r="G249" s="602">
        <f>(AnnualBurdenedSalaryLM*eSystemsFTECalcResultBestCaseLM)*(1+Inflation)^2</f>
        <v>184882331.25</v>
      </c>
      <c r="H249" s="602">
        <f>(AnnualBurdenedSalaryLM*eSystemsFTECalcResultBestCaseLM)*(1+Inflation)^3</f>
        <v>188579977.875</v>
      </c>
      <c r="I249" s="602">
        <f>(AnnualBurdenedSalaryLM*eSystemsFTECalcResultBestCaseLM)*(1+Inflation)^4</f>
        <v>192351577.4325</v>
      </c>
      <c r="J249" s="602">
        <f>(AnnualBurdenedSalaryLM*eSystemsFTECalcResultBestCaseLM)*(1+Inflation)^5</f>
        <v>196198608.98115</v>
      </c>
      <c r="K249" s="602">
        <f>(AnnualBurdenedSalaryLM*eSystemsFTECalcResultBestCaseLM)*(1+Inflation)^6</f>
        <v>200122581.16077301</v>
      </c>
      <c r="L249" s="602">
        <f>(AnnualBurdenedSalaryLM*eSystemsFTECalcResultBestCaseLM)*(1+Inflation)^7</f>
        <v>204125032.78398842</v>
      </c>
      <c r="M249" s="602">
        <f>(AnnualBurdenedSalaryLM*eSystemsFTECalcResultBestCaseLM)*(1+Inflation)^8</f>
        <v>208207533.43966821</v>
      </c>
      <c r="N249" s="602">
        <f>(AnnualBurdenedSalaryLM*eSystemsFTECalcResultBestCaseLM)*(1+Inflation)^9</f>
        <v>212371684.10846159</v>
      </c>
      <c r="O249" s="162" t="s">
        <v>3331</v>
      </c>
      <c r="P249" s="12"/>
      <c r="Q249" s="12"/>
      <c r="R249" s="12"/>
      <c r="S249" s="12"/>
      <c r="T249" s="12"/>
      <c r="U249" s="12"/>
      <c r="V249" s="12"/>
      <c r="W249" s="12"/>
      <c r="X249" s="12"/>
      <c r="Y249" s="12"/>
      <c r="Z249" s="12"/>
      <c r="AA249" s="12"/>
      <c r="AB249" s="12"/>
      <c r="AC249" s="12"/>
      <c r="AD249" s="12"/>
      <c r="AE249" s="12"/>
      <c r="AF249" s="12"/>
      <c r="AG249" s="18"/>
    </row>
    <row r="250" spans="1:33" s="8" customFormat="1" ht="12" hidden="1" customHeight="1" outlineLevel="1" x14ac:dyDescent="0.2">
      <c r="A250" s="1434"/>
      <c r="B250" s="65"/>
      <c r="C250" s="50"/>
      <c r="D250" s="1074"/>
      <c r="E250" s="440"/>
      <c r="F250" s="440"/>
      <c r="G250" s="440"/>
      <c r="H250" s="440"/>
      <c r="I250" s="440"/>
      <c r="J250" s="440"/>
      <c r="K250" s="440"/>
      <c r="L250" s="440"/>
      <c r="M250" s="440"/>
      <c r="N250" s="440"/>
      <c r="O250" s="642"/>
      <c r="P250" s="23"/>
      <c r="Q250" s="23"/>
      <c r="R250" s="23"/>
      <c r="S250" s="23"/>
      <c r="T250" s="23"/>
      <c r="U250" s="23"/>
      <c r="V250" s="23"/>
      <c r="W250" s="23"/>
      <c r="X250" s="23"/>
      <c r="Y250" s="23"/>
      <c r="Z250" s="23"/>
      <c r="AA250" s="23"/>
      <c r="AB250" s="23"/>
      <c r="AC250" s="23"/>
      <c r="AD250" s="23"/>
      <c r="AE250" s="23"/>
      <c r="AF250" s="23"/>
      <c r="AG250" s="17"/>
    </row>
    <row r="251" spans="1:33" customFormat="1" hidden="1" outlineLevel="1" x14ac:dyDescent="0.2">
      <c r="A251" s="1434"/>
      <c r="B251" s="63"/>
      <c r="C251" s="6"/>
      <c r="D251" s="1071" t="s">
        <v>3332</v>
      </c>
      <c r="E251" s="1065">
        <v>0</v>
      </c>
      <c r="F251" s="1065">
        <v>0</v>
      </c>
      <c r="G251" s="1065">
        <v>0</v>
      </c>
      <c r="H251" s="1065">
        <v>0</v>
      </c>
      <c r="I251" s="1065">
        <v>0</v>
      </c>
      <c r="J251" s="1065">
        <v>0</v>
      </c>
      <c r="K251" s="1065">
        <v>0</v>
      </c>
      <c r="L251" s="1065">
        <v>0</v>
      </c>
      <c r="M251" s="1065">
        <v>0</v>
      </c>
      <c r="N251" s="1065">
        <v>0</v>
      </c>
      <c r="O251" s="162" t="s">
        <v>3333</v>
      </c>
      <c r="P251" s="12"/>
      <c r="Q251" s="12"/>
      <c r="R251" s="12"/>
      <c r="S251" s="12"/>
      <c r="T251" s="12"/>
      <c r="U251" s="12"/>
      <c r="V251" s="12"/>
      <c r="W251" s="12"/>
      <c r="X251" s="12"/>
      <c r="Y251" s="12"/>
      <c r="Z251" s="12"/>
      <c r="AA251" s="12"/>
      <c r="AB251" s="12"/>
      <c r="AC251" s="12"/>
      <c r="AD251" s="12"/>
      <c r="AE251" s="12"/>
      <c r="AF251" s="12"/>
      <c r="AG251" s="18"/>
    </row>
    <row r="252" spans="1:33" customFormat="1" hidden="1" outlineLevel="1" x14ac:dyDescent="0.2">
      <c r="A252" s="1434"/>
      <c r="B252" s="63"/>
      <c r="C252" s="6"/>
      <c r="D252" s="1071" t="s">
        <v>3334</v>
      </c>
      <c r="E252" s="1065">
        <v>0.3</v>
      </c>
      <c r="F252" s="1065">
        <v>0.3</v>
      </c>
      <c r="G252" s="1065">
        <v>0.3</v>
      </c>
      <c r="H252" s="1065">
        <v>0.3</v>
      </c>
      <c r="I252" s="1065">
        <v>0.3</v>
      </c>
      <c r="J252" s="1065">
        <v>0.3</v>
      </c>
      <c r="K252" s="1065">
        <v>0.3</v>
      </c>
      <c r="L252" s="1065">
        <v>0.3</v>
      </c>
      <c r="M252" s="1065">
        <v>0.3</v>
      </c>
      <c r="N252" s="1065">
        <v>0.3</v>
      </c>
      <c r="O252" s="162" t="s">
        <v>3335</v>
      </c>
      <c r="P252" s="12"/>
      <c r="Q252" s="12"/>
      <c r="R252" s="12"/>
      <c r="S252" s="12"/>
      <c r="T252" s="12"/>
      <c r="U252" s="12"/>
      <c r="V252" s="12"/>
      <c r="W252" s="12"/>
      <c r="X252" s="12"/>
      <c r="Y252" s="12"/>
      <c r="Z252" s="12"/>
      <c r="AA252" s="12"/>
      <c r="AB252" s="12"/>
      <c r="AC252" s="12"/>
      <c r="AD252" s="12"/>
      <c r="AE252" s="12"/>
      <c r="AF252" s="12"/>
      <c r="AG252" s="18"/>
    </row>
    <row r="253" spans="1:33" customFormat="1" hidden="1" outlineLevel="1" x14ac:dyDescent="0.2">
      <c r="A253" s="1434"/>
      <c r="B253" s="63"/>
      <c r="C253" s="6"/>
      <c r="D253" s="1071" t="s">
        <v>3336</v>
      </c>
      <c r="E253" s="1065">
        <v>0.4</v>
      </c>
      <c r="F253" s="1065">
        <v>0.4</v>
      </c>
      <c r="G253" s="1065">
        <v>0.4</v>
      </c>
      <c r="H253" s="1065">
        <v>0.4</v>
      </c>
      <c r="I253" s="1065">
        <v>0.4</v>
      </c>
      <c r="J253" s="1065">
        <v>0.4</v>
      </c>
      <c r="K253" s="1065">
        <v>0.4</v>
      </c>
      <c r="L253" s="1065">
        <v>0.4</v>
      </c>
      <c r="M253" s="1065">
        <v>0.4</v>
      </c>
      <c r="N253" s="1065">
        <v>0.4</v>
      </c>
      <c r="O253" s="162" t="s">
        <v>3337</v>
      </c>
      <c r="P253" s="12"/>
      <c r="Q253" s="12"/>
      <c r="R253" s="12"/>
      <c r="S253" s="12"/>
      <c r="T253" s="12"/>
      <c r="U253" s="12"/>
      <c r="V253" s="12"/>
      <c r="W253" s="12"/>
      <c r="X253" s="12"/>
      <c r="Y253" s="12"/>
      <c r="Z253" s="12"/>
      <c r="AA253" s="12"/>
      <c r="AB253" s="12"/>
      <c r="AC253" s="12"/>
      <c r="AD253" s="12"/>
      <c r="AE253" s="12"/>
      <c r="AF253" s="12"/>
      <c r="AG253" s="18"/>
    </row>
    <row r="254" spans="1:33" s="8" customFormat="1" hidden="1" outlineLevel="1" x14ac:dyDescent="0.2">
      <c r="A254" s="1434"/>
      <c r="B254" s="65"/>
      <c r="C254" s="98"/>
      <c r="D254" s="1072"/>
      <c r="E254" s="606"/>
      <c r="F254" s="606"/>
      <c r="G254" s="606"/>
      <c r="H254" s="606"/>
      <c r="I254" s="606"/>
      <c r="J254" s="606"/>
      <c r="K254" s="606"/>
      <c r="L254" s="606"/>
      <c r="M254" s="606"/>
      <c r="N254" s="606"/>
      <c r="O254" s="162"/>
      <c r="P254" s="23"/>
      <c r="Q254" s="23"/>
      <c r="R254" s="23"/>
      <c r="S254" s="23"/>
      <c r="T254" s="23"/>
      <c r="U254" s="23"/>
      <c r="V254" s="23"/>
      <c r="W254" s="23"/>
      <c r="X254" s="23"/>
      <c r="Y254" s="23"/>
      <c r="Z254" s="23"/>
      <c r="AA254" s="23"/>
      <c r="AB254" s="23"/>
      <c r="AC254" s="23"/>
      <c r="AD254" s="23"/>
      <c r="AE254" s="23"/>
      <c r="AF254" s="23"/>
      <c r="AG254" s="17"/>
    </row>
    <row r="255" spans="1:33" customFormat="1" ht="12" hidden="1" customHeight="1" outlineLevel="1" x14ac:dyDescent="0.2">
      <c r="A255" s="1434"/>
      <c r="B255" s="63"/>
      <c r="C255" s="13"/>
      <c r="D255" s="1073" t="s">
        <v>3338</v>
      </c>
      <c r="E255" s="1066">
        <f t="shared" ref="E255:N255" si="50">(1-eSystemsFTEPercentReductionWorstCaseENG)*pSystemsFTE_ENG</f>
        <v>100</v>
      </c>
      <c r="F255" s="1066">
        <f t="shared" si="50"/>
        <v>100</v>
      </c>
      <c r="G255" s="1066">
        <f t="shared" si="50"/>
        <v>100</v>
      </c>
      <c r="H255" s="1066">
        <f t="shared" si="50"/>
        <v>100</v>
      </c>
      <c r="I255" s="1066">
        <f t="shared" si="50"/>
        <v>100</v>
      </c>
      <c r="J255" s="1066">
        <f t="shared" si="50"/>
        <v>100</v>
      </c>
      <c r="K255" s="1066">
        <f t="shared" si="50"/>
        <v>100</v>
      </c>
      <c r="L255" s="1066">
        <f t="shared" si="50"/>
        <v>100</v>
      </c>
      <c r="M255" s="1066">
        <f t="shared" si="50"/>
        <v>100</v>
      </c>
      <c r="N255" s="1066">
        <f t="shared" si="50"/>
        <v>100</v>
      </c>
      <c r="O255" s="162" t="s">
        <v>3339</v>
      </c>
      <c r="P255" s="12"/>
      <c r="Q255" s="12"/>
      <c r="R255" s="12"/>
      <c r="S255" s="12"/>
      <c r="T255" s="12"/>
      <c r="U255" s="12"/>
      <c r="V255" s="12"/>
      <c r="W255" s="12"/>
      <c r="X255" s="12"/>
      <c r="Y255" s="12"/>
      <c r="Z255" s="12"/>
      <c r="AA255" s="12"/>
      <c r="AB255" s="12"/>
      <c r="AC255" s="12"/>
      <c r="AD255" s="12"/>
      <c r="AE255" s="12"/>
      <c r="AF255" s="12"/>
      <c r="AG255" s="18"/>
    </row>
    <row r="256" spans="1:33" customFormat="1" ht="12" hidden="1" customHeight="1" outlineLevel="1" x14ac:dyDescent="0.2">
      <c r="A256" s="1434"/>
      <c r="B256" s="63"/>
      <c r="C256" s="13"/>
      <c r="D256" s="1073" t="s">
        <v>3340</v>
      </c>
      <c r="E256" s="1066">
        <f t="shared" ref="E256:N256" si="51">(1-eSystemsFTEPercentReductionMostLikelyENG)*pSystemsFTE_ENG</f>
        <v>70</v>
      </c>
      <c r="F256" s="1066">
        <f t="shared" si="51"/>
        <v>70</v>
      </c>
      <c r="G256" s="1066">
        <f t="shared" si="51"/>
        <v>70</v>
      </c>
      <c r="H256" s="1066">
        <f t="shared" si="51"/>
        <v>70</v>
      </c>
      <c r="I256" s="1066">
        <f t="shared" si="51"/>
        <v>70</v>
      </c>
      <c r="J256" s="1066">
        <f t="shared" si="51"/>
        <v>70</v>
      </c>
      <c r="K256" s="1066">
        <f t="shared" si="51"/>
        <v>70</v>
      </c>
      <c r="L256" s="1066">
        <f t="shared" si="51"/>
        <v>70</v>
      </c>
      <c r="M256" s="1066">
        <f t="shared" si="51"/>
        <v>70</v>
      </c>
      <c r="N256" s="1066">
        <f t="shared" si="51"/>
        <v>70</v>
      </c>
      <c r="O256" s="162" t="s">
        <v>3341</v>
      </c>
      <c r="P256" s="12"/>
      <c r="Q256" s="12"/>
      <c r="R256" s="12"/>
      <c r="S256" s="12"/>
      <c r="T256" s="12"/>
      <c r="U256" s="12"/>
      <c r="V256" s="12"/>
      <c r="W256" s="12"/>
      <c r="X256" s="12"/>
      <c r="Y256" s="12"/>
      <c r="Z256" s="12"/>
      <c r="AA256" s="12"/>
      <c r="AB256" s="12"/>
      <c r="AC256" s="12"/>
      <c r="AD256" s="12"/>
      <c r="AE256" s="12"/>
      <c r="AF256" s="12"/>
      <c r="AG256" s="18"/>
    </row>
    <row r="257" spans="1:33" customFormat="1" ht="12" hidden="1" customHeight="1" outlineLevel="1" x14ac:dyDescent="0.2">
      <c r="A257" s="1434"/>
      <c r="B257" s="63"/>
      <c r="C257" s="13"/>
      <c r="D257" s="1073" t="s">
        <v>3342</v>
      </c>
      <c r="E257" s="1066">
        <f t="shared" ref="E257:N257" si="52">(1-eSystemsFTEPercentReductionBestCaseENG)*pSystemsFTE_ENG</f>
        <v>60</v>
      </c>
      <c r="F257" s="1066">
        <f t="shared" si="52"/>
        <v>60</v>
      </c>
      <c r="G257" s="1066">
        <f t="shared" si="52"/>
        <v>60</v>
      </c>
      <c r="H257" s="1066">
        <f t="shared" si="52"/>
        <v>60</v>
      </c>
      <c r="I257" s="1066">
        <f t="shared" si="52"/>
        <v>60</v>
      </c>
      <c r="J257" s="1066">
        <f t="shared" si="52"/>
        <v>60</v>
      </c>
      <c r="K257" s="1066">
        <f t="shared" si="52"/>
        <v>60</v>
      </c>
      <c r="L257" s="1066">
        <f t="shared" si="52"/>
        <v>60</v>
      </c>
      <c r="M257" s="1066">
        <f t="shared" si="52"/>
        <v>60</v>
      </c>
      <c r="N257" s="1066">
        <f t="shared" si="52"/>
        <v>60</v>
      </c>
      <c r="O257" s="162" t="s">
        <v>3343</v>
      </c>
      <c r="P257" s="12"/>
      <c r="Q257" s="12"/>
      <c r="R257" s="12"/>
      <c r="S257" s="12"/>
      <c r="T257" s="12"/>
      <c r="U257" s="12"/>
      <c r="V257" s="12"/>
      <c r="W257" s="12"/>
      <c r="X257" s="12"/>
      <c r="Y257" s="12"/>
      <c r="Z257" s="12"/>
      <c r="AA257" s="12"/>
      <c r="AB257" s="12"/>
      <c r="AC257" s="12"/>
      <c r="AD257" s="12"/>
      <c r="AE257" s="12"/>
      <c r="AF257" s="12"/>
      <c r="AG257" s="18"/>
    </row>
    <row r="258" spans="1:33" s="8" customFormat="1" ht="12" hidden="1" customHeight="1" outlineLevel="1" x14ac:dyDescent="0.2">
      <c r="A258" s="1434"/>
      <c r="B258" s="65"/>
      <c r="C258" s="50"/>
      <c r="D258" s="1074"/>
      <c r="E258" s="440"/>
      <c r="F258" s="440"/>
      <c r="G258" s="440"/>
      <c r="H258" s="440"/>
      <c r="I258" s="440"/>
      <c r="J258" s="440"/>
      <c r="K258" s="440"/>
      <c r="L258" s="440"/>
      <c r="M258" s="440"/>
      <c r="N258" s="440"/>
      <c r="O258" s="1067"/>
      <c r="P258" s="23"/>
      <c r="Q258" s="23"/>
      <c r="R258" s="23"/>
      <c r="S258" s="23"/>
      <c r="T258" s="23"/>
      <c r="U258" s="23"/>
      <c r="V258" s="23"/>
      <c r="W258" s="23"/>
      <c r="X258" s="23"/>
      <c r="Y258" s="23"/>
      <c r="Z258" s="23"/>
      <c r="AA258" s="23"/>
      <c r="AB258" s="23"/>
      <c r="AC258" s="23"/>
      <c r="AD258" s="23"/>
      <c r="AE258" s="23"/>
      <c r="AF258" s="23"/>
      <c r="AG258" s="17"/>
    </row>
    <row r="259" spans="1:33" customFormat="1" ht="12" hidden="1" customHeight="1" outlineLevel="1" x14ac:dyDescent="0.2">
      <c r="A259" s="1434"/>
      <c r="B259" s="63"/>
      <c r="C259" s="13"/>
      <c r="D259" s="1073" t="s">
        <v>3344</v>
      </c>
      <c r="E259" s="602">
        <f>(AnnualBurdenedSalaryENG*eSystemsFTECalcResultWorstCaseENG)</f>
        <v>12543750</v>
      </c>
      <c r="F259" s="602">
        <f>(AnnualBurdenedSalaryENG*eSystemsFTECalcResultWorstCaseENG)*(1+Inflation)</f>
        <v>12794625</v>
      </c>
      <c r="G259" s="602">
        <f>(AnnualBurdenedSalaryENG*eSystemsFTECalcResultWorstCaseENG)*(1+Inflation)^2</f>
        <v>13050517.5</v>
      </c>
      <c r="H259" s="602">
        <f>(AnnualBurdenedSalaryENG*eSystemsFTECalcResultWorstCaseENG)*(1+Inflation)^3</f>
        <v>13311527.85</v>
      </c>
      <c r="I259" s="602">
        <f>(AnnualBurdenedSalaryENG*eSystemsFTECalcResultWorstCaseENG)*(1+Inflation)^4</f>
        <v>13577758.407</v>
      </c>
      <c r="J259" s="602">
        <f>(AnnualBurdenedSalaryENG*eSystemsFTECalcResultWorstCaseENG)*(1+Inflation)^5</f>
        <v>13849313.575139999</v>
      </c>
      <c r="K259" s="602">
        <f>(AnnualBurdenedSalaryENG*eSystemsFTECalcResultWorstCaseENG)*(1+Inflation)^6</f>
        <v>14126299.846642802</v>
      </c>
      <c r="L259" s="602">
        <f>(AnnualBurdenedSalaryENG*eSystemsFTECalcResultWorstCaseENG)*(1+Inflation)^7</f>
        <v>14408825.843575655</v>
      </c>
      <c r="M259" s="602">
        <f>(AnnualBurdenedSalaryENG*eSystemsFTECalcResultWorstCaseENG)*(1+Inflation)^8</f>
        <v>14697002.360447168</v>
      </c>
      <c r="N259" s="602">
        <f>(AnnualBurdenedSalaryENG*eSystemsFTECalcResultWorstCaseENG)*(1+Inflation)^9</f>
        <v>14990942.407656111</v>
      </c>
      <c r="O259" s="162" t="s">
        <v>3345</v>
      </c>
      <c r="P259" s="12"/>
      <c r="Q259" s="12"/>
      <c r="R259" s="12"/>
      <c r="S259" s="12"/>
      <c r="T259" s="12"/>
      <c r="U259" s="12"/>
      <c r="V259" s="12"/>
      <c r="W259" s="12"/>
      <c r="X259" s="12"/>
      <c r="Y259" s="12"/>
      <c r="Z259" s="12"/>
      <c r="AA259" s="12"/>
      <c r="AB259" s="12"/>
      <c r="AC259" s="12"/>
      <c r="AD259" s="12"/>
      <c r="AE259" s="12"/>
      <c r="AF259" s="12"/>
      <c r="AG259" s="18"/>
    </row>
    <row r="260" spans="1:33" customFormat="1" ht="12" hidden="1" customHeight="1" outlineLevel="1" x14ac:dyDescent="0.2">
      <c r="A260" s="1434"/>
      <c r="B260" s="63"/>
      <c r="C260" s="13"/>
      <c r="D260" s="1073" t="s">
        <v>3346</v>
      </c>
      <c r="E260" s="602">
        <f>(AnnualBurdenedSalaryENG*eSystemsFTECalcResultMostLikelyENG)</f>
        <v>8780625</v>
      </c>
      <c r="F260" s="602">
        <f>(AnnualBurdenedSalaryENG*eSystemsFTECalcResultMostLikelyENG)*(1+Inflation)</f>
        <v>8956237.5</v>
      </c>
      <c r="G260" s="602">
        <f>(AnnualBurdenedSalaryENG*eSystemsFTECalcResultMostLikelyENG)*(1+Inflation)^2</f>
        <v>9135362.25</v>
      </c>
      <c r="H260" s="602">
        <f>(AnnualBurdenedSalaryENG*eSystemsFTECalcResultMostLikelyENG)*(1+Inflation)^3</f>
        <v>9318069.4949999992</v>
      </c>
      <c r="I260" s="602">
        <f>(AnnualBurdenedSalaryENG*eSystemsFTECalcResultMostLikelyENG)*(1+Inflation)^4</f>
        <v>9504430.8848999999</v>
      </c>
      <c r="J260" s="602">
        <f>(AnnualBurdenedSalaryENG*eSystemsFTECalcResultMostLikelyENG)*(1+Inflation)^5</f>
        <v>9694519.5025980007</v>
      </c>
      <c r="K260" s="602">
        <f>(AnnualBurdenedSalaryENG*eSystemsFTECalcResultMostLikelyENG)*(1+Inflation)^6</f>
        <v>9888409.8926499598</v>
      </c>
      <c r="L260" s="602">
        <f>(AnnualBurdenedSalaryENG*eSystemsFTECalcResultMostLikelyENG)*(1+Inflation)^7</f>
        <v>10086178.090502957</v>
      </c>
      <c r="M260" s="602">
        <f>(AnnualBurdenedSalaryENG*eSystemsFTECalcResultMostLikelyENG)*(1+Inflation)^8</f>
        <v>10287901.652313018</v>
      </c>
      <c r="N260" s="602">
        <f>(AnnualBurdenedSalaryENG*eSystemsFTECalcResultMostLikelyENG)*(1+Inflation)^9</f>
        <v>10493659.685359279</v>
      </c>
      <c r="O260" s="162" t="s">
        <v>3347</v>
      </c>
      <c r="P260" s="12"/>
      <c r="Q260" s="12"/>
      <c r="R260" s="12"/>
      <c r="S260" s="12"/>
      <c r="T260" s="12"/>
      <c r="U260" s="12"/>
      <c r="V260" s="12"/>
      <c r="W260" s="12"/>
      <c r="X260" s="12"/>
      <c r="Y260" s="12"/>
      <c r="Z260" s="12"/>
      <c r="AA260" s="12"/>
      <c r="AB260" s="12"/>
      <c r="AC260" s="12"/>
      <c r="AD260" s="12"/>
      <c r="AE260" s="12"/>
      <c r="AF260" s="12"/>
      <c r="AG260" s="18"/>
    </row>
    <row r="261" spans="1:33" customFormat="1" ht="12" hidden="1" customHeight="1" outlineLevel="1" x14ac:dyDescent="0.2">
      <c r="A261" s="1434"/>
      <c r="B261" s="63"/>
      <c r="C261" s="13"/>
      <c r="D261" s="1073" t="s">
        <v>3348</v>
      </c>
      <c r="E261" s="602">
        <f>(AnnualBurdenedSalaryENG*eSystemsFTECalcResultBestCaseENG)</f>
        <v>7526250</v>
      </c>
      <c r="F261" s="602">
        <f>(AnnualBurdenedSalaryENG*eSystemsFTECalcResultBestCaseENG)*(1+Inflation)</f>
        <v>7676775</v>
      </c>
      <c r="G261" s="602">
        <f>(AnnualBurdenedSalaryENG*eSystemsFTECalcResultBestCaseENG)*(1+Inflation)^2</f>
        <v>7830310.5</v>
      </c>
      <c r="H261" s="602">
        <f>(AnnualBurdenedSalaryENG*eSystemsFTECalcResultBestCaseENG)*(1+Inflation)^3</f>
        <v>7986916.709999999</v>
      </c>
      <c r="I261" s="602">
        <f>(AnnualBurdenedSalaryENG*eSystemsFTECalcResultBestCaseENG)*(1+Inflation)^4</f>
        <v>8146655.0441999994</v>
      </c>
      <c r="J261" s="602">
        <f>(AnnualBurdenedSalaryENG*eSystemsFTECalcResultBestCaseENG)*(1+Inflation)^5</f>
        <v>8309588.1450840002</v>
      </c>
      <c r="K261" s="602">
        <f>(AnnualBurdenedSalaryENG*eSystemsFTECalcResultBestCaseENG)*(1+Inflation)^6</f>
        <v>8475779.9079856798</v>
      </c>
      <c r="L261" s="602">
        <f>(AnnualBurdenedSalaryENG*eSystemsFTECalcResultBestCaseENG)*(1+Inflation)^7</f>
        <v>8645295.5061453916</v>
      </c>
      <c r="M261" s="602">
        <f>(AnnualBurdenedSalaryENG*eSystemsFTECalcResultBestCaseENG)*(1+Inflation)^8</f>
        <v>8818201.4162683003</v>
      </c>
      <c r="N261" s="602">
        <f>(AnnualBurdenedSalaryENG*eSystemsFTECalcResultBestCaseENG)*(1+Inflation)^9</f>
        <v>8994565.4445936661</v>
      </c>
      <c r="O261" s="162" t="s">
        <v>3349</v>
      </c>
      <c r="P261" s="12"/>
      <c r="Q261" s="12"/>
      <c r="R261" s="12"/>
      <c r="S261" s="12"/>
      <c r="T261" s="12"/>
      <c r="U261" s="12"/>
      <c r="V261" s="12"/>
      <c r="W261" s="12"/>
      <c r="X261" s="12"/>
      <c r="Y261" s="12"/>
      <c r="Z261" s="12"/>
      <c r="AA261" s="12"/>
      <c r="AB261" s="12"/>
      <c r="AC261" s="12"/>
      <c r="AD261" s="12"/>
      <c r="AE261" s="12"/>
      <c r="AF261" s="12"/>
      <c r="AG261" s="18"/>
    </row>
    <row r="262" spans="1:33" s="8" customFormat="1" ht="12" hidden="1" customHeight="1" outlineLevel="1" x14ac:dyDescent="0.2">
      <c r="A262" s="1434"/>
      <c r="B262" s="65"/>
      <c r="C262" s="50"/>
      <c r="D262" s="1074"/>
      <c r="E262" s="440"/>
      <c r="F262" s="440"/>
      <c r="G262" s="440"/>
      <c r="H262" s="440"/>
      <c r="I262" s="440"/>
      <c r="J262" s="440"/>
      <c r="K262" s="440"/>
      <c r="L262" s="440"/>
      <c r="M262" s="440"/>
      <c r="N262" s="440"/>
      <c r="O262" s="642"/>
      <c r="P262" s="23"/>
      <c r="Q262" s="23"/>
      <c r="R262" s="23"/>
      <c r="S262" s="23"/>
      <c r="T262" s="23"/>
      <c r="U262" s="23"/>
      <c r="V262" s="23"/>
      <c r="W262" s="23"/>
      <c r="X262" s="23"/>
      <c r="Y262" s="23"/>
      <c r="Z262" s="23"/>
      <c r="AA262" s="23"/>
      <c r="AB262" s="23"/>
      <c r="AC262" s="23"/>
      <c r="AD262" s="23"/>
      <c r="AE262" s="23"/>
      <c r="AF262" s="23"/>
      <c r="AG262" s="17"/>
    </row>
    <row r="263" spans="1:33" customFormat="1" hidden="1" outlineLevel="1" x14ac:dyDescent="0.2">
      <c r="A263" s="1434"/>
      <c r="B263" s="63"/>
      <c r="C263" s="6"/>
      <c r="D263" s="1071" t="s">
        <v>3350</v>
      </c>
      <c r="E263" s="1065">
        <v>0</v>
      </c>
      <c r="F263" s="1065">
        <v>0</v>
      </c>
      <c r="G263" s="1065">
        <v>0</v>
      </c>
      <c r="H263" s="1065">
        <v>0</v>
      </c>
      <c r="I263" s="1065">
        <v>0</v>
      </c>
      <c r="J263" s="1065">
        <v>0</v>
      </c>
      <c r="K263" s="1065">
        <v>0</v>
      </c>
      <c r="L263" s="1065">
        <v>0</v>
      </c>
      <c r="M263" s="1065">
        <v>0</v>
      </c>
      <c r="N263" s="1065">
        <v>0</v>
      </c>
      <c r="O263" s="162" t="s">
        <v>3351</v>
      </c>
      <c r="P263" s="12"/>
      <c r="Q263" s="12"/>
      <c r="R263" s="12"/>
      <c r="S263" s="12"/>
      <c r="T263" s="12"/>
      <c r="U263" s="12"/>
      <c r="V263" s="12"/>
      <c r="W263" s="12"/>
      <c r="X263" s="12"/>
      <c r="Y263" s="12"/>
      <c r="Z263" s="12"/>
      <c r="AA263" s="12"/>
      <c r="AB263" s="12"/>
      <c r="AC263" s="12"/>
      <c r="AD263" s="12"/>
      <c r="AE263" s="12"/>
      <c r="AF263" s="12"/>
      <c r="AG263" s="18"/>
    </row>
    <row r="264" spans="1:33" customFormat="1" hidden="1" outlineLevel="1" x14ac:dyDescent="0.2">
      <c r="A264" s="1434"/>
      <c r="B264" s="63"/>
      <c r="C264" s="6"/>
      <c r="D264" s="1071" t="s">
        <v>3352</v>
      </c>
      <c r="E264" s="1065">
        <v>0.3</v>
      </c>
      <c r="F264" s="1065">
        <v>0.3</v>
      </c>
      <c r="G264" s="1065">
        <v>0.3</v>
      </c>
      <c r="H264" s="1065">
        <v>0.3</v>
      </c>
      <c r="I264" s="1065">
        <v>0.3</v>
      </c>
      <c r="J264" s="1065">
        <v>0.3</v>
      </c>
      <c r="K264" s="1065">
        <v>0.3</v>
      </c>
      <c r="L264" s="1065">
        <v>0.3</v>
      </c>
      <c r="M264" s="1065">
        <v>0.3</v>
      </c>
      <c r="N264" s="1065">
        <v>0.3</v>
      </c>
      <c r="O264" s="162" t="s">
        <v>3353</v>
      </c>
      <c r="P264" s="12"/>
      <c r="Q264" s="12"/>
      <c r="R264" s="12"/>
      <c r="S264" s="12"/>
      <c r="T264" s="12"/>
      <c r="U264" s="12"/>
      <c r="V264" s="12"/>
      <c r="W264" s="12"/>
      <c r="X264" s="12"/>
      <c r="Y264" s="12"/>
      <c r="Z264" s="12"/>
      <c r="AA264" s="12"/>
      <c r="AB264" s="12"/>
      <c r="AC264" s="12"/>
      <c r="AD264" s="12"/>
      <c r="AE264" s="12"/>
      <c r="AF264" s="12"/>
      <c r="AG264" s="18"/>
    </row>
    <row r="265" spans="1:33" customFormat="1" hidden="1" outlineLevel="1" x14ac:dyDescent="0.2">
      <c r="A265" s="1434"/>
      <c r="B265" s="63"/>
      <c r="C265" s="6"/>
      <c r="D265" s="1071" t="s">
        <v>3354</v>
      </c>
      <c r="E265" s="1065">
        <v>0.4</v>
      </c>
      <c r="F265" s="1065">
        <v>0.4</v>
      </c>
      <c r="G265" s="1065">
        <v>0.4</v>
      </c>
      <c r="H265" s="1065">
        <v>0.4</v>
      </c>
      <c r="I265" s="1065">
        <v>0.4</v>
      </c>
      <c r="J265" s="1065">
        <v>0.4</v>
      </c>
      <c r="K265" s="1065">
        <v>0.4</v>
      </c>
      <c r="L265" s="1065">
        <v>0.4</v>
      </c>
      <c r="M265" s="1065">
        <v>0.4</v>
      </c>
      <c r="N265" s="1065">
        <v>0.4</v>
      </c>
      <c r="O265" s="162" t="s">
        <v>3355</v>
      </c>
      <c r="P265" s="12"/>
      <c r="Q265" s="12"/>
      <c r="R265" s="12"/>
      <c r="S265" s="12"/>
      <c r="T265" s="12"/>
      <c r="U265" s="12"/>
      <c r="V265" s="12"/>
      <c r="W265" s="12"/>
      <c r="X265" s="12"/>
      <c r="Y265" s="12"/>
      <c r="Z265" s="12"/>
      <c r="AA265" s="12"/>
      <c r="AB265" s="12"/>
      <c r="AC265" s="12"/>
      <c r="AD265" s="12"/>
      <c r="AE265" s="12"/>
      <c r="AF265" s="12"/>
      <c r="AG265" s="18"/>
    </row>
    <row r="266" spans="1:33" s="8" customFormat="1" hidden="1" outlineLevel="1" x14ac:dyDescent="0.2">
      <c r="A266" s="1434"/>
      <c r="B266" s="65"/>
      <c r="C266" s="98"/>
      <c r="D266" s="1072"/>
      <c r="E266" s="606"/>
      <c r="F266" s="606"/>
      <c r="G266" s="606"/>
      <c r="H266" s="606"/>
      <c r="I266" s="606"/>
      <c r="J266" s="606"/>
      <c r="K266" s="606"/>
      <c r="L266" s="606"/>
      <c r="M266" s="606"/>
      <c r="N266" s="606"/>
      <c r="O266" s="162"/>
      <c r="P266" s="23"/>
      <c r="Q266" s="23"/>
      <c r="R266" s="23"/>
      <c r="S266" s="23"/>
      <c r="T266" s="23"/>
      <c r="U266" s="23"/>
      <c r="V266" s="23"/>
      <c r="W266" s="23"/>
      <c r="X266" s="23"/>
      <c r="Y266" s="23"/>
      <c r="Z266" s="23"/>
      <c r="AA266" s="23"/>
      <c r="AB266" s="23"/>
      <c r="AC266" s="23"/>
      <c r="AD266" s="23"/>
      <c r="AE266" s="23"/>
      <c r="AF266" s="23"/>
      <c r="AG266" s="17"/>
    </row>
    <row r="267" spans="1:33" customFormat="1" ht="12" hidden="1" customHeight="1" outlineLevel="1" x14ac:dyDescent="0.2">
      <c r="A267" s="1434"/>
      <c r="B267" s="63"/>
      <c r="C267" s="13"/>
      <c r="D267" s="1073" t="s">
        <v>3356</v>
      </c>
      <c r="E267" s="1066">
        <f t="shared" ref="E267:N267" si="53">(1-eSystemsFTEPercentReductionWorstCasePLG)*pSystemsFTE_PLG</f>
        <v>50</v>
      </c>
      <c r="F267" s="1066">
        <f t="shared" si="53"/>
        <v>50</v>
      </c>
      <c r="G267" s="1066">
        <f t="shared" si="53"/>
        <v>50</v>
      </c>
      <c r="H267" s="1066">
        <f t="shared" si="53"/>
        <v>50</v>
      </c>
      <c r="I267" s="1066">
        <f t="shared" si="53"/>
        <v>50</v>
      </c>
      <c r="J267" s="1066">
        <f t="shared" si="53"/>
        <v>50</v>
      </c>
      <c r="K267" s="1066">
        <f t="shared" si="53"/>
        <v>50</v>
      </c>
      <c r="L267" s="1066">
        <f t="shared" si="53"/>
        <v>50</v>
      </c>
      <c r="M267" s="1066">
        <f t="shared" si="53"/>
        <v>50</v>
      </c>
      <c r="N267" s="1066">
        <f t="shared" si="53"/>
        <v>50</v>
      </c>
      <c r="O267" s="162" t="s">
        <v>3357</v>
      </c>
      <c r="P267" s="12"/>
      <c r="Q267" s="12"/>
      <c r="R267" s="12"/>
      <c r="S267" s="12"/>
      <c r="T267" s="12"/>
      <c r="U267" s="12"/>
      <c r="V267" s="12"/>
      <c r="W267" s="12"/>
      <c r="X267" s="12"/>
      <c r="Y267" s="12"/>
      <c r="Z267" s="12"/>
      <c r="AA267" s="12"/>
      <c r="AB267" s="12"/>
      <c r="AC267" s="12"/>
      <c r="AD267" s="12"/>
      <c r="AE267" s="12"/>
      <c r="AF267" s="12"/>
      <c r="AG267" s="18"/>
    </row>
    <row r="268" spans="1:33" customFormat="1" ht="12" hidden="1" customHeight="1" outlineLevel="1" x14ac:dyDescent="0.2">
      <c r="A268" s="1434"/>
      <c r="B268" s="63"/>
      <c r="C268" s="13"/>
      <c r="D268" s="1073" t="s">
        <v>3358</v>
      </c>
      <c r="E268" s="1066">
        <f t="shared" ref="E268:N268" si="54">(1-eSystemsFTEPercentReductionMostLikelyPLG)*pSystemsFTE_PLG</f>
        <v>35</v>
      </c>
      <c r="F268" s="1066">
        <f t="shared" si="54"/>
        <v>35</v>
      </c>
      <c r="G268" s="1066">
        <f t="shared" si="54"/>
        <v>35</v>
      </c>
      <c r="H268" s="1066">
        <f t="shared" si="54"/>
        <v>35</v>
      </c>
      <c r="I268" s="1066">
        <f t="shared" si="54"/>
        <v>35</v>
      </c>
      <c r="J268" s="1066">
        <f t="shared" si="54"/>
        <v>35</v>
      </c>
      <c r="K268" s="1066">
        <f t="shared" si="54"/>
        <v>35</v>
      </c>
      <c r="L268" s="1066">
        <f t="shared" si="54"/>
        <v>35</v>
      </c>
      <c r="M268" s="1066">
        <f t="shared" si="54"/>
        <v>35</v>
      </c>
      <c r="N268" s="1066">
        <f t="shared" si="54"/>
        <v>35</v>
      </c>
      <c r="O268" s="162" t="s">
        <v>3359</v>
      </c>
      <c r="P268" s="12"/>
      <c r="Q268" s="12"/>
      <c r="R268" s="12"/>
      <c r="S268" s="12"/>
      <c r="T268" s="12"/>
      <c r="U268" s="12"/>
      <c r="V268" s="12"/>
      <c r="W268" s="12"/>
      <c r="X268" s="12"/>
      <c r="Y268" s="12"/>
      <c r="Z268" s="12"/>
      <c r="AA268" s="12"/>
      <c r="AB268" s="12"/>
      <c r="AC268" s="12"/>
      <c r="AD268" s="12"/>
      <c r="AE268" s="12"/>
      <c r="AF268" s="12"/>
      <c r="AG268" s="18"/>
    </row>
    <row r="269" spans="1:33" customFormat="1" ht="12" hidden="1" customHeight="1" outlineLevel="1" x14ac:dyDescent="0.2">
      <c r="A269" s="1434"/>
      <c r="B269" s="63"/>
      <c r="C269" s="13"/>
      <c r="D269" s="1073" t="s">
        <v>3360</v>
      </c>
      <c r="E269" s="1066">
        <f t="shared" ref="E269:N269" si="55">(1-eSystemsFTEPercentReductionBestCasePLG)*pSystemsFTE_PLG</f>
        <v>30</v>
      </c>
      <c r="F269" s="1066">
        <f t="shared" si="55"/>
        <v>30</v>
      </c>
      <c r="G269" s="1066">
        <f t="shared" si="55"/>
        <v>30</v>
      </c>
      <c r="H269" s="1066">
        <f t="shared" si="55"/>
        <v>30</v>
      </c>
      <c r="I269" s="1066">
        <f t="shared" si="55"/>
        <v>30</v>
      </c>
      <c r="J269" s="1066">
        <f t="shared" si="55"/>
        <v>30</v>
      </c>
      <c r="K269" s="1066">
        <f t="shared" si="55"/>
        <v>30</v>
      </c>
      <c r="L269" s="1066">
        <f t="shared" si="55"/>
        <v>30</v>
      </c>
      <c r="M269" s="1066">
        <f t="shared" si="55"/>
        <v>30</v>
      </c>
      <c r="N269" s="1066">
        <f t="shared" si="55"/>
        <v>30</v>
      </c>
      <c r="O269" s="162" t="s">
        <v>3361</v>
      </c>
      <c r="P269" s="12"/>
      <c r="Q269" s="12"/>
      <c r="R269" s="12"/>
      <c r="S269" s="12"/>
      <c r="T269" s="12"/>
      <c r="U269" s="12"/>
      <c r="V269" s="12"/>
      <c r="W269" s="12"/>
      <c r="X269" s="12"/>
      <c r="Y269" s="12"/>
      <c r="Z269" s="12"/>
      <c r="AA269" s="12"/>
      <c r="AB269" s="12"/>
      <c r="AC269" s="12"/>
      <c r="AD269" s="12"/>
      <c r="AE269" s="12"/>
      <c r="AF269" s="12"/>
      <c r="AG269" s="18"/>
    </row>
    <row r="270" spans="1:33" s="8" customFormat="1" ht="12" hidden="1" customHeight="1" outlineLevel="1" x14ac:dyDescent="0.2">
      <c r="A270" s="1434"/>
      <c r="B270" s="65"/>
      <c r="C270" s="50"/>
      <c r="D270" s="1074"/>
      <c r="E270" s="440"/>
      <c r="F270" s="440"/>
      <c r="G270" s="440"/>
      <c r="H270" s="440"/>
      <c r="I270" s="440"/>
      <c r="J270" s="440"/>
      <c r="K270" s="440"/>
      <c r="L270" s="440"/>
      <c r="M270" s="440"/>
      <c r="N270" s="440"/>
      <c r="O270" s="1067"/>
      <c r="P270" s="23"/>
      <c r="Q270" s="23"/>
      <c r="R270" s="23"/>
      <c r="S270" s="23"/>
      <c r="T270" s="23"/>
      <c r="U270" s="23"/>
      <c r="V270" s="23"/>
      <c r="W270" s="23"/>
      <c r="X270" s="23"/>
      <c r="Y270" s="23"/>
      <c r="Z270" s="23"/>
      <c r="AA270" s="23"/>
      <c r="AB270" s="23"/>
      <c r="AC270" s="23"/>
      <c r="AD270" s="23"/>
      <c r="AE270" s="23"/>
      <c r="AF270" s="23"/>
      <c r="AG270" s="17"/>
    </row>
    <row r="271" spans="1:33" customFormat="1" ht="12" hidden="1" customHeight="1" outlineLevel="1" x14ac:dyDescent="0.2">
      <c r="A271" s="1434"/>
      <c r="B271" s="63"/>
      <c r="C271" s="13"/>
      <c r="D271" s="1073" t="s">
        <v>3362</v>
      </c>
      <c r="E271" s="602">
        <f>(AnnualBurdenedSalaryPLG*eSystemsFTECalcResultWorstCasePLG)</f>
        <v>5923437.5</v>
      </c>
      <c r="F271" s="602">
        <f>(AnnualBurdenedSalaryPLG*eSystemsFTECalcResultWorstCasePLG)*(1+Inflation)</f>
        <v>6041906.25</v>
      </c>
      <c r="G271" s="602">
        <f>(AnnualBurdenedSalaryPLG*eSystemsFTECalcResultWorstCasePLG)*(1+Inflation)^2</f>
        <v>6162744.375</v>
      </c>
      <c r="H271" s="602">
        <f>(AnnualBurdenedSalaryPLG*eSystemsFTECalcResultWorstCasePLG)*(1+Inflation)^3</f>
        <v>6285999.2624999993</v>
      </c>
      <c r="I271" s="602">
        <f>(AnnualBurdenedSalaryPLG*eSystemsFTECalcResultWorstCasePLG)*(1+Inflation)^4</f>
        <v>6411719.2477500001</v>
      </c>
      <c r="J271" s="602">
        <f>(AnnualBurdenedSalaryPLG*eSystemsFTECalcResultWorstCasePLG)*(1+Inflation)^5</f>
        <v>6539953.6327050002</v>
      </c>
      <c r="K271" s="602">
        <f>(AnnualBurdenedSalaryPLG*eSystemsFTECalcResultWorstCasePLG)*(1+Inflation)^6</f>
        <v>6670752.7053591004</v>
      </c>
      <c r="L271" s="602">
        <f>(AnnualBurdenedSalaryPLG*eSystemsFTECalcResultWorstCasePLG)*(1+Inflation)^7</f>
        <v>6804167.7594662812</v>
      </c>
      <c r="M271" s="602">
        <f>(AnnualBurdenedSalaryPLG*eSystemsFTECalcResultWorstCasePLG)*(1+Inflation)^8</f>
        <v>6940251.1146556074</v>
      </c>
      <c r="N271" s="602">
        <f>(AnnualBurdenedSalaryPLG*eSystemsFTECalcResultWorstCasePLG)*(1+Inflation)^9</f>
        <v>7079056.1369487196</v>
      </c>
      <c r="O271" s="162" t="s">
        <v>3363</v>
      </c>
      <c r="P271" s="12"/>
      <c r="Q271" s="12"/>
      <c r="R271" s="12"/>
      <c r="S271" s="12"/>
      <c r="T271" s="12"/>
      <c r="U271" s="12"/>
      <c r="V271" s="12"/>
      <c r="W271" s="12"/>
      <c r="X271" s="12"/>
      <c r="Y271" s="12"/>
      <c r="Z271" s="12"/>
      <c r="AA271" s="12"/>
      <c r="AB271" s="12"/>
      <c r="AC271" s="12"/>
      <c r="AD271" s="12"/>
      <c r="AE271" s="12"/>
      <c r="AF271" s="12"/>
      <c r="AG271" s="18"/>
    </row>
    <row r="272" spans="1:33" customFormat="1" ht="12" hidden="1" customHeight="1" outlineLevel="1" x14ac:dyDescent="0.2">
      <c r="A272" s="1434"/>
      <c r="B272" s="63"/>
      <c r="C272" s="13"/>
      <c r="D272" s="1073" t="s">
        <v>3364</v>
      </c>
      <c r="E272" s="602">
        <f>(AnnualBurdenedSalaryPLG*eSystemsFTECalcResultMostLikelyPLG)</f>
        <v>4146406.25</v>
      </c>
      <c r="F272" s="602">
        <f>(AnnualBurdenedSalaryPLG*eSystemsFTECalcResultMostLikelyPLG)*(1+Inflation)</f>
        <v>4229334.375</v>
      </c>
      <c r="G272" s="602">
        <f>(AnnualBurdenedSalaryPLG*eSystemsFTECalcResultMostLikelyPLG)*(1+Inflation)^2</f>
        <v>4313921.0625</v>
      </c>
      <c r="H272" s="602">
        <f>(AnnualBurdenedSalaryPLG*eSystemsFTECalcResultMostLikelyPLG)*(1+Inflation)^3</f>
        <v>4400199.4837499997</v>
      </c>
      <c r="I272" s="602">
        <f>(AnnualBurdenedSalaryPLG*eSystemsFTECalcResultMostLikelyPLG)*(1+Inflation)^4</f>
        <v>4488203.473425</v>
      </c>
      <c r="J272" s="602">
        <f>(AnnualBurdenedSalaryPLG*eSystemsFTECalcResultMostLikelyPLG)*(1+Inflation)^5</f>
        <v>4577967.5428935001</v>
      </c>
      <c r="K272" s="602">
        <f>(AnnualBurdenedSalaryPLG*eSystemsFTECalcResultMostLikelyPLG)*(1+Inflation)^6</f>
        <v>4669526.8937513707</v>
      </c>
      <c r="L272" s="602">
        <f>(AnnualBurdenedSalaryPLG*eSystemsFTECalcResultMostLikelyPLG)*(1+Inflation)^7</f>
        <v>4762917.4316263963</v>
      </c>
      <c r="M272" s="602">
        <f>(AnnualBurdenedSalaryPLG*eSystemsFTECalcResultMostLikelyPLG)*(1+Inflation)^8</f>
        <v>4858175.7802589247</v>
      </c>
      <c r="N272" s="602">
        <f>(AnnualBurdenedSalaryPLG*eSystemsFTECalcResultMostLikelyPLG)*(1+Inflation)^9</f>
        <v>4955339.2958641034</v>
      </c>
      <c r="O272" s="162" t="s">
        <v>3365</v>
      </c>
      <c r="P272" s="12"/>
      <c r="Q272" s="12"/>
      <c r="R272" s="12"/>
      <c r="S272" s="12"/>
      <c r="T272" s="12"/>
      <c r="U272" s="12"/>
      <c r="V272" s="12"/>
      <c r="W272" s="12"/>
      <c r="X272" s="12"/>
      <c r="Y272" s="12"/>
      <c r="Z272" s="12"/>
      <c r="AA272" s="12"/>
      <c r="AB272" s="12"/>
      <c r="AC272" s="12"/>
      <c r="AD272" s="12"/>
      <c r="AE272" s="12"/>
      <c r="AF272" s="12"/>
      <c r="AG272" s="18"/>
    </row>
    <row r="273" spans="1:33" customFormat="1" ht="12" hidden="1" customHeight="1" outlineLevel="1" x14ac:dyDescent="0.2">
      <c r="A273" s="1434"/>
      <c r="B273" s="63"/>
      <c r="C273" s="13"/>
      <c r="D273" s="1073" t="s">
        <v>3366</v>
      </c>
      <c r="E273" s="602">
        <f>(AnnualBurdenedSalaryPLG*eSystemsFTECalcResultBestCasePLG)</f>
        <v>3554062.5</v>
      </c>
      <c r="F273" s="602">
        <f>(AnnualBurdenedSalaryPLG*eSystemsFTECalcResultBestCasePLG)*(1+Inflation)</f>
        <v>3625143.75</v>
      </c>
      <c r="G273" s="602">
        <f>(AnnualBurdenedSalaryPLG*eSystemsFTECalcResultBestCasePLG)*(1+Inflation)^2</f>
        <v>3697646.625</v>
      </c>
      <c r="H273" s="602">
        <f>(AnnualBurdenedSalaryPLG*eSystemsFTECalcResultBestCasePLG)*(1+Inflation)^3</f>
        <v>3771599.5574999996</v>
      </c>
      <c r="I273" s="602">
        <f>(AnnualBurdenedSalaryPLG*eSystemsFTECalcResultBestCasePLG)*(1+Inflation)^4</f>
        <v>3847031.5486499998</v>
      </c>
      <c r="J273" s="602">
        <f>(AnnualBurdenedSalaryPLG*eSystemsFTECalcResultBestCasePLG)*(1+Inflation)^5</f>
        <v>3923972.1796229999</v>
      </c>
      <c r="K273" s="602">
        <f>(AnnualBurdenedSalaryPLG*eSystemsFTECalcResultBestCasePLG)*(1+Inflation)^6</f>
        <v>4002451.6232154602</v>
      </c>
      <c r="L273" s="602">
        <f>(AnnualBurdenedSalaryPLG*eSystemsFTECalcResultBestCasePLG)*(1+Inflation)^7</f>
        <v>4082500.6556797684</v>
      </c>
      <c r="M273" s="602">
        <f>(AnnualBurdenedSalaryPLG*eSystemsFTECalcResultBestCasePLG)*(1+Inflation)^8</f>
        <v>4164150.6687933644</v>
      </c>
      <c r="N273" s="602">
        <f>(AnnualBurdenedSalaryPLG*eSystemsFTECalcResultBestCasePLG)*(1+Inflation)^9</f>
        <v>4247433.6821692316</v>
      </c>
      <c r="O273" s="162" t="s">
        <v>3367</v>
      </c>
      <c r="P273" s="12"/>
      <c r="Q273" s="12"/>
      <c r="R273" s="12"/>
      <c r="S273" s="12"/>
      <c r="T273" s="12"/>
      <c r="U273" s="12"/>
      <c r="V273" s="12"/>
      <c r="W273" s="12"/>
      <c r="X273" s="12"/>
      <c r="Y273" s="12"/>
      <c r="Z273" s="12"/>
      <c r="AA273" s="12"/>
      <c r="AB273" s="12"/>
      <c r="AC273" s="12"/>
      <c r="AD273" s="12"/>
      <c r="AE273" s="12"/>
      <c r="AF273" s="12"/>
      <c r="AG273" s="18"/>
    </row>
    <row r="274" spans="1:33" s="8" customFormat="1" ht="12" hidden="1" customHeight="1" outlineLevel="1" x14ac:dyDescent="0.2">
      <c r="A274" s="1434"/>
      <c r="B274" s="65"/>
      <c r="C274" s="50"/>
      <c r="D274" s="1074"/>
      <c r="E274" s="440"/>
      <c r="F274" s="440"/>
      <c r="G274" s="440"/>
      <c r="H274" s="440"/>
      <c r="I274" s="440"/>
      <c r="J274" s="440"/>
      <c r="K274" s="440"/>
      <c r="L274" s="440"/>
      <c r="M274" s="440"/>
      <c r="N274" s="440"/>
      <c r="O274" s="642"/>
      <c r="P274" s="23"/>
      <c r="Q274" s="23"/>
      <c r="R274" s="23"/>
      <c r="S274" s="23"/>
      <c r="T274" s="23"/>
      <c r="U274" s="23"/>
      <c r="V274" s="23"/>
      <c r="W274" s="23"/>
      <c r="X274" s="23"/>
      <c r="Y274" s="23"/>
      <c r="Z274" s="23"/>
      <c r="AA274" s="23"/>
      <c r="AB274" s="23"/>
      <c r="AC274" s="23"/>
      <c r="AD274" s="23"/>
      <c r="AE274" s="23"/>
      <c r="AF274" s="23"/>
      <c r="AG274" s="17"/>
    </row>
    <row r="275" spans="1:33" customFormat="1" hidden="1" outlineLevel="1" x14ac:dyDescent="0.2">
      <c r="A275" s="1434"/>
      <c r="B275" s="63"/>
      <c r="C275" s="6"/>
      <c r="D275" s="1071" t="s">
        <v>3368</v>
      </c>
      <c r="E275" s="1065">
        <v>0</v>
      </c>
      <c r="F275" s="1065">
        <v>0</v>
      </c>
      <c r="G275" s="1065">
        <v>0</v>
      </c>
      <c r="H275" s="1065">
        <v>0</v>
      </c>
      <c r="I275" s="1065">
        <v>0</v>
      </c>
      <c r="J275" s="1065">
        <v>0</v>
      </c>
      <c r="K275" s="1065">
        <v>0</v>
      </c>
      <c r="L275" s="1065">
        <v>0</v>
      </c>
      <c r="M275" s="1065">
        <v>0</v>
      </c>
      <c r="N275" s="1065">
        <v>0</v>
      </c>
      <c r="O275" s="162" t="s">
        <v>3369</v>
      </c>
      <c r="P275" s="12"/>
      <c r="Q275" s="12"/>
      <c r="R275" s="12"/>
      <c r="S275" s="12"/>
      <c r="T275" s="12"/>
      <c r="U275" s="12"/>
      <c r="V275" s="12"/>
      <c r="W275" s="12"/>
      <c r="X275" s="12"/>
      <c r="Y275" s="12"/>
      <c r="Z275" s="12"/>
      <c r="AA275" s="12"/>
      <c r="AB275" s="12"/>
      <c r="AC275" s="12"/>
      <c r="AD275" s="12"/>
      <c r="AE275" s="12"/>
      <c r="AF275" s="12"/>
      <c r="AG275" s="18"/>
    </row>
    <row r="276" spans="1:33" customFormat="1" hidden="1" outlineLevel="1" x14ac:dyDescent="0.2">
      <c r="A276" s="1434"/>
      <c r="B276" s="63"/>
      <c r="C276" s="6"/>
      <c r="D276" s="1071" t="s">
        <v>3370</v>
      </c>
      <c r="E276" s="1065">
        <v>0.6</v>
      </c>
      <c r="F276" s="1065">
        <v>0.6</v>
      </c>
      <c r="G276" s="1065">
        <v>0.6</v>
      </c>
      <c r="H276" s="1065">
        <v>0.6</v>
      </c>
      <c r="I276" s="1065">
        <v>0.6</v>
      </c>
      <c r="J276" s="1065">
        <v>0.6</v>
      </c>
      <c r="K276" s="1065">
        <v>0.6</v>
      </c>
      <c r="L276" s="1065">
        <v>0.6</v>
      </c>
      <c r="M276" s="1065">
        <v>0.6</v>
      </c>
      <c r="N276" s="1065">
        <v>0.6</v>
      </c>
      <c r="O276" s="162" t="s">
        <v>3371</v>
      </c>
      <c r="P276" s="12"/>
      <c r="Q276" s="12"/>
      <c r="R276" s="12"/>
      <c r="S276" s="12"/>
      <c r="T276" s="12"/>
      <c r="U276" s="12"/>
      <c r="V276" s="12"/>
      <c r="W276" s="12"/>
      <c r="X276" s="12"/>
      <c r="Y276" s="12"/>
      <c r="Z276" s="12"/>
      <c r="AA276" s="12"/>
      <c r="AB276" s="12"/>
      <c r="AC276" s="12"/>
      <c r="AD276" s="12"/>
      <c r="AE276" s="12"/>
      <c r="AF276" s="12"/>
      <c r="AG276" s="18"/>
    </row>
    <row r="277" spans="1:33" customFormat="1" hidden="1" outlineLevel="1" x14ac:dyDescent="0.2">
      <c r="A277" s="1434"/>
      <c r="B277" s="63"/>
      <c r="C277" s="6"/>
      <c r="D277" s="1071" t="s">
        <v>3372</v>
      </c>
      <c r="E277" s="1065">
        <v>0.8</v>
      </c>
      <c r="F277" s="1065">
        <v>0.8</v>
      </c>
      <c r="G277" s="1065">
        <v>0.8</v>
      </c>
      <c r="H277" s="1065">
        <v>0.8</v>
      </c>
      <c r="I277" s="1065">
        <v>0.8</v>
      </c>
      <c r="J277" s="1065">
        <v>0.8</v>
      </c>
      <c r="K277" s="1065">
        <v>0.8</v>
      </c>
      <c r="L277" s="1065">
        <v>0.8</v>
      </c>
      <c r="M277" s="1065">
        <v>0.8</v>
      </c>
      <c r="N277" s="1065">
        <v>0.8</v>
      </c>
      <c r="O277" s="162" t="s">
        <v>3373</v>
      </c>
      <c r="P277" s="12"/>
      <c r="Q277" s="12"/>
      <c r="R277" s="12"/>
      <c r="S277" s="12"/>
      <c r="T277" s="12"/>
      <c r="U277" s="12"/>
      <c r="V277" s="12"/>
      <c r="W277" s="12"/>
      <c r="X277" s="12"/>
      <c r="Y277" s="12"/>
      <c r="Z277" s="12"/>
      <c r="AA277" s="12"/>
      <c r="AB277" s="12"/>
      <c r="AC277" s="12"/>
      <c r="AD277" s="12"/>
      <c r="AE277" s="12"/>
      <c r="AF277" s="12"/>
      <c r="AG277" s="18"/>
    </row>
    <row r="278" spans="1:33" s="8" customFormat="1" hidden="1" outlineLevel="1" x14ac:dyDescent="0.2">
      <c r="A278" s="1434"/>
      <c r="B278" s="65"/>
      <c r="C278" s="98"/>
      <c r="D278" s="1072"/>
      <c r="E278" s="606"/>
      <c r="F278" s="606"/>
      <c r="G278" s="606"/>
      <c r="H278" s="606"/>
      <c r="I278" s="606"/>
      <c r="J278" s="606"/>
      <c r="K278" s="606"/>
      <c r="L278" s="606"/>
      <c r="M278" s="606"/>
      <c r="N278" s="606"/>
      <c r="O278" s="162"/>
      <c r="P278" s="23"/>
      <c r="Q278" s="23"/>
      <c r="R278" s="23"/>
      <c r="S278" s="23"/>
      <c r="T278" s="23"/>
      <c r="U278" s="23"/>
      <c r="V278" s="23"/>
      <c r="W278" s="23"/>
      <c r="X278" s="23"/>
      <c r="Y278" s="23"/>
      <c r="Z278" s="23"/>
      <c r="AA278" s="23"/>
      <c r="AB278" s="23"/>
      <c r="AC278" s="23"/>
      <c r="AD278" s="23"/>
      <c r="AE278" s="23"/>
      <c r="AF278" s="23"/>
      <c r="AG278" s="17"/>
    </row>
    <row r="279" spans="1:33" customFormat="1" ht="12" hidden="1" customHeight="1" outlineLevel="1" x14ac:dyDescent="0.2">
      <c r="A279" s="1434"/>
      <c r="B279" s="63"/>
      <c r="C279" s="13"/>
      <c r="D279" s="1073" t="s">
        <v>3374</v>
      </c>
      <c r="E279" s="1066">
        <f t="shared" ref="E279:N279" si="56">(1-eSystemsFTEPercentReductionWorstCaseCRT)*pSystemsFTE_CRT</f>
        <v>60</v>
      </c>
      <c r="F279" s="1066">
        <f t="shared" si="56"/>
        <v>60</v>
      </c>
      <c r="G279" s="1066">
        <f t="shared" si="56"/>
        <v>60</v>
      </c>
      <c r="H279" s="1066">
        <f t="shared" si="56"/>
        <v>60</v>
      </c>
      <c r="I279" s="1066">
        <f t="shared" si="56"/>
        <v>60</v>
      </c>
      <c r="J279" s="1066">
        <f t="shared" si="56"/>
        <v>60</v>
      </c>
      <c r="K279" s="1066">
        <f t="shared" si="56"/>
        <v>60</v>
      </c>
      <c r="L279" s="1066">
        <f t="shared" si="56"/>
        <v>60</v>
      </c>
      <c r="M279" s="1066">
        <f t="shared" si="56"/>
        <v>60</v>
      </c>
      <c r="N279" s="1066">
        <f t="shared" si="56"/>
        <v>60</v>
      </c>
      <c r="O279" s="162" t="s">
        <v>3375</v>
      </c>
      <c r="P279" s="12"/>
      <c r="Q279" s="12"/>
      <c r="R279" s="12"/>
      <c r="S279" s="12"/>
      <c r="T279" s="12"/>
      <c r="U279" s="12"/>
      <c r="V279" s="12"/>
      <c r="W279" s="12"/>
      <c r="X279" s="12"/>
      <c r="Y279" s="12"/>
      <c r="Z279" s="12"/>
      <c r="AA279" s="12"/>
      <c r="AB279" s="12"/>
      <c r="AC279" s="12"/>
      <c r="AD279" s="12"/>
      <c r="AE279" s="12"/>
      <c r="AF279" s="12"/>
      <c r="AG279" s="18"/>
    </row>
    <row r="280" spans="1:33" customFormat="1" ht="12" hidden="1" customHeight="1" outlineLevel="1" x14ac:dyDescent="0.2">
      <c r="A280" s="1434"/>
      <c r="B280" s="63"/>
      <c r="C280" s="13"/>
      <c r="D280" s="1073" t="s">
        <v>3376</v>
      </c>
      <c r="E280" s="1066">
        <f t="shared" ref="E280:N280" si="57">(1-eSystemsFTEPercentReductionMostLikelyCRT)*pSystemsFTE_CRT</f>
        <v>24</v>
      </c>
      <c r="F280" s="1066">
        <f t="shared" si="57"/>
        <v>24</v>
      </c>
      <c r="G280" s="1066">
        <f t="shared" si="57"/>
        <v>24</v>
      </c>
      <c r="H280" s="1066">
        <f t="shared" si="57"/>
        <v>24</v>
      </c>
      <c r="I280" s="1066">
        <f t="shared" si="57"/>
        <v>24</v>
      </c>
      <c r="J280" s="1066">
        <f t="shared" si="57"/>
        <v>24</v>
      </c>
      <c r="K280" s="1066">
        <f t="shared" si="57"/>
        <v>24</v>
      </c>
      <c r="L280" s="1066">
        <f t="shared" si="57"/>
        <v>24</v>
      </c>
      <c r="M280" s="1066">
        <f t="shared" si="57"/>
        <v>24</v>
      </c>
      <c r="N280" s="1066">
        <f t="shared" si="57"/>
        <v>24</v>
      </c>
      <c r="O280" s="162" t="s">
        <v>3377</v>
      </c>
      <c r="P280" s="12"/>
      <c r="Q280" s="12"/>
      <c r="R280" s="12"/>
      <c r="S280" s="12"/>
      <c r="T280" s="12"/>
      <c r="U280" s="12"/>
      <c r="V280" s="12"/>
      <c r="W280" s="12"/>
      <c r="X280" s="12"/>
      <c r="Y280" s="12"/>
      <c r="Z280" s="12"/>
      <c r="AA280" s="12"/>
      <c r="AB280" s="12"/>
      <c r="AC280" s="12"/>
      <c r="AD280" s="12"/>
      <c r="AE280" s="12"/>
      <c r="AF280" s="12"/>
      <c r="AG280" s="18"/>
    </row>
    <row r="281" spans="1:33" customFormat="1" ht="12" hidden="1" customHeight="1" outlineLevel="1" x14ac:dyDescent="0.2">
      <c r="A281" s="1434"/>
      <c r="B281" s="63"/>
      <c r="C281" s="13"/>
      <c r="D281" s="1073" t="s">
        <v>3378</v>
      </c>
      <c r="E281" s="1066">
        <f t="shared" ref="E281:N281" si="58">(1-eSystemsFTEPercentReductionBestCaseCRT)*pSystemsFTE_CRT</f>
        <v>11.999999999999996</v>
      </c>
      <c r="F281" s="1066">
        <f t="shared" si="58"/>
        <v>11.999999999999996</v>
      </c>
      <c r="G281" s="1066">
        <f t="shared" si="58"/>
        <v>11.999999999999996</v>
      </c>
      <c r="H281" s="1066">
        <f t="shared" si="58"/>
        <v>11.999999999999996</v>
      </c>
      <c r="I281" s="1066">
        <f t="shared" si="58"/>
        <v>11.999999999999996</v>
      </c>
      <c r="J281" s="1066">
        <f t="shared" si="58"/>
        <v>11.999999999999996</v>
      </c>
      <c r="K281" s="1066">
        <f t="shared" si="58"/>
        <v>11.999999999999996</v>
      </c>
      <c r="L281" s="1066">
        <f t="shared" si="58"/>
        <v>11.999999999999996</v>
      </c>
      <c r="M281" s="1066">
        <f t="shared" si="58"/>
        <v>11.999999999999996</v>
      </c>
      <c r="N281" s="1066">
        <f t="shared" si="58"/>
        <v>11.999999999999996</v>
      </c>
      <c r="O281" s="162" t="s">
        <v>3379</v>
      </c>
      <c r="P281" s="12"/>
      <c r="Q281" s="12"/>
      <c r="R281" s="12"/>
      <c r="S281" s="12"/>
      <c r="T281" s="12"/>
      <c r="U281" s="12"/>
      <c r="V281" s="12"/>
      <c r="W281" s="12"/>
      <c r="X281" s="12"/>
      <c r="Y281" s="12"/>
      <c r="Z281" s="12"/>
      <c r="AA281" s="12"/>
      <c r="AB281" s="12"/>
      <c r="AC281" s="12"/>
      <c r="AD281" s="12"/>
      <c r="AE281" s="12"/>
      <c r="AF281" s="12"/>
      <c r="AG281" s="18"/>
    </row>
    <row r="282" spans="1:33" s="8" customFormat="1" ht="12" hidden="1" customHeight="1" outlineLevel="1" x14ac:dyDescent="0.2">
      <c r="A282" s="1434"/>
      <c r="B282" s="65"/>
      <c r="C282" s="50"/>
      <c r="D282" s="1074"/>
      <c r="E282" s="440"/>
      <c r="F282" s="440"/>
      <c r="G282" s="440"/>
      <c r="H282" s="440"/>
      <c r="I282" s="440"/>
      <c r="J282" s="440"/>
      <c r="K282" s="440"/>
      <c r="L282" s="440"/>
      <c r="M282" s="440"/>
      <c r="N282" s="440"/>
      <c r="O282" s="1067"/>
      <c r="P282" s="23"/>
      <c r="Q282" s="23"/>
      <c r="R282" s="23"/>
      <c r="S282" s="23"/>
      <c r="T282" s="23"/>
      <c r="U282" s="23"/>
      <c r="V282" s="23"/>
      <c r="W282" s="23"/>
      <c r="X282" s="23"/>
      <c r="Y282" s="23"/>
      <c r="Z282" s="23"/>
      <c r="AA282" s="23"/>
      <c r="AB282" s="23"/>
      <c r="AC282" s="23"/>
      <c r="AD282" s="23"/>
      <c r="AE282" s="23"/>
      <c r="AF282" s="23"/>
      <c r="AG282" s="17"/>
    </row>
    <row r="283" spans="1:33" customFormat="1" ht="12" hidden="1" customHeight="1" outlineLevel="1" x14ac:dyDescent="0.2">
      <c r="A283" s="1434"/>
      <c r="B283" s="63"/>
      <c r="C283" s="13"/>
      <c r="D283" s="1073" t="s">
        <v>3380</v>
      </c>
      <c r="E283" s="602">
        <f>(AnnualBurdenedSalaryCRT*eSystemsFTECalcResultWorstCaseCRT)</f>
        <v>4181250</v>
      </c>
      <c r="F283" s="602">
        <f>(AnnualBurdenedSalaryCRT*eSystemsFTECalcResultWorstCaseCRT)*(1+Inflation)</f>
        <v>4264875</v>
      </c>
      <c r="G283" s="602">
        <f>(AnnualBurdenedSalaryCRT*eSystemsFTECalcResultWorstCaseCRT)*(1+Inflation)^2</f>
        <v>4350172.5</v>
      </c>
      <c r="H283" s="602">
        <f>(AnnualBurdenedSalaryCRT*eSystemsFTECalcResultWorstCaseCRT)*(1+Inflation)^3</f>
        <v>4437175.9499999993</v>
      </c>
      <c r="I283" s="602">
        <f>(AnnualBurdenedSalaryCRT*eSystemsFTECalcResultWorstCaseCRT)*(1+Inflation)^4</f>
        <v>4525919.4689999996</v>
      </c>
      <c r="J283" s="602">
        <f>(AnnualBurdenedSalaryCRT*eSystemsFTECalcResultWorstCaseCRT)*(1+Inflation)^5</f>
        <v>4616437.8583800001</v>
      </c>
      <c r="K283" s="602">
        <f>(AnnualBurdenedSalaryCRT*eSystemsFTECalcResultWorstCaseCRT)*(1+Inflation)^6</f>
        <v>4708766.6155476002</v>
      </c>
      <c r="L283" s="602">
        <f>(AnnualBurdenedSalaryCRT*eSystemsFTECalcResultWorstCaseCRT)*(1+Inflation)^7</f>
        <v>4802941.9478585515</v>
      </c>
      <c r="M283" s="602">
        <f>(AnnualBurdenedSalaryCRT*eSystemsFTECalcResultWorstCaseCRT)*(1+Inflation)^8</f>
        <v>4899000.7868157225</v>
      </c>
      <c r="N283" s="602">
        <f>(AnnualBurdenedSalaryCRT*eSystemsFTECalcResultWorstCaseCRT)*(1+Inflation)^9</f>
        <v>4996980.8025520369</v>
      </c>
      <c r="O283" s="162" t="s">
        <v>3381</v>
      </c>
      <c r="P283" s="12"/>
      <c r="Q283" s="12"/>
      <c r="R283" s="12"/>
      <c r="S283" s="12"/>
      <c r="T283" s="12"/>
      <c r="U283" s="12"/>
      <c r="V283" s="12"/>
      <c r="W283" s="12"/>
      <c r="X283" s="12"/>
      <c r="Y283" s="12"/>
      <c r="Z283" s="12"/>
      <c r="AA283" s="12"/>
      <c r="AB283" s="12"/>
      <c r="AC283" s="12"/>
      <c r="AD283" s="12"/>
      <c r="AE283" s="12"/>
      <c r="AF283" s="12"/>
      <c r="AG283" s="18"/>
    </row>
    <row r="284" spans="1:33" customFormat="1" ht="12" hidden="1" customHeight="1" outlineLevel="1" x14ac:dyDescent="0.2">
      <c r="A284" s="1434"/>
      <c r="B284" s="63"/>
      <c r="C284" s="13"/>
      <c r="D284" s="1073" t="s">
        <v>3382</v>
      </c>
      <c r="E284" s="602">
        <f>(AnnualBurdenedSalaryCRT*eSystemsFTECalcResultMostLikelyCRT)</f>
        <v>1672500</v>
      </c>
      <c r="F284" s="602">
        <f>(AnnualBurdenedSalaryCRT*eSystemsFTECalcResultMostLikelyCRT)*(1+Inflation)</f>
        <v>1705950</v>
      </c>
      <c r="G284" s="602">
        <f>(AnnualBurdenedSalaryCRT*eSystemsFTECalcResultMostLikelyCRT)*(1+Inflation)^2</f>
        <v>1740069</v>
      </c>
      <c r="H284" s="602">
        <f>(AnnualBurdenedSalaryCRT*eSystemsFTECalcResultMostLikelyCRT)*(1+Inflation)^3</f>
        <v>1774870.38</v>
      </c>
      <c r="I284" s="602">
        <f>(AnnualBurdenedSalaryCRT*eSystemsFTECalcResultMostLikelyCRT)*(1+Inflation)^4</f>
        <v>1810367.7875999999</v>
      </c>
      <c r="J284" s="602">
        <f>(AnnualBurdenedSalaryCRT*eSystemsFTECalcResultMostLikelyCRT)*(1+Inflation)^5</f>
        <v>1846575.143352</v>
      </c>
      <c r="K284" s="602">
        <f>(AnnualBurdenedSalaryCRT*eSystemsFTECalcResultMostLikelyCRT)*(1+Inflation)^6</f>
        <v>1883506.64621904</v>
      </c>
      <c r="L284" s="602">
        <f>(AnnualBurdenedSalaryCRT*eSystemsFTECalcResultMostLikelyCRT)*(1+Inflation)^7</f>
        <v>1921176.7791434205</v>
      </c>
      <c r="M284" s="602">
        <f>(AnnualBurdenedSalaryCRT*eSystemsFTECalcResultMostLikelyCRT)*(1+Inflation)^8</f>
        <v>1959600.3147262891</v>
      </c>
      <c r="N284" s="602">
        <f>(AnnualBurdenedSalaryCRT*eSystemsFTECalcResultMostLikelyCRT)*(1+Inflation)^9</f>
        <v>1998792.3210208148</v>
      </c>
      <c r="O284" s="162" t="s">
        <v>3383</v>
      </c>
      <c r="P284" s="12"/>
      <c r="Q284" s="12"/>
      <c r="R284" s="12"/>
      <c r="S284" s="12"/>
      <c r="T284" s="12"/>
      <c r="U284" s="12"/>
      <c r="V284" s="12"/>
      <c r="W284" s="12"/>
      <c r="X284" s="12"/>
      <c r="Y284" s="12"/>
      <c r="Z284" s="12"/>
      <c r="AA284" s="12"/>
      <c r="AB284" s="12"/>
      <c r="AC284" s="12"/>
      <c r="AD284" s="12"/>
      <c r="AE284" s="12"/>
      <c r="AF284" s="12"/>
      <c r="AG284" s="18"/>
    </row>
    <row r="285" spans="1:33" customFormat="1" ht="12" hidden="1" customHeight="1" outlineLevel="1" x14ac:dyDescent="0.2">
      <c r="A285" s="1434"/>
      <c r="B285" s="63"/>
      <c r="C285" s="13"/>
      <c r="D285" s="1073" t="s">
        <v>3384</v>
      </c>
      <c r="E285" s="602">
        <f>(AnnualBurdenedSalaryCRT*eSystemsFTECalcResultBestCaseCRT)</f>
        <v>836249.99999999977</v>
      </c>
      <c r="F285" s="602">
        <f>(AnnualBurdenedSalaryCRT*eSystemsFTECalcResultBestCaseCRT)*(1+Inflation)</f>
        <v>852974.99999999977</v>
      </c>
      <c r="G285" s="602">
        <f>(AnnualBurdenedSalaryCRT*eSystemsFTECalcResultBestCaseCRT)*(1+Inflation)^2</f>
        <v>870034.49999999977</v>
      </c>
      <c r="H285" s="602">
        <f>(AnnualBurdenedSalaryCRT*eSystemsFTECalcResultBestCaseCRT)*(1+Inflation)^3</f>
        <v>887435.18999999971</v>
      </c>
      <c r="I285" s="602">
        <f>(AnnualBurdenedSalaryCRT*eSystemsFTECalcResultBestCaseCRT)*(1+Inflation)^4</f>
        <v>905183.89379999973</v>
      </c>
      <c r="J285" s="602">
        <f>(AnnualBurdenedSalaryCRT*eSystemsFTECalcResultBestCaseCRT)*(1+Inflation)^5</f>
        <v>923287.57167599979</v>
      </c>
      <c r="K285" s="602">
        <f>(AnnualBurdenedSalaryCRT*eSystemsFTECalcResultBestCaseCRT)*(1+Inflation)^6</f>
        <v>941753.32310951978</v>
      </c>
      <c r="L285" s="602">
        <f>(AnnualBurdenedSalaryCRT*eSystemsFTECalcResultBestCaseCRT)*(1+Inflation)^7</f>
        <v>960588.38957171002</v>
      </c>
      <c r="M285" s="602">
        <f>(AnnualBurdenedSalaryCRT*eSystemsFTECalcResultBestCaseCRT)*(1+Inflation)^8</f>
        <v>979800.15736314422</v>
      </c>
      <c r="N285" s="602">
        <f>(AnnualBurdenedSalaryCRT*eSystemsFTECalcResultBestCaseCRT)*(1+Inflation)^9</f>
        <v>999396.16051040718</v>
      </c>
      <c r="O285" s="162" t="s">
        <v>3385</v>
      </c>
      <c r="P285" s="12"/>
      <c r="Q285" s="12"/>
      <c r="R285" s="12"/>
      <c r="S285" s="12"/>
      <c r="T285" s="12"/>
      <c r="U285" s="12"/>
      <c r="V285" s="12"/>
      <c r="W285" s="12"/>
      <c r="X285" s="12"/>
      <c r="Y285" s="12"/>
      <c r="Z285" s="12"/>
      <c r="AA285" s="12"/>
      <c r="AB285" s="12"/>
      <c r="AC285" s="12"/>
      <c r="AD285" s="12"/>
      <c r="AE285" s="12"/>
      <c r="AF285" s="12"/>
      <c r="AG285" s="18"/>
    </row>
    <row r="286" spans="1:33" s="8" customFormat="1" ht="12" hidden="1" customHeight="1" outlineLevel="1" x14ac:dyDescent="0.2">
      <c r="A286" s="1434"/>
      <c r="B286" s="65"/>
      <c r="C286" s="50"/>
      <c r="D286" s="1074"/>
      <c r="E286" s="440"/>
      <c r="F286" s="440"/>
      <c r="G286" s="440"/>
      <c r="H286" s="440"/>
      <c r="I286" s="440"/>
      <c r="J286" s="440"/>
      <c r="K286" s="440"/>
      <c r="L286" s="440"/>
      <c r="M286" s="440"/>
      <c r="N286" s="440"/>
      <c r="O286" s="642"/>
      <c r="P286" s="23"/>
      <c r="Q286" s="23"/>
      <c r="R286" s="23"/>
      <c r="S286" s="23"/>
      <c r="T286" s="23"/>
      <c r="U286" s="23"/>
      <c r="V286" s="23"/>
      <c r="W286" s="23"/>
      <c r="X286" s="23"/>
      <c r="Y286" s="23"/>
      <c r="Z286" s="23"/>
      <c r="AA286" s="23"/>
      <c r="AB286" s="23"/>
      <c r="AC286" s="23"/>
      <c r="AD286" s="23"/>
      <c r="AE286" s="23"/>
      <c r="AF286" s="23"/>
      <c r="AG286" s="17"/>
    </row>
    <row r="287" spans="1:33" customFormat="1" hidden="1" outlineLevel="1" x14ac:dyDescent="0.2">
      <c r="A287" s="1434"/>
      <c r="B287" s="63"/>
      <c r="C287" s="6"/>
      <c r="D287" s="1071" t="s">
        <v>3386</v>
      </c>
      <c r="E287" s="1065">
        <v>0</v>
      </c>
      <c r="F287" s="1065">
        <v>0</v>
      </c>
      <c r="G287" s="1065">
        <v>0</v>
      </c>
      <c r="H287" s="1065">
        <v>0</v>
      </c>
      <c r="I287" s="1065">
        <v>0</v>
      </c>
      <c r="J287" s="1065">
        <v>0</v>
      </c>
      <c r="K287" s="1065">
        <v>0</v>
      </c>
      <c r="L287" s="1065">
        <v>0</v>
      </c>
      <c r="M287" s="1065">
        <v>0</v>
      </c>
      <c r="N287" s="1065">
        <v>0</v>
      </c>
      <c r="O287" s="162" t="s">
        <v>3387</v>
      </c>
      <c r="P287" s="12"/>
      <c r="Q287" s="12"/>
      <c r="R287" s="12"/>
      <c r="S287" s="12"/>
      <c r="T287" s="12"/>
      <c r="U287" s="12"/>
      <c r="V287" s="12"/>
      <c r="W287" s="12"/>
      <c r="X287" s="12"/>
      <c r="Y287" s="12"/>
      <c r="Z287" s="12"/>
      <c r="AA287" s="12"/>
      <c r="AB287" s="12"/>
      <c r="AC287" s="12"/>
      <c r="AD287" s="12"/>
      <c r="AE287" s="12"/>
      <c r="AF287" s="12"/>
      <c r="AG287" s="18"/>
    </row>
    <row r="288" spans="1:33" customFormat="1" hidden="1" outlineLevel="1" x14ac:dyDescent="0.2">
      <c r="A288" s="1434"/>
      <c r="B288" s="63"/>
      <c r="C288" s="6"/>
      <c r="D288" s="1071" t="s">
        <v>3388</v>
      </c>
      <c r="E288" s="1065">
        <v>0.3</v>
      </c>
      <c r="F288" s="1065">
        <v>0.3</v>
      </c>
      <c r="G288" s="1065">
        <v>0.3</v>
      </c>
      <c r="H288" s="1065">
        <v>0.3</v>
      </c>
      <c r="I288" s="1065">
        <v>0.3</v>
      </c>
      <c r="J288" s="1065">
        <v>0.3</v>
      </c>
      <c r="K288" s="1065">
        <v>0.3</v>
      </c>
      <c r="L288" s="1065">
        <v>0.3</v>
      </c>
      <c r="M288" s="1065">
        <v>0.3</v>
      </c>
      <c r="N288" s="1065">
        <v>0.3</v>
      </c>
      <c r="O288" s="162" t="s">
        <v>3389</v>
      </c>
      <c r="P288" s="12"/>
      <c r="Q288" s="12"/>
      <c r="R288" s="12"/>
      <c r="S288" s="12"/>
      <c r="T288" s="12"/>
      <c r="U288" s="12"/>
      <c r="V288" s="12"/>
      <c r="W288" s="12"/>
      <c r="X288" s="12"/>
      <c r="Y288" s="12"/>
      <c r="Z288" s="12"/>
      <c r="AA288" s="12"/>
      <c r="AB288" s="12"/>
      <c r="AC288" s="12"/>
      <c r="AD288" s="12"/>
      <c r="AE288" s="12"/>
      <c r="AF288" s="12"/>
      <c r="AG288" s="18"/>
    </row>
    <row r="289" spans="1:33" customFormat="1" hidden="1" outlineLevel="1" x14ac:dyDescent="0.2">
      <c r="A289" s="1434"/>
      <c r="B289" s="63"/>
      <c r="C289" s="6"/>
      <c r="D289" s="1071" t="s">
        <v>3390</v>
      </c>
      <c r="E289" s="1065">
        <v>0.5</v>
      </c>
      <c r="F289" s="1065">
        <v>0.5</v>
      </c>
      <c r="G289" s="1065">
        <v>0.5</v>
      </c>
      <c r="H289" s="1065">
        <v>0.5</v>
      </c>
      <c r="I289" s="1065">
        <v>0.5</v>
      </c>
      <c r="J289" s="1065">
        <v>0.5</v>
      </c>
      <c r="K289" s="1065">
        <v>0.5</v>
      </c>
      <c r="L289" s="1065">
        <v>0.5</v>
      </c>
      <c r="M289" s="1065">
        <v>0.5</v>
      </c>
      <c r="N289" s="1065">
        <v>0.5</v>
      </c>
      <c r="O289" s="162" t="s">
        <v>3391</v>
      </c>
      <c r="P289" s="12"/>
      <c r="Q289" s="12"/>
      <c r="R289" s="12"/>
      <c r="S289" s="12"/>
      <c r="T289" s="12"/>
      <c r="U289" s="12"/>
      <c r="V289" s="12"/>
      <c r="W289" s="12"/>
      <c r="X289" s="12"/>
      <c r="Y289" s="12"/>
      <c r="Z289" s="12"/>
      <c r="AA289" s="12"/>
      <c r="AB289" s="12"/>
      <c r="AC289" s="12"/>
      <c r="AD289" s="12"/>
      <c r="AE289" s="12"/>
      <c r="AF289" s="12"/>
      <c r="AG289" s="18"/>
    </row>
    <row r="290" spans="1:33" s="8" customFormat="1" hidden="1" outlineLevel="1" x14ac:dyDescent="0.2">
      <c r="A290" s="1434"/>
      <c r="B290" s="65"/>
      <c r="C290" s="98"/>
      <c r="D290" s="1072"/>
      <c r="E290" s="606"/>
      <c r="F290" s="606"/>
      <c r="G290" s="606"/>
      <c r="H290" s="606"/>
      <c r="I290" s="606"/>
      <c r="J290" s="606"/>
      <c r="K290" s="606"/>
      <c r="L290" s="606"/>
      <c r="M290" s="606"/>
      <c r="N290" s="606"/>
      <c r="O290" s="162"/>
      <c r="P290" s="23"/>
      <c r="Q290" s="23"/>
      <c r="R290" s="23"/>
      <c r="S290" s="23"/>
      <c r="T290" s="23"/>
      <c r="U290" s="23"/>
      <c r="V290" s="23"/>
      <c r="W290" s="23"/>
      <c r="X290" s="23"/>
      <c r="Y290" s="23"/>
      <c r="Z290" s="23"/>
      <c r="AA290" s="23"/>
      <c r="AB290" s="23"/>
      <c r="AC290" s="23"/>
      <c r="AD290" s="23"/>
      <c r="AE290" s="23"/>
      <c r="AF290" s="23"/>
      <c r="AG290" s="17"/>
    </row>
    <row r="291" spans="1:33" customFormat="1" ht="12" hidden="1" customHeight="1" outlineLevel="1" x14ac:dyDescent="0.2">
      <c r="A291" s="1434"/>
      <c r="B291" s="63"/>
      <c r="C291" s="13"/>
      <c r="D291" s="1073" t="s">
        <v>3392</v>
      </c>
      <c r="E291" s="1066">
        <f t="shared" ref="E291:N291" si="59">(1-eSystemsFTEPercentReductionWorstCaseSCL)*pSystemsFTE_SCL</f>
        <v>100</v>
      </c>
      <c r="F291" s="1066">
        <f t="shared" si="59"/>
        <v>100</v>
      </c>
      <c r="G291" s="1066">
        <f t="shared" si="59"/>
        <v>100</v>
      </c>
      <c r="H291" s="1066">
        <f t="shared" si="59"/>
        <v>100</v>
      </c>
      <c r="I291" s="1066">
        <f t="shared" si="59"/>
        <v>100</v>
      </c>
      <c r="J291" s="1066">
        <f t="shared" si="59"/>
        <v>100</v>
      </c>
      <c r="K291" s="1066">
        <f t="shared" si="59"/>
        <v>100</v>
      </c>
      <c r="L291" s="1066">
        <f t="shared" si="59"/>
        <v>100</v>
      </c>
      <c r="M291" s="1066">
        <f t="shared" si="59"/>
        <v>100</v>
      </c>
      <c r="N291" s="1066">
        <f t="shared" si="59"/>
        <v>100</v>
      </c>
      <c r="O291" s="162" t="s">
        <v>3393</v>
      </c>
      <c r="P291" s="12"/>
      <c r="Q291" s="12"/>
      <c r="R291" s="12"/>
      <c r="S291" s="12"/>
      <c r="T291" s="12"/>
      <c r="U291" s="12"/>
      <c r="V291" s="12"/>
      <c r="W291" s="12"/>
      <c r="X291" s="12"/>
      <c r="Y291" s="12"/>
      <c r="Z291" s="12"/>
      <c r="AA291" s="12"/>
      <c r="AB291" s="12"/>
      <c r="AC291" s="12"/>
      <c r="AD291" s="12"/>
      <c r="AE291" s="12"/>
      <c r="AF291" s="12"/>
      <c r="AG291" s="18"/>
    </row>
    <row r="292" spans="1:33" customFormat="1" ht="12" hidden="1" customHeight="1" outlineLevel="1" x14ac:dyDescent="0.2">
      <c r="A292" s="1434"/>
      <c r="B292" s="63"/>
      <c r="C292" s="13"/>
      <c r="D292" s="1073" t="s">
        <v>3394</v>
      </c>
      <c r="E292" s="1066">
        <f t="shared" ref="E292:N292" si="60">(1-eSystemsFTEPercentReductionMostLikelySCL)*pSystemsFTE_SCL</f>
        <v>70</v>
      </c>
      <c r="F292" s="1066">
        <f t="shared" si="60"/>
        <v>70</v>
      </c>
      <c r="G292" s="1066">
        <f t="shared" si="60"/>
        <v>70</v>
      </c>
      <c r="H292" s="1066">
        <f t="shared" si="60"/>
        <v>70</v>
      </c>
      <c r="I292" s="1066">
        <f t="shared" si="60"/>
        <v>70</v>
      </c>
      <c r="J292" s="1066">
        <f t="shared" si="60"/>
        <v>70</v>
      </c>
      <c r="K292" s="1066">
        <f t="shared" si="60"/>
        <v>70</v>
      </c>
      <c r="L292" s="1066">
        <f t="shared" si="60"/>
        <v>70</v>
      </c>
      <c r="M292" s="1066">
        <f t="shared" si="60"/>
        <v>70</v>
      </c>
      <c r="N292" s="1066">
        <f t="shared" si="60"/>
        <v>70</v>
      </c>
      <c r="O292" s="162" t="s">
        <v>3395</v>
      </c>
      <c r="P292" s="12"/>
      <c r="Q292" s="12"/>
      <c r="R292" s="12"/>
      <c r="S292" s="12"/>
      <c r="T292" s="12"/>
      <c r="U292" s="12"/>
      <c r="V292" s="12"/>
      <c r="W292" s="12"/>
      <c r="X292" s="12"/>
      <c r="Y292" s="12"/>
      <c r="Z292" s="12"/>
      <c r="AA292" s="12"/>
      <c r="AB292" s="12"/>
      <c r="AC292" s="12"/>
      <c r="AD292" s="12"/>
      <c r="AE292" s="12"/>
      <c r="AF292" s="12"/>
      <c r="AG292" s="18"/>
    </row>
    <row r="293" spans="1:33" customFormat="1" ht="12" hidden="1" customHeight="1" outlineLevel="1" x14ac:dyDescent="0.2">
      <c r="A293" s="1434"/>
      <c r="B293" s="63"/>
      <c r="C293" s="13"/>
      <c r="D293" s="1073" t="s">
        <v>3396</v>
      </c>
      <c r="E293" s="1066">
        <f t="shared" ref="E293:N293" si="61">(1-eSystemsFTEPercentReductionBestCaseSCL)*pSystemsFTE_SCL</f>
        <v>50</v>
      </c>
      <c r="F293" s="1066">
        <f t="shared" si="61"/>
        <v>50</v>
      </c>
      <c r="G293" s="1066">
        <f t="shared" si="61"/>
        <v>50</v>
      </c>
      <c r="H293" s="1066">
        <f t="shared" si="61"/>
        <v>50</v>
      </c>
      <c r="I293" s="1066">
        <f t="shared" si="61"/>
        <v>50</v>
      </c>
      <c r="J293" s="1066">
        <f t="shared" si="61"/>
        <v>50</v>
      </c>
      <c r="K293" s="1066">
        <f t="shared" si="61"/>
        <v>50</v>
      </c>
      <c r="L293" s="1066">
        <f t="shared" si="61"/>
        <v>50</v>
      </c>
      <c r="M293" s="1066">
        <f t="shared" si="61"/>
        <v>50</v>
      </c>
      <c r="N293" s="1066">
        <f t="shared" si="61"/>
        <v>50</v>
      </c>
      <c r="O293" s="162" t="s">
        <v>3397</v>
      </c>
      <c r="P293" s="12"/>
      <c r="Q293" s="12"/>
      <c r="R293" s="12"/>
      <c r="S293" s="12"/>
      <c r="T293" s="12"/>
      <c r="U293" s="12"/>
      <c r="V293" s="12"/>
      <c r="W293" s="12"/>
      <c r="X293" s="12"/>
      <c r="Y293" s="12"/>
      <c r="Z293" s="12"/>
      <c r="AA293" s="12"/>
      <c r="AB293" s="12"/>
      <c r="AC293" s="12"/>
      <c r="AD293" s="12"/>
      <c r="AE293" s="12"/>
      <c r="AF293" s="12"/>
      <c r="AG293" s="18"/>
    </row>
    <row r="294" spans="1:33" s="8" customFormat="1" ht="12" hidden="1" customHeight="1" outlineLevel="1" x14ac:dyDescent="0.2">
      <c r="A294" s="1434"/>
      <c r="B294" s="65"/>
      <c r="C294" s="50"/>
      <c r="D294" s="1074"/>
      <c r="E294" s="440"/>
      <c r="F294" s="440"/>
      <c r="G294" s="440"/>
      <c r="H294" s="440"/>
      <c r="I294" s="440"/>
      <c r="J294" s="440"/>
      <c r="K294" s="440"/>
      <c r="L294" s="440"/>
      <c r="M294" s="440"/>
      <c r="N294" s="440"/>
      <c r="O294" s="1067"/>
      <c r="P294" s="23"/>
      <c r="Q294" s="23"/>
      <c r="R294" s="23"/>
      <c r="S294" s="23"/>
      <c r="T294" s="23"/>
      <c r="U294" s="23"/>
      <c r="V294" s="23"/>
      <c r="W294" s="23"/>
      <c r="X294" s="23"/>
      <c r="Y294" s="23"/>
      <c r="Z294" s="23"/>
      <c r="AA294" s="23"/>
      <c r="AB294" s="23"/>
      <c r="AC294" s="23"/>
      <c r="AD294" s="23"/>
      <c r="AE294" s="23"/>
      <c r="AF294" s="23"/>
      <c r="AG294" s="17"/>
    </row>
    <row r="295" spans="1:33" customFormat="1" ht="12" hidden="1" customHeight="1" outlineLevel="1" x14ac:dyDescent="0.2">
      <c r="A295" s="1434"/>
      <c r="B295" s="63"/>
      <c r="C295" s="13"/>
      <c r="D295" s="1073" t="s">
        <v>3398</v>
      </c>
      <c r="E295" s="602">
        <f>(AnnualBurdenedSalarySCL*eSystemsFTECalcResultWorstCaseSCL)</f>
        <v>8362500</v>
      </c>
      <c r="F295" s="602">
        <f>(AnnualBurdenedSalarySCL*eSystemsFTECalcResultWorstCaseSCL)*(1+Inflation)</f>
        <v>8529750</v>
      </c>
      <c r="G295" s="602">
        <f>(AnnualBurdenedSalarySCL*eSystemsFTECalcResultWorstCaseSCL)*(1+Inflation)^2</f>
        <v>8700345</v>
      </c>
      <c r="H295" s="602">
        <f>(AnnualBurdenedSalarySCL*eSystemsFTECalcResultWorstCaseSCL)*(1+Inflation)^3</f>
        <v>8874351.8999999985</v>
      </c>
      <c r="I295" s="602">
        <f>(AnnualBurdenedSalarySCL*eSystemsFTECalcResultWorstCaseSCL)*(1+Inflation)^4</f>
        <v>9051838.9379999992</v>
      </c>
      <c r="J295" s="602">
        <f>(AnnualBurdenedSalarySCL*eSystemsFTECalcResultWorstCaseSCL)*(1+Inflation)^5</f>
        <v>9232875.7167600002</v>
      </c>
      <c r="K295" s="602">
        <f>(AnnualBurdenedSalarySCL*eSystemsFTECalcResultWorstCaseSCL)*(1+Inflation)^6</f>
        <v>9417533.2310952004</v>
      </c>
      <c r="L295" s="602">
        <f>(AnnualBurdenedSalarySCL*eSystemsFTECalcResultWorstCaseSCL)*(1+Inflation)^7</f>
        <v>9605883.895717103</v>
      </c>
      <c r="M295" s="602">
        <f>(AnnualBurdenedSalarySCL*eSystemsFTECalcResultWorstCaseSCL)*(1+Inflation)^8</f>
        <v>9798001.5736314449</v>
      </c>
      <c r="N295" s="602">
        <f>(AnnualBurdenedSalarySCL*eSystemsFTECalcResultWorstCaseSCL)*(1+Inflation)^9</f>
        <v>9993961.6051040739</v>
      </c>
      <c r="O295" s="162" t="s">
        <v>3399</v>
      </c>
      <c r="P295" s="12"/>
      <c r="Q295" s="12"/>
      <c r="R295" s="12"/>
      <c r="S295" s="12"/>
      <c r="T295" s="12"/>
      <c r="U295" s="12"/>
      <c r="V295" s="12"/>
      <c r="W295" s="12"/>
      <c r="X295" s="12"/>
      <c r="Y295" s="12"/>
      <c r="Z295" s="12"/>
      <c r="AA295" s="12"/>
      <c r="AB295" s="12"/>
      <c r="AC295" s="12"/>
      <c r="AD295" s="12"/>
      <c r="AE295" s="12"/>
      <c r="AF295" s="12"/>
      <c r="AG295" s="18"/>
    </row>
    <row r="296" spans="1:33" customFormat="1" ht="12" hidden="1" customHeight="1" outlineLevel="1" x14ac:dyDescent="0.2">
      <c r="A296" s="1434"/>
      <c r="B296" s="63"/>
      <c r="C296" s="13"/>
      <c r="D296" s="1073" t="s">
        <v>3400</v>
      </c>
      <c r="E296" s="602">
        <f>(AnnualBurdenedSalarySCL*eSystemsFTECalcResultMostLikelySCL)</f>
        <v>5853750</v>
      </c>
      <c r="F296" s="602">
        <f>(AnnualBurdenedSalarySCL*eSystemsFTECalcResultMostLikelySCL)*(1+Inflation)</f>
        <v>5970825</v>
      </c>
      <c r="G296" s="602">
        <f>(AnnualBurdenedSalarySCL*eSystemsFTECalcResultMostLikelySCL)*(1+Inflation)^2</f>
        <v>6090241.5</v>
      </c>
      <c r="H296" s="602">
        <f>(AnnualBurdenedSalarySCL*eSystemsFTECalcResultMostLikelySCL)*(1+Inflation)^3</f>
        <v>6212046.3299999991</v>
      </c>
      <c r="I296" s="602">
        <f>(AnnualBurdenedSalarySCL*eSystemsFTECalcResultMostLikelySCL)*(1+Inflation)^4</f>
        <v>6336287.2566</v>
      </c>
      <c r="J296" s="602">
        <f>(AnnualBurdenedSalarySCL*eSystemsFTECalcResultMostLikelySCL)*(1+Inflation)^5</f>
        <v>6463013.0017320001</v>
      </c>
      <c r="K296" s="602">
        <f>(AnnualBurdenedSalarySCL*eSystemsFTECalcResultMostLikelySCL)*(1+Inflation)^6</f>
        <v>6592273.2617666405</v>
      </c>
      <c r="L296" s="602">
        <f>(AnnualBurdenedSalarySCL*eSystemsFTECalcResultMostLikelySCL)*(1+Inflation)^7</f>
        <v>6724118.7270019716</v>
      </c>
      <c r="M296" s="602">
        <f>(AnnualBurdenedSalarySCL*eSystemsFTECalcResultMostLikelySCL)*(1+Inflation)^8</f>
        <v>6858601.1015420118</v>
      </c>
      <c r="N296" s="602">
        <f>(AnnualBurdenedSalarySCL*eSystemsFTECalcResultMostLikelySCL)*(1+Inflation)^9</f>
        <v>6995773.1235728525</v>
      </c>
      <c r="O296" s="162" t="s">
        <v>3401</v>
      </c>
      <c r="P296" s="12"/>
      <c r="Q296" s="12"/>
      <c r="R296" s="12"/>
      <c r="S296" s="12"/>
      <c r="T296" s="12"/>
      <c r="U296" s="12"/>
      <c r="V296" s="12"/>
      <c r="W296" s="12"/>
      <c r="X296" s="12"/>
      <c r="Y296" s="12"/>
      <c r="Z296" s="12"/>
      <c r="AA296" s="12"/>
      <c r="AB296" s="12"/>
      <c r="AC296" s="12"/>
      <c r="AD296" s="12"/>
      <c r="AE296" s="12"/>
      <c r="AF296" s="12"/>
      <c r="AG296" s="18"/>
    </row>
    <row r="297" spans="1:33" customFormat="1" ht="12" hidden="1" customHeight="1" outlineLevel="1" x14ac:dyDescent="0.2">
      <c r="A297" s="1434"/>
      <c r="B297" s="63"/>
      <c r="C297" s="13"/>
      <c r="D297" s="1073" t="s">
        <v>3402</v>
      </c>
      <c r="E297" s="602">
        <f>(AnnualBurdenedSalarySCL*eSystemsFTECalcResultBestCaseSCL)</f>
        <v>4181250</v>
      </c>
      <c r="F297" s="602">
        <f>(AnnualBurdenedSalarySCL*eSystemsFTECalcResultBestCaseSCL)*(1+Inflation)</f>
        <v>4264875</v>
      </c>
      <c r="G297" s="602">
        <f>(AnnualBurdenedSalarySCL*eSystemsFTECalcResultBestCaseSCL)*(1+Inflation)^2</f>
        <v>4350172.5</v>
      </c>
      <c r="H297" s="602">
        <f>(AnnualBurdenedSalarySCL*eSystemsFTECalcResultBestCaseSCL)*(1+Inflation)^3</f>
        <v>4437175.9499999993</v>
      </c>
      <c r="I297" s="602">
        <f>(AnnualBurdenedSalarySCL*eSystemsFTECalcResultBestCaseSCL)*(1+Inflation)^4</f>
        <v>4525919.4689999996</v>
      </c>
      <c r="J297" s="602">
        <f>(AnnualBurdenedSalarySCL*eSystemsFTECalcResultBestCaseSCL)*(1+Inflation)^5</f>
        <v>4616437.8583800001</v>
      </c>
      <c r="K297" s="602">
        <f>(AnnualBurdenedSalarySCL*eSystemsFTECalcResultBestCaseSCL)*(1+Inflation)^6</f>
        <v>4708766.6155476002</v>
      </c>
      <c r="L297" s="602">
        <f>(AnnualBurdenedSalarySCL*eSystemsFTECalcResultBestCaseSCL)*(1+Inflation)^7</f>
        <v>4802941.9478585515</v>
      </c>
      <c r="M297" s="602">
        <f>(AnnualBurdenedSalarySCL*eSystemsFTECalcResultBestCaseSCL)*(1+Inflation)^8</f>
        <v>4899000.7868157225</v>
      </c>
      <c r="N297" s="602">
        <f>(AnnualBurdenedSalarySCL*eSystemsFTECalcResultBestCaseSCL)*(1+Inflation)^9</f>
        <v>4996980.8025520369</v>
      </c>
      <c r="O297" s="162" t="s">
        <v>3403</v>
      </c>
      <c r="P297" s="12"/>
      <c r="Q297" s="12"/>
      <c r="R297" s="12"/>
      <c r="S297" s="12"/>
      <c r="T297" s="12"/>
      <c r="U297" s="12"/>
      <c r="V297" s="12"/>
      <c r="W297" s="12"/>
      <c r="X297" s="12"/>
      <c r="Y297" s="12"/>
      <c r="Z297" s="12"/>
      <c r="AA297" s="12"/>
      <c r="AB297" s="12"/>
      <c r="AC297" s="12"/>
      <c r="AD297" s="12"/>
      <c r="AE297" s="12"/>
      <c r="AF297" s="12"/>
      <c r="AG297" s="18"/>
    </row>
    <row r="298" spans="1:33" s="8" customFormat="1" ht="12" hidden="1" customHeight="1" outlineLevel="1" x14ac:dyDescent="0.2">
      <c r="A298" s="1434"/>
      <c r="B298" s="65"/>
      <c r="C298" s="50"/>
      <c r="D298" s="1074"/>
      <c r="E298" s="440"/>
      <c r="F298" s="440"/>
      <c r="G298" s="440"/>
      <c r="H298" s="440"/>
      <c r="I298" s="440"/>
      <c r="J298" s="440"/>
      <c r="K298" s="440"/>
      <c r="L298" s="440"/>
      <c r="M298" s="440"/>
      <c r="N298" s="440"/>
      <c r="O298" s="642"/>
      <c r="P298" s="23"/>
      <c r="Q298" s="23"/>
      <c r="R298" s="23"/>
      <c r="S298" s="23"/>
      <c r="T298" s="23"/>
      <c r="U298" s="23"/>
      <c r="V298" s="23"/>
      <c r="W298" s="23"/>
      <c r="X298" s="23"/>
      <c r="Y298" s="23"/>
      <c r="Z298" s="23"/>
      <c r="AA298" s="23"/>
      <c r="AB298" s="23"/>
      <c r="AC298" s="23"/>
      <c r="AD298" s="23"/>
      <c r="AE298" s="23"/>
      <c r="AF298" s="23"/>
      <c r="AG298" s="17"/>
    </row>
    <row r="299" spans="1:33" customFormat="1" hidden="1" outlineLevel="1" x14ac:dyDescent="0.2">
      <c r="A299" s="1434"/>
      <c r="B299" s="63"/>
      <c r="C299" s="6"/>
      <c r="D299" s="1071" t="s">
        <v>3404</v>
      </c>
      <c r="E299" s="1065">
        <v>0</v>
      </c>
      <c r="F299" s="1065">
        <v>0</v>
      </c>
      <c r="G299" s="1065">
        <v>0</v>
      </c>
      <c r="H299" s="1065">
        <v>0</v>
      </c>
      <c r="I299" s="1065">
        <v>0</v>
      </c>
      <c r="J299" s="1065">
        <v>0</v>
      </c>
      <c r="K299" s="1065">
        <v>0</v>
      </c>
      <c r="L299" s="1065">
        <v>0</v>
      </c>
      <c r="M299" s="1065">
        <v>0</v>
      </c>
      <c r="N299" s="1065">
        <v>0</v>
      </c>
      <c r="O299" s="162" t="s">
        <v>3405</v>
      </c>
      <c r="P299" s="12"/>
      <c r="Q299" s="12"/>
      <c r="R299" s="12"/>
      <c r="S299" s="12"/>
      <c r="T299" s="12"/>
      <c r="U299" s="12"/>
      <c r="V299" s="12"/>
      <c r="W299" s="12"/>
      <c r="X299" s="12"/>
      <c r="Y299" s="12"/>
      <c r="Z299" s="12"/>
      <c r="AA299" s="12"/>
      <c r="AB299" s="12"/>
      <c r="AC299" s="12"/>
      <c r="AD299" s="12"/>
      <c r="AE299" s="12"/>
      <c r="AF299" s="12"/>
      <c r="AG299" s="18"/>
    </row>
    <row r="300" spans="1:33" customFormat="1" hidden="1" outlineLevel="1" x14ac:dyDescent="0.2">
      <c r="A300" s="1434"/>
      <c r="B300" s="63"/>
      <c r="C300" s="6"/>
      <c r="D300" s="1071" t="s">
        <v>3406</v>
      </c>
      <c r="E300" s="1065">
        <v>0.2</v>
      </c>
      <c r="F300" s="1065">
        <v>0.2</v>
      </c>
      <c r="G300" s="1065">
        <v>0.2</v>
      </c>
      <c r="H300" s="1065">
        <v>0.2</v>
      </c>
      <c r="I300" s="1065">
        <v>0.2</v>
      </c>
      <c r="J300" s="1065">
        <v>0.2</v>
      </c>
      <c r="K300" s="1065">
        <v>0.2</v>
      </c>
      <c r="L300" s="1065">
        <v>0.2</v>
      </c>
      <c r="M300" s="1065">
        <v>0.2</v>
      </c>
      <c r="N300" s="1065">
        <v>0.2</v>
      </c>
      <c r="O300" s="162" t="s">
        <v>3407</v>
      </c>
      <c r="P300" s="12"/>
      <c r="Q300" s="12"/>
      <c r="R300" s="12"/>
      <c r="S300" s="12"/>
      <c r="T300" s="12"/>
      <c r="U300" s="12"/>
      <c r="V300" s="12"/>
      <c r="W300" s="12"/>
      <c r="X300" s="12"/>
      <c r="Y300" s="12"/>
      <c r="Z300" s="12"/>
      <c r="AA300" s="12"/>
      <c r="AB300" s="12"/>
      <c r="AC300" s="12"/>
      <c r="AD300" s="12"/>
      <c r="AE300" s="12"/>
      <c r="AF300" s="12"/>
      <c r="AG300" s="18"/>
    </row>
    <row r="301" spans="1:33" customFormat="1" hidden="1" outlineLevel="1" x14ac:dyDescent="0.2">
      <c r="A301" s="1434"/>
      <c r="B301" s="63"/>
      <c r="C301" s="6"/>
      <c r="D301" s="1071" t="s">
        <v>3408</v>
      </c>
      <c r="E301" s="1065">
        <v>0.4</v>
      </c>
      <c r="F301" s="1065">
        <v>0.4</v>
      </c>
      <c r="G301" s="1065">
        <v>0.4</v>
      </c>
      <c r="H301" s="1065">
        <v>0.4</v>
      </c>
      <c r="I301" s="1065">
        <v>0.4</v>
      </c>
      <c r="J301" s="1065">
        <v>0.4</v>
      </c>
      <c r="K301" s="1065">
        <v>0.4</v>
      </c>
      <c r="L301" s="1065">
        <v>0.4</v>
      </c>
      <c r="M301" s="1065">
        <v>0.4</v>
      </c>
      <c r="N301" s="1065">
        <v>0.4</v>
      </c>
      <c r="O301" s="162" t="s">
        <v>3409</v>
      </c>
      <c r="P301" s="12"/>
      <c r="Q301" s="12"/>
      <c r="R301" s="12"/>
      <c r="S301" s="12"/>
      <c r="T301" s="12"/>
      <c r="U301" s="12"/>
      <c r="V301" s="12"/>
      <c r="W301" s="12"/>
      <c r="X301" s="12"/>
      <c r="Y301" s="12"/>
      <c r="Z301" s="12"/>
      <c r="AA301" s="12"/>
      <c r="AB301" s="12"/>
      <c r="AC301" s="12"/>
      <c r="AD301" s="12"/>
      <c r="AE301" s="12"/>
      <c r="AF301" s="12"/>
      <c r="AG301" s="18"/>
    </row>
    <row r="302" spans="1:33" s="8" customFormat="1" hidden="1" outlineLevel="1" x14ac:dyDescent="0.2">
      <c r="A302" s="1434"/>
      <c r="B302" s="65"/>
      <c r="C302" s="98"/>
      <c r="D302" s="1072"/>
      <c r="E302" s="606"/>
      <c r="F302" s="606"/>
      <c r="G302" s="606"/>
      <c r="H302" s="606"/>
      <c r="I302" s="606"/>
      <c r="J302" s="606"/>
      <c r="K302" s="606"/>
      <c r="L302" s="606"/>
      <c r="M302" s="606"/>
      <c r="N302" s="606"/>
      <c r="O302" s="162"/>
      <c r="P302" s="23"/>
      <c r="Q302" s="23"/>
      <c r="R302" s="23"/>
      <c r="S302" s="23"/>
      <c r="T302" s="23"/>
      <c r="U302" s="23"/>
      <c r="V302" s="23"/>
      <c r="W302" s="23"/>
      <c r="X302" s="23"/>
      <c r="Y302" s="23"/>
      <c r="Z302" s="23"/>
      <c r="AA302" s="23"/>
      <c r="AB302" s="23"/>
      <c r="AC302" s="23"/>
      <c r="AD302" s="23"/>
      <c r="AE302" s="23"/>
      <c r="AF302" s="23"/>
      <c r="AG302" s="17"/>
    </row>
    <row r="303" spans="1:33" customFormat="1" ht="12" hidden="1" customHeight="1" outlineLevel="1" x14ac:dyDescent="0.2">
      <c r="A303" s="1434"/>
      <c r="B303" s="63"/>
      <c r="C303" s="6"/>
      <c r="D303" s="1073" t="s">
        <v>3410</v>
      </c>
      <c r="E303" s="1066">
        <f t="shared" ref="E303:N303" si="62">(1-eSystemsFTEPercentReductionWorstCaseQSC)*pSystemsFTE_QSC</f>
        <v>50</v>
      </c>
      <c r="F303" s="1066">
        <f t="shared" si="62"/>
        <v>50</v>
      </c>
      <c r="G303" s="1066">
        <f t="shared" si="62"/>
        <v>50</v>
      </c>
      <c r="H303" s="1066">
        <f t="shared" si="62"/>
        <v>50</v>
      </c>
      <c r="I303" s="1066">
        <f t="shared" si="62"/>
        <v>50</v>
      </c>
      <c r="J303" s="1066">
        <f t="shared" si="62"/>
        <v>50</v>
      </c>
      <c r="K303" s="1066">
        <f t="shared" si="62"/>
        <v>50</v>
      </c>
      <c r="L303" s="1066">
        <f t="shared" si="62"/>
        <v>50</v>
      </c>
      <c r="M303" s="1066">
        <f t="shared" si="62"/>
        <v>50</v>
      </c>
      <c r="N303" s="1066">
        <f t="shared" si="62"/>
        <v>50</v>
      </c>
      <c r="O303" s="162" t="s">
        <v>3411</v>
      </c>
      <c r="P303" s="12"/>
      <c r="Q303" s="12"/>
      <c r="R303" s="12"/>
      <c r="S303" s="12"/>
      <c r="T303" s="12"/>
      <c r="U303" s="12"/>
      <c r="V303" s="12"/>
      <c r="W303" s="12"/>
      <c r="X303" s="12"/>
      <c r="Y303" s="12"/>
      <c r="Z303" s="12"/>
      <c r="AA303" s="12"/>
      <c r="AB303" s="12"/>
      <c r="AC303" s="12"/>
      <c r="AD303" s="12"/>
      <c r="AE303" s="12"/>
      <c r="AF303" s="12"/>
      <c r="AG303" s="18"/>
    </row>
    <row r="304" spans="1:33" customFormat="1" ht="12" hidden="1" customHeight="1" outlineLevel="1" x14ac:dyDescent="0.2">
      <c r="A304" s="1434"/>
      <c r="B304" s="63"/>
      <c r="C304" s="13"/>
      <c r="D304" s="1073" t="s">
        <v>3412</v>
      </c>
      <c r="E304" s="1066">
        <f t="shared" ref="E304:N304" si="63">(1-eSystemsFTEPercentReductionMostLikelyQSC)*pSystemsFTE_QSC</f>
        <v>40</v>
      </c>
      <c r="F304" s="1066">
        <f t="shared" si="63"/>
        <v>40</v>
      </c>
      <c r="G304" s="1066">
        <f t="shared" si="63"/>
        <v>40</v>
      </c>
      <c r="H304" s="1066">
        <f t="shared" si="63"/>
        <v>40</v>
      </c>
      <c r="I304" s="1066">
        <f t="shared" si="63"/>
        <v>40</v>
      </c>
      <c r="J304" s="1066">
        <f t="shared" si="63"/>
        <v>40</v>
      </c>
      <c r="K304" s="1066">
        <f t="shared" si="63"/>
        <v>40</v>
      </c>
      <c r="L304" s="1066">
        <f t="shared" si="63"/>
        <v>40</v>
      </c>
      <c r="M304" s="1066">
        <f t="shared" si="63"/>
        <v>40</v>
      </c>
      <c r="N304" s="1066">
        <f t="shared" si="63"/>
        <v>40</v>
      </c>
      <c r="O304" s="162" t="s">
        <v>3413</v>
      </c>
      <c r="P304" s="12"/>
      <c r="Q304" s="12"/>
      <c r="R304" s="12"/>
      <c r="S304" s="12"/>
      <c r="T304" s="12"/>
      <c r="U304" s="12"/>
      <c r="V304" s="12"/>
      <c r="W304" s="12"/>
      <c r="X304" s="12"/>
      <c r="Y304" s="12"/>
      <c r="Z304" s="12"/>
      <c r="AA304" s="12"/>
      <c r="AB304" s="12"/>
      <c r="AC304" s="12"/>
      <c r="AD304" s="12"/>
      <c r="AE304" s="12"/>
      <c r="AF304" s="12"/>
      <c r="AG304" s="18"/>
    </row>
    <row r="305" spans="1:33" customFormat="1" ht="12" hidden="1" customHeight="1" outlineLevel="1" x14ac:dyDescent="0.2">
      <c r="A305" s="1434"/>
      <c r="B305" s="63"/>
      <c r="C305" s="13"/>
      <c r="D305" s="1073" t="s">
        <v>3414</v>
      </c>
      <c r="E305" s="1066">
        <f t="shared" ref="E305:N305" si="64">(1-eSystemsFTEPercentReductionBestCaseQSC)*pSystemsFTE_QSC</f>
        <v>30</v>
      </c>
      <c r="F305" s="1066">
        <f t="shared" si="64"/>
        <v>30</v>
      </c>
      <c r="G305" s="1066">
        <f t="shared" si="64"/>
        <v>30</v>
      </c>
      <c r="H305" s="1066">
        <f t="shared" si="64"/>
        <v>30</v>
      </c>
      <c r="I305" s="1066">
        <f t="shared" si="64"/>
        <v>30</v>
      </c>
      <c r="J305" s="1066">
        <f t="shared" si="64"/>
        <v>30</v>
      </c>
      <c r="K305" s="1066">
        <f t="shared" si="64"/>
        <v>30</v>
      </c>
      <c r="L305" s="1066">
        <f t="shared" si="64"/>
        <v>30</v>
      </c>
      <c r="M305" s="1066">
        <f t="shared" si="64"/>
        <v>30</v>
      </c>
      <c r="N305" s="1066">
        <f t="shared" si="64"/>
        <v>30</v>
      </c>
      <c r="O305" s="162" t="s">
        <v>3415</v>
      </c>
      <c r="P305" s="12"/>
      <c r="Q305" s="12"/>
      <c r="R305" s="12"/>
      <c r="S305" s="12"/>
      <c r="T305" s="12"/>
      <c r="U305" s="12"/>
      <c r="V305" s="12"/>
      <c r="W305" s="12"/>
      <c r="X305" s="12"/>
      <c r="Y305" s="12"/>
      <c r="Z305" s="12"/>
      <c r="AA305" s="12"/>
      <c r="AB305" s="12"/>
      <c r="AC305" s="12"/>
      <c r="AD305" s="12"/>
      <c r="AE305" s="12"/>
      <c r="AF305" s="12"/>
      <c r="AG305" s="18"/>
    </row>
    <row r="306" spans="1:33" s="8" customFormat="1" ht="12" hidden="1" customHeight="1" outlineLevel="1" x14ac:dyDescent="0.2">
      <c r="A306" s="1434"/>
      <c r="B306" s="65"/>
      <c r="C306" s="50"/>
      <c r="D306" s="1074"/>
      <c r="E306" s="440"/>
      <c r="F306" s="440"/>
      <c r="G306" s="440"/>
      <c r="H306" s="440"/>
      <c r="I306" s="440"/>
      <c r="J306" s="440"/>
      <c r="K306" s="440"/>
      <c r="L306" s="440"/>
      <c r="M306" s="440"/>
      <c r="N306" s="440"/>
      <c r="O306" s="1067"/>
      <c r="P306" s="23"/>
      <c r="Q306" s="23"/>
      <c r="R306" s="23"/>
      <c r="S306" s="23"/>
      <c r="T306" s="23"/>
      <c r="U306" s="23"/>
      <c r="V306" s="23"/>
      <c r="W306" s="23"/>
      <c r="X306" s="23"/>
      <c r="Y306" s="23"/>
      <c r="Z306" s="23"/>
      <c r="AA306" s="23"/>
      <c r="AB306" s="23"/>
      <c r="AC306" s="23"/>
      <c r="AD306" s="23"/>
      <c r="AE306" s="23"/>
      <c r="AF306" s="23"/>
      <c r="AG306" s="17"/>
    </row>
    <row r="307" spans="1:33" customFormat="1" ht="12" hidden="1" customHeight="1" outlineLevel="1" x14ac:dyDescent="0.2">
      <c r="A307" s="1434"/>
      <c r="B307" s="63"/>
      <c r="C307" s="13"/>
      <c r="D307" s="1073" t="s">
        <v>3416</v>
      </c>
      <c r="E307" s="602">
        <f>(AnnualBurdenedSalaryQSC*eSystemsFTECalcResultWorstCaseQSC)</f>
        <v>5226562.5</v>
      </c>
      <c r="F307" s="602">
        <f>(AnnualBurdenedSalaryQSC*eSystemsFTECalcResultWorstCaseQSC)*(1+Inflation)</f>
        <v>5331093.75</v>
      </c>
      <c r="G307" s="602">
        <f>(AnnualBurdenedSalaryQSC*eSystemsFTECalcResultWorstCaseQSC)*(1+Inflation)^2</f>
        <v>5437715.625</v>
      </c>
      <c r="H307" s="602">
        <f>(AnnualBurdenedSalaryQSC*eSystemsFTECalcResultWorstCaseQSC)*(1+Inflation)^3</f>
        <v>5546469.9375</v>
      </c>
      <c r="I307" s="602">
        <f>(AnnualBurdenedSalaryQSC*eSystemsFTECalcResultWorstCaseQSC)*(1+Inflation)^4</f>
        <v>5657399.3362499997</v>
      </c>
      <c r="J307" s="602">
        <f>(AnnualBurdenedSalaryQSC*eSystemsFTECalcResultWorstCaseQSC)*(1+Inflation)^5</f>
        <v>5770547.3229750004</v>
      </c>
      <c r="K307" s="602">
        <f>(AnnualBurdenedSalaryQSC*eSystemsFTECalcResultWorstCaseQSC)*(1+Inflation)^6</f>
        <v>5885958.2694345005</v>
      </c>
      <c r="L307" s="602">
        <f>(AnnualBurdenedSalaryQSC*eSystemsFTECalcResultWorstCaseQSC)*(1+Inflation)^7</f>
        <v>6003677.4348231889</v>
      </c>
      <c r="M307" s="602">
        <f>(AnnualBurdenedSalaryQSC*eSystemsFTECalcResultWorstCaseQSC)*(1+Inflation)^8</f>
        <v>6123750.9835196538</v>
      </c>
      <c r="N307" s="602">
        <f>(AnnualBurdenedSalaryQSC*eSystemsFTECalcResultWorstCaseQSC)*(1+Inflation)^9</f>
        <v>6246226.0031900462</v>
      </c>
      <c r="O307" s="162" t="s">
        <v>3417</v>
      </c>
      <c r="P307" s="12"/>
      <c r="Q307" s="12"/>
      <c r="R307" s="12"/>
      <c r="S307" s="12"/>
      <c r="T307" s="12"/>
      <c r="U307" s="12"/>
      <c r="V307" s="12"/>
      <c r="W307" s="12"/>
      <c r="X307" s="12"/>
      <c r="Y307" s="12"/>
      <c r="Z307" s="12"/>
      <c r="AA307" s="12"/>
      <c r="AB307" s="12"/>
      <c r="AC307" s="12"/>
      <c r="AD307" s="12"/>
      <c r="AE307" s="12"/>
      <c r="AF307" s="12"/>
      <c r="AG307" s="18"/>
    </row>
    <row r="308" spans="1:33" customFormat="1" ht="12" hidden="1" customHeight="1" outlineLevel="1" x14ac:dyDescent="0.2">
      <c r="A308" s="1434"/>
      <c r="B308" s="63"/>
      <c r="C308" s="13"/>
      <c r="D308" s="1073" t="s">
        <v>3418</v>
      </c>
      <c r="E308" s="602">
        <f>(AnnualBurdenedSalaryQSC*eSystemsFTECalcResultMostLikelyQSC)</f>
        <v>4181250</v>
      </c>
      <c r="F308" s="602">
        <f>(AnnualBurdenedSalaryQSC*eSystemsFTECalcResultMostLikelyQSC)*(1+Inflation)</f>
        <v>4264875</v>
      </c>
      <c r="G308" s="602">
        <f>(AnnualBurdenedSalaryQSC*eSystemsFTECalcResultMostLikelyQSC)*(1+Inflation)^2</f>
        <v>4350172.5</v>
      </c>
      <c r="H308" s="602">
        <f>(AnnualBurdenedSalaryQSC*eSystemsFTECalcResultMostLikelyQSC)*(1+Inflation)^3</f>
        <v>4437175.9499999993</v>
      </c>
      <c r="I308" s="602">
        <f>(AnnualBurdenedSalaryQSC*eSystemsFTECalcResultMostLikelyQSC)*(1+Inflation)^4</f>
        <v>4525919.4689999996</v>
      </c>
      <c r="J308" s="602">
        <f>(AnnualBurdenedSalaryQSC*eSystemsFTECalcResultMostLikelyQSC)*(1+Inflation)^5</f>
        <v>4616437.8583800001</v>
      </c>
      <c r="K308" s="602">
        <f>(AnnualBurdenedSalaryQSC*eSystemsFTECalcResultMostLikelyQSC)*(1+Inflation)^6</f>
        <v>4708766.6155476002</v>
      </c>
      <c r="L308" s="602">
        <f>(AnnualBurdenedSalaryQSC*eSystemsFTECalcResultMostLikelyQSC)*(1+Inflation)^7</f>
        <v>4802941.9478585515</v>
      </c>
      <c r="M308" s="602">
        <f>(AnnualBurdenedSalaryQSC*eSystemsFTECalcResultMostLikelyQSC)*(1+Inflation)^8</f>
        <v>4899000.7868157225</v>
      </c>
      <c r="N308" s="602">
        <f>(AnnualBurdenedSalaryQSC*eSystemsFTECalcResultMostLikelyQSC)*(1+Inflation)^9</f>
        <v>4996980.8025520369</v>
      </c>
      <c r="O308" s="162" t="s">
        <v>3419</v>
      </c>
      <c r="P308" s="12"/>
      <c r="Q308" s="12"/>
      <c r="R308" s="12"/>
      <c r="S308" s="12"/>
      <c r="T308" s="12"/>
      <c r="U308" s="12"/>
      <c r="V308" s="12"/>
      <c r="W308" s="12"/>
      <c r="X308" s="12"/>
      <c r="Y308" s="12"/>
      <c r="Z308" s="12"/>
      <c r="AA308" s="12"/>
      <c r="AB308" s="12"/>
      <c r="AC308" s="12"/>
      <c r="AD308" s="12"/>
      <c r="AE308" s="12"/>
      <c r="AF308" s="12"/>
      <c r="AG308" s="18"/>
    </row>
    <row r="309" spans="1:33" customFormat="1" ht="12" hidden="1" customHeight="1" outlineLevel="1" x14ac:dyDescent="0.2">
      <c r="A309" s="1434"/>
      <c r="B309" s="63"/>
      <c r="C309" s="13"/>
      <c r="D309" s="1073" t="s">
        <v>3420</v>
      </c>
      <c r="E309" s="602">
        <f>(AnnualBurdenedSalaryQSC*eSystemsFTECalcResultBestCaseQSC)</f>
        <v>3135937.5</v>
      </c>
      <c r="F309" s="602">
        <f>(AnnualBurdenedSalaryQSC*eSystemsFTECalcResultBestCaseQSC)*(1+Inflation)</f>
        <v>3198656.25</v>
      </c>
      <c r="G309" s="602">
        <f>(AnnualBurdenedSalaryQSC*eSystemsFTECalcResultBestCaseQSC)*(1+Inflation)^2</f>
        <v>3262629.375</v>
      </c>
      <c r="H309" s="602">
        <f>(AnnualBurdenedSalaryQSC*eSystemsFTECalcResultBestCaseQSC)*(1+Inflation)^3</f>
        <v>3327881.9624999999</v>
      </c>
      <c r="I309" s="602">
        <f>(AnnualBurdenedSalaryQSC*eSystemsFTECalcResultBestCaseQSC)*(1+Inflation)^4</f>
        <v>3394439.6017499999</v>
      </c>
      <c r="J309" s="602">
        <f>(AnnualBurdenedSalaryQSC*eSystemsFTECalcResultBestCaseQSC)*(1+Inflation)^5</f>
        <v>3462328.3937849998</v>
      </c>
      <c r="K309" s="602">
        <f>(AnnualBurdenedSalaryQSC*eSystemsFTECalcResultBestCaseQSC)*(1+Inflation)^6</f>
        <v>3531574.9616607004</v>
      </c>
      <c r="L309" s="602">
        <f>(AnnualBurdenedSalaryQSC*eSystemsFTECalcResultBestCaseQSC)*(1+Inflation)^7</f>
        <v>3602206.4608939136</v>
      </c>
      <c r="M309" s="602">
        <f>(AnnualBurdenedSalaryQSC*eSystemsFTECalcResultBestCaseQSC)*(1+Inflation)^8</f>
        <v>3674250.5901117921</v>
      </c>
      <c r="N309" s="602">
        <f>(AnnualBurdenedSalaryQSC*eSystemsFTECalcResultBestCaseQSC)*(1+Inflation)^9</f>
        <v>3747735.6019140277</v>
      </c>
      <c r="O309" s="162" t="s">
        <v>3421</v>
      </c>
      <c r="P309" s="12"/>
      <c r="Q309" s="12"/>
      <c r="R309" s="12"/>
      <c r="S309" s="12"/>
      <c r="T309" s="12"/>
      <c r="U309" s="12"/>
      <c r="V309" s="12"/>
      <c r="W309" s="12"/>
      <c r="X309" s="12"/>
      <c r="Y309" s="12"/>
      <c r="Z309" s="12"/>
      <c r="AA309" s="12"/>
      <c r="AB309" s="12"/>
      <c r="AC309" s="12"/>
      <c r="AD309" s="12"/>
      <c r="AE309" s="12"/>
      <c r="AF309" s="12"/>
      <c r="AG309" s="18"/>
    </row>
    <row r="310" spans="1:33" s="8" customFormat="1" ht="12" hidden="1" customHeight="1" outlineLevel="1" x14ac:dyDescent="0.2">
      <c r="A310" s="1434"/>
      <c r="B310" s="65"/>
      <c r="C310" s="50"/>
      <c r="D310" s="1074"/>
      <c r="E310" s="440"/>
      <c r="F310" s="440"/>
      <c r="G310" s="440"/>
      <c r="H310" s="440"/>
      <c r="I310" s="440"/>
      <c r="J310" s="440"/>
      <c r="K310" s="440"/>
      <c r="L310" s="440"/>
      <c r="M310" s="440"/>
      <c r="N310" s="440"/>
      <c r="O310" s="642"/>
      <c r="P310" s="23"/>
      <c r="Q310" s="23"/>
      <c r="R310" s="23"/>
      <c r="S310" s="23"/>
      <c r="T310" s="23"/>
      <c r="U310" s="23"/>
      <c r="V310" s="23"/>
      <c r="W310" s="23"/>
      <c r="X310" s="23"/>
      <c r="Y310" s="23"/>
      <c r="Z310" s="23"/>
      <c r="AA310" s="23"/>
      <c r="AB310" s="23"/>
      <c r="AC310" s="23"/>
      <c r="AD310" s="23"/>
      <c r="AE310" s="23"/>
      <c r="AF310" s="23"/>
      <c r="AG310" s="17"/>
    </row>
    <row r="311" spans="1:33" customFormat="1" hidden="1" outlineLevel="1" x14ac:dyDescent="0.2">
      <c r="A311" s="1434"/>
      <c r="B311" s="63"/>
      <c r="C311" s="6"/>
      <c r="D311" s="1071" t="s">
        <v>3422</v>
      </c>
      <c r="E311" s="1065">
        <v>0</v>
      </c>
      <c r="F311" s="1065">
        <v>0</v>
      </c>
      <c r="G311" s="1065">
        <v>0</v>
      </c>
      <c r="H311" s="1065">
        <v>0</v>
      </c>
      <c r="I311" s="1065">
        <v>0</v>
      </c>
      <c r="J311" s="1065">
        <v>0</v>
      </c>
      <c r="K311" s="1065">
        <v>0</v>
      </c>
      <c r="L311" s="1065">
        <v>0</v>
      </c>
      <c r="M311" s="1065">
        <v>0</v>
      </c>
      <c r="N311" s="1065">
        <v>0</v>
      </c>
      <c r="O311" s="162" t="s">
        <v>3423</v>
      </c>
      <c r="P311" s="12"/>
      <c r="Q311" s="12"/>
      <c r="R311" s="12"/>
      <c r="S311" s="12"/>
      <c r="T311" s="12"/>
      <c r="U311" s="12"/>
      <c r="V311" s="12"/>
      <c r="W311" s="12"/>
      <c r="X311" s="12"/>
      <c r="Y311" s="12"/>
      <c r="Z311" s="12"/>
      <c r="AA311" s="12"/>
      <c r="AB311" s="12"/>
      <c r="AC311" s="12"/>
      <c r="AD311" s="12"/>
      <c r="AE311" s="12"/>
      <c r="AF311" s="12"/>
      <c r="AG311" s="18"/>
    </row>
    <row r="312" spans="1:33" customFormat="1" hidden="1" outlineLevel="1" x14ac:dyDescent="0.2">
      <c r="A312" s="1434"/>
      <c r="B312" s="63"/>
      <c r="C312" s="6"/>
      <c r="D312" s="1071" t="s">
        <v>3424</v>
      </c>
      <c r="E312" s="1065">
        <v>0.05</v>
      </c>
      <c r="F312" s="1065">
        <v>5.0999999999999997E-2</v>
      </c>
      <c r="G312" s="1065">
        <v>5.1999999999999998E-2</v>
      </c>
      <c r="H312" s="1065">
        <v>5.2999999999999999E-2</v>
      </c>
      <c r="I312" s="1065">
        <v>5.3999999999999999E-2</v>
      </c>
      <c r="J312" s="1065">
        <v>5.5E-2</v>
      </c>
      <c r="K312" s="1065">
        <v>5.6000000000000001E-2</v>
      </c>
      <c r="L312" s="1065">
        <v>5.7000000000000002E-2</v>
      </c>
      <c r="M312" s="1065">
        <v>5.8000000000000003E-2</v>
      </c>
      <c r="N312" s="1065">
        <v>5.8999999999999997E-2</v>
      </c>
      <c r="O312" s="162" t="s">
        <v>3425</v>
      </c>
      <c r="P312" s="12"/>
      <c r="Q312" s="12"/>
      <c r="R312" s="12"/>
      <c r="S312" s="12"/>
      <c r="T312" s="12"/>
      <c r="U312" s="12"/>
      <c r="V312" s="12"/>
      <c r="W312" s="12"/>
      <c r="X312" s="12"/>
      <c r="Y312" s="12"/>
      <c r="Z312" s="12"/>
      <c r="AA312" s="12"/>
      <c r="AB312" s="12"/>
      <c r="AC312" s="12"/>
      <c r="AD312" s="12"/>
      <c r="AE312" s="12"/>
      <c r="AF312" s="12"/>
      <c r="AG312" s="18"/>
    </row>
    <row r="313" spans="1:33" customFormat="1" hidden="1" outlineLevel="1" x14ac:dyDescent="0.2">
      <c r="A313" s="1434"/>
      <c r="B313" s="63"/>
      <c r="C313" s="6"/>
      <c r="D313" s="1071" t="s">
        <v>3426</v>
      </c>
      <c r="E313" s="1065">
        <v>0.1</v>
      </c>
      <c r="F313" s="1065">
        <v>0.10100000000000001</v>
      </c>
      <c r="G313" s="1065">
        <v>0.10199999999999999</v>
      </c>
      <c r="H313" s="1065">
        <v>0.10299999999999999</v>
      </c>
      <c r="I313" s="1065">
        <v>0.104</v>
      </c>
      <c r="J313" s="1065">
        <v>0.105</v>
      </c>
      <c r="K313" s="1065">
        <v>0.106</v>
      </c>
      <c r="L313" s="1065">
        <v>0.107</v>
      </c>
      <c r="M313" s="1065">
        <v>0.108</v>
      </c>
      <c r="N313" s="1065">
        <v>0.109</v>
      </c>
      <c r="O313" s="162" t="s">
        <v>3427</v>
      </c>
      <c r="P313" s="12"/>
      <c r="Q313" s="12"/>
      <c r="R313" s="12"/>
      <c r="S313" s="12"/>
      <c r="T313" s="12"/>
      <c r="U313" s="12"/>
      <c r="V313" s="12"/>
      <c r="W313" s="12"/>
      <c r="X313" s="12"/>
      <c r="Y313" s="12"/>
      <c r="Z313" s="12"/>
      <c r="AA313" s="12"/>
      <c r="AB313" s="12"/>
      <c r="AC313" s="12"/>
      <c r="AD313" s="12"/>
      <c r="AE313" s="12"/>
      <c r="AF313" s="12"/>
      <c r="AG313" s="18"/>
    </row>
    <row r="314" spans="1:33" s="8" customFormat="1" hidden="1" outlineLevel="1" x14ac:dyDescent="0.2">
      <c r="A314" s="1434"/>
      <c r="B314" s="65"/>
      <c r="C314" s="98"/>
      <c r="D314" s="1072"/>
      <c r="E314" s="606"/>
      <c r="F314" s="606"/>
      <c r="G314" s="606"/>
      <c r="H314" s="606"/>
      <c r="I314" s="606"/>
      <c r="J314" s="606"/>
      <c r="K314" s="606"/>
      <c r="L314" s="606"/>
      <c r="M314" s="606"/>
      <c r="N314" s="606"/>
      <c r="O314" s="162"/>
      <c r="P314" s="23"/>
      <c r="Q314" s="23"/>
      <c r="R314" s="23"/>
      <c r="S314" s="23"/>
      <c r="T314" s="23"/>
      <c r="U314" s="23"/>
      <c r="V314" s="23"/>
      <c r="W314" s="23"/>
      <c r="X314" s="23"/>
      <c r="Y314" s="23"/>
      <c r="Z314" s="23"/>
      <c r="AA314" s="23"/>
      <c r="AB314" s="23"/>
      <c r="AC314" s="23"/>
      <c r="AD314" s="23"/>
      <c r="AE314" s="23"/>
      <c r="AF314" s="23"/>
      <c r="AG314" s="17"/>
    </row>
    <row r="315" spans="1:33" customFormat="1" ht="12" hidden="1" customHeight="1" outlineLevel="1" x14ac:dyDescent="0.2">
      <c r="A315" s="1434"/>
      <c r="B315" s="63"/>
      <c r="C315" s="13"/>
      <c r="D315" s="1073" t="s">
        <v>3428</v>
      </c>
      <c r="E315" s="1066">
        <f t="shared" ref="E315:N315" si="65">(1-eSystemsFTEPercentReductionWorstCaseEM)*pSystemsFTE_EM</f>
        <v>100</v>
      </c>
      <c r="F315" s="1066">
        <f t="shared" si="65"/>
        <v>100</v>
      </c>
      <c r="G315" s="1066">
        <f t="shared" si="65"/>
        <v>100</v>
      </c>
      <c r="H315" s="1066">
        <f t="shared" si="65"/>
        <v>100</v>
      </c>
      <c r="I315" s="1066">
        <f t="shared" si="65"/>
        <v>100</v>
      </c>
      <c r="J315" s="1066">
        <f t="shared" si="65"/>
        <v>100</v>
      </c>
      <c r="K315" s="1066">
        <f t="shared" si="65"/>
        <v>100</v>
      </c>
      <c r="L315" s="1066">
        <f t="shared" si="65"/>
        <v>100</v>
      </c>
      <c r="M315" s="1066">
        <f t="shared" si="65"/>
        <v>100</v>
      </c>
      <c r="N315" s="1066">
        <f t="shared" si="65"/>
        <v>100</v>
      </c>
      <c r="O315" s="162" t="s">
        <v>3429</v>
      </c>
      <c r="P315" s="12"/>
      <c r="Q315" s="12"/>
      <c r="R315" s="12"/>
      <c r="S315" s="12"/>
      <c r="T315" s="12"/>
      <c r="U315" s="12"/>
      <c r="V315" s="12"/>
      <c r="W315" s="12"/>
      <c r="X315" s="12"/>
      <c r="Y315" s="12"/>
      <c r="Z315" s="12"/>
      <c r="AA315" s="12"/>
      <c r="AB315" s="12"/>
      <c r="AC315" s="12"/>
      <c r="AD315" s="12"/>
      <c r="AE315" s="12"/>
      <c r="AF315" s="12"/>
      <c r="AG315" s="18"/>
    </row>
    <row r="316" spans="1:33" customFormat="1" ht="12" hidden="1" customHeight="1" outlineLevel="1" x14ac:dyDescent="0.2">
      <c r="A316" s="1434"/>
      <c r="B316" s="63"/>
      <c r="C316" s="13"/>
      <c r="D316" s="1073" t="s">
        <v>3430</v>
      </c>
      <c r="E316" s="1066">
        <f t="shared" ref="E316:N316" si="66">(1-eSystemsFTEPercentReductionMostLikelyEM)*pSystemsFTE_EM</f>
        <v>95</v>
      </c>
      <c r="F316" s="1066">
        <f t="shared" si="66"/>
        <v>94.899999999999991</v>
      </c>
      <c r="G316" s="1066">
        <f t="shared" si="66"/>
        <v>94.8</v>
      </c>
      <c r="H316" s="1066">
        <f t="shared" si="66"/>
        <v>94.699999999999989</v>
      </c>
      <c r="I316" s="1066">
        <f t="shared" si="66"/>
        <v>94.6</v>
      </c>
      <c r="J316" s="1066">
        <f t="shared" si="66"/>
        <v>94.5</v>
      </c>
      <c r="K316" s="1066">
        <f t="shared" si="66"/>
        <v>94.399999999999991</v>
      </c>
      <c r="L316" s="1066">
        <f t="shared" si="66"/>
        <v>94.3</v>
      </c>
      <c r="M316" s="1066">
        <f t="shared" si="66"/>
        <v>94.199999999999989</v>
      </c>
      <c r="N316" s="1066">
        <f t="shared" si="66"/>
        <v>94.100000000000009</v>
      </c>
      <c r="O316" s="162" t="s">
        <v>3431</v>
      </c>
      <c r="P316" s="12"/>
      <c r="Q316" s="12"/>
      <c r="R316" s="12"/>
      <c r="S316" s="12"/>
      <c r="T316" s="12"/>
      <c r="U316" s="12"/>
      <c r="V316" s="12"/>
      <c r="W316" s="12"/>
      <c r="X316" s="12"/>
      <c r="Y316" s="12"/>
      <c r="Z316" s="12"/>
      <c r="AA316" s="12"/>
      <c r="AB316" s="12"/>
      <c r="AC316" s="12"/>
      <c r="AD316" s="12"/>
      <c r="AE316" s="12"/>
      <c r="AF316" s="12"/>
      <c r="AG316" s="18"/>
    </row>
    <row r="317" spans="1:33" customFormat="1" ht="12" hidden="1" customHeight="1" outlineLevel="1" x14ac:dyDescent="0.2">
      <c r="A317" s="1434"/>
      <c r="B317" s="63"/>
      <c r="C317" s="13"/>
      <c r="D317" s="1073" t="s">
        <v>3432</v>
      </c>
      <c r="E317" s="1066">
        <f t="shared" ref="E317:N317" si="67">(1-eSystemsFTEPercentReductionBestCaseEM)*pSystemsFTE_EM</f>
        <v>90</v>
      </c>
      <c r="F317" s="1066">
        <f t="shared" si="67"/>
        <v>89.9</v>
      </c>
      <c r="G317" s="1066">
        <f t="shared" si="67"/>
        <v>89.8</v>
      </c>
      <c r="H317" s="1066">
        <f t="shared" si="67"/>
        <v>89.7</v>
      </c>
      <c r="I317" s="1066">
        <f t="shared" si="67"/>
        <v>89.600000000000009</v>
      </c>
      <c r="J317" s="1066">
        <f t="shared" si="67"/>
        <v>89.5</v>
      </c>
      <c r="K317" s="1066">
        <f t="shared" si="67"/>
        <v>89.4</v>
      </c>
      <c r="L317" s="1066">
        <f t="shared" si="67"/>
        <v>89.3</v>
      </c>
      <c r="M317" s="1066">
        <f t="shared" si="67"/>
        <v>89.2</v>
      </c>
      <c r="N317" s="1066">
        <f t="shared" si="67"/>
        <v>89.1</v>
      </c>
      <c r="O317" s="162" t="s">
        <v>3433</v>
      </c>
      <c r="P317" s="12"/>
      <c r="Q317" s="12"/>
      <c r="R317" s="12"/>
      <c r="S317" s="12"/>
      <c r="T317" s="12"/>
      <c r="U317" s="12"/>
      <c r="V317" s="12"/>
      <c r="W317" s="12"/>
      <c r="X317" s="12"/>
      <c r="Y317" s="12"/>
      <c r="Z317" s="12"/>
      <c r="AA317" s="12"/>
      <c r="AB317" s="12"/>
      <c r="AC317" s="12"/>
      <c r="AD317" s="12"/>
      <c r="AE317" s="12"/>
      <c r="AF317" s="12"/>
      <c r="AG317" s="18"/>
    </row>
    <row r="318" spans="1:33" s="8" customFormat="1" ht="12" hidden="1" customHeight="1" outlineLevel="1" x14ac:dyDescent="0.2">
      <c r="A318" s="1434"/>
      <c r="B318" s="65"/>
      <c r="C318" s="50"/>
      <c r="D318" s="1074"/>
      <c r="E318" s="440"/>
      <c r="F318" s="440"/>
      <c r="G318" s="440"/>
      <c r="H318" s="440"/>
      <c r="I318" s="440"/>
      <c r="J318" s="440"/>
      <c r="K318" s="440"/>
      <c r="L318" s="440"/>
      <c r="M318" s="440"/>
      <c r="N318" s="440"/>
      <c r="O318" s="1067"/>
      <c r="P318" s="23"/>
      <c r="Q318" s="23"/>
      <c r="R318" s="23"/>
      <c r="S318" s="23"/>
      <c r="T318" s="23"/>
      <c r="U318" s="23"/>
      <c r="V318" s="23"/>
      <c r="W318" s="23"/>
      <c r="X318" s="23"/>
      <c r="Y318" s="23"/>
      <c r="Z318" s="23"/>
      <c r="AA318" s="23"/>
      <c r="AB318" s="23"/>
      <c r="AC318" s="23"/>
      <c r="AD318" s="23"/>
      <c r="AE318" s="23"/>
      <c r="AF318" s="23"/>
      <c r="AG318" s="17"/>
    </row>
    <row r="319" spans="1:33" customFormat="1" ht="12" hidden="1" customHeight="1" outlineLevel="1" x14ac:dyDescent="0.2">
      <c r="A319" s="1434"/>
      <c r="B319" s="63"/>
      <c r="C319" s="13"/>
      <c r="D319" s="1073" t="s">
        <v>3434</v>
      </c>
      <c r="E319" s="602">
        <f>(AnnualBurdenedSalaryEM*eSystemsFTECalcResultWorstCaseEM)</f>
        <v>8362500</v>
      </c>
      <c r="F319" s="602">
        <f>(AnnualBurdenedSalaryEM*eSystemsFTECalcResultWorstCaseEM)*(1+Inflation)</f>
        <v>8529750</v>
      </c>
      <c r="G319" s="602">
        <f>(AnnualBurdenedSalaryEM*eSystemsFTECalcResultWorstCaseEM)*(1+Inflation)^2</f>
        <v>8700345</v>
      </c>
      <c r="H319" s="602">
        <f>(AnnualBurdenedSalaryEM*eSystemsFTECalcResultWorstCaseEM)*(1+Inflation)^3</f>
        <v>8874351.8999999985</v>
      </c>
      <c r="I319" s="602">
        <f>(AnnualBurdenedSalaryEM*eSystemsFTECalcResultWorstCaseEM)*(1+Inflation)^4</f>
        <v>9051838.9379999992</v>
      </c>
      <c r="J319" s="602">
        <f>(AnnualBurdenedSalaryEM*eSystemsFTECalcResultWorstCaseEM)*(1+Inflation)^5</f>
        <v>9232875.7167600002</v>
      </c>
      <c r="K319" s="602">
        <f>(AnnualBurdenedSalaryEM*eSystemsFTECalcResultWorstCaseEM)*(1+Inflation)^6</f>
        <v>9417533.2310952004</v>
      </c>
      <c r="L319" s="602">
        <f>(AnnualBurdenedSalaryEM*eSystemsFTECalcResultWorstCaseEM)*(1+Inflation)^7</f>
        <v>9605883.895717103</v>
      </c>
      <c r="M319" s="602">
        <f>(AnnualBurdenedSalaryEM*eSystemsFTECalcResultWorstCaseEM)*(1+Inflation)^8</f>
        <v>9798001.5736314449</v>
      </c>
      <c r="N319" s="602">
        <f>(AnnualBurdenedSalaryEM*eSystemsFTECalcResultWorstCaseEM)*(1+Inflation)^9</f>
        <v>9993961.6051040739</v>
      </c>
      <c r="O319" s="162" t="s">
        <v>3435</v>
      </c>
      <c r="P319" s="12"/>
      <c r="Q319" s="12"/>
      <c r="R319" s="12"/>
      <c r="S319" s="12"/>
      <c r="T319" s="12"/>
      <c r="U319" s="12"/>
      <c r="V319" s="12"/>
      <c r="W319" s="12"/>
      <c r="X319" s="12"/>
      <c r="Y319" s="12"/>
      <c r="Z319" s="12"/>
      <c r="AA319" s="12"/>
      <c r="AB319" s="12"/>
      <c r="AC319" s="12"/>
      <c r="AD319" s="12"/>
      <c r="AE319" s="12"/>
      <c r="AF319" s="12"/>
      <c r="AG319" s="18"/>
    </row>
    <row r="320" spans="1:33" customFormat="1" ht="12" hidden="1" customHeight="1" outlineLevel="1" x14ac:dyDescent="0.2">
      <c r="A320" s="1434"/>
      <c r="B320" s="63"/>
      <c r="C320" s="13"/>
      <c r="D320" s="1073" t="s">
        <v>3436</v>
      </c>
      <c r="E320" s="602">
        <f>(AnnualBurdenedSalaryEM*eSystemsFTECalcResultMostLikelyEM)</f>
        <v>7944375</v>
      </c>
      <c r="F320" s="602">
        <f>(AnnualBurdenedSalaryEM*eSystemsFTECalcResultMostLikelyEM)*(1+Inflation)</f>
        <v>8094732.7499999991</v>
      </c>
      <c r="G320" s="602">
        <f>(AnnualBurdenedSalaryEM*eSystemsFTECalcResultMostLikelyEM)*(1+Inflation)^2</f>
        <v>8247927.0599999996</v>
      </c>
      <c r="H320" s="602">
        <f>(AnnualBurdenedSalaryEM*eSystemsFTECalcResultMostLikelyEM)*(1+Inflation)^3</f>
        <v>8404011.2492999993</v>
      </c>
      <c r="I320" s="602">
        <f>(AnnualBurdenedSalaryEM*eSystemsFTECalcResultMostLikelyEM)*(1+Inflation)^4</f>
        <v>8563039.6353479996</v>
      </c>
      <c r="J320" s="602">
        <f>(AnnualBurdenedSalaryEM*eSystemsFTECalcResultMostLikelyEM)*(1+Inflation)^5</f>
        <v>8725067.5523381997</v>
      </c>
      <c r="K320" s="602">
        <f>(AnnualBurdenedSalaryEM*eSystemsFTECalcResultMostLikelyEM)*(1+Inflation)^6</f>
        <v>8890151.3701538686</v>
      </c>
      <c r="L320" s="602">
        <f>(AnnualBurdenedSalaryEM*eSystemsFTECalcResultMostLikelyEM)*(1+Inflation)^7</f>
        <v>9058348.5136612281</v>
      </c>
      <c r="M320" s="602">
        <f>(AnnualBurdenedSalaryEM*eSystemsFTECalcResultMostLikelyEM)*(1+Inflation)^8</f>
        <v>9229717.4823608212</v>
      </c>
      <c r="N320" s="602">
        <f>(AnnualBurdenedSalaryEM*eSystemsFTECalcResultMostLikelyEM)*(1+Inflation)^9</f>
        <v>9404317.8704029359</v>
      </c>
      <c r="O320" s="162" t="s">
        <v>3437</v>
      </c>
      <c r="P320" s="12"/>
      <c r="Q320" s="12"/>
      <c r="R320" s="12"/>
      <c r="S320" s="12"/>
      <c r="T320" s="12"/>
      <c r="U320" s="12"/>
      <c r="V320" s="12"/>
      <c r="W320" s="12"/>
      <c r="X320" s="12"/>
      <c r="Y320" s="12"/>
      <c r="Z320" s="12"/>
      <c r="AA320" s="12"/>
      <c r="AB320" s="12"/>
      <c r="AC320" s="12"/>
      <c r="AD320" s="12"/>
      <c r="AE320" s="12"/>
      <c r="AF320" s="12"/>
      <c r="AG320" s="18"/>
    </row>
    <row r="321" spans="1:33" customFormat="1" ht="12" hidden="1" customHeight="1" outlineLevel="1" x14ac:dyDescent="0.2">
      <c r="A321" s="1434"/>
      <c r="B321" s="63"/>
      <c r="C321" s="13"/>
      <c r="D321" s="1073" t="s">
        <v>3438</v>
      </c>
      <c r="E321" s="602">
        <f>(AnnualBurdenedSalaryEM*eSystemsFTECalcResultBestCaseEM)</f>
        <v>7526250</v>
      </c>
      <c r="F321" s="602">
        <f>(AnnualBurdenedSalaryEM*eSystemsFTECalcResultBestCaseEM)*(1+Inflation)</f>
        <v>7668245.2500000009</v>
      </c>
      <c r="G321" s="602">
        <f>(AnnualBurdenedSalaryEM*eSystemsFTECalcResultBestCaseEM)*(1+Inflation)^2</f>
        <v>7812909.8099999996</v>
      </c>
      <c r="H321" s="602">
        <f>(AnnualBurdenedSalaryEM*eSystemsFTECalcResultBestCaseEM)*(1+Inflation)^3</f>
        <v>7960293.6542999996</v>
      </c>
      <c r="I321" s="602">
        <f>(AnnualBurdenedSalaryEM*eSystemsFTECalcResultBestCaseEM)*(1+Inflation)^4</f>
        <v>8110447.6884480007</v>
      </c>
      <c r="J321" s="602">
        <f>(AnnualBurdenedSalaryEM*eSystemsFTECalcResultBestCaseEM)*(1+Inflation)^5</f>
        <v>8263423.7665002001</v>
      </c>
      <c r="K321" s="602">
        <f>(AnnualBurdenedSalaryEM*eSystemsFTECalcResultBestCaseEM)*(1+Inflation)^6</f>
        <v>8419274.7085991111</v>
      </c>
      <c r="L321" s="602">
        <f>(AnnualBurdenedSalaryEM*eSystemsFTECalcResultBestCaseEM)*(1+Inflation)^7</f>
        <v>8578054.3188753724</v>
      </c>
      <c r="M321" s="602">
        <f>(AnnualBurdenedSalaryEM*eSystemsFTECalcResultBestCaseEM)*(1+Inflation)^8</f>
        <v>8739817.4036792498</v>
      </c>
      <c r="N321" s="602">
        <f>(AnnualBurdenedSalaryEM*eSystemsFTECalcResultBestCaseEM)*(1+Inflation)^9</f>
        <v>8904619.7901477292</v>
      </c>
      <c r="O321" s="162" t="s">
        <v>3439</v>
      </c>
      <c r="P321" s="12"/>
      <c r="Q321" s="12"/>
      <c r="R321" s="12"/>
      <c r="S321" s="12"/>
      <c r="T321" s="12"/>
      <c r="U321" s="12"/>
      <c r="V321" s="12"/>
      <c r="W321" s="12"/>
      <c r="X321" s="12"/>
      <c r="Y321" s="12"/>
      <c r="Z321" s="12"/>
      <c r="AA321" s="12"/>
      <c r="AB321" s="12"/>
      <c r="AC321" s="12"/>
      <c r="AD321" s="12"/>
      <c r="AE321" s="12"/>
      <c r="AF321" s="12"/>
      <c r="AG321" s="18"/>
    </row>
    <row r="322" spans="1:33" s="8" customFormat="1" ht="12" hidden="1" customHeight="1" outlineLevel="1" x14ac:dyDescent="0.2">
      <c r="A322" s="1434"/>
      <c r="B322" s="63"/>
      <c r="C322" s="13"/>
      <c r="D322" s="1074"/>
      <c r="E322" s="440"/>
      <c r="F322" s="440"/>
      <c r="G322" s="440"/>
      <c r="H322" s="440"/>
      <c r="I322" s="440"/>
      <c r="J322" s="440"/>
      <c r="K322" s="440"/>
      <c r="L322" s="440"/>
      <c r="M322" s="440"/>
      <c r="N322" s="440"/>
      <c r="O322" s="642"/>
      <c r="P322" s="23"/>
      <c r="Q322" s="23"/>
      <c r="R322" s="23"/>
      <c r="S322" s="23"/>
      <c r="T322" s="23"/>
      <c r="U322" s="23"/>
      <c r="V322" s="23"/>
      <c r="W322" s="23"/>
      <c r="X322" s="23"/>
      <c r="Y322" s="23"/>
      <c r="Z322" s="23"/>
      <c r="AA322" s="23"/>
      <c r="AB322" s="23"/>
      <c r="AC322" s="23"/>
      <c r="AD322" s="23"/>
      <c r="AE322" s="23"/>
      <c r="AF322" s="23"/>
      <c r="AG322" s="17"/>
    </row>
    <row r="323" spans="1:33" customFormat="1" hidden="1" outlineLevel="1" x14ac:dyDescent="0.2">
      <c r="A323" s="1434"/>
      <c r="B323" s="63"/>
      <c r="C323" s="6"/>
      <c r="D323" s="1071" t="s">
        <v>3440</v>
      </c>
      <c r="E323" s="1065">
        <v>0</v>
      </c>
      <c r="F323" s="1065">
        <v>0</v>
      </c>
      <c r="G323" s="1065">
        <v>0</v>
      </c>
      <c r="H323" s="1065">
        <v>0</v>
      </c>
      <c r="I323" s="1065">
        <v>0</v>
      </c>
      <c r="J323" s="1065">
        <v>0</v>
      </c>
      <c r="K323" s="1065">
        <v>0</v>
      </c>
      <c r="L323" s="1065">
        <v>0</v>
      </c>
      <c r="M323" s="1065">
        <v>0</v>
      </c>
      <c r="N323" s="1065">
        <v>0</v>
      </c>
      <c r="O323" s="162" t="s">
        <v>3441</v>
      </c>
      <c r="P323" s="12"/>
      <c r="Q323" s="12"/>
      <c r="R323" s="12"/>
      <c r="S323" s="12"/>
      <c r="T323" s="12"/>
      <c r="U323" s="12"/>
      <c r="V323" s="12"/>
      <c r="W323" s="12"/>
      <c r="X323" s="12"/>
      <c r="Y323" s="12"/>
      <c r="Z323" s="12"/>
      <c r="AA323" s="12"/>
      <c r="AB323" s="12"/>
      <c r="AC323" s="12"/>
      <c r="AD323" s="12"/>
      <c r="AE323" s="12"/>
      <c r="AF323" s="12"/>
      <c r="AG323" s="18"/>
    </row>
    <row r="324" spans="1:33" customFormat="1" hidden="1" outlineLevel="1" x14ac:dyDescent="0.2">
      <c r="A324" s="1434"/>
      <c r="B324" s="63"/>
      <c r="C324" s="6"/>
      <c r="D324" s="1071" t="s">
        <v>3442</v>
      </c>
      <c r="E324" s="1065">
        <v>0.05</v>
      </c>
      <c r="F324" s="1065">
        <v>5.0999999999999997E-2</v>
      </c>
      <c r="G324" s="1065">
        <v>5.1999999999999998E-2</v>
      </c>
      <c r="H324" s="1065">
        <v>5.2999999999999999E-2</v>
      </c>
      <c r="I324" s="1065">
        <v>5.3999999999999999E-2</v>
      </c>
      <c r="J324" s="1065">
        <v>5.5E-2</v>
      </c>
      <c r="K324" s="1065">
        <v>5.6000000000000001E-2</v>
      </c>
      <c r="L324" s="1065">
        <v>5.7000000000000002E-2</v>
      </c>
      <c r="M324" s="1065">
        <v>5.8000000000000003E-2</v>
      </c>
      <c r="N324" s="1065">
        <v>5.8999999999999997E-2</v>
      </c>
      <c r="O324" s="162" t="s">
        <v>3443</v>
      </c>
      <c r="P324" s="12"/>
      <c r="Q324" s="12"/>
      <c r="R324" s="12"/>
      <c r="S324" s="12"/>
      <c r="T324" s="12"/>
      <c r="U324" s="12"/>
      <c r="V324" s="12"/>
      <c r="W324" s="12"/>
      <c r="X324" s="12"/>
      <c r="Y324" s="12"/>
      <c r="Z324" s="12"/>
      <c r="AA324" s="12"/>
      <c r="AB324" s="12"/>
      <c r="AC324" s="12"/>
      <c r="AD324" s="12"/>
      <c r="AE324" s="12"/>
      <c r="AF324" s="12"/>
      <c r="AG324" s="18"/>
    </row>
    <row r="325" spans="1:33" customFormat="1" hidden="1" outlineLevel="1" x14ac:dyDescent="0.2">
      <c r="A325" s="1434"/>
      <c r="B325" s="63"/>
      <c r="C325" s="6"/>
      <c r="D325" s="1071" t="s">
        <v>3444</v>
      </c>
      <c r="E325" s="1065">
        <v>0.1</v>
      </c>
      <c r="F325" s="1065">
        <v>0.10100000000000001</v>
      </c>
      <c r="G325" s="1065">
        <v>0.10199999999999999</v>
      </c>
      <c r="H325" s="1065">
        <v>0.10299999999999999</v>
      </c>
      <c r="I325" s="1065">
        <v>0.104</v>
      </c>
      <c r="J325" s="1065">
        <v>0.105</v>
      </c>
      <c r="K325" s="1065">
        <v>0.106</v>
      </c>
      <c r="L325" s="1065">
        <v>0.107</v>
      </c>
      <c r="M325" s="1065">
        <v>0.108</v>
      </c>
      <c r="N325" s="1065">
        <v>0.109</v>
      </c>
      <c r="O325" s="162" t="s">
        <v>3445</v>
      </c>
      <c r="P325" s="12"/>
      <c r="Q325" s="12"/>
      <c r="R325" s="12"/>
      <c r="S325" s="12"/>
      <c r="T325" s="12"/>
      <c r="U325" s="12"/>
      <c r="V325" s="12"/>
      <c r="W325" s="12"/>
      <c r="X325" s="12"/>
      <c r="Y325" s="12"/>
      <c r="Z325" s="12"/>
      <c r="AA325" s="12"/>
      <c r="AB325" s="12"/>
      <c r="AC325" s="12"/>
      <c r="AD325" s="12"/>
      <c r="AE325" s="12"/>
      <c r="AF325" s="12"/>
      <c r="AG325" s="18"/>
    </row>
    <row r="326" spans="1:33" s="8" customFormat="1" hidden="1" outlineLevel="1" x14ac:dyDescent="0.2">
      <c r="A326" s="1434"/>
      <c r="B326" s="63"/>
      <c r="C326" s="98"/>
      <c r="D326" s="1072"/>
      <c r="E326" s="606"/>
      <c r="F326" s="606"/>
      <c r="G326" s="606"/>
      <c r="H326" s="606"/>
      <c r="I326" s="606"/>
      <c r="J326" s="606"/>
      <c r="K326" s="606"/>
      <c r="L326" s="606"/>
      <c r="M326" s="606"/>
      <c r="N326" s="606"/>
      <c r="O326" s="162"/>
      <c r="P326" s="23"/>
      <c r="Q326" s="23"/>
      <c r="R326" s="23"/>
      <c r="S326" s="23"/>
      <c r="T326" s="23"/>
      <c r="U326" s="23"/>
      <c r="V326" s="23"/>
      <c r="W326" s="23"/>
      <c r="X326" s="23"/>
      <c r="Y326" s="23"/>
      <c r="Z326" s="23"/>
      <c r="AA326" s="23"/>
      <c r="AB326" s="23"/>
      <c r="AC326" s="23"/>
      <c r="AD326" s="23"/>
      <c r="AE326" s="23"/>
      <c r="AF326" s="23"/>
      <c r="AG326" s="17"/>
    </row>
    <row r="327" spans="1:33" customFormat="1" ht="12" hidden="1" customHeight="1" outlineLevel="1" x14ac:dyDescent="0.2">
      <c r="A327" s="1434"/>
      <c r="B327" s="63"/>
      <c r="C327" s="13"/>
      <c r="D327" s="1073" t="s">
        <v>3446</v>
      </c>
      <c r="E327" s="1066">
        <f t="shared" ref="E327:N327" si="68">(1-eSystemsFTEPercentReductionWorstCaseCM)*pSystemsFTE_CM</f>
        <v>100</v>
      </c>
      <c r="F327" s="1066">
        <f t="shared" si="68"/>
        <v>100</v>
      </c>
      <c r="G327" s="1066">
        <f t="shared" si="68"/>
        <v>100</v>
      </c>
      <c r="H327" s="1066">
        <f t="shared" si="68"/>
        <v>100</v>
      </c>
      <c r="I327" s="1066">
        <f t="shared" si="68"/>
        <v>100</v>
      </c>
      <c r="J327" s="1066">
        <f t="shared" si="68"/>
        <v>100</v>
      </c>
      <c r="K327" s="1066">
        <f t="shared" si="68"/>
        <v>100</v>
      </c>
      <c r="L327" s="1066">
        <f t="shared" si="68"/>
        <v>100</v>
      </c>
      <c r="M327" s="1066">
        <f t="shared" si="68"/>
        <v>100</v>
      </c>
      <c r="N327" s="1066">
        <f t="shared" si="68"/>
        <v>100</v>
      </c>
      <c r="O327" s="162" t="s">
        <v>3447</v>
      </c>
      <c r="P327" s="12"/>
      <c r="Q327" s="12"/>
      <c r="R327" s="12"/>
      <c r="S327" s="12"/>
      <c r="T327" s="12"/>
      <c r="U327" s="12"/>
      <c r="V327" s="12"/>
      <c r="W327" s="12"/>
      <c r="X327" s="12"/>
      <c r="Y327" s="12"/>
      <c r="Z327" s="12"/>
      <c r="AA327" s="12"/>
      <c r="AB327" s="12"/>
      <c r="AC327" s="12"/>
      <c r="AD327" s="12"/>
      <c r="AE327" s="12"/>
      <c r="AF327" s="12"/>
      <c r="AG327" s="18"/>
    </row>
    <row r="328" spans="1:33" customFormat="1" ht="12" hidden="1" customHeight="1" outlineLevel="1" x14ac:dyDescent="0.2">
      <c r="A328" s="1434"/>
      <c r="B328" s="63"/>
      <c r="C328" s="13"/>
      <c r="D328" s="1073" t="s">
        <v>3448</v>
      </c>
      <c r="E328" s="1066">
        <f t="shared" ref="E328:N328" si="69">(1-eSystemsFTEPercentReductionMostLikelyEM)*pSystemsFTE_CM</f>
        <v>95</v>
      </c>
      <c r="F328" s="1066">
        <f t="shared" si="69"/>
        <v>94.899999999999991</v>
      </c>
      <c r="G328" s="1066">
        <f t="shared" si="69"/>
        <v>94.8</v>
      </c>
      <c r="H328" s="1066">
        <f t="shared" si="69"/>
        <v>94.699999999999989</v>
      </c>
      <c r="I328" s="1066">
        <f t="shared" si="69"/>
        <v>94.6</v>
      </c>
      <c r="J328" s="1066">
        <f t="shared" si="69"/>
        <v>94.5</v>
      </c>
      <c r="K328" s="1066">
        <f t="shared" si="69"/>
        <v>94.399999999999991</v>
      </c>
      <c r="L328" s="1066">
        <f t="shared" si="69"/>
        <v>94.3</v>
      </c>
      <c r="M328" s="1066">
        <f t="shared" si="69"/>
        <v>94.199999999999989</v>
      </c>
      <c r="N328" s="1066">
        <f t="shared" si="69"/>
        <v>94.100000000000009</v>
      </c>
      <c r="O328" s="162" t="s">
        <v>3449</v>
      </c>
      <c r="P328" s="12"/>
      <c r="Q328" s="12"/>
      <c r="R328" s="12"/>
      <c r="S328" s="12"/>
      <c r="T328" s="12"/>
      <c r="U328" s="12"/>
      <c r="V328" s="12"/>
      <c r="W328" s="12"/>
      <c r="X328" s="12"/>
      <c r="Y328" s="12"/>
      <c r="Z328" s="12"/>
      <c r="AA328" s="12"/>
      <c r="AB328" s="12"/>
      <c r="AC328" s="12"/>
      <c r="AD328" s="12"/>
      <c r="AE328" s="12"/>
      <c r="AF328" s="12"/>
      <c r="AG328" s="18"/>
    </row>
    <row r="329" spans="1:33" customFormat="1" ht="12" hidden="1" customHeight="1" outlineLevel="1" x14ac:dyDescent="0.2">
      <c r="A329" s="1434"/>
      <c r="B329" s="63"/>
      <c r="C329" s="13"/>
      <c r="D329" s="1073" t="s">
        <v>3450</v>
      </c>
      <c r="E329" s="1066">
        <f t="shared" ref="E329:N329" si="70">(1-eSystemsFTEPercentReductionBestCaseCM)*pSystemsFTE_CM</f>
        <v>90</v>
      </c>
      <c r="F329" s="1066">
        <f t="shared" si="70"/>
        <v>89.9</v>
      </c>
      <c r="G329" s="1066">
        <f t="shared" si="70"/>
        <v>89.8</v>
      </c>
      <c r="H329" s="1066">
        <f t="shared" si="70"/>
        <v>89.7</v>
      </c>
      <c r="I329" s="1066">
        <f t="shared" si="70"/>
        <v>89.600000000000009</v>
      </c>
      <c r="J329" s="1066">
        <f t="shared" si="70"/>
        <v>89.5</v>
      </c>
      <c r="K329" s="1066">
        <f t="shared" si="70"/>
        <v>89.4</v>
      </c>
      <c r="L329" s="1066">
        <f t="shared" si="70"/>
        <v>89.3</v>
      </c>
      <c r="M329" s="1066">
        <f t="shared" si="70"/>
        <v>89.2</v>
      </c>
      <c r="N329" s="1066">
        <f t="shared" si="70"/>
        <v>89.1</v>
      </c>
      <c r="O329" s="162" t="s">
        <v>3451</v>
      </c>
      <c r="P329" s="12"/>
      <c r="Q329" s="12"/>
      <c r="R329" s="12"/>
      <c r="S329" s="12"/>
      <c r="T329" s="12"/>
      <c r="U329" s="12"/>
      <c r="V329" s="12"/>
      <c r="W329" s="12"/>
      <c r="X329" s="12"/>
      <c r="Y329" s="12"/>
      <c r="Z329" s="12"/>
      <c r="AA329" s="12"/>
      <c r="AB329" s="12"/>
      <c r="AC329" s="12"/>
      <c r="AD329" s="12"/>
      <c r="AE329" s="12"/>
      <c r="AF329" s="12"/>
      <c r="AG329" s="18"/>
    </row>
    <row r="330" spans="1:33" s="8" customFormat="1" ht="12" hidden="1" customHeight="1" outlineLevel="1" x14ac:dyDescent="0.2">
      <c r="A330" s="1434"/>
      <c r="B330" s="63"/>
      <c r="C330" s="50"/>
      <c r="D330" s="1074"/>
      <c r="E330" s="440"/>
      <c r="F330" s="440"/>
      <c r="G330" s="440"/>
      <c r="H330" s="440"/>
      <c r="I330" s="440"/>
      <c r="J330" s="440"/>
      <c r="K330" s="440"/>
      <c r="L330" s="440"/>
      <c r="M330" s="440"/>
      <c r="N330" s="440"/>
      <c r="O330" s="1067"/>
      <c r="P330" s="23"/>
      <c r="Q330" s="23"/>
      <c r="R330" s="23"/>
      <c r="S330" s="23"/>
      <c r="T330" s="23"/>
      <c r="U330" s="23"/>
      <c r="V330" s="23"/>
      <c r="W330" s="23"/>
      <c r="X330" s="23"/>
      <c r="Y330" s="23"/>
      <c r="Z330" s="23"/>
      <c r="AA330" s="23"/>
      <c r="AB330" s="23"/>
      <c r="AC330" s="23"/>
      <c r="AD330" s="23"/>
      <c r="AE330" s="23"/>
      <c r="AF330" s="23"/>
      <c r="AG330" s="17"/>
    </row>
    <row r="331" spans="1:33" customFormat="1" ht="12" hidden="1" customHeight="1" outlineLevel="1" x14ac:dyDescent="0.2">
      <c r="A331" s="1434"/>
      <c r="B331" s="63"/>
      <c r="C331" s="13"/>
      <c r="D331" s="1073" t="s">
        <v>3452</v>
      </c>
      <c r="E331" s="602">
        <f>(AnnualBurdenedSalaryEM*eSystemsFTECalcResultWorstCaseCM)</f>
        <v>8362500</v>
      </c>
      <c r="F331" s="602">
        <f>(AnnualBurdenedSalaryEM*eSystemsFTECalcResultWorstCaseCM)*(1+Inflation)</f>
        <v>8529750</v>
      </c>
      <c r="G331" s="602">
        <f>(AnnualBurdenedSalaryEM*eSystemsFTECalcResultWorstCaseCM)*(1+Inflation)^2</f>
        <v>8700345</v>
      </c>
      <c r="H331" s="602">
        <f>(AnnualBurdenedSalaryEM*eSystemsFTECalcResultWorstCaseCM)*(1+Inflation)^3</f>
        <v>8874351.8999999985</v>
      </c>
      <c r="I331" s="602">
        <f>(AnnualBurdenedSalaryEM*eSystemsFTECalcResultWorstCaseCM)*(1+Inflation)^4</f>
        <v>9051838.9379999992</v>
      </c>
      <c r="J331" s="602">
        <f>(AnnualBurdenedSalaryEM*eSystemsFTECalcResultWorstCaseCM)*(1+Inflation)^5</f>
        <v>9232875.7167600002</v>
      </c>
      <c r="K331" s="602">
        <f>(AnnualBurdenedSalaryEM*eSystemsFTECalcResultWorstCaseCM)*(1+Inflation)^6</f>
        <v>9417533.2310952004</v>
      </c>
      <c r="L331" s="602">
        <f>(AnnualBurdenedSalaryEM*eSystemsFTECalcResultWorstCaseCM)*(1+Inflation)^7</f>
        <v>9605883.895717103</v>
      </c>
      <c r="M331" s="602">
        <f>(AnnualBurdenedSalaryEM*eSystemsFTECalcResultWorstCaseCM)*(1+Inflation)^8</f>
        <v>9798001.5736314449</v>
      </c>
      <c r="N331" s="602">
        <f>(AnnualBurdenedSalaryEM*eSystemsFTECalcResultWorstCaseCM)*(1+Inflation)^9</f>
        <v>9993961.6051040739</v>
      </c>
      <c r="O331" s="162" t="s">
        <v>3453</v>
      </c>
      <c r="P331" s="12"/>
      <c r="Q331" s="12"/>
      <c r="R331" s="12"/>
      <c r="S331" s="12"/>
      <c r="T331" s="12"/>
      <c r="U331" s="12"/>
      <c r="V331" s="12"/>
      <c r="W331" s="12"/>
      <c r="X331" s="12"/>
      <c r="Y331" s="12"/>
      <c r="Z331" s="12"/>
      <c r="AA331" s="12"/>
      <c r="AB331" s="12"/>
      <c r="AC331" s="12"/>
      <c r="AD331" s="12"/>
      <c r="AE331" s="12"/>
      <c r="AF331" s="12"/>
      <c r="AG331" s="18"/>
    </row>
    <row r="332" spans="1:33" customFormat="1" ht="12" hidden="1" customHeight="1" outlineLevel="1" x14ac:dyDescent="0.2">
      <c r="A332" s="1434"/>
      <c r="B332" s="63"/>
      <c r="C332" s="13"/>
      <c r="D332" s="1073" t="s">
        <v>3454</v>
      </c>
      <c r="E332" s="602">
        <f>(AnnualBurdenedSalaryEM*eSystemsFTECalcResultMostLikelyEM)</f>
        <v>7944375</v>
      </c>
      <c r="F332" s="602">
        <f>(AnnualBurdenedSalaryEM*eSystemsFTECalcResultMostLikelyEM)*(1+Inflation)</f>
        <v>8094732.7499999991</v>
      </c>
      <c r="G332" s="602">
        <f>(AnnualBurdenedSalaryEM*eSystemsFTECalcResultMostLikelyEM)*(1+Inflation)^2</f>
        <v>8247927.0599999996</v>
      </c>
      <c r="H332" s="602">
        <f>(AnnualBurdenedSalaryEM*eSystemsFTECalcResultMostLikelyEM)*(1+Inflation)^3</f>
        <v>8404011.2492999993</v>
      </c>
      <c r="I332" s="602">
        <f>(AnnualBurdenedSalaryEM*eSystemsFTECalcResultMostLikelyEM)*(1+Inflation)^4</f>
        <v>8563039.6353479996</v>
      </c>
      <c r="J332" s="602">
        <f>(AnnualBurdenedSalaryEM*eSystemsFTECalcResultMostLikelyEM)*(1+Inflation)^5</f>
        <v>8725067.5523381997</v>
      </c>
      <c r="K332" s="602">
        <f>(AnnualBurdenedSalaryEM*eSystemsFTECalcResultMostLikelyEM)*(1+Inflation)^6</f>
        <v>8890151.3701538686</v>
      </c>
      <c r="L332" s="602">
        <f>(AnnualBurdenedSalaryEM*eSystemsFTECalcResultMostLikelyEM)*(1+Inflation)^7</f>
        <v>9058348.5136612281</v>
      </c>
      <c r="M332" s="602">
        <f>(AnnualBurdenedSalaryEM*eSystemsFTECalcResultMostLikelyEM)*(1+Inflation)^8</f>
        <v>9229717.4823608212</v>
      </c>
      <c r="N332" s="602">
        <f>(AnnualBurdenedSalaryEM*eSystemsFTECalcResultMostLikelyEM)*(1+Inflation)^9</f>
        <v>9404317.8704029359</v>
      </c>
      <c r="O332" s="162" t="s">
        <v>3455</v>
      </c>
      <c r="P332" s="12"/>
      <c r="Q332" s="12"/>
      <c r="R332" s="12"/>
      <c r="S332" s="12"/>
      <c r="T332" s="12"/>
      <c r="U332" s="12"/>
      <c r="V332" s="12"/>
      <c r="W332" s="12"/>
      <c r="X332" s="12"/>
      <c r="Y332" s="12"/>
      <c r="Z332" s="12"/>
      <c r="AA332" s="12"/>
      <c r="AB332" s="12"/>
      <c r="AC332" s="12"/>
      <c r="AD332" s="12"/>
      <c r="AE332" s="12"/>
      <c r="AF332" s="12"/>
      <c r="AG332" s="18"/>
    </row>
    <row r="333" spans="1:33" customFormat="1" ht="12" hidden="1" customHeight="1" outlineLevel="1" x14ac:dyDescent="0.2">
      <c r="A333" s="1434"/>
      <c r="B333" s="63"/>
      <c r="C333" s="13"/>
      <c r="D333" s="1073" t="s">
        <v>3456</v>
      </c>
      <c r="E333" s="602">
        <f>(AnnualBurdenedSalaryEM*eSystemsFTECalcResultBestCaseCM)</f>
        <v>7526250</v>
      </c>
      <c r="F333" s="602">
        <f>(AnnualBurdenedSalaryEM*eSystemsFTECalcResultBestCaseCM)*(1+Inflation)</f>
        <v>7668245.2500000009</v>
      </c>
      <c r="G333" s="602">
        <f>(AnnualBurdenedSalaryEM*eSystemsFTECalcResultBestCaseCM)*(1+Inflation)^2</f>
        <v>7812909.8099999996</v>
      </c>
      <c r="H333" s="602">
        <f>(AnnualBurdenedSalaryEM*eSystemsFTECalcResultBestCaseCM)*(1+Inflation)^3</f>
        <v>7960293.6542999996</v>
      </c>
      <c r="I333" s="602">
        <f>(AnnualBurdenedSalaryEM*eSystemsFTECalcResultBestCaseCM)*(1+Inflation)^4</f>
        <v>8110447.6884480007</v>
      </c>
      <c r="J333" s="602">
        <f>(AnnualBurdenedSalaryEM*eSystemsFTECalcResultBestCaseCM)*(1+Inflation)^5</f>
        <v>8263423.7665002001</v>
      </c>
      <c r="K333" s="602">
        <f>(AnnualBurdenedSalaryEM*eSystemsFTECalcResultBestCaseCM)*(1+Inflation)^6</f>
        <v>8419274.7085991111</v>
      </c>
      <c r="L333" s="602">
        <f>(AnnualBurdenedSalaryEM*eSystemsFTECalcResultBestCaseCM)*(1+Inflation)^7</f>
        <v>8578054.3188753724</v>
      </c>
      <c r="M333" s="602">
        <f>(AnnualBurdenedSalaryEM*eSystemsFTECalcResultBestCaseCM)*(1+Inflation)^8</f>
        <v>8739817.4036792498</v>
      </c>
      <c r="N333" s="602">
        <f>(AnnualBurdenedSalaryEM*eSystemsFTECalcResultBestCaseCM)*(1+Inflation)^9</f>
        <v>8904619.7901477292</v>
      </c>
      <c r="O333" s="162" t="s">
        <v>3457</v>
      </c>
      <c r="P333" s="12"/>
      <c r="Q333" s="12"/>
      <c r="R333" s="12"/>
      <c r="S333" s="12"/>
      <c r="T333" s="12"/>
      <c r="U333" s="12"/>
      <c r="V333" s="12"/>
      <c r="W333" s="12"/>
      <c r="X333" s="12"/>
      <c r="Y333" s="12"/>
      <c r="Z333" s="12"/>
      <c r="AA333" s="12"/>
      <c r="AB333" s="12"/>
      <c r="AC333" s="12"/>
      <c r="AD333" s="12"/>
      <c r="AE333" s="12"/>
      <c r="AF333" s="12"/>
      <c r="AG333" s="18"/>
    </row>
    <row r="334" spans="1:33" s="8" customFormat="1" ht="12" hidden="1" customHeight="1" outlineLevel="1" x14ac:dyDescent="0.2">
      <c r="A334" s="1434"/>
      <c r="B334" s="63"/>
      <c r="C334" s="13"/>
      <c r="D334" s="1074"/>
      <c r="E334" s="440"/>
      <c r="F334" s="440"/>
      <c r="G334" s="440"/>
      <c r="H334" s="440"/>
      <c r="I334" s="440"/>
      <c r="J334" s="440"/>
      <c r="K334" s="440"/>
      <c r="L334" s="440"/>
      <c r="M334" s="440"/>
      <c r="N334" s="440"/>
      <c r="O334" s="642"/>
      <c r="P334" s="23"/>
      <c r="Q334" s="23"/>
      <c r="R334" s="23"/>
      <c r="S334" s="23"/>
      <c r="T334" s="23"/>
      <c r="U334" s="23"/>
      <c r="V334" s="23"/>
      <c r="W334" s="23"/>
      <c r="X334" s="23"/>
      <c r="Y334" s="23"/>
      <c r="Z334" s="23"/>
      <c r="AA334" s="23"/>
      <c r="AB334" s="23"/>
      <c r="AC334" s="23"/>
      <c r="AD334" s="23"/>
      <c r="AE334" s="23"/>
      <c r="AF334" s="23"/>
      <c r="AG334" s="17"/>
    </row>
    <row r="335" spans="1:33" customFormat="1" hidden="1" outlineLevel="1" x14ac:dyDescent="0.2">
      <c r="A335" s="1434"/>
      <c r="B335" s="63"/>
      <c r="C335" s="6"/>
      <c r="D335" s="1071" t="s">
        <v>3458</v>
      </c>
      <c r="E335" s="1065">
        <v>0</v>
      </c>
      <c r="F335" s="1065">
        <v>0</v>
      </c>
      <c r="G335" s="1065">
        <v>0</v>
      </c>
      <c r="H335" s="1065">
        <v>0</v>
      </c>
      <c r="I335" s="1065">
        <v>0</v>
      </c>
      <c r="J335" s="1065">
        <v>0</v>
      </c>
      <c r="K335" s="1065">
        <v>0</v>
      </c>
      <c r="L335" s="1065">
        <v>0</v>
      </c>
      <c r="M335" s="1065">
        <v>0</v>
      </c>
      <c r="N335" s="1065">
        <v>0</v>
      </c>
      <c r="O335" s="162" t="s">
        <v>3459</v>
      </c>
      <c r="P335" s="12"/>
      <c r="Q335" s="12"/>
      <c r="R335" s="12"/>
      <c r="S335" s="12"/>
      <c r="T335" s="12"/>
      <c r="U335" s="12"/>
      <c r="V335" s="12"/>
      <c r="W335" s="12"/>
      <c r="X335" s="12"/>
      <c r="Y335" s="12"/>
      <c r="Z335" s="12"/>
      <c r="AA335" s="12"/>
      <c r="AB335" s="12"/>
      <c r="AC335" s="12"/>
      <c r="AD335" s="12"/>
      <c r="AE335" s="12"/>
      <c r="AF335" s="12"/>
      <c r="AG335" s="18"/>
    </row>
    <row r="336" spans="1:33" customFormat="1" hidden="1" outlineLevel="1" x14ac:dyDescent="0.2">
      <c r="A336" s="1434"/>
      <c r="B336" s="63"/>
      <c r="C336" s="6"/>
      <c r="D336" s="1071" t="s">
        <v>3460</v>
      </c>
      <c r="E336" s="1065">
        <v>0.05</v>
      </c>
      <c r="F336" s="1065">
        <v>5.0999999999999997E-2</v>
      </c>
      <c r="G336" s="1065">
        <v>5.1999999999999998E-2</v>
      </c>
      <c r="H336" s="1065">
        <v>5.2999999999999999E-2</v>
      </c>
      <c r="I336" s="1065">
        <v>5.3999999999999999E-2</v>
      </c>
      <c r="J336" s="1065">
        <v>5.5E-2</v>
      </c>
      <c r="K336" s="1065">
        <v>5.6000000000000001E-2</v>
      </c>
      <c r="L336" s="1065">
        <v>5.7000000000000002E-2</v>
      </c>
      <c r="M336" s="1065">
        <v>5.8000000000000003E-2</v>
      </c>
      <c r="N336" s="1065">
        <v>5.8999999999999997E-2</v>
      </c>
      <c r="O336" s="162" t="s">
        <v>3461</v>
      </c>
      <c r="P336" s="12"/>
      <c r="Q336" s="12"/>
      <c r="R336" s="12"/>
      <c r="S336" s="12"/>
      <c r="T336" s="12"/>
      <c r="U336" s="12"/>
      <c r="V336" s="12"/>
      <c r="W336" s="12"/>
      <c r="X336" s="12"/>
      <c r="Y336" s="12"/>
      <c r="Z336" s="12"/>
      <c r="AA336" s="12"/>
      <c r="AB336" s="12"/>
      <c r="AC336" s="12"/>
      <c r="AD336" s="12"/>
      <c r="AE336" s="12"/>
      <c r="AF336" s="12"/>
      <c r="AG336" s="18"/>
    </row>
    <row r="337" spans="1:33" customFormat="1" hidden="1" outlineLevel="1" x14ac:dyDescent="0.2">
      <c r="A337" s="1434"/>
      <c r="B337" s="63"/>
      <c r="C337" s="6"/>
      <c r="D337" s="1071" t="s">
        <v>3462</v>
      </c>
      <c r="E337" s="1065">
        <v>0.1</v>
      </c>
      <c r="F337" s="1065">
        <v>0.10100000000000001</v>
      </c>
      <c r="G337" s="1065">
        <v>0.10199999999999999</v>
      </c>
      <c r="H337" s="1065">
        <v>0.10299999999999999</v>
      </c>
      <c r="I337" s="1065">
        <v>0.104</v>
      </c>
      <c r="J337" s="1065">
        <v>0.105</v>
      </c>
      <c r="K337" s="1065">
        <v>0.106</v>
      </c>
      <c r="L337" s="1065">
        <v>0.107</v>
      </c>
      <c r="M337" s="1065">
        <v>0.108</v>
      </c>
      <c r="N337" s="1065">
        <v>0.109</v>
      </c>
      <c r="O337" s="162" t="s">
        <v>3463</v>
      </c>
      <c r="P337" s="12"/>
      <c r="Q337" s="12"/>
      <c r="R337" s="12"/>
      <c r="S337" s="12"/>
      <c r="T337" s="12"/>
      <c r="U337" s="12"/>
      <c r="V337" s="12"/>
      <c r="W337" s="12"/>
      <c r="X337" s="12"/>
      <c r="Y337" s="12"/>
      <c r="Z337" s="12"/>
      <c r="AA337" s="12"/>
      <c r="AB337" s="12"/>
      <c r="AC337" s="12"/>
      <c r="AD337" s="12"/>
      <c r="AE337" s="12"/>
      <c r="AF337" s="12"/>
      <c r="AG337" s="18"/>
    </row>
    <row r="338" spans="1:33" s="8" customFormat="1" hidden="1" outlineLevel="1" x14ac:dyDescent="0.2">
      <c r="A338" s="1434"/>
      <c r="B338" s="63"/>
      <c r="C338" s="98"/>
      <c r="D338" s="1072"/>
      <c r="E338" s="606"/>
      <c r="F338" s="606"/>
      <c r="G338" s="606"/>
      <c r="H338" s="606"/>
      <c r="I338" s="606"/>
      <c r="J338" s="606"/>
      <c r="K338" s="606"/>
      <c r="L338" s="606"/>
      <c r="M338" s="606"/>
      <c r="N338" s="606"/>
      <c r="O338" s="162"/>
      <c r="P338" s="23"/>
      <c r="Q338" s="23"/>
      <c r="R338" s="23"/>
      <c r="S338" s="23"/>
      <c r="T338" s="23"/>
      <c r="U338" s="23"/>
      <c r="V338" s="23"/>
      <c r="W338" s="23"/>
      <c r="X338" s="23"/>
      <c r="Y338" s="23"/>
      <c r="Z338" s="23"/>
      <c r="AA338" s="23"/>
      <c r="AB338" s="23"/>
      <c r="AC338" s="23"/>
      <c r="AD338" s="23"/>
      <c r="AE338" s="23"/>
      <c r="AF338" s="23"/>
      <c r="AG338" s="17"/>
    </row>
    <row r="339" spans="1:33" customFormat="1" ht="12" hidden="1" customHeight="1" outlineLevel="1" x14ac:dyDescent="0.2">
      <c r="A339" s="1434"/>
      <c r="B339" s="63"/>
      <c r="C339" s="13"/>
      <c r="D339" s="1073" t="s">
        <v>3464</v>
      </c>
      <c r="E339" s="1066">
        <f t="shared" ref="E339:N339" si="71">(1-eSystemsFTEPercentReductionWorstCaseSMCS)*pSystemsFTE_SMCS</f>
        <v>50</v>
      </c>
      <c r="F339" s="1066">
        <f t="shared" si="71"/>
        <v>50</v>
      </c>
      <c r="G339" s="1066">
        <f t="shared" si="71"/>
        <v>50</v>
      </c>
      <c r="H339" s="1066">
        <f t="shared" si="71"/>
        <v>50</v>
      </c>
      <c r="I339" s="1066">
        <f t="shared" si="71"/>
        <v>50</v>
      </c>
      <c r="J339" s="1066">
        <f t="shared" si="71"/>
        <v>50</v>
      </c>
      <c r="K339" s="1066">
        <f t="shared" si="71"/>
        <v>50</v>
      </c>
      <c r="L339" s="1066">
        <f t="shared" si="71"/>
        <v>50</v>
      </c>
      <c r="M339" s="1066">
        <f t="shared" si="71"/>
        <v>50</v>
      </c>
      <c r="N339" s="1066">
        <f t="shared" si="71"/>
        <v>50</v>
      </c>
      <c r="O339" s="162" t="s">
        <v>3465</v>
      </c>
      <c r="P339" s="12"/>
      <c r="Q339" s="12"/>
      <c r="R339" s="12"/>
      <c r="S339" s="12"/>
      <c r="T339" s="12"/>
      <c r="U339" s="12"/>
      <c r="V339" s="12"/>
      <c r="W339" s="12"/>
      <c r="X339" s="12"/>
      <c r="Y339" s="12"/>
      <c r="Z339" s="12"/>
      <c r="AA339" s="12"/>
      <c r="AB339" s="12"/>
      <c r="AC339" s="12"/>
      <c r="AD339" s="12"/>
      <c r="AE339" s="12"/>
      <c r="AF339" s="12"/>
      <c r="AG339" s="18"/>
    </row>
    <row r="340" spans="1:33" customFormat="1" ht="12" hidden="1" customHeight="1" outlineLevel="1" x14ac:dyDescent="0.2">
      <c r="A340" s="1434"/>
      <c r="B340" s="63"/>
      <c r="C340" s="13"/>
      <c r="D340" s="1073" t="s">
        <v>3466</v>
      </c>
      <c r="E340" s="1066">
        <f t="shared" ref="E340:N340" si="72">(1-eSystemsFTEPercentReductionMostLikelySMCS)*pSystemsFTE_SMCS</f>
        <v>47.5</v>
      </c>
      <c r="F340" s="1066">
        <f t="shared" si="72"/>
        <v>47.449999999999996</v>
      </c>
      <c r="G340" s="1066">
        <f t="shared" si="72"/>
        <v>47.4</v>
      </c>
      <c r="H340" s="1066">
        <f t="shared" si="72"/>
        <v>47.349999999999994</v>
      </c>
      <c r="I340" s="1066">
        <f t="shared" si="72"/>
        <v>47.3</v>
      </c>
      <c r="J340" s="1066">
        <f t="shared" si="72"/>
        <v>47.25</v>
      </c>
      <c r="K340" s="1066">
        <f t="shared" si="72"/>
        <v>47.199999999999996</v>
      </c>
      <c r="L340" s="1066">
        <f t="shared" si="72"/>
        <v>47.15</v>
      </c>
      <c r="M340" s="1066">
        <f t="shared" si="72"/>
        <v>47.099999999999994</v>
      </c>
      <c r="N340" s="1066">
        <f t="shared" si="72"/>
        <v>47.050000000000004</v>
      </c>
      <c r="O340" s="162" t="s">
        <v>3467</v>
      </c>
      <c r="P340" s="12"/>
      <c r="Q340" s="12"/>
      <c r="R340" s="12"/>
      <c r="S340" s="12"/>
      <c r="T340" s="12"/>
      <c r="U340" s="12"/>
      <c r="V340" s="12"/>
      <c r="W340" s="12"/>
      <c r="X340" s="12"/>
      <c r="Y340" s="12"/>
      <c r="Z340" s="12"/>
      <c r="AA340" s="12"/>
      <c r="AB340" s="12"/>
      <c r="AC340" s="12"/>
      <c r="AD340" s="12"/>
      <c r="AE340" s="12"/>
      <c r="AF340" s="12"/>
      <c r="AG340" s="18"/>
    </row>
    <row r="341" spans="1:33" customFormat="1" ht="12" hidden="1" customHeight="1" outlineLevel="1" x14ac:dyDescent="0.2">
      <c r="A341" s="1434"/>
      <c r="B341" s="63"/>
      <c r="C341" s="13"/>
      <c r="D341" s="1073" t="s">
        <v>3468</v>
      </c>
      <c r="E341" s="1066">
        <f t="shared" ref="E341:N341" si="73">(1-eSystemsFTEPercentReductionBestCaseSMCS)*pSystemsFTE_SMCS</f>
        <v>45</v>
      </c>
      <c r="F341" s="1066">
        <f t="shared" si="73"/>
        <v>44.95</v>
      </c>
      <c r="G341" s="1066">
        <f t="shared" si="73"/>
        <v>44.9</v>
      </c>
      <c r="H341" s="1066">
        <f t="shared" si="73"/>
        <v>44.85</v>
      </c>
      <c r="I341" s="1066">
        <f t="shared" si="73"/>
        <v>44.800000000000004</v>
      </c>
      <c r="J341" s="1066">
        <f t="shared" si="73"/>
        <v>44.75</v>
      </c>
      <c r="K341" s="1066">
        <f t="shared" si="73"/>
        <v>44.7</v>
      </c>
      <c r="L341" s="1066">
        <f t="shared" si="73"/>
        <v>44.65</v>
      </c>
      <c r="M341" s="1066">
        <f t="shared" si="73"/>
        <v>44.6</v>
      </c>
      <c r="N341" s="1066">
        <f t="shared" si="73"/>
        <v>44.55</v>
      </c>
      <c r="O341" s="162" t="s">
        <v>3469</v>
      </c>
      <c r="P341" s="12"/>
      <c r="Q341" s="12"/>
      <c r="R341" s="12"/>
      <c r="S341" s="12"/>
      <c r="T341" s="12"/>
      <c r="U341" s="12"/>
      <c r="V341" s="12"/>
      <c r="W341" s="12"/>
      <c r="X341" s="12"/>
      <c r="Y341" s="12"/>
      <c r="Z341" s="12"/>
      <c r="AA341" s="12"/>
      <c r="AB341" s="12"/>
      <c r="AC341" s="12"/>
      <c r="AD341" s="12"/>
      <c r="AE341" s="12"/>
      <c r="AF341" s="12"/>
      <c r="AG341" s="18"/>
    </row>
    <row r="342" spans="1:33" s="8" customFormat="1" ht="12" hidden="1" customHeight="1" outlineLevel="1" x14ac:dyDescent="0.2">
      <c r="A342" s="1434"/>
      <c r="B342" s="63"/>
      <c r="C342" s="50"/>
      <c r="D342" s="1074"/>
      <c r="E342" s="440"/>
      <c r="F342" s="440"/>
      <c r="G342" s="440"/>
      <c r="H342" s="440"/>
      <c r="I342" s="440"/>
      <c r="J342" s="440"/>
      <c r="K342" s="440"/>
      <c r="L342" s="440"/>
      <c r="M342" s="440"/>
      <c r="N342" s="440"/>
      <c r="O342" s="1067"/>
      <c r="P342" s="23"/>
      <c r="Q342" s="23"/>
      <c r="R342" s="23"/>
      <c r="S342" s="23"/>
      <c r="T342" s="23"/>
      <c r="U342" s="23"/>
      <c r="V342" s="23"/>
      <c r="W342" s="23"/>
      <c r="X342" s="23"/>
      <c r="Y342" s="23"/>
      <c r="Z342" s="23"/>
      <c r="AA342" s="23"/>
      <c r="AB342" s="23"/>
      <c r="AC342" s="23"/>
      <c r="AD342" s="23"/>
      <c r="AE342" s="23"/>
      <c r="AF342" s="23"/>
      <c r="AG342" s="17"/>
    </row>
    <row r="343" spans="1:33" customFormat="1" ht="12" hidden="1" customHeight="1" outlineLevel="1" x14ac:dyDescent="0.2">
      <c r="A343" s="1434"/>
      <c r="B343" s="63"/>
      <c r="C343" s="13"/>
      <c r="D343" s="1073" t="s">
        <v>3470</v>
      </c>
      <c r="E343" s="602">
        <f>(AnnualBurdenedSalarySMCS*eSystemsFTECalcResultWorstCaseSMCS)</f>
        <v>4181250</v>
      </c>
      <c r="F343" s="602">
        <f>(AnnualBurdenedSalarySMCS*eSystemsFTECalcResultWorstCaseSMCS)*(1+Inflation)</f>
        <v>4264875</v>
      </c>
      <c r="G343" s="602">
        <f>(AnnualBurdenedSalarySMCS*eSystemsFTECalcResultWorstCaseSMCS)*(1+Inflation)^2</f>
        <v>4350172.5</v>
      </c>
      <c r="H343" s="602">
        <f>(AnnualBurdenedSalarySMCS*eSystemsFTECalcResultWorstCaseSMCS)*(1+Inflation)^3</f>
        <v>4437175.9499999993</v>
      </c>
      <c r="I343" s="602">
        <f>(AnnualBurdenedSalarySMCS*eSystemsFTECalcResultWorstCaseSMCS)*(1+Inflation)^4</f>
        <v>4525919.4689999996</v>
      </c>
      <c r="J343" s="602">
        <f>(AnnualBurdenedSalarySMCS*eSystemsFTECalcResultWorstCaseSMCS)*(1+Inflation)^5</f>
        <v>4616437.8583800001</v>
      </c>
      <c r="K343" s="602">
        <f>(AnnualBurdenedSalarySMCS*eSystemsFTECalcResultWorstCaseSMCS)*(1+Inflation)^6</f>
        <v>4708766.6155476002</v>
      </c>
      <c r="L343" s="602">
        <f>(AnnualBurdenedSalarySMCS*eSystemsFTECalcResultWorstCaseSMCS)*(1+Inflation)^7</f>
        <v>4802941.9478585515</v>
      </c>
      <c r="M343" s="602">
        <f>(AnnualBurdenedSalarySMCS*eSystemsFTECalcResultWorstCaseSMCS)*(1+Inflation)^8</f>
        <v>4899000.7868157225</v>
      </c>
      <c r="N343" s="602">
        <f>(AnnualBurdenedSalarySMCS*eSystemsFTECalcResultWorstCaseSMCS)*(1+Inflation)^9</f>
        <v>4996980.8025520369</v>
      </c>
      <c r="O343" s="162" t="s">
        <v>3471</v>
      </c>
      <c r="P343" s="12"/>
      <c r="Q343" s="12"/>
      <c r="R343" s="12"/>
      <c r="S343" s="12"/>
      <c r="T343" s="12"/>
      <c r="U343" s="12"/>
      <c r="V343" s="12"/>
      <c r="W343" s="12"/>
      <c r="X343" s="12"/>
      <c r="Y343" s="12"/>
      <c r="Z343" s="12"/>
      <c r="AA343" s="12"/>
      <c r="AB343" s="12"/>
      <c r="AC343" s="12"/>
      <c r="AD343" s="12"/>
      <c r="AE343" s="12"/>
      <c r="AF343" s="12"/>
      <c r="AG343" s="18"/>
    </row>
    <row r="344" spans="1:33" customFormat="1" ht="12" hidden="1" customHeight="1" outlineLevel="1" x14ac:dyDescent="0.2">
      <c r="A344" s="1434"/>
      <c r="B344" s="63"/>
      <c r="C344" s="13"/>
      <c r="D344" s="1073" t="s">
        <v>3472</v>
      </c>
      <c r="E344" s="602">
        <f>(AnnualBurdenedSalarySMCS*eSystemsFTECalcResultMostLikelySMCS)</f>
        <v>3972187.5</v>
      </c>
      <c r="F344" s="602">
        <f>(AnnualBurdenedSalarySMCS*eSystemsFTECalcResultMostLikelySMCS)*(1+Inflation)</f>
        <v>4047366.3749999995</v>
      </c>
      <c r="G344" s="602">
        <f>(AnnualBurdenedSalarySMCS*eSystemsFTECalcResultMostLikelySMCS)*(1+Inflation)^2</f>
        <v>4123963.53</v>
      </c>
      <c r="H344" s="602">
        <f>(AnnualBurdenedSalarySMCS*eSystemsFTECalcResultMostLikelySMCS)*(1+Inflation)^3</f>
        <v>4202005.6246499997</v>
      </c>
      <c r="I344" s="602">
        <f>(AnnualBurdenedSalarySMCS*eSystemsFTECalcResultMostLikelySMCS)*(1+Inflation)^4</f>
        <v>4281519.8176739998</v>
      </c>
      <c r="J344" s="602">
        <f>(AnnualBurdenedSalarySMCS*eSystemsFTECalcResultMostLikelySMCS)*(1+Inflation)^5</f>
        <v>4362533.7761690998</v>
      </c>
      <c r="K344" s="602">
        <f>(AnnualBurdenedSalarySMCS*eSystemsFTECalcResultMostLikelySMCS)*(1+Inflation)^6</f>
        <v>4445075.6850769343</v>
      </c>
      <c r="L344" s="602">
        <f>(AnnualBurdenedSalarySMCS*eSystemsFTECalcResultMostLikelySMCS)*(1+Inflation)^7</f>
        <v>4529174.2568306141</v>
      </c>
      <c r="M344" s="602">
        <f>(AnnualBurdenedSalarySMCS*eSystemsFTECalcResultMostLikelySMCS)*(1+Inflation)^8</f>
        <v>4614858.7411804106</v>
      </c>
      <c r="N344" s="602">
        <f>(AnnualBurdenedSalarySMCS*eSystemsFTECalcResultMostLikelySMCS)*(1+Inflation)^9</f>
        <v>4702158.9352014679</v>
      </c>
      <c r="O344" s="162" t="s">
        <v>3473</v>
      </c>
      <c r="P344" s="12"/>
      <c r="Q344" s="12"/>
      <c r="R344" s="12"/>
      <c r="S344" s="12"/>
      <c r="T344" s="12"/>
      <c r="U344" s="12"/>
      <c r="V344" s="12"/>
      <c r="W344" s="12"/>
      <c r="X344" s="12"/>
      <c r="Y344" s="12"/>
      <c r="Z344" s="12"/>
      <c r="AA344" s="12"/>
      <c r="AB344" s="12"/>
      <c r="AC344" s="12"/>
      <c r="AD344" s="12"/>
      <c r="AE344" s="12"/>
      <c r="AF344" s="12"/>
      <c r="AG344" s="18"/>
    </row>
    <row r="345" spans="1:33" customFormat="1" ht="12" hidden="1" customHeight="1" outlineLevel="1" x14ac:dyDescent="0.2">
      <c r="A345" s="1434"/>
      <c r="B345" s="63"/>
      <c r="C345" s="13"/>
      <c r="D345" s="1073" t="s">
        <v>3474</v>
      </c>
      <c r="E345" s="602">
        <f>(AnnualBurdenedSalarySMCS*eSystemsFTECalcResultBestCaseSMCS)</f>
        <v>3763125</v>
      </c>
      <c r="F345" s="602">
        <f>(AnnualBurdenedSalarySMCS*eSystemsFTECalcResultBestCaseSMCS)*(1+Inflation)</f>
        <v>3834122.6250000005</v>
      </c>
      <c r="G345" s="602">
        <f>(AnnualBurdenedSalarySMCS*eSystemsFTECalcResultBestCaseSMCS)*(1+Inflation)^2</f>
        <v>3906454.9049999998</v>
      </c>
      <c r="H345" s="602">
        <f>(AnnualBurdenedSalarySMCS*eSystemsFTECalcResultBestCaseSMCS)*(1+Inflation)^3</f>
        <v>3980146.8271499998</v>
      </c>
      <c r="I345" s="602">
        <f>(AnnualBurdenedSalarySMCS*eSystemsFTECalcResultBestCaseSMCS)*(1+Inflation)^4</f>
        <v>4055223.8442240003</v>
      </c>
      <c r="J345" s="602">
        <f>(AnnualBurdenedSalarySMCS*eSystemsFTECalcResultBestCaseSMCS)*(1+Inflation)^5</f>
        <v>4131711.8832501001</v>
      </c>
      <c r="K345" s="602">
        <f>(AnnualBurdenedSalarySMCS*eSystemsFTECalcResultBestCaseSMCS)*(1+Inflation)^6</f>
        <v>4209637.3542995555</v>
      </c>
      <c r="L345" s="602">
        <f>(AnnualBurdenedSalarySMCS*eSystemsFTECalcResultBestCaseSMCS)*(1+Inflation)^7</f>
        <v>4289027.1594376862</v>
      </c>
      <c r="M345" s="602">
        <f>(AnnualBurdenedSalarySMCS*eSystemsFTECalcResultBestCaseSMCS)*(1+Inflation)^8</f>
        <v>4369908.7018396249</v>
      </c>
      <c r="N345" s="602">
        <f>(AnnualBurdenedSalarySMCS*eSystemsFTECalcResultBestCaseSMCS)*(1+Inflation)^9</f>
        <v>4452309.8950738646</v>
      </c>
      <c r="O345" s="162" t="s">
        <v>3475</v>
      </c>
      <c r="P345" s="12"/>
      <c r="Q345" s="12"/>
      <c r="R345" s="12"/>
      <c r="S345" s="12"/>
      <c r="T345" s="12"/>
      <c r="U345" s="12"/>
      <c r="V345" s="12"/>
      <c r="W345" s="12"/>
      <c r="X345" s="12"/>
      <c r="Y345" s="12"/>
      <c r="Z345" s="12"/>
      <c r="AA345" s="12"/>
      <c r="AB345" s="12"/>
      <c r="AC345" s="12"/>
      <c r="AD345" s="12"/>
      <c r="AE345" s="12"/>
      <c r="AF345" s="12"/>
      <c r="AG345" s="18"/>
    </row>
    <row r="346" spans="1:33" s="8" customFormat="1" ht="12" hidden="1" customHeight="1" outlineLevel="1" x14ac:dyDescent="0.2">
      <c r="A346" s="1434"/>
      <c r="B346" s="63"/>
      <c r="C346" s="13"/>
      <c r="D346" s="1074"/>
      <c r="E346" s="440"/>
      <c r="F346" s="440"/>
      <c r="G346" s="440"/>
      <c r="H346" s="440"/>
      <c r="I346" s="440"/>
      <c r="J346" s="440"/>
      <c r="K346" s="440"/>
      <c r="L346" s="440"/>
      <c r="M346" s="440"/>
      <c r="N346" s="440"/>
      <c r="O346" s="642"/>
      <c r="P346" s="23"/>
      <c r="Q346" s="23"/>
      <c r="R346" s="23"/>
      <c r="S346" s="23"/>
      <c r="T346" s="23"/>
      <c r="U346" s="23"/>
      <c r="V346" s="23"/>
      <c r="W346" s="23"/>
      <c r="X346" s="23"/>
      <c r="Y346" s="23"/>
      <c r="Z346" s="23"/>
      <c r="AA346" s="23"/>
      <c r="AB346" s="23"/>
      <c r="AC346" s="23"/>
      <c r="AD346" s="23"/>
      <c r="AE346" s="23"/>
      <c r="AF346" s="23"/>
      <c r="AG346" s="17"/>
    </row>
    <row r="347" spans="1:33" customFormat="1" hidden="1" outlineLevel="1" x14ac:dyDescent="0.2">
      <c r="A347" s="1434"/>
      <c r="B347" s="63"/>
      <c r="C347" s="6"/>
      <c r="D347" s="1071" t="s">
        <v>3476</v>
      </c>
      <c r="E347" s="1065">
        <v>0</v>
      </c>
      <c r="F347" s="1065">
        <v>0</v>
      </c>
      <c r="G347" s="1065">
        <v>0</v>
      </c>
      <c r="H347" s="1065">
        <v>0</v>
      </c>
      <c r="I347" s="1065">
        <v>0</v>
      </c>
      <c r="J347" s="1065">
        <v>0</v>
      </c>
      <c r="K347" s="1065">
        <v>0</v>
      </c>
      <c r="L347" s="1065">
        <v>0</v>
      </c>
      <c r="M347" s="1065">
        <v>0</v>
      </c>
      <c r="N347" s="1065">
        <v>0</v>
      </c>
      <c r="O347" s="162" t="s">
        <v>3477</v>
      </c>
      <c r="P347" s="12"/>
      <c r="Q347" s="12"/>
      <c r="R347" s="12"/>
      <c r="S347" s="12"/>
      <c r="T347" s="12"/>
      <c r="U347" s="12"/>
      <c r="V347" s="12"/>
      <c r="W347" s="12"/>
      <c r="X347" s="12"/>
      <c r="Y347" s="12"/>
      <c r="Z347" s="12"/>
      <c r="AA347" s="12"/>
      <c r="AB347" s="12"/>
      <c r="AC347" s="12"/>
      <c r="AD347" s="12"/>
      <c r="AE347" s="12"/>
      <c r="AF347" s="12"/>
      <c r="AG347" s="18"/>
    </row>
    <row r="348" spans="1:33" customFormat="1" hidden="1" outlineLevel="1" x14ac:dyDescent="0.2">
      <c r="A348" s="1434"/>
      <c r="B348" s="63"/>
      <c r="C348" s="6"/>
      <c r="D348" s="1071" t="s">
        <v>3478</v>
      </c>
      <c r="E348" s="1065">
        <v>0.05</v>
      </c>
      <c r="F348" s="1065">
        <v>5.0999999999999997E-2</v>
      </c>
      <c r="G348" s="1065">
        <v>5.1999999999999998E-2</v>
      </c>
      <c r="H348" s="1065">
        <v>5.2999999999999999E-2</v>
      </c>
      <c r="I348" s="1065">
        <v>5.3999999999999999E-2</v>
      </c>
      <c r="J348" s="1065">
        <v>5.5E-2</v>
      </c>
      <c r="K348" s="1065">
        <v>5.6000000000000001E-2</v>
      </c>
      <c r="L348" s="1065">
        <v>5.7000000000000002E-2</v>
      </c>
      <c r="M348" s="1065">
        <v>5.8000000000000003E-2</v>
      </c>
      <c r="N348" s="1065">
        <v>5.8999999999999997E-2</v>
      </c>
      <c r="O348" s="162" t="s">
        <v>3479</v>
      </c>
      <c r="P348" s="12"/>
      <c r="Q348" s="12"/>
      <c r="R348" s="12"/>
      <c r="S348" s="12"/>
      <c r="T348" s="12"/>
      <c r="U348" s="12"/>
      <c r="V348" s="12"/>
      <c r="W348" s="12"/>
      <c r="X348" s="12"/>
      <c r="Y348" s="12"/>
      <c r="Z348" s="12"/>
      <c r="AA348" s="12"/>
      <c r="AB348" s="12"/>
      <c r="AC348" s="12"/>
      <c r="AD348" s="12"/>
      <c r="AE348" s="12"/>
      <c r="AF348" s="12"/>
      <c r="AG348" s="18"/>
    </row>
    <row r="349" spans="1:33" customFormat="1" hidden="1" outlineLevel="1" x14ac:dyDescent="0.2">
      <c r="A349" s="1434"/>
      <c r="B349" s="63"/>
      <c r="C349" s="6"/>
      <c r="D349" s="1071" t="s">
        <v>3480</v>
      </c>
      <c r="E349" s="1065">
        <v>0.1</v>
      </c>
      <c r="F349" s="1065">
        <v>0.10100000000000001</v>
      </c>
      <c r="G349" s="1065">
        <v>0.10199999999999999</v>
      </c>
      <c r="H349" s="1065">
        <v>0.10299999999999999</v>
      </c>
      <c r="I349" s="1065">
        <v>0.104</v>
      </c>
      <c r="J349" s="1065">
        <v>0.105</v>
      </c>
      <c r="K349" s="1065">
        <v>0.106</v>
      </c>
      <c r="L349" s="1065">
        <v>0.107</v>
      </c>
      <c r="M349" s="1065">
        <v>0.108</v>
      </c>
      <c r="N349" s="1065">
        <v>0.109</v>
      </c>
      <c r="O349" s="162" t="s">
        <v>3481</v>
      </c>
      <c r="P349" s="12"/>
      <c r="Q349" s="12"/>
      <c r="R349" s="12"/>
      <c r="S349" s="12"/>
      <c r="T349" s="12"/>
      <c r="U349" s="12"/>
      <c r="V349" s="12"/>
      <c r="W349" s="12"/>
      <c r="X349" s="12"/>
      <c r="Y349" s="12"/>
      <c r="Z349" s="12"/>
      <c r="AA349" s="12"/>
      <c r="AB349" s="12"/>
      <c r="AC349" s="12"/>
      <c r="AD349" s="12"/>
      <c r="AE349" s="12"/>
      <c r="AF349" s="12"/>
      <c r="AG349" s="18"/>
    </row>
    <row r="350" spans="1:33" s="8" customFormat="1" hidden="1" outlineLevel="1" x14ac:dyDescent="0.2">
      <c r="A350" s="1434"/>
      <c r="B350" s="63"/>
      <c r="C350" s="98"/>
      <c r="D350" s="1072"/>
      <c r="E350" s="606"/>
      <c r="F350" s="606"/>
      <c r="G350" s="606"/>
      <c r="H350" s="606"/>
      <c r="I350" s="606"/>
      <c r="J350" s="606"/>
      <c r="K350" s="606"/>
      <c r="L350" s="606"/>
      <c r="M350" s="606"/>
      <c r="N350" s="606"/>
      <c r="O350" s="162"/>
      <c r="P350" s="23"/>
      <c r="Q350" s="23"/>
      <c r="R350" s="23"/>
      <c r="S350" s="23"/>
      <c r="T350" s="23"/>
      <c r="U350" s="23"/>
      <c r="V350" s="23"/>
      <c r="W350" s="23"/>
      <c r="X350" s="23"/>
      <c r="Y350" s="23"/>
      <c r="Z350" s="23"/>
      <c r="AA350" s="23"/>
      <c r="AB350" s="23"/>
      <c r="AC350" s="23"/>
      <c r="AD350" s="23"/>
      <c r="AE350" s="23"/>
      <c r="AF350" s="23"/>
      <c r="AG350" s="17"/>
    </row>
    <row r="351" spans="1:33" customFormat="1" ht="12" hidden="1" customHeight="1" outlineLevel="1" x14ac:dyDescent="0.2">
      <c r="A351" s="1434"/>
      <c r="B351" s="63"/>
      <c r="C351" s="13"/>
      <c r="D351" s="1073" t="s">
        <v>3482</v>
      </c>
      <c r="E351" s="1066">
        <f t="shared" ref="E351:N351" si="74">(1-eSystemsFTEPercentReductionWorstCaseO1)*pSystemsFTE_O1</f>
        <v>10</v>
      </c>
      <c r="F351" s="1066">
        <f t="shared" si="74"/>
        <v>10</v>
      </c>
      <c r="G351" s="1066">
        <f t="shared" si="74"/>
        <v>10</v>
      </c>
      <c r="H351" s="1066">
        <f t="shared" si="74"/>
        <v>10</v>
      </c>
      <c r="I351" s="1066">
        <f t="shared" si="74"/>
        <v>10</v>
      </c>
      <c r="J351" s="1066">
        <f t="shared" si="74"/>
        <v>10</v>
      </c>
      <c r="K351" s="1066">
        <f t="shared" si="74"/>
        <v>10</v>
      </c>
      <c r="L351" s="1066">
        <f t="shared" si="74"/>
        <v>10</v>
      </c>
      <c r="M351" s="1066">
        <f t="shared" si="74"/>
        <v>10</v>
      </c>
      <c r="N351" s="1066">
        <f t="shared" si="74"/>
        <v>10</v>
      </c>
      <c r="O351" s="162" t="s">
        <v>3483</v>
      </c>
      <c r="P351" s="12"/>
      <c r="Q351" s="12"/>
      <c r="R351" s="12"/>
      <c r="S351" s="12"/>
      <c r="T351" s="12"/>
      <c r="U351" s="12"/>
      <c r="V351" s="12"/>
      <c r="W351" s="12"/>
      <c r="X351" s="12"/>
      <c r="Y351" s="12"/>
      <c r="Z351" s="12"/>
      <c r="AA351" s="12"/>
      <c r="AB351" s="12"/>
      <c r="AC351" s="12"/>
      <c r="AD351" s="12"/>
      <c r="AE351" s="12"/>
      <c r="AF351" s="12"/>
      <c r="AG351" s="18"/>
    </row>
    <row r="352" spans="1:33" customFormat="1" ht="12" hidden="1" customHeight="1" outlineLevel="1" x14ac:dyDescent="0.2">
      <c r="A352" s="1434"/>
      <c r="B352" s="63"/>
      <c r="C352" s="13"/>
      <c r="D352" s="1073" t="s">
        <v>3484</v>
      </c>
      <c r="E352" s="1066">
        <f t="shared" ref="E352:N352" si="75">(1-eSystemsFTEPercentReductionMostLikelyO1)*pSystemsFTE_O1</f>
        <v>9.5</v>
      </c>
      <c r="F352" s="1066">
        <f t="shared" si="75"/>
        <v>9.49</v>
      </c>
      <c r="G352" s="1066">
        <f t="shared" si="75"/>
        <v>9.48</v>
      </c>
      <c r="H352" s="1066">
        <f t="shared" si="75"/>
        <v>9.4699999999999989</v>
      </c>
      <c r="I352" s="1066">
        <f t="shared" si="75"/>
        <v>9.4599999999999991</v>
      </c>
      <c r="J352" s="1066">
        <f t="shared" si="75"/>
        <v>9.4499999999999993</v>
      </c>
      <c r="K352" s="1066">
        <f t="shared" si="75"/>
        <v>9.44</v>
      </c>
      <c r="L352" s="1066">
        <f t="shared" si="75"/>
        <v>9.43</v>
      </c>
      <c r="M352" s="1066">
        <f t="shared" si="75"/>
        <v>9.42</v>
      </c>
      <c r="N352" s="1066">
        <f t="shared" si="75"/>
        <v>9.41</v>
      </c>
      <c r="O352" s="162" t="s">
        <v>3485</v>
      </c>
      <c r="P352" s="12"/>
      <c r="Q352" s="12"/>
      <c r="R352" s="12"/>
      <c r="S352" s="12"/>
      <c r="T352" s="12"/>
      <c r="U352" s="12"/>
      <c r="V352" s="12"/>
      <c r="W352" s="12"/>
      <c r="X352" s="12"/>
      <c r="Y352" s="12"/>
      <c r="Z352" s="12"/>
      <c r="AA352" s="12"/>
      <c r="AB352" s="12"/>
      <c r="AC352" s="12"/>
      <c r="AD352" s="12"/>
      <c r="AE352" s="12"/>
      <c r="AF352" s="12"/>
      <c r="AG352" s="18"/>
    </row>
    <row r="353" spans="1:33" customFormat="1" ht="12" hidden="1" customHeight="1" outlineLevel="1" x14ac:dyDescent="0.2">
      <c r="A353" s="1434"/>
      <c r="B353" s="63"/>
      <c r="C353" s="13"/>
      <c r="D353" s="1073" t="s">
        <v>3486</v>
      </c>
      <c r="E353" s="1066">
        <f t="shared" ref="E353:N353" si="76">(1-eSystemsFTEPercentReductionBestCaseO1)*pSystemsFTE_O1</f>
        <v>9</v>
      </c>
      <c r="F353" s="1066">
        <f t="shared" si="76"/>
        <v>8.99</v>
      </c>
      <c r="G353" s="1066">
        <f t="shared" si="76"/>
        <v>8.98</v>
      </c>
      <c r="H353" s="1066">
        <f t="shared" si="76"/>
        <v>8.9700000000000006</v>
      </c>
      <c r="I353" s="1066">
        <f t="shared" si="76"/>
        <v>8.9600000000000009</v>
      </c>
      <c r="J353" s="1066">
        <f t="shared" si="76"/>
        <v>8.9499999999999993</v>
      </c>
      <c r="K353" s="1066">
        <f t="shared" si="76"/>
        <v>8.94</v>
      </c>
      <c r="L353" s="1066">
        <f t="shared" si="76"/>
        <v>8.93</v>
      </c>
      <c r="M353" s="1066">
        <f t="shared" si="76"/>
        <v>8.92</v>
      </c>
      <c r="N353" s="1066">
        <f t="shared" si="76"/>
        <v>8.91</v>
      </c>
      <c r="O353" s="162" t="s">
        <v>3487</v>
      </c>
      <c r="P353" s="12"/>
      <c r="Q353" s="12"/>
      <c r="R353" s="12"/>
      <c r="S353" s="12"/>
      <c r="T353" s="12"/>
      <c r="U353" s="12"/>
      <c r="V353" s="12"/>
      <c r="W353" s="12"/>
      <c r="X353" s="12"/>
      <c r="Y353" s="12"/>
      <c r="Z353" s="12"/>
      <c r="AA353" s="12"/>
      <c r="AB353" s="12"/>
      <c r="AC353" s="12"/>
      <c r="AD353" s="12"/>
      <c r="AE353" s="12"/>
      <c r="AF353" s="12"/>
      <c r="AG353" s="18"/>
    </row>
    <row r="354" spans="1:33" s="8" customFormat="1" ht="12" hidden="1" customHeight="1" outlineLevel="1" x14ac:dyDescent="0.2">
      <c r="A354" s="1434"/>
      <c r="B354" s="63"/>
      <c r="C354" s="50"/>
      <c r="D354" s="1074"/>
      <c r="E354" s="440"/>
      <c r="F354" s="440"/>
      <c r="G354" s="440"/>
      <c r="H354" s="440"/>
      <c r="I354" s="440"/>
      <c r="J354" s="440"/>
      <c r="K354" s="440"/>
      <c r="L354" s="440"/>
      <c r="M354" s="440"/>
      <c r="N354" s="440"/>
      <c r="O354" s="1067"/>
      <c r="P354" s="23"/>
      <c r="Q354" s="23"/>
      <c r="R354" s="23"/>
      <c r="S354" s="23"/>
      <c r="T354" s="23"/>
      <c r="U354" s="23"/>
      <c r="V354" s="23"/>
      <c r="W354" s="23"/>
      <c r="X354" s="23"/>
      <c r="Y354" s="23"/>
      <c r="Z354" s="23"/>
      <c r="AA354" s="23"/>
      <c r="AB354" s="23"/>
      <c r="AC354" s="23"/>
      <c r="AD354" s="23"/>
      <c r="AE354" s="23"/>
      <c r="AF354" s="23"/>
      <c r="AG354" s="17"/>
    </row>
    <row r="355" spans="1:33" customFormat="1" ht="12" hidden="1" customHeight="1" outlineLevel="1" x14ac:dyDescent="0.2">
      <c r="A355" s="1434"/>
      <c r="B355" s="63"/>
      <c r="C355" s="13"/>
      <c r="D355" s="1073" t="s">
        <v>3488</v>
      </c>
      <c r="E355" s="602">
        <f>(AnnualBurdenedSalaryO1*eSystemsFTECalcResultWorstCaseO1)</f>
        <v>836250</v>
      </c>
      <c r="F355" s="602">
        <f>(AnnualBurdenedSalaryO1*eSystemsFTECalcResultWorstCaseO1)*(1+Inflation)</f>
        <v>852975</v>
      </c>
      <c r="G355" s="602">
        <f>(AnnualBurdenedSalaryO1*eSystemsFTECalcResultWorstCaseO1)*(1+Inflation)^2</f>
        <v>870034.5</v>
      </c>
      <c r="H355" s="602">
        <f>(AnnualBurdenedSalaryO1*eSystemsFTECalcResultWorstCaseO1)*(1+Inflation)^3</f>
        <v>887435.19</v>
      </c>
      <c r="I355" s="602">
        <f>(AnnualBurdenedSalaryO1*eSystemsFTECalcResultWorstCaseO1)*(1+Inflation)^4</f>
        <v>905183.89379999996</v>
      </c>
      <c r="J355" s="602">
        <f>(AnnualBurdenedSalaryO1*eSystemsFTECalcResultWorstCaseO1)*(1+Inflation)^5</f>
        <v>923287.57167600002</v>
      </c>
      <c r="K355" s="602">
        <f>(AnnualBurdenedSalaryO1*eSystemsFTECalcResultWorstCaseO1)*(1+Inflation)^6</f>
        <v>941753.32310952002</v>
      </c>
      <c r="L355" s="602">
        <f>(AnnualBurdenedSalaryO1*eSystemsFTECalcResultWorstCaseO1)*(1+Inflation)^7</f>
        <v>960588.38957171026</v>
      </c>
      <c r="M355" s="602">
        <f>(AnnualBurdenedSalaryO1*eSystemsFTECalcResultWorstCaseO1)*(1+Inflation)^8</f>
        <v>979800.15736314456</v>
      </c>
      <c r="N355" s="602">
        <f>(AnnualBurdenedSalaryO1*eSystemsFTECalcResultWorstCaseO1)*(1+Inflation)^9</f>
        <v>999396.16051040741</v>
      </c>
      <c r="O355" s="162" t="s">
        <v>3489</v>
      </c>
      <c r="P355" s="12"/>
      <c r="Q355" s="12"/>
      <c r="R355" s="12"/>
      <c r="S355" s="12"/>
      <c r="T355" s="12"/>
      <c r="U355" s="12"/>
      <c r="V355" s="12"/>
      <c r="W355" s="12"/>
      <c r="X355" s="12"/>
      <c r="Y355" s="12"/>
      <c r="Z355" s="12"/>
      <c r="AA355" s="12"/>
      <c r="AB355" s="12"/>
      <c r="AC355" s="12"/>
      <c r="AD355" s="12"/>
      <c r="AE355" s="12"/>
      <c r="AF355" s="12"/>
      <c r="AG355" s="18"/>
    </row>
    <row r="356" spans="1:33" customFormat="1" ht="12" hidden="1" customHeight="1" outlineLevel="1" x14ac:dyDescent="0.2">
      <c r="A356" s="1434"/>
      <c r="B356" s="63"/>
      <c r="C356" s="13"/>
      <c r="D356" s="1073" t="s">
        <v>3490</v>
      </c>
      <c r="E356" s="602">
        <f>(AnnualBurdenedSalaryO1*eSystemsFTECalcResultMostLikelyO1)</f>
        <v>794437.5</v>
      </c>
      <c r="F356" s="602">
        <f>(AnnualBurdenedSalaryO1*eSystemsFTECalcResultMostLikelyO1)*(1+Inflation)</f>
        <v>809473.27500000002</v>
      </c>
      <c r="G356" s="602">
        <f>(AnnualBurdenedSalaryO1*eSystemsFTECalcResultMostLikelyO1)*(1+Inflation)^2</f>
        <v>824792.70600000001</v>
      </c>
      <c r="H356" s="602">
        <f>(AnnualBurdenedSalaryO1*eSystemsFTECalcResultMostLikelyO1)*(1+Inflation)^3</f>
        <v>840401.12492999982</v>
      </c>
      <c r="I356" s="602">
        <f>(AnnualBurdenedSalaryO1*eSystemsFTECalcResultMostLikelyO1)*(1+Inflation)^4</f>
        <v>856303.96353479987</v>
      </c>
      <c r="J356" s="602">
        <f>(AnnualBurdenedSalaryO1*eSystemsFTECalcResultMostLikelyO1)*(1+Inflation)^5</f>
        <v>872506.75523381983</v>
      </c>
      <c r="K356" s="602">
        <f>(AnnualBurdenedSalaryO1*eSystemsFTECalcResultMostLikelyO1)*(1+Inflation)^6</f>
        <v>889015.13701538695</v>
      </c>
      <c r="L356" s="602">
        <f>(AnnualBurdenedSalaryO1*eSystemsFTECalcResultMostLikelyO1)*(1+Inflation)^7</f>
        <v>905834.85136612272</v>
      </c>
      <c r="M356" s="602">
        <f>(AnnualBurdenedSalaryO1*eSystemsFTECalcResultMostLikelyO1)*(1+Inflation)^8</f>
        <v>922971.74823608215</v>
      </c>
      <c r="N356" s="602">
        <f>(AnnualBurdenedSalaryO1*eSystemsFTECalcResultMostLikelyO1)*(1+Inflation)^9</f>
        <v>940431.78704029345</v>
      </c>
      <c r="O356" s="162" t="s">
        <v>3491</v>
      </c>
      <c r="P356" s="12"/>
      <c r="Q356" s="12"/>
      <c r="R356" s="12"/>
      <c r="S356" s="12"/>
      <c r="T356" s="12"/>
      <c r="U356" s="12"/>
      <c r="V356" s="12"/>
      <c r="W356" s="12"/>
      <c r="X356" s="12"/>
      <c r="Y356" s="12"/>
      <c r="Z356" s="12"/>
      <c r="AA356" s="12"/>
      <c r="AB356" s="12"/>
      <c r="AC356" s="12"/>
      <c r="AD356" s="12"/>
      <c r="AE356" s="12"/>
      <c r="AF356" s="12"/>
      <c r="AG356" s="18"/>
    </row>
    <row r="357" spans="1:33" customFormat="1" ht="12" hidden="1" customHeight="1" outlineLevel="1" x14ac:dyDescent="0.2">
      <c r="A357" s="1434"/>
      <c r="B357" s="63"/>
      <c r="C357" s="13"/>
      <c r="D357" s="1073" t="s">
        <v>3492</v>
      </c>
      <c r="E357" s="602">
        <f>(AnnualBurdenedSalaryO1*eSystemsFTECalcResultBestCaseO1)</f>
        <v>752625</v>
      </c>
      <c r="F357" s="602">
        <f>(AnnualBurdenedSalaryO1*eSystemsFTECalcResultBestCaseO1)*(1+Inflation)</f>
        <v>766824.52500000002</v>
      </c>
      <c r="G357" s="602">
        <f>(AnnualBurdenedSalaryO1*eSystemsFTECalcResultBestCaseO1)*(1+Inflation)^2</f>
        <v>781290.98100000003</v>
      </c>
      <c r="H357" s="602">
        <f>(AnnualBurdenedSalaryO1*eSystemsFTECalcResultBestCaseO1)*(1+Inflation)^3</f>
        <v>796029.36542999989</v>
      </c>
      <c r="I357" s="602">
        <f>(AnnualBurdenedSalaryO1*eSystemsFTECalcResultBestCaseO1)*(1+Inflation)^4</f>
        <v>811044.76884480007</v>
      </c>
      <c r="J357" s="602">
        <f>(AnnualBurdenedSalaryO1*eSystemsFTECalcResultBestCaseO1)*(1+Inflation)^5</f>
        <v>826342.3766500199</v>
      </c>
      <c r="K357" s="602">
        <f>(AnnualBurdenedSalaryO1*eSystemsFTECalcResultBestCaseO1)*(1+Inflation)^6</f>
        <v>841927.47085991094</v>
      </c>
      <c r="L357" s="602">
        <f>(AnnualBurdenedSalaryO1*eSystemsFTECalcResultBestCaseO1)*(1+Inflation)^7</f>
        <v>857805.43188753724</v>
      </c>
      <c r="M357" s="602">
        <f>(AnnualBurdenedSalaryO1*eSystemsFTECalcResultBestCaseO1)*(1+Inflation)^8</f>
        <v>873981.74036792491</v>
      </c>
      <c r="N357" s="602">
        <f>(AnnualBurdenedSalaryO1*eSystemsFTECalcResultBestCaseO1)*(1+Inflation)^9</f>
        <v>890461.97901477304</v>
      </c>
      <c r="O357" s="162" t="s">
        <v>3493</v>
      </c>
      <c r="P357" s="12"/>
      <c r="Q357" s="12"/>
      <c r="R357" s="12"/>
      <c r="S357" s="12"/>
      <c r="T357" s="12"/>
      <c r="U357" s="12"/>
      <c r="V357" s="12"/>
      <c r="W357" s="12"/>
      <c r="X357" s="12"/>
      <c r="Y357" s="12"/>
      <c r="Z357" s="12"/>
      <c r="AA357" s="12"/>
      <c r="AB357" s="12"/>
      <c r="AC357" s="12"/>
      <c r="AD357" s="12"/>
      <c r="AE357" s="12"/>
      <c r="AF357" s="12"/>
      <c r="AG357" s="18"/>
    </row>
    <row r="358" spans="1:33" s="8" customFormat="1" ht="12" hidden="1" customHeight="1" outlineLevel="1" x14ac:dyDescent="0.2">
      <c r="A358" s="1434"/>
      <c r="B358" s="63"/>
      <c r="C358" s="13"/>
      <c r="D358" s="1074"/>
      <c r="E358" s="440"/>
      <c r="F358" s="440"/>
      <c r="G358" s="440"/>
      <c r="H358" s="440"/>
      <c r="I358" s="440"/>
      <c r="J358" s="440"/>
      <c r="K358" s="440"/>
      <c r="L358" s="440"/>
      <c r="M358" s="440"/>
      <c r="N358" s="440"/>
      <c r="O358" s="642"/>
      <c r="P358" s="23"/>
      <c r="Q358" s="23"/>
      <c r="R358" s="23"/>
      <c r="S358" s="23"/>
      <c r="T358" s="23"/>
      <c r="U358" s="23"/>
      <c r="V358" s="23"/>
      <c r="W358" s="23"/>
      <c r="X358" s="23"/>
      <c r="Y358" s="23"/>
      <c r="Z358" s="23"/>
      <c r="AA358" s="23"/>
      <c r="AB358" s="23"/>
      <c r="AC358" s="23"/>
      <c r="AD358" s="23"/>
      <c r="AE358" s="23"/>
      <c r="AF358" s="23"/>
      <c r="AG358" s="17"/>
    </row>
    <row r="359" spans="1:33" customFormat="1" hidden="1" outlineLevel="1" x14ac:dyDescent="0.2">
      <c r="A359" s="1434"/>
      <c r="B359" s="63"/>
      <c r="C359" s="6"/>
      <c r="D359" s="1071" t="s">
        <v>3494</v>
      </c>
      <c r="E359" s="1065">
        <v>0</v>
      </c>
      <c r="F359" s="1065">
        <v>0</v>
      </c>
      <c r="G359" s="1065">
        <v>0</v>
      </c>
      <c r="H359" s="1065">
        <v>0</v>
      </c>
      <c r="I359" s="1065">
        <v>0</v>
      </c>
      <c r="J359" s="1065">
        <v>0</v>
      </c>
      <c r="K359" s="1065">
        <v>0</v>
      </c>
      <c r="L359" s="1065">
        <v>0</v>
      </c>
      <c r="M359" s="1065">
        <v>0</v>
      </c>
      <c r="N359" s="1065">
        <v>0</v>
      </c>
      <c r="O359" s="162" t="s">
        <v>3495</v>
      </c>
      <c r="P359" s="12"/>
      <c r="Q359" s="12"/>
      <c r="R359" s="12"/>
      <c r="S359" s="12"/>
      <c r="T359" s="12"/>
      <c r="U359" s="12"/>
      <c r="V359" s="12"/>
      <c r="W359" s="12"/>
      <c r="X359" s="12"/>
      <c r="Y359" s="12"/>
      <c r="Z359" s="12"/>
      <c r="AA359" s="12"/>
      <c r="AB359" s="12"/>
      <c r="AC359" s="12"/>
      <c r="AD359" s="12"/>
      <c r="AE359" s="12"/>
      <c r="AF359" s="12"/>
      <c r="AG359" s="18"/>
    </row>
    <row r="360" spans="1:33" customFormat="1" hidden="1" outlineLevel="1" x14ac:dyDescent="0.2">
      <c r="A360" s="1434"/>
      <c r="B360" s="63"/>
      <c r="C360" s="6"/>
      <c r="D360" s="1071" t="s">
        <v>3496</v>
      </c>
      <c r="E360" s="1065">
        <v>0.05</v>
      </c>
      <c r="F360" s="1065">
        <v>5.0999999999999997E-2</v>
      </c>
      <c r="G360" s="1065">
        <v>5.1999999999999998E-2</v>
      </c>
      <c r="H360" s="1065">
        <v>5.2999999999999999E-2</v>
      </c>
      <c r="I360" s="1065">
        <v>5.3999999999999999E-2</v>
      </c>
      <c r="J360" s="1065">
        <v>5.5E-2</v>
      </c>
      <c r="K360" s="1065">
        <v>5.6000000000000001E-2</v>
      </c>
      <c r="L360" s="1065">
        <v>5.7000000000000002E-2</v>
      </c>
      <c r="M360" s="1065">
        <v>5.8000000000000003E-2</v>
      </c>
      <c r="N360" s="1065">
        <v>5.8999999999999997E-2</v>
      </c>
      <c r="O360" s="162" t="s">
        <v>3497</v>
      </c>
      <c r="P360" s="12"/>
      <c r="Q360" s="12"/>
      <c r="R360" s="12"/>
      <c r="S360" s="12"/>
      <c r="T360" s="12"/>
      <c r="U360" s="12"/>
      <c r="V360" s="12"/>
      <c r="W360" s="12"/>
      <c r="X360" s="12"/>
      <c r="Y360" s="12"/>
      <c r="Z360" s="12"/>
      <c r="AA360" s="12"/>
      <c r="AB360" s="12"/>
      <c r="AC360" s="12"/>
      <c r="AD360" s="12"/>
      <c r="AE360" s="12"/>
      <c r="AF360" s="12"/>
      <c r="AG360" s="18"/>
    </row>
    <row r="361" spans="1:33" customFormat="1" hidden="1" outlineLevel="1" x14ac:dyDescent="0.2">
      <c r="A361" s="1434"/>
      <c r="B361" s="63"/>
      <c r="C361" s="6"/>
      <c r="D361" s="1071" t="s">
        <v>3498</v>
      </c>
      <c r="E361" s="1065">
        <v>0.1</v>
      </c>
      <c r="F361" s="1065">
        <v>0.10100000000000001</v>
      </c>
      <c r="G361" s="1065">
        <v>0.10199999999999999</v>
      </c>
      <c r="H361" s="1065">
        <v>0.10299999999999999</v>
      </c>
      <c r="I361" s="1065">
        <v>0.104</v>
      </c>
      <c r="J361" s="1065">
        <v>0.105</v>
      </c>
      <c r="K361" s="1065">
        <v>0.106</v>
      </c>
      <c r="L361" s="1065">
        <v>0.107</v>
      </c>
      <c r="M361" s="1065">
        <v>0.108</v>
      </c>
      <c r="N361" s="1065">
        <v>0.109</v>
      </c>
      <c r="O361" s="162" t="s">
        <v>3499</v>
      </c>
      <c r="P361" s="12"/>
      <c r="Q361" s="12"/>
      <c r="R361" s="12"/>
      <c r="S361" s="12"/>
      <c r="T361" s="12"/>
      <c r="U361" s="12"/>
      <c r="V361" s="12"/>
      <c r="W361" s="12"/>
      <c r="X361" s="12"/>
      <c r="Y361" s="12"/>
      <c r="Z361" s="12"/>
      <c r="AA361" s="12"/>
      <c r="AB361" s="12"/>
      <c r="AC361" s="12"/>
      <c r="AD361" s="12"/>
      <c r="AE361" s="12"/>
      <c r="AF361" s="12"/>
      <c r="AG361" s="18"/>
    </row>
    <row r="362" spans="1:33" s="8" customFormat="1" hidden="1" outlineLevel="1" x14ac:dyDescent="0.2">
      <c r="A362" s="1434"/>
      <c r="B362" s="63"/>
      <c r="C362" s="98"/>
      <c r="D362" s="1072"/>
      <c r="E362" s="606"/>
      <c r="F362" s="606"/>
      <c r="G362" s="606"/>
      <c r="H362" s="606"/>
      <c r="I362" s="606"/>
      <c r="J362" s="606"/>
      <c r="K362" s="606"/>
      <c r="L362" s="606"/>
      <c r="M362" s="606"/>
      <c r="N362" s="606"/>
      <c r="O362" s="162"/>
      <c r="P362" s="23"/>
      <c r="Q362" s="23"/>
      <c r="R362" s="23"/>
      <c r="S362" s="23"/>
      <c r="T362" s="23"/>
      <c r="U362" s="23"/>
      <c r="V362" s="23"/>
      <c r="W362" s="23"/>
      <c r="X362" s="23"/>
      <c r="Y362" s="23"/>
      <c r="Z362" s="23"/>
      <c r="AA362" s="23"/>
      <c r="AB362" s="23"/>
      <c r="AC362" s="23"/>
      <c r="AD362" s="23"/>
      <c r="AE362" s="23"/>
      <c r="AF362" s="23"/>
      <c r="AG362" s="17"/>
    </row>
    <row r="363" spans="1:33" customFormat="1" ht="12" hidden="1" customHeight="1" outlineLevel="1" x14ac:dyDescent="0.2">
      <c r="A363" s="1434"/>
      <c r="B363" s="63"/>
      <c r="C363" s="13"/>
      <c r="D363" s="1073" t="s">
        <v>3500</v>
      </c>
      <c r="E363" s="1066">
        <f t="shared" ref="E363:N363" si="77">(1-eSystemsFTEPercentReductionWorstCaseO2)*pSystemsFTE_O2</f>
        <v>10</v>
      </c>
      <c r="F363" s="1066">
        <f t="shared" si="77"/>
        <v>10</v>
      </c>
      <c r="G363" s="1066">
        <f t="shared" si="77"/>
        <v>10</v>
      </c>
      <c r="H363" s="1066">
        <f t="shared" si="77"/>
        <v>10</v>
      </c>
      <c r="I363" s="1066">
        <f t="shared" si="77"/>
        <v>10</v>
      </c>
      <c r="J363" s="1066">
        <f t="shared" si="77"/>
        <v>10</v>
      </c>
      <c r="K363" s="1066">
        <f t="shared" si="77"/>
        <v>10</v>
      </c>
      <c r="L363" s="1066">
        <f t="shared" si="77"/>
        <v>10</v>
      </c>
      <c r="M363" s="1066">
        <f t="shared" si="77"/>
        <v>10</v>
      </c>
      <c r="N363" s="1066">
        <f t="shared" si="77"/>
        <v>10</v>
      </c>
      <c r="O363" s="162" t="s">
        <v>3501</v>
      </c>
      <c r="P363" s="12"/>
      <c r="Q363" s="12"/>
      <c r="R363" s="12"/>
      <c r="S363" s="12"/>
      <c r="T363" s="12"/>
      <c r="U363" s="12"/>
      <c r="V363" s="12"/>
      <c r="W363" s="12"/>
      <c r="X363" s="12"/>
      <c r="Y363" s="12"/>
      <c r="Z363" s="12"/>
      <c r="AA363" s="12"/>
      <c r="AB363" s="12"/>
      <c r="AC363" s="12"/>
      <c r="AD363" s="12"/>
      <c r="AE363" s="12"/>
      <c r="AF363" s="12"/>
      <c r="AG363" s="18"/>
    </row>
    <row r="364" spans="1:33" customFormat="1" ht="12" hidden="1" customHeight="1" outlineLevel="1" x14ac:dyDescent="0.2">
      <c r="A364" s="1434"/>
      <c r="B364" s="63"/>
      <c r="C364" s="13"/>
      <c r="D364" s="1073" t="s">
        <v>3502</v>
      </c>
      <c r="E364" s="1066">
        <f t="shared" ref="E364:N364" si="78">(1-eSystemsFTEPercentReductionMostLikelyO2)*pSystemsFTE_O2</f>
        <v>9.5</v>
      </c>
      <c r="F364" s="1066">
        <f t="shared" si="78"/>
        <v>9.49</v>
      </c>
      <c r="G364" s="1066">
        <f t="shared" si="78"/>
        <v>9.48</v>
      </c>
      <c r="H364" s="1066">
        <f t="shared" si="78"/>
        <v>9.4699999999999989</v>
      </c>
      <c r="I364" s="1066">
        <f t="shared" si="78"/>
        <v>9.4599999999999991</v>
      </c>
      <c r="J364" s="1066">
        <f t="shared" si="78"/>
        <v>9.4499999999999993</v>
      </c>
      <c r="K364" s="1066">
        <f t="shared" si="78"/>
        <v>9.44</v>
      </c>
      <c r="L364" s="1066">
        <f t="shared" si="78"/>
        <v>9.43</v>
      </c>
      <c r="M364" s="1066">
        <f t="shared" si="78"/>
        <v>9.42</v>
      </c>
      <c r="N364" s="1066">
        <f t="shared" si="78"/>
        <v>9.41</v>
      </c>
      <c r="O364" s="162" t="s">
        <v>3503</v>
      </c>
      <c r="P364" s="12"/>
      <c r="Q364" s="12"/>
      <c r="R364" s="12"/>
      <c r="S364" s="12"/>
      <c r="T364" s="12"/>
      <c r="U364" s="12"/>
      <c r="V364" s="12"/>
      <c r="W364" s="12"/>
      <c r="X364" s="12"/>
      <c r="Y364" s="12"/>
      <c r="Z364" s="12"/>
      <c r="AA364" s="12"/>
      <c r="AB364" s="12"/>
      <c r="AC364" s="12"/>
      <c r="AD364" s="12"/>
      <c r="AE364" s="12"/>
      <c r="AF364" s="12"/>
      <c r="AG364" s="18"/>
    </row>
    <row r="365" spans="1:33" customFormat="1" ht="12" hidden="1" customHeight="1" outlineLevel="1" x14ac:dyDescent="0.2">
      <c r="A365" s="1434"/>
      <c r="B365" s="63"/>
      <c r="C365" s="13"/>
      <c r="D365" s="1073" t="s">
        <v>3504</v>
      </c>
      <c r="E365" s="1066">
        <f t="shared" ref="E365:N365" si="79">(1-eSystemsFTEPercentReductionBestCaseO2)*pSystemsFTE_O2</f>
        <v>9</v>
      </c>
      <c r="F365" s="1066">
        <f t="shared" si="79"/>
        <v>8.99</v>
      </c>
      <c r="G365" s="1066">
        <f t="shared" si="79"/>
        <v>8.98</v>
      </c>
      <c r="H365" s="1066">
        <f t="shared" si="79"/>
        <v>8.9700000000000006</v>
      </c>
      <c r="I365" s="1066">
        <f t="shared" si="79"/>
        <v>8.9600000000000009</v>
      </c>
      <c r="J365" s="1066">
        <f t="shared" si="79"/>
        <v>8.9499999999999993</v>
      </c>
      <c r="K365" s="1066">
        <f t="shared" si="79"/>
        <v>8.94</v>
      </c>
      <c r="L365" s="1066">
        <f t="shared" si="79"/>
        <v>8.93</v>
      </c>
      <c r="M365" s="1066">
        <f t="shared" si="79"/>
        <v>8.92</v>
      </c>
      <c r="N365" s="1066">
        <f t="shared" si="79"/>
        <v>8.91</v>
      </c>
      <c r="O365" s="162" t="s">
        <v>3505</v>
      </c>
      <c r="P365" s="12"/>
      <c r="Q365" s="12"/>
      <c r="R365" s="12"/>
      <c r="S365" s="12"/>
      <c r="T365" s="12"/>
      <c r="U365" s="12"/>
      <c r="V365" s="12"/>
      <c r="W365" s="12"/>
      <c r="X365" s="12"/>
      <c r="Y365" s="12"/>
      <c r="Z365" s="12"/>
      <c r="AA365" s="12"/>
      <c r="AB365" s="12"/>
      <c r="AC365" s="12"/>
      <c r="AD365" s="12"/>
      <c r="AE365" s="12"/>
      <c r="AF365" s="12"/>
      <c r="AG365" s="18"/>
    </row>
    <row r="366" spans="1:33" s="8" customFormat="1" ht="12" hidden="1" customHeight="1" outlineLevel="1" x14ac:dyDescent="0.2">
      <c r="A366" s="1434"/>
      <c r="B366" s="63"/>
      <c r="C366" s="50"/>
      <c r="D366" s="1074"/>
      <c r="E366" s="440"/>
      <c r="F366" s="440"/>
      <c r="G366" s="440"/>
      <c r="H366" s="440"/>
      <c r="I366" s="440"/>
      <c r="J366" s="440"/>
      <c r="K366" s="440"/>
      <c r="L366" s="440"/>
      <c r="M366" s="440"/>
      <c r="N366" s="440"/>
      <c r="O366" s="1067"/>
      <c r="P366" s="23"/>
      <c r="Q366" s="23"/>
      <c r="R366" s="23"/>
      <c r="S366" s="23"/>
      <c r="T366" s="23"/>
      <c r="U366" s="23"/>
      <c r="V366" s="23"/>
      <c r="W366" s="23"/>
      <c r="X366" s="23"/>
      <c r="Y366" s="23"/>
      <c r="Z366" s="23"/>
      <c r="AA366" s="23"/>
      <c r="AB366" s="23"/>
      <c r="AC366" s="23"/>
      <c r="AD366" s="23"/>
      <c r="AE366" s="23"/>
      <c r="AF366" s="23"/>
      <c r="AG366" s="17"/>
    </row>
    <row r="367" spans="1:33" customFormat="1" ht="12" hidden="1" customHeight="1" outlineLevel="1" x14ac:dyDescent="0.2">
      <c r="A367" s="1434"/>
      <c r="B367" s="63"/>
      <c r="C367" s="13"/>
      <c r="D367" s="1073" t="s">
        <v>3506</v>
      </c>
      <c r="E367" s="602">
        <f>(AnnualBurdenedSalaryO2*eSystemsFTECalcResultWorstCaseO2)</f>
        <v>836250</v>
      </c>
      <c r="F367" s="602">
        <f>(AnnualBurdenedSalaryO2*eSystemsFTECalcResultWorstCaseO2)*(1+Inflation)</f>
        <v>852975</v>
      </c>
      <c r="G367" s="602">
        <f>(AnnualBurdenedSalaryO2*eSystemsFTECalcResultWorstCaseO2)*(1+Inflation)^2</f>
        <v>870034.5</v>
      </c>
      <c r="H367" s="602">
        <f>(AnnualBurdenedSalaryO2*eSystemsFTECalcResultWorstCaseO2)*(1+Inflation)^3</f>
        <v>887435.19</v>
      </c>
      <c r="I367" s="602">
        <f>(AnnualBurdenedSalaryO2*eSystemsFTECalcResultWorstCaseO2)*(1+Inflation)^4</f>
        <v>905183.89379999996</v>
      </c>
      <c r="J367" s="602">
        <f>(AnnualBurdenedSalaryO2*eSystemsFTECalcResultWorstCaseO2)*(1+Inflation)^5</f>
        <v>923287.57167600002</v>
      </c>
      <c r="K367" s="602">
        <f>(AnnualBurdenedSalaryO2*eSystemsFTECalcResultWorstCaseO2)*(1+Inflation)^6</f>
        <v>941753.32310952002</v>
      </c>
      <c r="L367" s="602">
        <f>(AnnualBurdenedSalaryO2*eSystemsFTECalcResultWorstCaseO2)*(1+Inflation)^7</f>
        <v>960588.38957171026</v>
      </c>
      <c r="M367" s="602">
        <f>(AnnualBurdenedSalaryO2*eSystemsFTECalcResultWorstCaseO2)*(1+Inflation)^8</f>
        <v>979800.15736314456</v>
      </c>
      <c r="N367" s="602">
        <f>(AnnualBurdenedSalaryO2*eSystemsFTECalcResultWorstCaseO2)*(1+Inflation)^9</f>
        <v>999396.16051040741</v>
      </c>
      <c r="O367" s="162" t="s">
        <v>3507</v>
      </c>
      <c r="P367" s="12"/>
      <c r="Q367" s="12"/>
      <c r="R367" s="12"/>
      <c r="S367" s="12"/>
      <c r="T367" s="12"/>
      <c r="U367" s="12"/>
      <c r="V367" s="12"/>
      <c r="W367" s="12"/>
      <c r="X367" s="12"/>
      <c r="Y367" s="12"/>
      <c r="Z367" s="12"/>
      <c r="AA367" s="12"/>
      <c r="AB367" s="12"/>
      <c r="AC367" s="12"/>
      <c r="AD367" s="12"/>
      <c r="AE367" s="12"/>
      <c r="AF367" s="12"/>
      <c r="AG367" s="18"/>
    </row>
    <row r="368" spans="1:33" customFormat="1" ht="12" hidden="1" customHeight="1" outlineLevel="1" x14ac:dyDescent="0.2">
      <c r="A368" s="1434"/>
      <c r="B368" s="63"/>
      <c r="C368" s="13"/>
      <c r="D368" s="1073" t="s">
        <v>3508</v>
      </c>
      <c r="E368" s="602">
        <f>(AnnualBurdenedSalaryO2*eSystemsFTECalcResultMostLikelyO2)</f>
        <v>794437.5</v>
      </c>
      <c r="F368" s="602">
        <f>(AnnualBurdenedSalaryO2*eSystemsFTECalcResultMostLikelyO2)*(1+Inflation)</f>
        <v>809473.27500000002</v>
      </c>
      <c r="G368" s="602">
        <f>(AnnualBurdenedSalaryO2*eSystemsFTECalcResultMostLikelyO2)*(1+Inflation)^2</f>
        <v>824792.70600000001</v>
      </c>
      <c r="H368" s="602">
        <f>(AnnualBurdenedSalaryO2*eSystemsFTECalcResultMostLikelyO2)*(1+Inflation)^3</f>
        <v>840401.12492999982</v>
      </c>
      <c r="I368" s="602">
        <f>(AnnualBurdenedSalaryO2*eSystemsFTECalcResultMostLikelyO2)*(1+Inflation)^4</f>
        <v>856303.96353479987</v>
      </c>
      <c r="J368" s="602">
        <f>(AnnualBurdenedSalaryO2*eSystemsFTECalcResultMostLikelyO2)*(1+Inflation)^5</f>
        <v>872506.75523381983</v>
      </c>
      <c r="K368" s="602">
        <f>(AnnualBurdenedSalaryO2*eSystemsFTECalcResultMostLikelyO2)*(1+Inflation)^6</f>
        <v>889015.13701538695</v>
      </c>
      <c r="L368" s="602">
        <f>(AnnualBurdenedSalaryO2*eSystemsFTECalcResultMostLikelyO2)*(1+Inflation)^7</f>
        <v>905834.85136612272</v>
      </c>
      <c r="M368" s="602">
        <f>(AnnualBurdenedSalaryO2*eSystemsFTECalcResultMostLikelyO2)*(1+Inflation)^8</f>
        <v>922971.74823608215</v>
      </c>
      <c r="N368" s="602">
        <f>(AnnualBurdenedSalaryO2*eSystemsFTECalcResultMostLikelyO2)*(1+Inflation)^9</f>
        <v>940431.78704029345</v>
      </c>
      <c r="O368" s="162" t="s">
        <v>3509</v>
      </c>
      <c r="P368" s="12"/>
      <c r="Q368" s="12"/>
      <c r="R368" s="12"/>
      <c r="S368" s="12"/>
      <c r="T368" s="12"/>
      <c r="U368" s="12"/>
      <c r="V368" s="12"/>
      <c r="W368" s="12"/>
      <c r="X368" s="12"/>
      <c r="Y368" s="12"/>
      <c r="Z368" s="12"/>
      <c r="AA368" s="12"/>
      <c r="AB368" s="12"/>
      <c r="AC368" s="12"/>
      <c r="AD368" s="12"/>
      <c r="AE368" s="12"/>
      <c r="AF368" s="12"/>
      <c r="AG368" s="18"/>
    </row>
    <row r="369" spans="1:33" customFormat="1" ht="12" hidden="1" customHeight="1" outlineLevel="1" x14ac:dyDescent="0.2">
      <c r="A369" s="1434"/>
      <c r="B369" s="63"/>
      <c r="C369" s="13"/>
      <c r="D369" s="1073" t="s">
        <v>3510</v>
      </c>
      <c r="E369" s="602">
        <f>(AnnualBurdenedSalaryO2*eSystemsFTECalcResultBestCaseO2)</f>
        <v>752625</v>
      </c>
      <c r="F369" s="602">
        <f>(AnnualBurdenedSalaryO2*eSystemsFTECalcResultBestCaseO2)*(1+Inflation)</f>
        <v>766824.52500000002</v>
      </c>
      <c r="G369" s="602">
        <f>(AnnualBurdenedSalaryO2*eSystemsFTECalcResultBestCaseO2)*(1+Inflation)^2</f>
        <v>781290.98100000003</v>
      </c>
      <c r="H369" s="602">
        <f>(AnnualBurdenedSalaryO2*eSystemsFTECalcResultBestCaseO2)*(1+Inflation)^3</f>
        <v>796029.36542999989</v>
      </c>
      <c r="I369" s="602">
        <f>(AnnualBurdenedSalaryO2*eSystemsFTECalcResultBestCaseO2)*(1+Inflation)^4</f>
        <v>811044.76884480007</v>
      </c>
      <c r="J369" s="602">
        <f>(AnnualBurdenedSalaryO2*eSystemsFTECalcResultBestCaseO2)*(1+Inflation)^5</f>
        <v>826342.3766500199</v>
      </c>
      <c r="K369" s="602">
        <f>(AnnualBurdenedSalaryO2*eSystemsFTECalcResultBestCaseO2)*(1+Inflation)^6</f>
        <v>841927.47085991094</v>
      </c>
      <c r="L369" s="602">
        <f>(AnnualBurdenedSalaryO2*eSystemsFTECalcResultBestCaseO2)*(1+Inflation)^7</f>
        <v>857805.43188753724</v>
      </c>
      <c r="M369" s="602">
        <f>(AnnualBurdenedSalaryO2*eSystemsFTECalcResultBestCaseO2)*(1+Inflation)^8</f>
        <v>873981.74036792491</v>
      </c>
      <c r="N369" s="602">
        <f>(AnnualBurdenedSalaryO2*eSystemsFTECalcResultBestCaseO2)*(1+Inflation)^9</f>
        <v>890461.97901477304</v>
      </c>
      <c r="O369" s="162" t="s">
        <v>3511</v>
      </c>
      <c r="P369" s="12"/>
      <c r="Q369" s="12"/>
      <c r="R369" s="12"/>
      <c r="S369" s="12"/>
      <c r="T369" s="12"/>
      <c r="U369" s="12"/>
      <c r="V369" s="12"/>
      <c r="W369" s="12"/>
      <c r="X369" s="12"/>
      <c r="Y369" s="12"/>
      <c r="Z369" s="12"/>
      <c r="AA369" s="12"/>
      <c r="AB369" s="12"/>
      <c r="AC369" s="12"/>
      <c r="AD369" s="12"/>
      <c r="AE369" s="12"/>
      <c r="AF369" s="12"/>
      <c r="AG369" s="18"/>
    </row>
    <row r="370" spans="1:33" s="8" customFormat="1" ht="12" hidden="1" customHeight="1" outlineLevel="1" x14ac:dyDescent="0.2">
      <c r="A370" s="1434"/>
      <c r="B370" s="63"/>
      <c r="C370" s="50"/>
      <c r="D370" s="1068"/>
      <c r="E370" s="440"/>
      <c r="F370" s="440"/>
      <c r="G370" s="440"/>
      <c r="H370" s="440"/>
      <c r="I370" s="440"/>
      <c r="J370" s="440"/>
      <c r="K370" s="440"/>
      <c r="L370" s="440"/>
      <c r="M370" s="440"/>
      <c r="N370" s="440"/>
      <c r="O370" s="162"/>
      <c r="P370" s="23"/>
      <c r="Q370" s="23"/>
      <c r="R370" s="23"/>
      <c r="S370" s="23"/>
      <c r="T370" s="23"/>
      <c r="U370" s="23"/>
      <c r="V370" s="23"/>
      <c r="W370" s="23"/>
      <c r="X370" s="23"/>
      <c r="Y370" s="23"/>
      <c r="Z370" s="23"/>
      <c r="AA370" s="23"/>
      <c r="AB370" s="23"/>
      <c r="AC370" s="23"/>
      <c r="AD370" s="23"/>
      <c r="AE370" s="23"/>
      <c r="AF370" s="23"/>
      <c r="AG370" s="17"/>
    </row>
    <row r="371" spans="1:33" s="8" customFormat="1" ht="12" hidden="1" customHeight="1" outlineLevel="1" x14ac:dyDescent="0.2">
      <c r="A371" s="1434"/>
      <c r="B371" s="63"/>
      <c r="C371" s="50"/>
      <c r="D371" s="1075" t="s">
        <v>3512</v>
      </c>
      <c r="E371" s="610">
        <f t="shared" ref="E371:N371" si="80">SUM(eSystemsFTECalcResultWorstCaseHM+eSystemsFTECalcResultWorstCaseLM+eSystemsFTECalcResultWorstCaseENG+eSystemsFTECalcResultWorstCasePLG+eSystemsFTECalcResultWorstCaseCRT+eSystemsFTECalcResultWorstCaseSCL+eSystemsFTECalcResultWorstCaseQSC+eSystemsFTECalcResultWorstCaseEM+eSystemsFTECalcResultWorstCaseCM+eSystemsFTECalcResultWorstCaseSMCS+eSystemsFTECalcResultWorstCaseO1+eSystemsFTECalcResultWorstCaseO2)</f>
        <v>3130</v>
      </c>
      <c r="F371" s="610">
        <f t="shared" si="80"/>
        <v>3130</v>
      </c>
      <c r="G371" s="610">
        <f t="shared" si="80"/>
        <v>3130</v>
      </c>
      <c r="H371" s="610">
        <f t="shared" si="80"/>
        <v>3130</v>
      </c>
      <c r="I371" s="610">
        <f t="shared" si="80"/>
        <v>3130</v>
      </c>
      <c r="J371" s="610">
        <f t="shared" si="80"/>
        <v>3130</v>
      </c>
      <c r="K371" s="610">
        <f t="shared" si="80"/>
        <v>3130</v>
      </c>
      <c r="L371" s="610">
        <f t="shared" si="80"/>
        <v>3130</v>
      </c>
      <c r="M371" s="610">
        <f t="shared" si="80"/>
        <v>3130</v>
      </c>
      <c r="N371" s="610">
        <f t="shared" si="80"/>
        <v>3130</v>
      </c>
      <c r="O371" s="162" t="s">
        <v>3513</v>
      </c>
      <c r="P371" s="23"/>
      <c r="Q371" s="23"/>
      <c r="R371" s="23"/>
      <c r="S371" s="23"/>
      <c r="T371" s="23"/>
      <c r="U371" s="23"/>
      <c r="V371" s="23"/>
      <c r="W371" s="23"/>
      <c r="X371" s="23"/>
      <c r="Y371" s="23"/>
      <c r="Z371" s="23"/>
      <c r="AA371" s="23"/>
      <c r="AB371" s="23"/>
      <c r="AC371" s="23"/>
      <c r="AD371" s="23"/>
      <c r="AE371" s="23"/>
      <c r="AF371" s="23"/>
      <c r="AG371" s="17"/>
    </row>
    <row r="372" spans="1:33" s="8" customFormat="1" ht="12" hidden="1" customHeight="1" outlineLevel="1" x14ac:dyDescent="0.2">
      <c r="A372" s="1434"/>
      <c r="B372" s="63"/>
      <c r="C372" s="13"/>
      <c r="D372" s="1075" t="s">
        <v>3514</v>
      </c>
      <c r="E372" s="610">
        <f t="shared" ref="E372:N372" si="81">SUM(eSystemsFTECalcResultMostLikelyHM+eSystemsFTECalcResultMostLikelyLM+eSystemsFTECalcResultMostLikelyENG+eSystemsFTECalcResultMostLikelyPLG+eSystemsFTECalcResultMostLikelyCRT+eSystemsFTECalcResultMostLikelySCL+eSystemsFTECalcResultMostLikelyQSC+eSystemsFTECalcResultMostLikelyEM+eSystemsFTECalcResultMostLikelyCM+eSystemsFTECalcResultMostLikelySMCS+eSystemsFTECalcResultMostLikelyO1+eSystemsFTECalcResultMostLikelyO2)</f>
        <v>2745.5</v>
      </c>
      <c r="F372" s="610">
        <f t="shared" si="81"/>
        <v>2745.2299999999996</v>
      </c>
      <c r="G372" s="610">
        <f t="shared" si="81"/>
        <v>2744.9600000000005</v>
      </c>
      <c r="H372" s="610">
        <f t="shared" si="81"/>
        <v>2744.6899999999991</v>
      </c>
      <c r="I372" s="610">
        <f t="shared" si="81"/>
        <v>2744.42</v>
      </c>
      <c r="J372" s="610">
        <f t="shared" si="81"/>
        <v>2744.1499999999996</v>
      </c>
      <c r="K372" s="610">
        <f t="shared" si="81"/>
        <v>2743.88</v>
      </c>
      <c r="L372" s="610">
        <f t="shared" si="81"/>
        <v>2743.61</v>
      </c>
      <c r="M372" s="610">
        <f t="shared" si="81"/>
        <v>2743.3399999999997</v>
      </c>
      <c r="N372" s="610">
        <f t="shared" si="81"/>
        <v>2743.0699999999997</v>
      </c>
      <c r="O372" s="162" t="s">
        <v>3515</v>
      </c>
      <c r="P372" s="23"/>
      <c r="Q372" s="23"/>
      <c r="R372" s="23"/>
      <c r="S372" s="23"/>
      <c r="T372" s="23"/>
      <c r="U372" s="23"/>
      <c r="V372" s="23"/>
      <c r="W372" s="23"/>
      <c r="X372" s="23"/>
      <c r="Y372" s="23"/>
      <c r="Z372" s="23"/>
      <c r="AA372" s="23"/>
      <c r="AB372" s="23"/>
      <c r="AC372" s="23"/>
      <c r="AD372" s="23"/>
      <c r="AE372" s="23"/>
      <c r="AF372" s="23"/>
      <c r="AG372" s="17"/>
    </row>
    <row r="373" spans="1:33" s="8" customFormat="1" ht="12" hidden="1" customHeight="1" outlineLevel="1" x14ac:dyDescent="0.2">
      <c r="A373" s="1434"/>
      <c r="B373" s="63"/>
      <c r="C373" s="13"/>
      <c r="D373" s="1075" t="s">
        <v>3516</v>
      </c>
      <c r="E373" s="610">
        <f t="shared" ref="E373:N373" si="82">SUM(eSystemsFTECalcResultBestCaseHM+eSystemsFTECalcResultBestCaseLM+eSystemsFTECalcResultBestCaseENG+eSystemsFTECalcResultBestCasePLG+eSystemsFTECalcResultBestCaseCRT+eSystemsFTECalcResultBestCaseSCL+eSystemsFTECalcResultBestCaseQSC+eSystemsFTECalcResultBestCaseEM+eSystemsFTECalcResultBestCaseCM+eSystemsFTECalcResultBestCaseSMCS+eSystemsFTECalcResultBestCaseO1+eSystemsFTECalcResultBestCaseO2)</f>
        <v>2550</v>
      </c>
      <c r="F373" s="610">
        <f t="shared" si="82"/>
        <v>2549.7299999999996</v>
      </c>
      <c r="G373" s="610">
        <f t="shared" si="82"/>
        <v>2549.4600000000005</v>
      </c>
      <c r="H373" s="610">
        <f t="shared" si="82"/>
        <v>2549.1899999999991</v>
      </c>
      <c r="I373" s="610">
        <f t="shared" si="82"/>
        <v>2548.92</v>
      </c>
      <c r="J373" s="610">
        <f t="shared" si="82"/>
        <v>2548.6499999999996</v>
      </c>
      <c r="K373" s="610">
        <f t="shared" si="82"/>
        <v>2548.38</v>
      </c>
      <c r="L373" s="610">
        <f t="shared" si="82"/>
        <v>2548.11</v>
      </c>
      <c r="M373" s="610">
        <f t="shared" si="82"/>
        <v>2547.8399999999997</v>
      </c>
      <c r="N373" s="610">
        <f t="shared" si="82"/>
        <v>2547.5699999999997</v>
      </c>
      <c r="O373" s="162" t="s">
        <v>3517</v>
      </c>
      <c r="P373" s="23"/>
      <c r="Q373" s="23"/>
      <c r="R373" s="23"/>
      <c r="S373" s="23"/>
      <c r="T373" s="23"/>
      <c r="U373" s="23"/>
      <c r="V373" s="23"/>
      <c r="W373" s="23"/>
      <c r="X373" s="23"/>
      <c r="Y373" s="23"/>
      <c r="Z373" s="23"/>
      <c r="AA373" s="23"/>
      <c r="AB373" s="23"/>
      <c r="AC373" s="23"/>
      <c r="AD373" s="23"/>
      <c r="AE373" s="23"/>
      <c r="AF373" s="23"/>
      <c r="AG373" s="17"/>
    </row>
    <row r="374" spans="1:33" s="8" customFormat="1" ht="12" hidden="1" customHeight="1" outlineLevel="1" x14ac:dyDescent="0.2">
      <c r="A374" s="1434"/>
      <c r="B374" s="63"/>
      <c r="C374" s="13"/>
      <c r="D374" s="1074"/>
      <c r="E374" s="440"/>
      <c r="F374" s="440"/>
      <c r="G374" s="440"/>
      <c r="H374" s="440"/>
      <c r="I374" s="440"/>
      <c r="J374" s="440"/>
      <c r="K374" s="440"/>
      <c r="L374" s="440"/>
      <c r="M374" s="440"/>
      <c r="N374" s="440"/>
      <c r="O374" s="642"/>
      <c r="P374" s="23"/>
      <c r="Q374" s="23"/>
      <c r="R374" s="23"/>
      <c r="S374" s="23"/>
      <c r="T374" s="23"/>
      <c r="U374" s="23"/>
      <c r="V374" s="23"/>
      <c r="W374" s="23"/>
      <c r="X374" s="23"/>
      <c r="Y374" s="23"/>
      <c r="Z374" s="23"/>
      <c r="AA374" s="23"/>
      <c r="AB374" s="23"/>
      <c r="AC374" s="23"/>
      <c r="AD374" s="23"/>
      <c r="AE374" s="23"/>
      <c r="AF374" s="23"/>
      <c r="AG374" s="17"/>
    </row>
    <row r="375" spans="1:33" s="8" customFormat="1" ht="12" hidden="1" customHeight="1" outlineLevel="1" x14ac:dyDescent="0.2">
      <c r="A375" s="1434"/>
      <c r="B375" s="65"/>
      <c r="C375" s="13"/>
      <c r="D375" s="1075" t="s">
        <v>3518</v>
      </c>
      <c r="E375" s="602">
        <f t="shared" ref="E375:N375" si="83">SUM(eSystemsFTELaborCostWorstCaseHM+eSystemsFTELaborCostWorstCaseLM+eSystemsFTELaborCostWorstCaseENG+eSystemsFTELaborCostWorstCasePLG+eSystemsFTELaborCostWorstCaseCRT+eSystemsFTELaborCostWorstCaseSCL+eSystemsFTELaborCostWorstCaseQSC+eSystemsFTELaborCostWorstCaseEM+eSystemsFTELaborCostWorstCaseCM+eSystemsFTELaborCostWorstCaseSMCS+eSystemsFTELaborCostWorstCaseO1+eSystemsFTELaborCostWorstCaseO2)</f>
        <v>379378750</v>
      </c>
      <c r="F375" s="602">
        <f t="shared" si="83"/>
        <v>386966325</v>
      </c>
      <c r="G375" s="602">
        <f t="shared" si="83"/>
        <v>394705651.5</v>
      </c>
      <c r="H375" s="602">
        <f t="shared" si="83"/>
        <v>402599764.52999991</v>
      </c>
      <c r="I375" s="602">
        <f t="shared" si="83"/>
        <v>410651759.82060003</v>
      </c>
      <c r="J375" s="602">
        <f t="shared" si="83"/>
        <v>418864795.017012</v>
      </c>
      <c r="K375" s="602">
        <f t="shared" si="83"/>
        <v>427242090.9173522</v>
      </c>
      <c r="L375" s="602">
        <f t="shared" si="83"/>
        <v>435786932.73569924</v>
      </c>
      <c r="M375" s="602">
        <f t="shared" si="83"/>
        <v>444502671.39041322</v>
      </c>
      <c r="N375" s="602">
        <f t="shared" si="83"/>
        <v>453392724.81822163</v>
      </c>
      <c r="O375" s="162" t="s">
        <v>3519</v>
      </c>
      <c r="P375" s="23"/>
      <c r="Q375" s="23"/>
      <c r="R375" s="23"/>
      <c r="S375" s="23"/>
      <c r="T375" s="23"/>
      <c r="U375" s="23"/>
      <c r="V375" s="23"/>
      <c r="W375" s="23"/>
      <c r="X375" s="23"/>
      <c r="Y375" s="23"/>
      <c r="Z375" s="23"/>
      <c r="AA375" s="23"/>
      <c r="AB375" s="23"/>
      <c r="AC375" s="23"/>
      <c r="AD375" s="23"/>
      <c r="AE375" s="23"/>
      <c r="AF375" s="23"/>
      <c r="AG375" s="17"/>
    </row>
    <row r="376" spans="1:33" s="8" customFormat="1" ht="12" hidden="1" customHeight="1" outlineLevel="1" x14ac:dyDescent="0.2">
      <c r="A376" s="1434"/>
      <c r="B376" s="65"/>
      <c r="C376" s="13"/>
      <c r="D376" s="1075" t="s">
        <v>3520</v>
      </c>
      <c r="E376" s="602">
        <f t="shared" ref="E376:N376" si="84">SUM(eSystemsFTELaborCostMostLikelyHM+eSystemsFTELaborCostMostLikelyLM+eSystemsFTELaborCostMostLikelyENG+eSystemsFTELaborCostMostLikelyPLG+eSystemsFTELaborCostMostLikelyCRT+eSystemsFTELaborCostMostLikelySCL+eSystemsFTELaborCostMostLikelyQSC+eSystemsFTELaborCostMostLikelyEM+eSystemsFTELaborCostMostLikelyCM+eSystemsFTELaborCostMostLikelySMCS+eSystemsFTELaborCostMostLikelyO1+eSystemsFTELaborCostMostLikelyO2)</f>
        <v>334590593.75</v>
      </c>
      <c r="F376" s="602">
        <f t="shared" si="84"/>
        <v>341259375.29999995</v>
      </c>
      <c r="G376" s="602">
        <f t="shared" si="84"/>
        <v>348061071.87449992</v>
      </c>
      <c r="H376" s="602">
        <f t="shared" si="84"/>
        <v>354998332.56186002</v>
      </c>
      <c r="I376" s="602">
        <f t="shared" si="84"/>
        <v>362073859.2479645</v>
      </c>
      <c r="J376" s="602">
        <f t="shared" si="84"/>
        <v>369290407.66848862</v>
      </c>
      <c r="K376" s="602">
        <f t="shared" si="84"/>
        <v>376650788.4821344</v>
      </c>
      <c r="L376" s="602">
        <f t="shared" si="84"/>
        <v>384157868.36525857</v>
      </c>
      <c r="M376" s="602">
        <f t="shared" si="84"/>
        <v>391814571.12831503</v>
      </c>
      <c r="N376" s="602">
        <f t="shared" si="84"/>
        <v>399623878.85454756</v>
      </c>
      <c r="O376" s="162" t="s">
        <v>3521</v>
      </c>
      <c r="P376" s="23"/>
      <c r="Q376" s="23"/>
      <c r="R376" s="23"/>
      <c r="S376" s="23"/>
      <c r="T376" s="23"/>
      <c r="U376" s="23"/>
      <c r="V376" s="23"/>
      <c r="W376" s="23"/>
      <c r="X376" s="23"/>
      <c r="Y376" s="23"/>
      <c r="Z376" s="23"/>
      <c r="AA376" s="23"/>
      <c r="AB376" s="23"/>
      <c r="AC376" s="23"/>
      <c r="AD376" s="23"/>
      <c r="AE376" s="23"/>
      <c r="AF376" s="23"/>
      <c r="AG376" s="17"/>
    </row>
    <row r="377" spans="1:33" s="8" customFormat="1" ht="12" hidden="1" customHeight="1" outlineLevel="1" x14ac:dyDescent="0.2">
      <c r="A377" s="1434"/>
      <c r="B377" s="65"/>
      <c r="C377" s="13"/>
      <c r="D377" s="1075" t="s">
        <v>3522</v>
      </c>
      <c r="E377" s="602">
        <f t="shared" ref="E377:N377" si="85">SUM(eSystemsFTEMostLikelyBestCaseHM+eSystemsFTEMostLikelyBestCaseLM+eSystemsFTEMostLikelyBestCaseENG+eSystemsFTEMostLikelyBestCasePLG+eSystemsFTEMostLikelyBestCaseCRT+eSystemsFTEMostLikelyBestCaseSCL+eSystemsFTEMostLikelyBestCaseQSC+eSystemsFTEMostLikelyBestCaseEM+eSystemsFTEMostLikelyBestCaseCM+eSystemsFTEMostLikelyBestCaseSMCS+eSystemsFTEMostLikelyBestCaseO1+eSystemsFTEMostLikelyBestCaseO2)</f>
        <v>312032750</v>
      </c>
      <c r="F377" s="602">
        <f t="shared" si="85"/>
        <v>318250374.67499995</v>
      </c>
      <c r="G377" s="602">
        <f t="shared" si="85"/>
        <v>324591891.23699999</v>
      </c>
      <c r="H377" s="602">
        <f t="shared" si="85"/>
        <v>331059768.31160986</v>
      </c>
      <c r="I377" s="602">
        <f t="shared" si="85"/>
        <v>337656523.71270961</v>
      </c>
      <c r="J377" s="602">
        <f t="shared" si="85"/>
        <v>344384725.42252862</v>
      </c>
      <c r="K377" s="602">
        <f t="shared" si="85"/>
        <v>351246992.59125501</v>
      </c>
      <c r="L377" s="602">
        <f t="shared" si="85"/>
        <v>358245996.55656171</v>
      </c>
      <c r="M377" s="602">
        <f t="shared" si="85"/>
        <v>365384461.88344425</v>
      </c>
      <c r="N377" s="602">
        <f t="shared" si="85"/>
        <v>372665167.42477942</v>
      </c>
      <c r="O377" s="162" t="s">
        <v>3523</v>
      </c>
      <c r="P377" s="23"/>
      <c r="Q377" s="23"/>
      <c r="R377" s="23"/>
      <c r="S377" s="23"/>
      <c r="T377" s="23"/>
      <c r="U377" s="23"/>
      <c r="V377" s="23"/>
      <c r="W377" s="23"/>
      <c r="X377" s="23"/>
      <c r="Y377" s="23"/>
      <c r="Z377" s="23"/>
      <c r="AA377" s="23"/>
      <c r="AB377" s="23"/>
      <c r="AC377" s="23"/>
      <c r="AD377" s="23"/>
      <c r="AE377" s="23"/>
      <c r="AF377" s="23"/>
      <c r="AG377" s="17"/>
    </row>
    <row r="378" spans="1:33" ht="13.5" hidden="1" outlineLevel="1" thickBot="1" x14ac:dyDescent="0.25">
      <c r="A378" s="1435"/>
      <c r="C378" s="6"/>
      <c r="D378" s="246"/>
      <c r="E378" s="1060"/>
      <c r="F378" s="518"/>
      <c r="G378" s="518"/>
      <c r="H378" s="518"/>
      <c r="I378" s="518"/>
      <c r="J378" s="1061"/>
      <c r="K378" s="1061"/>
      <c r="L378" s="1061"/>
      <c r="M378" s="1061"/>
      <c r="N378" s="1061"/>
      <c r="O378" s="1062"/>
    </row>
    <row r="379" spans="1:33" s="33" customFormat="1" ht="11.1" hidden="1" customHeight="1" outlineLevel="1" x14ac:dyDescent="0.55000000000000004">
      <c r="D379" s="177"/>
      <c r="E379" s="34"/>
      <c r="F379" s="34"/>
      <c r="G379" s="34"/>
      <c r="H379" s="34"/>
      <c r="I379" s="34"/>
      <c r="J379" s="34"/>
      <c r="K379" s="34"/>
      <c r="L379" s="34"/>
      <c r="M379" s="34"/>
      <c r="N379" s="34"/>
      <c r="O379" s="1070"/>
      <c r="P379" s="34"/>
      <c r="Q379" s="34"/>
      <c r="R379" s="34"/>
      <c r="S379" s="34"/>
      <c r="T379" s="34"/>
      <c r="U379" s="34"/>
      <c r="V379" s="34"/>
      <c r="W379" s="34"/>
      <c r="X379" s="34"/>
      <c r="Y379" s="34"/>
      <c r="Z379" s="34"/>
      <c r="AA379" s="34"/>
      <c r="AB379" s="34"/>
      <c r="AC379" s="34"/>
      <c r="AD379" s="34"/>
      <c r="AE379" s="34"/>
      <c r="AF379" s="34"/>
    </row>
    <row r="380" spans="1:33" s="122" customFormat="1" ht="15.75" collapsed="1" x14ac:dyDescent="0.2">
      <c r="A380" s="1043">
        <v>5</v>
      </c>
      <c r="B380" s="1039"/>
      <c r="C380" s="1039"/>
      <c r="D380" s="1039"/>
      <c r="E380" s="1039"/>
      <c r="F380" s="1039"/>
      <c r="G380" s="1039"/>
      <c r="H380" s="1039"/>
      <c r="I380" s="1039"/>
      <c r="J380" s="1039"/>
      <c r="K380" s="1039"/>
      <c r="L380" s="1039"/>
      <c r="M380" s="1039"/>
      <c r="N380" s="1039"/>
      <c r="O380" s="1039"/>
      <c r="P380" s="206"/>
      <c r="Q380" s="206"/>
      <c r="R380" s="206"/>
      <c r="S380" s="206"/>
      <c r="T380" s="206"/>
      <c r="U380" s="206"/>
      <c r="V380" s="206"/>
      <c r="W380" s="206"/>
      <c r="X380" s="206"/>
      <c r="Y380" s="206"/>
      <c r="Z380" s="206"/>
      <c r="AA380" s="206"/>
      <c r="AB380" s="206"/>
      <c r="AC380" s="206"/>
      <c r="AD380" s="206"/>
      <c r="AE380" s="206"/>
      <c r="AF380" s="206"/>
    </row>
    <row r="381" spans="1:33" customFormat="1" ht="14.1" customHeight="1" x14ac:dyDescent="0.2">
      <c r="B381" s="95"/>
      <c r="C381" s="6"/>
      <c r="D381" s="6"/>
      <c r="E381" s="6"/>
      <c r="F381" s="6"/>
      <c r="G381" s="6"/>
      <c r="H381" s="6"/>
      <c r="I381" s="6"/>
      <c r="J381" s="6"/>
      <c r="K381" s="6"/>
      <c r="L381" s="6"/>
      <c r="M381" s="6"/>
      <c r="N381" s="6"/>
      <c r="O381" s="84"/>
    </row>
    <row r="382" spans="1:33" s="206" customFormat="1" ht="20.100000000000001" customHeight="1" x14ac:dyDescent="0.2">
      <c r="A382" s="1397" t="s">
        <v>4252</v>
      </c>
      <c r="C382" s="974" t="s">
        <v>4251</v>
      </c>
      <c r="D382" s="187"/>
      <c r="E382" s="223"/>
      <c r="F382" s="223"/>
      <c r="G382" s="223"/>
      <c r="H382" s="223"/>
      <c r="I382" s="223"/>
      <c r="J382" s="223"/>
      <c r="K382" s="223"/>
      <c r="L382" s="223"/>
      <c r="M382" s="223"/>
      <c r="N382" s="223"/>
      <c r="O382" s="224"/>
      <c r="P382" s="210"/>
    </row>
    <row r="383" spans="1:33" s="203" customFormat="1" x14ac:dyDescent="0.2">
      <c r="A383" s="1398"/>
      <c r="B383" s="211"/>
      <c r="C383" s="211"/>
      <c r="D383" s="214"/>
      <c r="E383" s="210"/>
      <c r="F383" s="210"/>
      <c r="G383" s="210"/>
      <c r="H383" s="210"/>
      <c r="I383" s="210"/>
      <c r="J383" s="210"/>
      <c r="K383" s="210"/>
      <c r="L383" s="210"/>
      <c r="M383" s="210"/>
      <c r="N383" s="210"/>
      <c r="O383" s="209"/>
      <c r="P383" s="204"/>
    </row>
    <row r="384" spans="1:33" s="85" customFormat="1" ht="12.75" customHeight="1" x14ac:dyDescent="0.2">
      <c r="A384" s="1399"/>
      <c r="E384" s="62"/>
      <c r="F384" s="62"/>
      <c r="G384" s="62"/>
      <c r="H384" s="62"/>
      <c r="I384" s="62"/>
      <c r="J384" s="62"/>
      <c r="K384" s="62"/>
      <c r="L384" s="62"/>
      <c r="M384" s="62"/>
      <c r="N384" s="62"/>
      <c r="O384" s="134"/>
      <c r="P384" s="134"/>
      <c r="Q384" s="134"/>
      <c r="R384" s="134"/>
      <c r="S384" s="134"/>
      <c r="T384" s="134"/>
      <c r="U384" s="134"/>
      <c r="V384" s="134"/>
      <c r="W384" s="134"/>
      <c r="X384" s="134"/>
      <c r="Y384" s="134"/>
      <c r="Z384" s="134"/>
      <c r="AA384" s="134"/>
      <c r="AB384" s="134"/>
      <c r="AC384" s="134"/>
      <c r="AD384" s="134"/>
      <c r="AE384" s="134"/>
      <c r="AF384" s="134"/>
    </row>
    <row r="385" spans="1:33" s="85" customFormat="1" ht="12.75" customHeight="1" x14ac:dyDescent="0.2">
      <c r="A385" s="190"/>
      <c r="E385" s="62"/>
      <c r="F385" s="62"/>
      <c r="G385" s="62"/>
      <c r="H385" s="62"/>
      <c r="I385" s="62"/>
      <c r="J385" s="62"/>
      <c r="K385" s="62"/>
      <c r="L385" s="62"/>
      <c r="M385" s="62"/>
      <c r="N385" s="62"/>
      <c r="O385" s="134"/>
      <c r="P385" s="134"/>
      <c r="Q385" s="134"/>
      <c r="R385" s="134"/>
      <c r="S385" s="134"/>
      <c r="T385" s="134"/>
      <c r="U385" s="134"/>
      <c r="V385" s="134"/>
      <c r="W385" s="134"/>
      <c r="X385" s="134"/>
      <c r="Y385" s="134"/>
      <c r="Z385" s="134"/>
      <c r="AA385" s="134"/>
      <c r="AB385" s="134"/>
      <c r="AC385" s="134"/>
      <c r="AD385" s="134"/>
      <c r="AE385" s="134"/>
      <c r="AF385" s="134"/>
    </row>
    <row r="386" spans="1:33" s="85" customFormat="1" ht="14.25" hidden="1" customHeight="1" outlineLevel="1" x14ac:dyDescent="0.2">
      <c r="E386" s="62"/>
      <c r="F386" s="62"/>
      <c r="G386" s="62"/>
      <c r="H386" s="62"/>
      <c r="I386" s="62"/>
      <c r="J386" s="62"/>
      <c r="K386" s="62"/>
      <c r="L386" s="62"/>
      <c r="M386" s="62"/>
      <c r="N386" s="62"/>
      <c r="O386" s="134"/>
      <c r="P386" s="134"/>
      <c r="Q386" s="134"/>
      <c r="R386" s="134"/>
      <c r="S386" s="134"/>
      <c r="T386" s="134"/>
      <c r="U386" s="134"/>
      <c r="V386" s="134"/>
      <c r="W386" s="134"/>
      <c r="X386" s="134"/>
      <c r="Y386" s="134"/>
      <c r="Z386" s="134"/>
      <c r="AA386" s="134"/>
      <c r="AB386" s="134"/>
      <c r="AC386" s="134"/>
      <c r="AD386" s="134"/>
      <c r="AE386" s="134"/>
      <c r="AF386" s="134"/>
    </row>
    <row r="387" spans="1:33" s="85" customFormat="1" ht="14.25" hidden="1" customHeight="1" outlineLevel="1" x14ac:dyDescent="0.2">
      <c r="E387" s="62"/>
      <c r="F387" s="62"/>
      <c r="G387" s="62"/>
      <c r="H387" s="62"/>
      <c r="I387" s="62"/>
      <c r="J387" s="62"/>
      <c r="K387" s="62"/>
      <c r="L387" s="62"/>
      <c r="M387" s="62"/>
      <c r="N387" s="62"/>
      <c r="O387" s="134"/>
      <c r="P387" s="134"/>
      <c r="Q387" s="134"/>
      <c r="R387" s="134"/>
      <c r="S387" s="134"/>
      <c r="T387" s="134"/>
      <c r="U387" s="134"/>
      <c r="V387" s="134"/>
      <c r="W387" s="134"/>
      <c r="X387" s="134"/>
      <c r="Y387" s="134"/>
      <c r="Z387" s="134"/>
      <c r="AA387" s="134"/>
      <c r="AB387" s="134"/>
      <c r="AC387" s="134"/>
      <c r="AD387" s="134"/>
      <c r="AE387" s="134"/>
      <c r="AF387" s="134"/>
    </row>
    <row r="388" spans="1:33" s="121" customFormat="1" ht="12.75" hidden="1" customHeight="1" outlineLevel="1" thickBot="1" x14ac:dyDescent="0.35">
      <c r="A388" s="346"/>
      <c r="B388" s="346"/>
      <c r="C388" s="347"/>
      <c r="D388" s="737"/>
      <c r="E388" s="129"/>
      <c r="F388" s="129"/>
      <c r="G388" s="129"/>
      <c r="H388" s="129"/>
      <c r="I388" s="129"/>
      <c r="J388" s="129"/>
      <c r="K388" s="129"/>
      <c r="L388" s="129"/>
      <c r="M388" s="129"/>
      <c r="N388" s="129"/>
      <c r="O388" s="348"/>
      <c r="P388" s="348"/>
      <c r="Q388" s="348"/>
      <c r="R388" s="348"/>
      <c r="S388" s="348"/>
      <c r="T388" s="348"/>
      <c r="U388" s="348"/>
      <c r="V388" s="348"/>
      <c r="W388" s="348"/>
      <c r="X388" s="348"/>
      <c r="Y388" s="348"/>
      <c r="Z388" s="348"/>
      <c r="AA388" s="348"/>
      <c r="AB388" s="348"/>
      <c r="AC388" s="348"/>
      <c r="AD388" s="348"/>
      <c r="AE388" s="348"/>
      <c r="AF388" s="348"/>
    </row>
    <row r="389" spans="1:33" s="176" customFormat="1" ht="15.75" hidden="1" customHeight="1" outlineLevel="1" x14ac:dyDescent="0.2">
      <c r="A389" s="3"/>
      <c r="B389" s="242"/>
      <c r="C389" s="175"/>
      <c r="D389" s="1082"/>
      <c r="E389" s="1083"/>
      <c r="F389" s="1083"/>
      <c r="G389" s="1083"/>
      <c r="H389" s="1083"/>
      <c r="I389" s="1083"/>
      <c r="J389" s="1083"/>
      <c r="K389" s="1083"/>
      <c r="L389" s="1083"/>
      <c r="M389" s="1083"/>
      <c r="N389" s="1083"/>
      <c r="O389" s="1084"/>
      <c r="P389" s="175"/>
      <c r="Q389" s="175"/>
      <c r="R389" s="243"/>
      <c r="S389" s="175"/>
      <c r="T389" s="175"/>
      <c r="U389" s="175"/>
      <c r="V389" s="175"/>
      <c r="W389" s="175"/>
      <c r="X389" s="175"/>
      <c r="Y389" s="175"/>
      <c r="Z389" s="175"/>
      <c r="AA389" s="175"/>
      <c r="AB389" s="175"/>
      <c r="AC389" s="175"/>
      <c r="AD389" s="175"/>
      <c r="AE389" s="175"/>
      <c r="AF389" s="175"/>
      <c r="AG389" s="32"/>
    </row>
    <row r="390" spans="1:33" s="176" customFormat="1" ht="15.75" hidden="1" outlineLevel="1" x14ac:dyDescent="0.2">
      <c r="A390" s="3"/>
      <c r="B390" s="242"/>
      <c r="C390" s="175"/>
      <c r="D390" s="1078" t="s">
        <v>4130</v>
      </c>
      <c r="E390" s="611">
        <f t="shared" ref="E390:N390" si="86">-pSystemsFTECostAnnualBurdenedTotal</f>
        <v>-379378750</v>
      </c>
      <c r="F390" s="611">
        <f t="shared" si="86"/>
        <v>-386966325</v>
      </c>
      <c r="G390" s="611">
        <f t="shared" si="86"/>
        <v>-394705651.5</v>
      </c>
      <c r="H390" s="611">
        <f t="shared" si="86"/>
        <v>-402599764.52999991</v>
      </c>
      <c r="I390" s="611">
        <f t="shared" si="86"/>
        <v>-410651759.82060003</v>
      </c>
      <c r="J390" s="611">
        <f t="shared" si="86"/>
        <v>-418864795.017012</v>
      </c>
      <c r="K390" s="611">
        <f t="shared" si="86"/>
        <v>-427242090.9173522</v>
      </c>
      <c r="L390" s="611">
        <f t="shared" si="86"/>
        <v>-435786932.73569924</v>
      </c>
      <c r="M390" s="611">
        <f t="shared" si="86"/>
        <v>-444502671.39041322</v>
      </c>
      <c r="N390" s="611">
        <f t="shared" si="86"/>
        <v>-453392724.81822163</v>
      </c>
      <c r="O390" s="162" t="s">
        <v>3524</v>
      </c>
      <c r="P390" s="175"/>
      <c r="Q390" s="175"/>
      <c r="R390" s="243"/>
      <c r="S390" s="175"/>
      <c r="T390" s="175"/>
      <c r="U390" s="175"/>
      <c r="V390" s="175"/>
      <c r="W390" s="175"/>
      <c r="X390" s="175"/>
      <c r="Y390" s="175"/>
      <c r="Z390" s="175"/>
      <c r="AA390" s="175"/>
      <c r="AB390" s="175"/>
      <c r="AC390" s="175"/>
      <c r="AD390" s="175"/>
      <c r="AE390" s="175"/>
      <c r="AF390" s="175"/>
      <c r="AG390" s="32"/>
    </row>
    <row r="391" spans="1:33" hidden="1" outlineLevel="1" x14ac:dyDescent="0.2">
      <c r="B391" s="13"/>
      <c r="C391" s="13"/>
      <c r="D391" s="1079"/>
      <c r="E391" s="13"/>
      <c r="F391" s="13"/>
      <c r="G391" s="13"/>
      <c r="H391" s="13"/>
      <c r="I391" s="13"/>
      <c r="J391" s="103"/>
      <c r="K391" s="103"/>
      <c r="L391" s="103"/>
      <c r="M391" s="103"/>
      <c r="N391" s="103"/>
      <c r="O391" s="1080"/>
      <c r="P391" s="13"/>
      <c r="Q391" s="13"/>
      <c r="R391" s="13"/>
      <c r="S391" s="13"/>
      <c r="T391" s="13"/>
      <c r="U391" s="13"/>
      <c r="V391" s="13"/>
      <c r="W391" s="13"/>
      <c r="X391" s="13"/>
      <c r="Y391" s="13"/>
      <c r="Z391" s="13"/>
      <c r="AA391" s="13"/>
      <c r="AB391" s="13"/>
      <c r="AC391" s="13"/>
      <c r="AD391" s="13"/>
      <c r="AE391" s="13"/>
      <c r="AF391" s="13"/>
      <c r="AG391" s="13"/>
    </row>
    <row r="392" spans="1:33" customFormat="1" hidden="1" outlineLevel="1" x14ac:dyDescent="0.2">
      <c r="A392" s="3"/>
      <c r="B392" s="13"/>
      <c r="C392" s="13"/>
      <c r="D392" s="612" t="s">
        <v>4083</v>
      </c>
      <c r="E392" s="611">
        <f t="shared" ref="E392:N392" si="87">-hSystemsFTELaborCostWorstCaseTotal</f>
        <v>-379378750</v>
      </c>
      <c r="F392" s="611">
        <f t="shared" si="87"/>
        <v>-386966325</v>
      </c>
      <c r="G392" s="611">
        <f t="shared" si="87"/>
        <v>-394705651.5</v>
      </c>
      <c r="H392" s="611">
        <f t="shared" si="87"/>
        <v>-402599764.52999991</v>
      </c>
      <c r="I392" s="611">
        <f t="shared" si="87"/>
        <v>-410651759.82060003</v>
      </c>
      <c r="J392" s="611">
        <f t="shared" si="87"/>
        <v>-418864795.017012</v>
      </c>
      <c r="K392" s="611">
        <f t="shared" si="87"/>
        <v>-427242090.9173522</v>
      </c>
      <c r="L392" s="611">
        <f t="shared" si="87"/>
        <v>-435786932.73569924</v>
      </c>
      <c r="M392" s="611">
        <f t="shared" si="87"/>
        <v>-444502671.39041322</v>
      </c>
      <c r="N392" s="611">
        <f t="shared" si="87"/>
        <v>-453392724.81822163</v>
      </c>
      <c r="O392" s="162" t="s">
        <v>3525</v>
      </c>
      <c r="P392" s="12"/>
      <c r="Q392" s="12"/>
      <c r="R392" s="13"/>
      <c r="S392" s="12"/>
      <c r="T392" s="12"/>
      <c r="U392" s="12"/>
      <c r="V392" s="12"/>
      <c r="W392" s="12"/>
      <c r="X392" s="12"/>
      <c r="Y392" s="12"/>
      <c r="Z392" s="12"/>
      <c r="AA392" s="12"/>
      <c r="AB392" s="12"/>
      <c r="AC392" s="12"/>
      <c r="AD392" s="12"/>
      <c r="AE392" s="12"/>
      <c r="AF392" s="12"/>
      <c r="AG392" s="18"/>
    </row>
    <row r="393" spans="1:33" customFormat="1" hidden="1" outlineLevel="1" x14ac:dyDescent="0.2">
      <c r="A393" s="3"/>
      <c r="B393" s="13"/>
      <c r="C393" s="13"/>
      <c r="D393" s="612" t="s">
        <v>4096</v>
      </c>
      <c r="E393" s="611">
        <f t="shared" ref="E393:N393" si="88">-hSystemsFTELaborCostMostLikelyTotal</f>
        <v>-358023015.625</v>
      </c>
      <c r="F393" s="611">
        <f t="shared" si="88"/>
        <v>-364856502.1875</v>
      </c>
      <c r="G393" s="611">
        <f t="shared" si="88"/>
        <v>-371820119.00624996</v>
      </c>
      <c r="H393" s="611">
        <f t="shared" si="88"/>
        <v>-378916337.8968749</v>
      </c>
      <c r="I393" s="611">
        <f t="shared" si="88"/>
        <v>-386147677.49552238</v>
      </c>
      <c r="J393" s="611">
        <f t="shared" si="88"/>
        <v>-393516704.14295709</v>
      </c>
      <c r="K393" s="611">
        <f t="shared" si="88"/>
        <v>-401026032.78529108</v>
      </c>
      <c r="L393" s="611">
        <f t="shared" si="88"/>
        <v>-408678327.89166093</v>
      </c>
      <c r="M393" s="611">
        <f t="shared" si="88"/>
        <v>-416476304.38917166</v>
      </c>
      <c r="N393" s="611">
        <f t="shared" si="88"/>
        <v>-424422728.61542606</v>
      </c>
      <c r="O393" s="162" t="s">
        <v>3527</v>
      </c>
      <c r="P393" s="12"/>
      <c r="Q393" s="12"/>
      <c r="R393" s="13"/>
      <c r="S393" s="12"/>
      <c r="T393" s="12"/>
      <c r="U393" s="12"/>
      <c r="V393" s="12"/>
      <c r="W393" s="12"/>
      <c r="X393" s="12"/>
      <c r="Y393" s="12"/>
      <c r="Z393" s="12"/>
      <c r="AA393" s="12"/>
      <c r="AB393" s="12"/>
      <c r="AC393" s="12"/>
      <c r="AD393" s="12"/>
      <c r="AE393" s="12"/>
      <c r="AF393" s="12"/>
      <c r="AG393" s="18"/>
    </row>
    <row r="394" spans="1:33" s="176" customFormat="1" ht="15" hidden="1" outlineLevel="1" x14ac:dyDescent="0.2">
      <c r="A394" s="3"/>
      <c r="B394" s="242"/>
      <c r="C394" s="175"/>
      <c r="D394" s="612" t="s">
        <v>4097</v>
      </c>
      <c r="E394" s="611">
        <f t="shared" ref="E394:N394" si="89">-hSystemsFTELaborCostBestCaseTotal</f>
        <v>-337503531.25</v>
      </c>
      <c r="F394" s="611">
        <f t="shared" si="89"/>
        <v>-343926628.125</v>
      </c>
      <c r="G394" s="611">
        <f t="shared" si="89"/>
        <v>-350471647.46250004</v>
      </c>
      <c r="H394" s="611">
        <f t="shared" si="89"/>
        <v>-357140896.92224997</v>
      </c>
      <c r="I394" s="611">
        <f t="shared" si="89"/>
        <v>-363936727.70140493</v>
      </c>
      <c r="J394" s="611">
        <f t="shared" si="89"/>
        <v>-370861535.35295731</v>
      </c>
      <c r="K394" s="611">
        <f t="shared" si="89"/>
        <v>-377917760.61949122</v>
      </c>
      <c r="L394" s="611">
        <f t="shared" si="89"/>
        <v>-385107890.28254509</v>
      </c>
      <c r="M394" s="611">
        <f t="shared" si="89"/>
        <v>-392434458.02787352</v>
      </c>
      <c r="N394" s="611">
        <f t="shared" si="89"/>
        <v>-399900045.32690185</v>
      </c>
      <c r="O394" s="162" t="s">
        <v>3526</v>
      </c>
      <c r="P394" s="175"/>
      <c r="Q394" s="175"/>
      <c r="R394" s="32"/>
      <c r="S394" s="175"/>
      <c r="T394" s="175"/>
      <c r="U394" s="175"/>
      <c r="V394" s="175"/>
      <c r="W394" s="175"/>
      <c r="X394" s="175"/>
      <c r="Y394" s="175"/>
      <c r="Z394" s="175"/>
      <c r="AA394" s="175"/>
      <c r="AB394" s="175"/>
      <c r="AC394" s="175"/>
      <c r="AD394" s="175"/>
      <c r="AE394" s="175"/>
      <c r="AF394" s="175"/>
      <c r="AG394" s="32"/>
    </row>
    <row r="395" spans="1:33" hidden="1" outlineLevel="1" x14ac:dyDescent="0.2">
      <c r="B395" s="6"/>
      <c r="C395" s="6"/>
      <c r="D395" s="394"/>
      <c r="E395" s="6"/>
      <c r="F395" s="6"/>
      <c r="G395" s="6"/>
      <c r="H395" s="6"/>
      <c r="I395" s="6"/>
      <c r="J395" s="168"/>
      <c r="K395" s="168"/>
      <c r="L395" s="168"/>
      <c r="M395" s="168"/>
      <c r="N395" s="168"/>
      <c r="O395" s="1081"/>
    </row>
    <row r="396" spans="1:33" customFormat="1" hidden="1" outlineLevel="1" x14ac:dyDescent="0.2">
      <c r="A396" s="3"/>
      <c r="B396" s="13"/>
      <c r="C396" s="13"/>
      <c r="D396" s="814" t="s">
        <v>4133</v>
      </c>
      <c r="E396" s="611">
        <f t="shared" ref="E396:N396" si="90">-eSystemsFTELaborCostWorstCaseTotal</f>
        <v>-379378750</v>
      </c>
      <c r="F396" s="611">
        <f t="shared" si="90"/>
        <v>-386966325</v>
      </c>
      <c r="G396" s="611">
        <f t="shared" si="90"/>
        <v>-394705651.5</v>
      </c>
      <c r="H396" s="611">
        <f t="shared" si="90"/>
        <v>-402599764.52999991</v>
      </c>
      <c r="I396" s="611">
        <f t="shared" si="90"/>
        <v>-410651759.82060003</v>
      </c>
      <c r="J396" s="611">
        <f t="shared" si="90"/>
        <v>-418864795.017012</v>
      </c>
      <c r="K396" s="611">
        <f t="shared" si="90"/>
        <v>-427242090.9173522</v>
      </c>
      <c r="L396" s="611">
        <f t="shared" si="90"/>
        <v>-435786932.73569924</v>
      </c>
      <c r="M396" s="611">
        <f t="shared" si="90"/>
        <v>-444502671.39041322</v>
      </c>
      <c r="N396" s="611">
        <f t="shared" si="90"/>
        <v>-453392724.81822163</v>
      </c>
      <c r="O396" s="162" t="s">
        <v>3528</v>
      </c>
      <c r="P396" s="12"/>
      <c r="Q396" s="12"/>
      <c r="R396" s="13"/>
      <c r="S396" s="12"/>
      <c r="T396" s="12"/>
      <c r="U396" s="12"/>
      <c r="V396" s="12"/>
      <c r="W396" s="12"/>
      <c r="X396" s="12"/>
      <c r="Y396" s="12"/>
      <c r="Z396" s="12"/>
      <c r="AA396" s="12"/>
      <c r="AB396" s="12"/>
      <c r="AC396" s="12"/>
      <c r="AD396" s="12"/>
      <c r="AE396" s="12"/>
      <c r="AF396" s="12"/>
      <c r="AG396" s="18"/>
    </row>
    <row r="397" spans="1:33" customFormat="1" hidden="1" outlineLevel="1" x14ac:dyDescent="0.2">
      <c r="A397" s="3"/>
      <c r="B397" s="13"/>
      <c r="C397" s="13"/>
      <c r="D397" s="814" t="s">
        <v>4134</v>
      </c>
      <c r="E397" s="611">
        <f t="shared" ref="E397:N397" si="91">-eSystemsFTELaborCostMostLikelyTotal</f>
        <v>-334590593.75</v>
      </c>
      <c r="F397" s="611">
        <f t="shared" si="91"/>
        <v>-341259375.29999995</v>
      </c>
      <c r="G397" s="611">
        <f t="shared" si="91"/>
        <v>-348061071.87449992</v>
      </c>
      <c r="H397" s="611">
        <f t="shared" si="91"/>
        <v>-354998332.56186002</v>
      </c>
      <c r="I397" s="611">
        <f t="shared" si="91"/>
        <v>-362073859.2479645</v>
      </c>
      <c r="J397" s="611">
        <f t="shared" si="91"/>
        <v>-369290407.66848862</v>
      </c>
      <c r="K397" s="611">
        <f t="shared" si="91"/>
        <v>-376650788.4821344</v>
      </c>
      <c r="L397" s="611">
        <f t="shared" si="91"/>
        <v>-384157868.36525857</v>
      </c>
      <c r="M397" s="611">
        <f t="shared" si="91"/>
        <v>-391814571.12831503</v>
      </c>
      <c r="N397" s="611">
        <f t="shared" si="91"/>
        <v>-399623878.85454756</v>
      </c>
      <c r="O397" s="162" t="s">
        <v>3529</v>
      </c>
      <c r="P397" s="12"/>
      <c r="Q397" s="12"/>
      <c r="R397" s="13"/>
      <c r="S397" s="12"/>
      <c r="T397" s="12"/>
      <c r="U397" s="12"/>
      <c r="V397" s="12"/>
      <c r="W397" s="12"/>
      <c r="X397" s="12"/>
      <c r="Y397" s="12"/>
      <c r="Z397" s="12"/>
      <c r="AA397" s="12"/>
      <c r="AB397" s="12"/>
      <c r="AC397" s="12"/>
      <c r="AD397" s="12"/>
      <c r="AE397" s="12"/>
      <c r="AF397" s="12"/>
      <c r="AG397" s="18"/>
    </row>
    <row r="398" spans="1:33" s="176" customFormat="1" ht="15" hidden="1" outlineLevel="1" x14ac:dyDescent="0.2">
      <c r="A398" s="3"/>
      <c r="B398" s="242"/>
      <c r="C398" s="175"/>
      <c r="D398" s="814" t="s">
        <v>4135</v>
      </c>
      <c r="E398" s="611">
        <f t="shared" ref="E398:N398" si="92">-eSystemsFTELaborCostBestCaseTotal</f>
        <v>-312032750</v>
      </c>
      <c r="F398" s="611">
        <f t="shared" si="92"/>
        <v>-318250374.67499995</v>
      </c>
      <c r="G398" s="611">
        <f t="shared" si="92"/>
        <v>-324591891.23699999</v>
      </c>
      <c r="H398" s="611">
        <f t="shared" si="92"/>
        <v>-331059768.31160986</v>
      </c>
      <c r="I398" s="611">
        <f t="shared" si="92"/>
        <v>-337656523.71270961</v>
      </c>
      <c r="J398" s="611">
        <f t="shared" si="92"/>
        <v>-344384725.42252862</v>
      </c>
      <c r="K398" s="611">
        <f t="shared" si="92"/>
        <v>-351246992.59125501</v>
      </c>
      <c r="L398" s="611">
        <f t="shared" si="92"/>
        <v>-358245996.55656171</v>
      </c>
      <c r="M398" s="611">
        <f t="shared" si="92"/>
        <v>-365384461.88344425</v>
      </c>
      <c r="N398" s="611">
        <f t="shared" si="92"/>
        <v>-372665167.42477942</v>
      </c>
      <c r="O398" s="162" t="s">
        <v>3530</v>
      </c>
      <c r="P398" s="175"/>
      <c r="Q398" s="175"/>
      <c r="R398" s="32"/>
      <c r="S398" s="175"/>
      <c r="T398" s="175"/>
      <c r="U398" s="175"/>
      <c r="V398" s="175"/>
      <c r="W398" s="175"/>
      <c r="X398" s="175"/>
      <c r="Y398" s="175"/>
      <c r="Z398" s="175"/>
      <c r="AA398" s="175"/>
      <c r="AB398" s="175"/>
      <c r="AC398" s="175"/>
      <c r="AD398" s="175"/>
      <c r="AE398" s="175"/>
      <c r="AF398" s="175"/>
      <c r="AG398" s="32"/>
    </row>
    <row r="399" spans="1:33" ht="13.5" hidden="1" outlineLevel="1" thickBot="1" x14ac:dyDescent="0.25">
      <c r="D399" s="246"/>
      <c r="E399" s="518"/>
      <c r="F399" s="518"/>
      <c r="G399" s="518"/>
      <c r="H399" s="518"/>
      <c r="I399" s="518"/>
      <c r="J399" s="1061"/>
      <c r="K399" s="1061"/>
      <c r="L399" s="1061"/>
      <c r="M399" s="1061"/>
      <c r="N399" s="1061"/>
      <c r="O399" s="1062"/>
    </row>
    <row r="400" spans="1:33" hidden="1" outlineLevel="1" x14ac:dyDescent="0.2"/>
    <row r="401" spans="1:32" s="122" customFormat="1" ht="15.75" collapsed="1" x14ac:dyDescent="0.2">
      <c r="A401" s="1043">
        <v>6</v>
      </c>
      <c r="B401" s="1039"/>
      <c r="C401" s="1039"/>
      <c r="D401" s="1039"/>
      <c r="E401" s="1039"/>
      <c r="F401" s="1039"/>
      <c r="G401" s="1039"/>
      <c r="H401" s="1039"/>
      <c r="I401" s="1039"/>
      <c r="J401" s="1039"/>
      <c r="K401" s="1039"/>
      <c r="L401" s="1039"/>
      <c r="M401" s="1039"/>
      <c r="N401" s="1039"/>
      <c r="O401" s="1039"/>
      <c r="P401" s="206"/>
      <c r="Q401" s="206"/>
      <c r="R401" s="206"/>
      <c r="S401" s="206"/>
      <c r="T401" s="206"/>
      <c r="U401" s="206"/>
      <c r="V401" s="206"/>
      <c r="W401" s="206"/>
      <c r="X401" s="206"/>
      <c r="Y401" s="206"/>
      <c r="Z401" s="206"/>
      <c r="AA401" s="206"/>
      <c r="AB401" s="206"/>
      <c r="AC401" s="206"/>
      <c r="AD401" s="206"/>
      <c r="AE401" s="206"/>
      <c r="AF401" s="206"/>
    </row>
    <row r="403" spans="1:32" customFormat="1" ht="20.100000000000001" customHeight="1" x14ac:dyDescent="0.2">
      <c r="A403" s="1397" t="s">
        <v>4260</v>
      </c>
      <c r="B403" s="3"/>
      <c r="C403" s="1076" t="s">
        <v>4113</v>
      </c>
      <c r="D403" s="426"/>
      <c r="O403" s="14"/>
    </row>
    <row r="404" spans="1:32" customFormat="1" x14ac:dyDescent="0.2">
      <c r="A404" s="1398"/>
      <c r="D404" s="5"/>
      <c r="O404" s="14"/>
    </row>
    <row r="405" spans="1:32" customFormat="1" x14ac:dyDescent="0.2">
      <c r="A405" s="1399"/>
      <c r="D405" s="5"/>
      <c r="O405" s="14"/>
    </row>
    <row r="406" spans="1:32" customFormat="1" x14ac:dyDescent="0.2">
      <c r="D406" s="5"/>
      <c r="O406" s="14"/>
    </row>
    <row r="407" spans="1:32" customFormat="1" hidden="1" outlineLevel="1" x14ac:dyDescent="0.2">
      <c r="D407" s="5"/>
      <c r="O407" s="14"/>
    </row>
    <row r="408" spans="1:32" customFormat="1" hidden="1" outlineLevel="1" x14ac:dyDescent="0.2">
      <c r="D408" s="5"/>
      <c r="O408" s="14"/>
    </row>
    <row r="409" spans="1:32" customFormat="1" ht="13.5" hidden="1" outlineLevel="1" thickBot="1" x14ac:dyDescent="0.25">
      <c r="D409" s="5"/>
      <c r="O409" s="14"/>
    </row>
    <row r="410" spans="1:32" customFormat="1" hidden="1" outlineLevel="1" x14ac:dyDescent="0.2">
      <c r="B410" s="13"/>
      <c r="C410" s="5"/>
      <c r="D410" s="427"/>
      <c r="E410" s="376"/>
      <c r="F410" s="376"/>
      <c r="G410" s="376"/>
      <c r="H410" s="376"/>
      <c r="I410" s="376"/>
      <c r="J410" s="376"/>
      <c r="K410" s="376"/>
      <c r="L410" s="376"/>
      <c r="M410" s="376"/>
      <c r="N410" s="376"/>
      <c r="O410" s="645"/>
    </row>
    <row r="411" spans="1:32" customFormat="1" hidden="1" outlineLevel="1" x14ac:dyDescent="0.2">
      <c r="B411" s="13"/>
      <c r="C411" s="5"/>
      <c r="D411" s="487" t="s">
        <v>4254</v>
      </c>
      <c r="E411" s="431">
        <f t="shared" ref="E411:N411" si="93">pSystemsFTE_Total</f>
        <v>3130</v>
      </c>
      <c r="F411" s="431">
        <f t="shared" si="93"/>
        <v>3130</v>
      </c>
      <c r="G411" s="431">
        <f t="shared" si="93"/>
        <v>3130</v>
      </c>
      <c r="H411" s="431">
        <f t="shared" si="93"/>
        <v>3130</v>
      </c>
      <c r="I411" s="431">
        <f t="shared" si="93"/>
        <v>3130</v>
      </c>
      <c r="J411" s="431">
        <f t="shared" si="93"/>
        <v>3130</v>
      </c>
      <c r="K411" s="431">
        <f t="shared" si="93"/>
        <v>3130</v>
      </c>
      <c r="L411" s="431">
        <f t="shared" si="93"/>
        <v>3130</v>
      </c>
      <c r="M411" s="431">
        <f t="shared" si="93"/>
        <v>3130</v>
      </c>
      <c r="N411" s="431">
        <f t="shared" si="93"/>
        <v>3130</v>
      </c>
      <c r="O411" s="318" t="s">
        <v>3531</v>
      </c>
    </row>
    <row r="412" spans="1:32" s="8" customFormat="1" hidden="1" outlineLevel="1" x14ac:dyDescent="0.2">
      <c r="B412" s="13"/>
      <c r="C412" s="488"/>
      <c r="D412" s="846"/>
      <c r="E412" s="614"/>
      <c r="F412" s="614"/>
      <c r="G412" s="614"/>
      <c r="H412" s="614"/>
      <c r="I412" s="614"/>
      <c r="J412" s="614"/>
      <c r="K412" s="614"/>
      <c r="L412" s="614"/>
      <c r="M412" s="614"/>
      <c r="N412" s="614"/>
      <c r="O412" s="398"/>
    </row>
    <row r="413" spans="1:32" customFormat="1" hidden="1" outlineLevel="1" x14ac:dyDescent="0.2">
      <c r="B413" s="13"/>
      <c r="C413" s="5"/>
      <c r="D413" s="612" t="s">
        <v>4253</v>
      </c>
      <c r="E413" s="431">
        <f t="shared" ref="E413:N413" si="94">hSystemsFTECalcResultWorstCaseTotal</f>
        <v>3130</v>
      </c>
      <c r="F413" s="431">
        <f t="shared" si="94"/>
        <v>3130</v>
      </c>
      <c r="G413" s="431">
        <f t="shared" si="94"/>
        <v>3130</v>
      </c>
      <c r="H413" s="431">
        <f t="shared" si="94"/>
        <v>3130</v>
      </c>
      <c r="I413" s="431">
        <f t="shared" si="94"/>
        <v>3130</v>
      </c>
      <c r="J413" s="431">
        <f t="shared" si="94"/>
        <v>3130</v>
      </c>
      <c r="K413" s="431">
        <f t="shared" si="94"/>
        <v>3130</v>
      </c>
      <c r="L413" s="431">
        <f t="shared" si="94"/>
        <v>3130</v>
      </c>
      <c r="M413" s="431">
        <f t="shared" si="94"/>
        <v>3130</v>
      </c>
      <c r="N413" s="431">
        <f t="shared" si="94"/>
        <v>3130</v>
      </c>
      <c r="O413" s="318" t="s">
        <v>3532</v>
      </c>
    </row>
    <row r="414" spans="1:32" customFormat="1" hidden="1" outlineLevel="1" x14ac:dyDescent="0.2">
      <c r="B414" s="13"/>
      <c r="C414" s="5"/>
      <c r="D414" s="612" t="s">
        <v>4256</v>
      </c>
      <c r="E414" s="431">
        <f t="shared" ref="E414:N414" si="95">hSystemsFTECalcResultMostLikelyTotal</f>
        <v>2945</v>
      </c>
      <c r="F414" s="431">
        <f t="shared" si="95"/>
        <v>2942.5</v>
      </c>
      <c r="G414" s="431">
        <f t="shared" si="95"/>
        <v>2940</v>
      </c>
      <c r="H414" s="431">
        <f t="shared" si="95"/>
        <v>2937.5</v>
      </c>
      <c r="I414" s="431">
        <f t="shared" si="95"/>
        <v>2935</v>
      </c>
      <c r="J414" s="431">
        <f t="shared" si="95"/>
        <v>2932.5</v>
      </c>
      <c r="K414" s="431">
        <f t="shared" si="95"/>
        <v>2930</v>
      </c>
      <c r="L414" s="431">
        <f t="shared" si="95"/>
        <v>2927.5</v>
      </c>
      <c r="M414" s="431">
        <f t="shared" si="95"/>
        <v>2925</v>
      </c>
      <c r="N414" s="431">
        <f t="shared" si="95"/>
        <v>2922.5</v>
      </c>
      <c r="O414" s="318" t="s">
        <v>3533</v>
      </c>
    </row>
    <row r="415" spans="1:32" customFormat="1" hidden="1" outlineLevel="1" x14ac:dyDescent="0.2">
      <c r="B415" s="13"/>
      <c r="C415" s="5"/>
      <c r="D415" s="612" t="s">
        <v>4255</v>
      </c>
      <c r="E415" s="431">
        <f t="shared" ref="E415:N415" si="96">hSystemsFTECalcResultBestCaseTotal</f>
        <v>2772</v>
      </c>
      <c r="F415" s="431">
        <f t="shared" si="96"/>
        <v>2769.5</v>
      </c>
      <c r="G415" s="431">
        <f t="shared" si="96"/>
        <v>2767</v>
      </c>
      <c r="H415" s="431">
        <f t="shared" si="96"/>
        <v>2764.5</v>
      </c>
      <c r="I415" s="431">
        <f t="shared" si="96"/>
        <v>2762</v>
      </c>
      <c r="J415" s="431">
        <f t="shared" si="96"/>
        <v>2759.5</v>
      </c>
      <c r="K415" s="431">
        <f t="shared" si="96"/>
        <v>2757</v>
      </c>
      <c r="L415" s="431">
        <f t="shared" si="96"/>
        <v>2754.5</v>
      </c>
      <c r="M415" s="431">
        <f t="shared" si="96"/>
        <v>2752</v>
      </c>
      <c r="N415" s="431">
        <f t="shared" si="96"/>
        <v>2749.5</v>
      </c>
      <c r="O415" s="318" t="s">
        <v>3534</v>
      </c>
    </row>
    <row r="416" spans="1:32" s="8" customFormat="1" hidden="1" outlineLevel="1" x14ac:dyDescent="0.2">
      <c r="B416" s="13"/>
      <c r="C416" s="488"/>
      <c r="D416" s="769"/>
      <c r="E416" s="614"/>
      <c r="F416" s="614"/>
      <c r="G416" s="614"/>
      <c r="H416" s="614"/>
      <c r="I416" s="614"/>
      <c r="J416" s="614"/>
      <c r="K416" s="614"/>
      <c r="L416" s="614"/>
      <c r="M416" s="614"/>
      <c r="N416" s="614"/>
      <c r="O416" s="398"/>
    </row>
    <row r="417" spans="1:32" customFormat="1" hidden="1" outlineLevel="1" x14ac:dyDescent="0.2">
      <c r="B417" s="13"/>
      <c r="C417" s="5"/>
      <c r="D417" s="1077" t="s">
        <v>4257</v>
      </c>
      <c r="E417" s="431">
        <f t="shared" ref="E417:N417" si="97">eSystemsFTECalcResultWorstCaseTotal</f>
        <v>3130</v>
      </c>
      <c r="F417" s="431">
        <f t="shared" si="97"/>
        <v>3130</v>
      </c>
      <c r="G417" s="431">
        <f t="shared" si="97"/>
        <v>3130</v>
      </c>
      <c r="H417" s="431">
        <f t="shared" si="97"/>
        <v>3130</v>
      </c>
      <c r="I417" s="431">
        <f t="shared" si="97"/>
        <v>3130</v>
      </c>
      <c r="J417" s="431">
        <f t="shared" si="97"/>
        <v>3130</v>
      </c>
      <c r="K417" s="431">
        <f t="shared" si="97"/>
        <v>3130</v>
      </c>
      <c r="L417" s="431">
        <f t="shared" si="97"/>
        <v>3130</v>
      </c>
      <c r="M417" s="431">
        <f t="shared" si="97"/>
        <v>3130</v>
      </c>
      <c r="N417" s="431">
        <f t="shared" si="97"/>
        <v>3130</v>
      </c>
      <c r="O417" s="318" t="s">
        <v>3535</v>
      </c>
    </row>
    <row r="418" spans="1:32" customFormat="1" hidden="1" outlineLevel="1" x14ac:dyDescent="0.2">
      <c r="B418" s="13"/>
      <c r="C418" s="5"/>
      <c r="D418" s="1077" t="s">
        <v>4259</v>
      </c>
      <c r="E418" s="431">
        <f t="shared" ref="E418:N418" si="98">eSystemsFTECalcResultMostLikelyTotal</f>
        <v>2745.5</v>
      </c>
      <c r="F418" s="431">
        <f t="shared" si="98"/>
        <v>2745.2299999999996</v>
      </c>
      <c r="G418" s="431">
        <f t="shared" si="98"/>
        <v>2744.9600000000005</v>
      </c>
      <c r="H418" s="431">
        <f t="shared" si="98"/>
        <v>2744.6899999999991</v>
      </c>
      <c r="I418" s="431">
        <f t="shared" si="98"/>
        <v>2744.42</v>
      </c>
      <c r="J418" s="431">
        <f t="shared" si="98"/>
        <v>2744.1499999999996</v>
      </c>
      <c r="K418" s="431">
        <f t="shared" si="98"/>
        <v>2743.88</v>
      </c>
      <c r="L418" s="431">
        <f t="shared" si="98"/>
        <v>2743.61</v>
      </c>
      <c r="M418" s="431">
        <f t="shared" si="98"/>
        <v>2743.3399999999997</v>
      </c>
      <c r="N418" s="431">
        <f t="shared" si="98"/>
        <v>2743.0699999999997</v>
      </c>
      <c r="O418" s="318" t="s">
        <v>3536</v>
      </c>
    </row>
    <row r="419" spans="1:32" customFormat="1" hidden="1" outlineLevel="1" x14ac:dyDescent="0.2">
      <c r="B419" s="13"/>
      <c r="C419" s="5"/>
      <c r="D419" s="1077" t="s">
        <v>4258</v>
      </c>
      <c r="E419" s="431">
        <f t="shared" ref="E419:N419" si="99">eSystemsFTECalcResultBestCaseTotal</f>
        <v>2550</v>
      </c>
      <c r="F419" s="431">
        <f t="shared" si="99"/>
        <v>2549.7299999999996</v>
      </c>
      <c r="G419" s="431">
        <f t="shared" si="99"/>
        <v>2549.4600000000005</v>
      </c>
      <c r="H419" s="431">
        <f t="shared" si="99"/>
        <v>2549.1899999999991</v>
      </c>
      <c r="I419" s="431">
        <f t="shared" si="99"/>
        <v>2548.92</v>
      </c>
      <c r="J419" s="431">
        <f t="shared" si="99"/>
        <v>2548.6499999999996</v>
      </c>
      <c r="K419" s="431">
        <f t="shared" si="99"/>
        <v>2548.38</v>
      </c>
      <c r="L419" s="431">
        <f t="shared" si="99"/>
        <v>2548.11</v>
      </c>
      <c r="M419" s="431">
        <f t="shared" si="99"/>
        <v>2547.8399999999997</v>
      </c>
      <c r="N419" s="431">
        <f t="shared" si="99"/>
        <v>2547.5699999999997</v>
      </c>
      <c r="O419" s="318" t="s">
        <v>3537</v>
      </c>
    </row>
    <row r="420" spans="1:32" customFormat="1" ht="13.5" hidden="1" outlineLevel="1" thickBot="1" x14ac:dyDescent="0.25">
      <c r="B420" s="13"/>
      <c r="C420" s="5"/>
      <c r="D420" s="373"/>
      <c r="E420" s="429"/>
      <c r="F420" s="429"/>
      <c r="G420" s="429"/>
      <c r="H420" s="429"/>
      <c r="I420" s="429"/>
      <c r="J420" s="429"/>
      <c r="K420" s="429"/>
      <c r="L420" s="429"/>
      <c r="M420" s="429"/>
      <c r="N420" s="429"/>
      <c r="O420" s="646"/>
    </row>
    <row r="421" spans="1:32" hidden="1" outlineLevel="1" x14ac:dyDescent="0.2">
      <c r="C421" s="6"/>
    </row>
    <row r="422" spans="1:32" s="122" customFormat="1" ht="15.75" collapsed="1" x14ac:dyDescent="0.2">
      <c r="A422" s="1043" t="s">
        <v>4214</v>
      </c>
      <c r="B422" s="1039"/>
      <c r="C422" s="1039"/>
      <c r="D422" s="1039"/>
      <c r="E422" s="1039"/>
      <c r="F422" s="1039"/>
      <c r="G422" s="1039"/>
      <c r="H422" s="1039"/>
      <c r="I422" s="1039"/>
      <c r="J422" s="1039"/>
      <c r="K422" s="1039"/>
      <c r="L422" s="1039"/>
      <c r="M422" s="1039"/>
      <c r="N422" s="1039"/>
      <c r="O422" s="1039"/>
      <c r="P422" s="206"/>
      <c r="Q422" s="206"/>
      <c r="R422" s="206"/>
      <c r="S422" s="206"/>
      <c r="T422" s="206"/>
      <c r="U422" s="206"/>
      <c r="V422" s="206"/>
      <c r="W422" s="206"/>
      <c r="X422" s="206"/>
      <c r="Y422" s="206"/>
      <c r="Z422" s="206"/>
      <c r="AA422" s="206"/>
      <c r="AB422" s="206"/>
      <c r="AC422" s="206"/>
      <c r="AD422" s="206"/>
      <c r="AE422" s="206"/>
      <c r="AF422" s="206"/>
    </row>
  </sheetData>
  <sheetProtection selectLockedCells="1" sort="0" autoFilter="0" pivotTables="0"/>
  <mergeCells count="15">
    <mergeCell ref="A2:A4"/>
    <mergeCell ref="B2:L2"/>
    <mergeCell ref="M2:O2"/>
    <mergeCell ref="B3:L4"/>
    <mergeCell ref="M3:O4"/>
    <mergeCell ref="A403:A405"/>
    <mergeCell ref="A9:A12"/>
    <mergeCell ref="A16:A18"/>
    <mergeCell ref="A22:A24"/>
    <mergeCell ref="A27:A54"/>
    <mergeCell ref="A60:A62"/>
    <mergeCell ref="A65:A217"/>
    <mergeCell ref="A221:A223"/>
    <mergeCell ref="A226:A378"/>
    <mergeCell ref="A382:A384"/>
  </mergeCells>
  <pageMargins left="0.75" right="0.75" top="1" bottom="1" header="0.5" footer="0.5"/>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text="eSystems " id="{55151CDF-DF2D-4C6E-9A34-DA57F515FB09}">
            <xm:f>NOT(ISERROR(SEARCH("eSystems ",Inputs_RecordsGeneration!D34)))</xm:f>
            <x14:dxf>
              <font>
                <b/>
                <i val="0"/>
                <color rgb="FFC00000"/>
              </font>
            </x14:dxf>
          </x14:cfRule>
          <x14:cfRule type="containsText" priority="7" operator="containsText" text="hSystems " id="{A897A756-9400-4823-816F-EE6BB96AB617}">
            <xm:f>NOT(ISERROR(SEARCH("hSystems ",Inputs_RecordsGeneration!D34)))</xm:f>
            <x14:dxf>
              <font>
                <b/>
                <i val="0"/>
                <color rgb="FF0070C0"/>
              </font>
            </x14:dxf>
          </x14:cfRule>
          <x14:cfRule type="containsText" priority="8" operator="containsText" text="pSystems " id="{A94CF6D0-C701-4858-A79B-49D9AF8AB614}">
            <xm:f>NOT(ISERROR(SEARCH("pSystems ",Inputs_RecordsGeneration!D34)))</xm:f>
            <x14:dxf>
              <font>
                <b/>
                <i val="0"/>
                <color theme="1" tint="0.34998626667073579"/>
              </font>
            </x14:dxf>
          </x14:cfRule>
          <xm:sqref>D28:D40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39997558519241921"/>
  </sheetPr>
  <dimension ref="A1:AH48"/>
  <sheetViews>
    <sheetView zoomScaleNormal="100" workbookViewId="0"/>
  </sheetViews>
  <sheetFormatPr defaultColWidth="11" defaultRowHeight="12.75" x14ac:dyDescent="0.2"/>
  <cols>
    <col min="1" max="1" width="80.7109375" style="3" customWidth="1"/>
    <col min="2" max="2" width="5.7109375" style="3" customWidth="1"/>
    <col min="3" max="3" width="55.7109375" style="104" customWidth="1"/>
    <col min="4" max="4" width="55.7109375" style="3" customWidth="1"/>
    <col min="5" max="5" width="22.5703125" style="3" bestFit="1" customWidth="1"/>
    <col min="6" max="7" width="19.7109375" style="3" bestFit="1" customWidth="1"/>
    <col min="8" max="8" width="19.7109375" style="6" bestFit="1" customWidth="1"/>
    <col min="9" max="14" width="19.7109375" style="3" bestFit="1" customWidth="1"/>
    <col min="15" max="15" width="36.42578125" style="3" bestFit="1" customWidth="1"/>
    <col min="16" max="16" width="58" style="3" customWidth="1"/>
    <col min="17" max="17" width="11" style="3"/>
    <col min="18" max="18" width="66.5703125" style="3" customWidth="1"/>
    <col min="19" max="16384" width="11" style="3"/>
  </cols>
  <sheetData>
    <row r="1" spans="1:34" s="8" customFormat="1" ht="30" customHeight="1" x14ac:dyDescent="0.2">
      <c r="A1" s="1183" t="s">
        <v>66</v>
      </c>
      <c r="B1" s="1182"/>
      <c r="C1" s="1182" t="str">
        <f>"Cashflow Results - "&amp;(Scenario1)</f>
        <v>Cashflow Results - pSystems (Paper)</v>
      </c>
      <c r="D1" s="155"/>
      <c r="E1" s="155"/>
      <c r="F1" s="155"/>
      <c r="G1" s="155"/>
      <c r="H1" s="155"/>
      <c r="I1" s="155"/>
      <c r="J1" s="155"/>
      <c r="K1" s="155"/>
      <c r="L1" s="155"/>
      <c r="M1" s="155"/>
      <c r="N1" s="155"/>
      <c r="O1" s="155"/>
      <c r="P1" s="155"/>
      <c r="Q1" s="23"/>
      <c r="R1" s="23"/>
      <c r="S1" s="23"/>
      <c r="T1" s="23"/>
      <c r="U1" s="23"/>
      <c r="V1" s="23"/>
      <c r="W1" s="23"/>
      <c r="X1" s="23"/>
      <c r="Y1" s="23"/>
      <c r="Z1" s="23"/>
      <c r="AA1" s="23"/>
      <c r="AB1" s="23"/>
      <c r="AC1" s="23"/>
      <c r="AD1" s="23"/>
      <c r="AE1" s="23"/>
      <c r="AF1" s="23"/>
      <c r="AG1" s="23"/>
      <c r="AH1" s="17"/>
    </row>
    <row r="2" spans="1:34"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4"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4"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4" s="128" customFormat="1" ht="12.75" customHeight="1" x14ac:dyDescent="0.25">
      <c r="A5" s="188"/>
      <c r="B5" s="13"/>
      <c r="C5" s="147"/>
      <c r="D5" s="147"/>
      <c r="E5" s="147"/>
      <c r="F5" s="147"/>
      <c r="G5" s="147"/>
      <c r="H5" s="147"/>
      <c r="I5" s="147"/>
      <c r="J5" s="147"/>
      <c r="K5" s="147"/>
      <c r="L5" s="147"/>
      <c r="M5" s="163"/>
      <c r="N5" s="163"/>
      <c r="O5" s="163"/>
      <c r="P5" s="152"/>
    </row>
    <row r="6" spans="1:34" ht="14.1" customHeight="1" x14ac:dyDescent="0.2">
      <c r="A6" s="13"/>
      <c r="B6" s="13"/>
      <c r="D6" s="13"/>
      <c r="E6" s="49"/>
      <c r="F6" s="49"/>
      <c r="G6" s="13"/>
      <c r="H6" s="13"/>
      <c r="I6" s="13"/>
      <c r="J6" s="13"/>
      <c r="K6" s="13"/>
      <c r="L6" s="13"/>
      <c r="M6" s="13"/>
      <c r="N6" s="13"/>
      <c r="O6" s="13"/>
      <c r="P6" s="19"/>
      <c r="Q6" s="19"/>
      <c r="R6" s="19"/>
      <c r="S6" s="19"/>
      <c r="T6" s="19"/>
      <c r="U6" s="19"/>
      <c r="V6" s="19"/>
      <c r="W6" s="19"/>
      <c r="X6" s="19"/>
      <c r="Y6" s="19"/>
      <c r="Z6" s="19"/>
      <c r="AA6" s="19"/>
      <c r="AB6" s="19"/>
      <c r="AC6" s="19"/>
      <c r="AD6" s="19"/>
      <c r="AE6" s="19"/>
      <c r="AF6" s="19"/>
    </row>
    <row r="7" spans="1:34" ht="14.1" customHeight="1" x14ac:dyDescent="0.2">
      <c r="A7" s="13"/>
      <c r="B7" s="13"/>
      <c r="D7" s="1112" t="str">
        <f>CurrSymbol&amp;" in "&amp;CurrUnits&amp;"s"</f>
        <v>US$ in 1000s</v>
      </c>
      <c r="E7" s="42" t="s">
        <v>12</v>
      </c>
      <c r="F7" s="42" t="s">
        <v>11</v>
      </c>
      <c r="G7" s="75" t="s">
        <v>10</v>
      </c>
      <c r="H7" s="42" t="s">
        <v>39</v>
      </c>
      <c r="I7" s="78" t="s">
        <v>40</v>
      </c>
      <c r="J7" s="42" t="s">
        <v>41</v>
      </c>
      <c r="K7" s="42" t="s">
        <v>42</v>
      </c>
      <c r="L7" s="42" t="s">
        <v>43</v>
      </c>
      <c r="M7" s="42" t="s">
        <v>44</v>
      </c>
      <c r="N7" s="42" t="s">
        <v>45</v>
      </c>
      <c r="O7" s="1164"/>
      <c r="Q7" s="19"/>
      <c r="R7" s="19"/>
      <c r="S7" s="19"/>
      <c r="T7" s="19"/>
      <c r="U7" s="19"/>
      <c r="V7" s="19"/>
      <c r="W7" s="19"/>
      <c r="X7" s="19"/>
      <c r="Y7" s="19"/>
      <c r="Z7" s="19"/>
      <c r="AA7" s="19"/>
      <c r="AB7" s="19"/>
      <c r="AC7" s="19"/>
      <c r="AD7" s="19"/>
      <c r="AE7" s="19"/>
      <c r="AF7" s="19"/>
    </row>
    <row r="8" spans="1:34" ht="14.1" customHeight="1" x14ac:dyDescent="0.2">
      <c r="A8" s="13"/>
      <c r="B8" s="13"/>
      <c r="D8" s="13"/>
      <c r="E8" s="43">
        <f>Yr1End</f>
        <v>43830</v>
      </c>
      <c r="F8" s="43">
        <f>Yr2End</f>
        <v>44196</v>
      </c>
      <c r="G8" s="76">
        <f>Yr3End</f>
        <v>44561</v>
      </c>
      <c r="H8" s="43">
        <f>Yr4end</f>
        <v>44926</v>
      </c>
      <c r="I8" s="79">
        <f>Yr5end</f>
        <v>45291</v>
      </c>
      <c r="J8" s="43">
        <f>Yr6end</f>
        <v>45657</v>
      </c>
      <c r="K8" s="43">
        <f>Yr7end</f>
        <v>46022</v>
      </c>
      <c r="L8" s="43">
        <f>Yr8end</f>
        <v>46387</v>
      </c>
      <c r="M8" s="43">
        <f>Yr9end</f>
        <v>46752</v>
      </c>
      <c r="N8" s="43">
        <f>Yr10end</f>
        <v>47118</v>
      </c>
      <c r="O8" s="1165" t="s">
        <v>4324</v>
      </c>
      <c r="Q8" s="19"/>
      <c r="R8" s="19"/>
      <c r="S8" s="19"/>
      <c r="T8" s="19"/>
      <c r="U8" s="19"/>
      <c r="V8" s="19"/>
      <c r="W8" s="19"/>
      <c r="X8" s="19"/>
      <c r="Y8" s="19"/>
      <c r="Z8" s="19"/>
      <c r="AA8" s="19"/>
      <c r="AB8" s="19"/>
      <c r="AC8" s="19"/>
      <c r="AD8" s="19"/>
      <c r="AE8" s="19"/>
      <c r="AF8" s="19"/>
    </row>
    <row r="9" spans="1:34" ht="14.1" customHeight="1" x14ac:dyDescent="0.2">
      <c r="A9" s="13"/>
      <c r="B9" s="13"/>
      <c r="C9" s="13"/>
      <c r="D9" s="13"/>
      <c r="E9" s="44">
        <f>Yr1End</f>
        <v>43830</v>
      </c>
      <c r="F9" s="44">
        <f>Yr2End</f>
        <v>44196</v>
      </c>
      <c r="G9" s="77">
        <f>Yr3End</f>
        <v>44561</v>
      </c>
      <c r="H9" s="44">
        <f>Yr4end</f>
        <v>44926</v>
      </c>
      <c r="I9" s="80">
        <f>Yr5end</f>
        <v>45291</v>
      </c>
      <c r="J9" s="44">
        <f>Yr6end</f>
        <v>45657</v>
      </c>
      <c r="K9" s="44">
        <f>Yr7end</f>
        <v>46022</v>
      </c>
      <c r="L9" s="44">
        <f>Yr8end</f>
        <v>46387</v>
      </c>
      <c r="M9" s="44">
        <f>Yr9end</f>
        <v>46752</v>
      </c>
      <c r="N9" s="44">
        <f>Yr10end</f>
        <v>47118</v>
      </c>
      <c r="O9" s="1164"/>
      <c r="P9" s="131"/>
      <c r="Q9" s="19"/>
      <c r="R9" s="19"/>
      <c r="S9" s="19"/>
      <c r="T9" s="19"/>
      <c r="U9" s="19"/>
      <c r="V9" s="19"/>
      <c r="W9" s="19"/>
      <c r="X9" s="19"/>
      <c r="Y9" s="19"/>
      <c r="Z9" s="19"/>
      <c r="AA9" s="19"/>
      <c r="AB9" s="19"/>
      <c r="AC9" s="19"/>
      <c r="AD9" s="19"/>
      <c r="AE9" s="19"/>
      <c r="AF9" s="19"/>
    </row>
    <row r="10" spans="1:34" ht="14.1" customHeight="1" x14ac:dyDescent="0.2">
      <c r="A10" s="13"/>
      <c r="B10" s="13"/>
      <c r="D10" s="49"/>
      <c r="E10" s="10"/>
      <c r="F10" s="10"/>
      <c r="G10" s="10"/>
      <c r="H10" s="10"/>
      <c r="I10" s="10"/>
      <c r="J10" s="10"/>
      <c r="K10" s="10"/>
      <c r="L10" s="10"/>
      <c r="M10" s="10"/>
      <c r="N10" s="10"/>
      <c r="O10" s="10"/>
      <c r="Q10" s="9"/>
      <c r="R10" s="9"/>
      <c r="S10" s="9"/>
      <c r="T10" s="19"/>
      <c r="U10" s="19"/>
      <c r="V10" s="19"/>
      <c r="W10" s="19"/>
      <c r="X10" s="19"/>
      <c r="Y10" s="19"/>
      <c r="Z10" s="19"/>
      <c r="AA10" s="19"/>
      <c r="AB10" s="19"/>
      <c r="AC10" s="19"/>
      <c r="AD10" s="19"/>
      <c r="AE10" s="19"/>
      <c r="AF10" s="19"/>
    </row>
    <row r="11" spans="1:34" s="122" customFormat="1" ht="15.75" x14ac:dyDescent="0.2">
      <c r="A11" s="1043">
        <v>1</v>
      </c>
      <c r="B11" s="1039"/>
      <c r="C11" s="1039"/>
      <c r="D11" s="1039"/>
      <c r="E11" s="1039"/>
      <c r="F11" s="1039"/>
      <c r="G11" s="1039"/>
      <c r="H11" s="1039"/>
      <c r="I11" s="1039"/>
      <c r="J11" s="1039"/>
      <c r="K11" s="1039"/>
      <c r="L11" s="1039"/>
      <c r="M11" s="1039"/>
      <c r="N11" s="1039"/>
      <c r="O11" s="1039"/>
      <c r="P11" s="206"/>
      <c r="Q11" s="206"/>
      <c r="R11" s="206"/>
      <c r="S11" s="206"/>
      <c r="T11" s="206"/>
      <c r="U11" s="206"/>
      <c r="V11" s="206"/>
      <c r="W11" s="206"/>
      <c r="X11" s="206"/>
      <c r="Y11" s="206"/>
      <c r="Z11" s="206"/>
      <c r="AA11" s="206"/>
      <c r="AB11" s="206"/>
      <c r="AC11" s="206"/>
      <c r="AD11" s="206"/>
      <c r="AE11" s="206"/>
      <c r="AF11" s="206"/>
    </row>
    <row r="12" spans="1:34" ht="14.1" customHeight="1" x14ac:dyDescent="0.2">
      <c r="A12" s="13"/>
      <c r="B12" s="13"/>
      <c r="D12" s="49"/>
      <c r="E12" s="10"/>
      <c r="F12" s="10"/>
      <c r="G12" s="10"/>
      <c r="H12" s="10"/>
      <c r="I12" s="10"/>
      <c r="J12" s="10"/>
      <c r="K12" s="10"/>
      <c r="L12" s="10"/>
      <c r="M12" s="10"/>
      <c r="N12" s="10"/>
      <c r="O12" s="10"/>
      <c r="Q12" s="9"/>
      <c r="R12" s="9"/>
      <c r="S12" s="9"/>
      <c r="T12" s="19"/>
      <c r="U12" s="19"/>
      <c r="V12" s="19"/>
      <c r="W12" s="19"/>
      <c r="X12" s="19"/>
      <c r="Y12" s="19"/>
      <c r="Z12" s="19"/>
      <c r="AA12" s="19"/>
      <c r="AB12" s="19"/>
      <c r="AC12" s="19"/>
      <c r="AD12" s="19"/>
      <c r="AE12" s="19"/>
      <c r="AF12" s="19"/>
    </row>
    <row r="13" spans="1:34" ht="14.1" customHeight="1" x14ac:dyDescent="0.2">
      <c r="A13" s="1400" t="s">
        <v>4316</v>
      </c>
      <c r="B13" s="13"/>
      <c r="D13" s="1124"/>
      <c r="E13" s="1125"/>
      <c r="F13" s="1125"/>
      <c r="G13" s="1125"/>
      <c r="H13" s="1125"/>
      <c r="I13" s="1125"/>
      <c r="J13" s="1125"/>
      <c r="K13" s="1125"/>
      <c r="L13" s="1125"/>
      <c r="M13" s="1125"/>
      <c r="N13" s="1125"/>
      <c r="O13" s="10"/>
      <c r="Q13" s="9"/>
      <c r="R13" s="9"/>
      <c r="S13" s="9"/>
      <c r="T13" s="19"/>
      <c r="U13" s="19"/>
      <c r="V13" s="19"/>
      <c r="W13" s="19"/>
      <c r="X13" s="19"/>
      <c r="Y13" s="19"/>
      <c r="Z13" s="19"/>
      <c r="AA13" s="19"/>
      <c r="AB13" s="19"/>
      <c r="AC13" s="19"/>
      <c r="AD13" s="19"/>
      <c r="AE13" s="19"/>
      <c r="AF13" s="19"/>
    </row>
    <row r="14" spans="1:34" s="111" customFormat="1" ht="15" customHeight="1" x14ac:dyDescent="0.2">
      <c r="A14" s="1398"/>
      <c r="B14" s="107"/>
      <c r="C14" s="652"/>
      <c r="D14" s="1121" t="str">
        <f>pSystemsFTECostAnnualBurdenedTotal_CFS</f>
        <v>pSystems Cost of Labor - Base Case</v>
      </c>
      <c r="E14" s="1117">
        <f t="shared" ref="E14:N14" si="0">pSystemsFTECostAnnualBurdenedTotal_CFS</f>
        <v>-379378750</v>
      </c>
      <c r="F14" s="1117">
        <f t="shared" si="0"/>
        <v>-386966325</v>
      </c>
      <c r="G14" s="1117">
        <f t="shared" si="0"/>
        <v>-394705651.5</v>
      </c>
      <c r="H14" s="1117">
        <f t="shared" si="0"/>
        <v>-402599764.52999991</v>
      </c>
      <c r="I14" s="1117">
        <f t="shared" si="0"/>
        <v>-410651759.82060003</v>
      </c>
      <c r="J14" s="1117">
        <f t="shared" si="0"/>
        <v>-418864795.017012</v>
      </c>
      <c r="K14" s="1117">
        <f t="shared" si="0"/>
        <v>-427242090.9173522</v>
      </c>
      <c r="L14" s="1117">
        <f t="shared" si="0"/>
        <v>-435786932.73569924</v>
      </c>
      <c r="M14" s="1117">
        <f t="shared" si="0"/>
        <v>-444502671.39041322</v>
      </c>
      <c r="N14" s="1117">
        <f t="shared" si="0"/>
        <v>-453392724.81822163</v>
      </c>
      <c r="O14" s="10"/>
      <c r="P14" s="654"/>
      <c r="Q14" s="110"/>
      <c r="R14" s="110"/>
      <c r="S14" s="110"/>
      <c r="T14" s="107"/>
      <c r="U14" s="107"/>
      <c r="V14" s="107"/>
      <c r="W14" s="107"/>
      <c r="X14" s="107"/>
      <c r="Y14" s="107"/>
      <c r="Z14" s="107"/>
      <c r="AA14" s="107"/>
      <c r="AB14" s="107"/>
      <c r="AC14" s="107"/>
      <c r="AD14" s="107"/>
      <c r="AE14" s="107"/>
      <c r="AF14" s="107"/>
    </row>
    <row r="15" spans="1:34" s="111" customFormat="1" ht="15" customHeight="1" x14ac:dyDescent="0.2">
      <c r="A15" s="1398"/>
      <c r="B15" s="107"/>
      <c r="C15" s="652"/>
      <c r="D15" s="1126"/>
      <c r="E15" s="1127"/>
      <c r="F15" s="1127"/>
      <c r="G15" s="1127"/>
      <c r="H15" s="1127"/>
      <c r="I15" s="1127"/>
      <c r="J15" s="1127"/>
      <c r="K15" s="1127"/>
      <c r="L15" s="1127"/>
      <c r="M15" s="1127"/>
      <c r="N15" s="1127"/>
      <c r="O15" s="10"/>
      <c r="P15" s="653"/>
      <c r="Q15" s="110"/>
      <c r="R15" s="110"/>
      <c r="S15" s="110"/>
      <c r="T15" s="82"/>
      <c r="U15" s="107"/>
      <c r="V15" s="107"/>
      <c r="W15" s="107"/>
      <c r="X15" s="107"/>
      <c r="Y15" s="107"/>
      <c r="Z15" s="107"/>
      <c r="AA15" s="107"/>
      <c r="AB15" s="107"/>
      <c r="AC15" s="107"/>
      <c r="AD15" s="107"/>
      <c r="AE15" s="107"/>
      <c r="AF15" s="107"/>
    </row>
    <row r="16" spans="1:34" s="111" customFormat="1" ht="15" customHeight="1" x14ac:dyDescent="0.2">
      <c r="A16" s="1398"/>
      <c r="B16" s="107"/>
      <c r="C16" s="652"/>
      <c r="D16" s="1123" t="s">
        <v>4072</v>
      </c>
      <c r="E16" s="1117">
        <f t="shared" ref="E16:N16" si="1">SUM(E14-E25)</f>
        <v>-371016881.4836871</v>
      </c>
      <c r="F16" s="1117">
        <f t="shared" si="1"/>
        <v>-377953959.11873651</v>
      </c>
      <c r="G16" s="1117">
        <f t="shared" si="1"/>
        <v>-385090795.34686249</v>
      </c>
      <c r="H16" s="1117">
        <f t="shared" si="1"/>
        <v>-394142510.43476844</v>
      </c>
      <c r="I16" s="1117">
        <f t="shared" si="1"/>
        <v>-401577315.18769068</v>
      </c>
      <c r="J16" s="1117">
        <f t="shared" si="1"/>
        <v>-409074634.68304402</v>
      </c>
      <c r="K16" s="1117">
        <f t="shared" si="1"/>
        <v>-416789381.18364513</v>
      </c>
      <c r="L16" s="1117">
        <f t="shared" si="1"/>
        <v>-426593685.65116924</v>
      </c>
      <c r="M16" s="1117">
        <f t="shared" si="1"/>
        <v>-434639380.74666989</v>
      </c>
      <c r="N16" s="1117">
        <f t="shared" si="1"/>
        <v>-442752726.8304109</v>
      </c>
      <c r="O16" s="10"/>
      <c r="P16" s="653"/>
      <c r="Q16" s="110"/>
      <c r="R16" s="110"/>
      <c r="S16" s="110"/>
      <c r="T16" s="82"/>
      <c r="U16" s="107"/>
      <c r="V16" s="107"/>
      <c r="W16" s="107"/>
      <c r="X16" s="107"/>
      <c r="Y16" s="107"/>
      <c r="Z16" s="107"/>
      <c r="AA16" s="107"/>
      <c r="AB16" s="107"/>
      <c r="AC16" s="107"/>
      <c r="AD16" s="107"/>
      <c r="AE16" s="107"/>
      <c r="AF16" s="107"/>
    </row>
    <row r="17" spans="1:32" s="111" customFormat="1" ht="25.5" customHeight="1" x14ac:dyDescent="0.2">
      <c r="A17" s="1399"/>
      <c r="B17" s="107"/>
      <c r="C17" s="652"/>
      <c r="D17" s="1128"/>
      <c r="E17" s="1127"/>
      <c r="F17" s="1127"/>
      <c r="G17" s="1127"/>
      <c r="H17" s="1127"/>
      <c r="I17" s="1127"/>
      <c r="J17" s="1127"/>
      <c r="K17" s="1127"/>
      <c r="L17" s="1127"/>
      <c r="M17" s="1127"/>
      <c r="N17" s="1127"/>
      <c r="O17" s="10"/>
      <c r="P17" s="653"/>
      <c r="Q17" s="110"/>
      <c r="R17" s="110"/>
      <c r="S17" s="110"/>
      <c r="T17" s="82"/>
      <c r="U17" s="107"/>
      <c r="V17" s="107"/>
      <c r="W17" s="107"/>
      <c r="X17" s="107"/>
      <c r="Y17" s="107"/>
      <c r="Z17" s="107"/>
      <c r="AA17" s="107"/>
      <c r="AB17" s="107"/>
      <c r="AC17" s="107"/>
      <c r="AD17" s="107"/>
      <c r="AE17" s="107"/>
      <c r="AF17" s="107"/>
    </row>
    <row r="18" spans="1:32" s="111" customFormat="1" ht="15" customHeight="1" x14ac:dyDescent="0.2">
      <c r="A18" s="107"/>
      <c r="B18" s="107"/>
      <c r="C18" s="652"/>
      <c r="D18" s="657"/>
      <c r="E18" s="652"/>
      <c r="F18" s="652"/>
      <c r="G18" s="652"/>
      <c r="H18" s="652"/>
      <c r="I18" s="652"/>
      <c r="J18" s="652"/>
      <c r="K18" s="652"/>
      <c r="L18" s="652"/>
      <c r="M18" s="652"/>
      <c r="N18" s="652"/>
      <c r="O18" s="655"/>
      <c r="P18" s="653"/>
      <c r="Q18" s="110"/>
      <c r="R18" s="110"/>
      <c r="S18" s="110"/>
      <c r="T18" s="82"/>
      <c r="U18" s="107"/>
      <c r="V18" s="107"/>
      <c r="W18" s="107"/>
      <c r="X18" s="107"/>
      <c r="Y18" s="107"/>
      <c r="Z18" s="107"/>
      <c r="AA18" s="107"/>
      <c r="AB18" s="107"/>
      <c r="AC18" s="107"/>
      <c r="AD18" s="107"/>
      <c r="AE18" s="107"/>
      <c r="AF18" s="107"/>
    </row>
    <row r="19" spans="1:32" s="122" customFormat="1" ht="15.75" x14ac:dyDescent="0.2">
      <c r="A19" s="1043">
        <v>2</v>
      </c>
      <c r="B19" s="1039"/>
      <c r="C19" s="1039"/>
      <c r="D19" s="1039"/>
      <c r="E19" s="1039"/>
      <c r="F19" s="1039"/>
      <c r="G19" s="1039"/>
      <c r="H19" s="1039"/>
      <c r="I19" s="1039"/>
      <c r="J19" s="1039"/>
      <c r="K19" s="1039"/>
      <c r="L19" s="1039"/>
      <c r="M19" s="1039"/>
      <c r="N19" s="1039"/>
      <c r="O19" s="1039"/>
      <c r="P19" s="206"/>
      <c r="Q19" s="206"/>
      <c r="R19" s="206"/>
      <c r="S19" s="206"/>
      <c r="T19" s="206"/>
      <c r="U19" s="206"/>
      <c r="V19" s="206"/>
      <c r="W19" s="206"/>
      <c r="X19" s="206"/>
      <c r="Y19" s="206"/>
      <c r="Z19" s="206"/>
      <c r="AA19" s="206"/>
      <c r="AB19" s="206"/>
      <c r="AC19" s="206"/>
      <c r="AD19" s="206"/>
      <c r="AE19" s="206"/>
      <c r="AF19" s="206"/>
    </row>
    <row r="20" spans="1:32" s="111" customFormat="1" ht="15" customHeight="1" x14ac:dyDescent="0.2">
      <c r="A20" s="107"/>
      <c r="B20" s="107"/>
      <c r="C20" s="652"/>
      <c r="D20" s="657"/>
      <c r="E20" s="652"/>
      <c r="F20" s="652"/>
      <c r="G20" s="652"/>
      <c r="H20" s="652"/>
      <c r="I20" s="652"/>
      <c r="J20" s="652"/>
      <c r="K20" s="652"/>
      <c r="L20" s="652"/>
      <c r="M20" s="652"/>
      <c r="N20" s="652"/>
      <c r="O20" s="655"/>
      <c r="P20" s="653"/>
      <c r="Q20" s="110"/>
      <c r="R20" s="110"/>
      <c r="S20" s="110"/>
      <c r="T20" s="82"/>
      <c r="U20" s="107"/>
      <c r="V20" s="107"/>
      <c r="W20" s="107"/>
      <c r="X20" s="107"/>
      <c r="Y20" s="107"/>
      <c r="Z20" s="107"/>
      <c r="AA20" s="107"/>
      <c r="AB20" s="107"/>
      <c r="AC20" s="107"/>
      <c r="AD20" s="107"/>
      <c r="AE20" s="107"/>
      <c r="AF20" s="107"/>
    </row>
    <row r="21" spans="1:32" ht="20.100000000000001" customHeight="1" x14ac:dyDescent="0.25">
      <c r="A21" s="1409" t="s">
        <v>4317</v>
      </c>
      <c r="B21" s="13"/>
      <c r="C21" s="652"/>
      <c r="D21" s="1130" t="s">
        <v>4062</v>
      </c>
      <c r="E21" s="1125"/>
      <c r="F21" s="1125"/>
      <c r="G21" s="1125"/>
      <c r="H21" s="1125"/>
      <c r="I21" s="1125"/>
      <c r="J21" s="1125"/>
      <c r="K21" s="1125"/>
      <c r="L21" s="1125"/>
      <c r="M21" s="1125"/>
      <c r="N21" s="1125"/>
      <c r="O21" s="655"/>
      <c r="P21" s="9"/>
      <c r="Q21" s="9"/>
      <c r="R21" s="9"/>
      <c r="S21" s="9"/>
      <c r="T21" s="19"/>
      <c r="U21" s="19"/>
      <c r="V21" s="19"/>
      <c r="W21" s="19"/>
      <c r="X21" s="19"/>
      <c r="Y21" s="19"/>
      <c r="Z21" s="19"/>
      <c r="AA21" s="19"/>
      <c r="AB21" s="19"/>
      <c r="AC21" s="19"/>
      <c r="AD21" s="19"/>
      <c r="AE21" s="19"/>
      <c r="AF21" s="19"/>
    </row>
    <row r="22" spans="1:32" s="98" customFormat="1" ht="15" customHeight="1" x14ac:dyDescent="0.2">
      <c r="A22" s="1410"/>
      <c r="B22" s="50"/>
      <c r="C22" s="127"/>
      <c r="D22" s="1113" t="str">
        <f t="shared" ref="D22:N22" si="2">pSystemsReworkTotalCostpa_CFS</f>
        <v>pSystems Induced Labor Cost - Records Rework</v>
      </c>
      <c r="E22" s="1114">
        <f t="shared" si="2"/>
        <v>-3947004.9964964325</v>
      </c>
      <c r="F22" s="1114">
        <f t="shared" si="2"/>
        <v>-4019918.0491517452</v>
      </c>
      <c r="G22" s="1114">
        <f t="shared" si="2"/>
        <v>-4095740.7302441215</v>
      </c>
      <c r="H22" s="1114">
        <f t="shared" si="2"/>
        <v>-4188897.8828103449</v>
      </c>
      <c r="I22" s="1114">
        <f t="shared" si="2"/>
        <v>-4276121.9884237777</v>
      </c>
      <c r="J22" s="1114">
        <f t="shared" si="2"/>
        <v>-4365205.787480955</v>
      </c>
      <c r="K22" s="1114">
        <f t="shared" si="2"/>
        <v>-4456180.8511936162</v>
      </c>
      <c r="L22" s="1114">
        <f t="shared" si="2"/>
        <v>-4549081.0587901911</v>
      </c>
      <c r="M22" s="1114">
        <f t="shared" si="2"/>
        <v>-4643942.1924529895</v>
      </c>
      <c r="N22" s="1114">
        <f t="shared" si="2"/>
        <v>-4740801.6656955369</v>
      </c>
      <c r="O22" s="655"/>
      <c r="P22" s="106"/>
      <c r="Q22" s="106"/>
      <c r="R22" s="50"/>
      <c r="S22" s="106"/>
      <c r="T22" s="50"/>
      <c r="U22" s="50"/>
      <c r="V22" s="50"/>
      <c r="W22" s="50"/>
      <c r="X22" s="50"/>
      <c r="Y22" s="50"/>
      <c r="Z22" s="50"/>
      <c r="AA22" s="50"/>
      <c r="AB22" s="50"/>
      <c r="AC22" s="50"/>
      <c r="AD22" s="50"/>
      <c r="AE22" s="50"/>
      <c r="AF22" s="50"/>
    </row>
    <row r="23" spans="1:32" s="98" customFormat="1" ht="15" customHeight="1" x14ac:dyDescent="0.2">
      <c r="A23" s="1410"/>
      <c r="B23" s="50"/>
      <c r="C23" s="127"/>
      <c r="D23" s="1113" t="str">
        <f t="shared" ref="D23:N23" si="3">pSystemsLease_Cost_Total_CFS</f>
        <v>pSystems Induced Cost - Lessee Related</v>
      </c>
      <c r="E23" s="1114">
        <f t="shared" si="3"/>
        <v>-3743649.805862939</v>
      </c>
      <c r="F23" s="1114">
        <f t="shared" si="3"/>
        <v>-4303675.2920792084</v>
      </c>
      <c r="G23" s="1114">
        <f t="shared" si="3"/>
        <v>-4812013.6494059395</v>
      </c>
      <c r="H23" s="1114">
        <f t="shared" si="3"/>
        <v>-3542080.9746653466</v>
      </c>
      <c r="I23" s="1114">
        <f t="shared" si="3"/>
        <v>-4052246.9456438012</v>
      </c>
      <c r="J23" s="1114">
        <f t="shared" si="3"/>
        <v>-4658436.5423439285</v>
      </c>
      <c r="K23" s="1114">
        <f t="shared" si="3"/>
        <v>-5208678.328475954</v>
      </c>
      <c r="L23" s="1114">
        <f t="shared" si="3"/>
        <v>-3834062.3603019156</v>
      </c>
      <c r="M23" s="1114">
        <f t="shared" si="3"/>
        <v>-4386282.4142266233</v>
      </c>
      <c r="N23" s="1114">
        <f t="shared" si="3"/>
        <v>-5042441.5287522702</v>
      </c>
      <c r="O23" s="655"/>
      <c r="P23" s="106"/>
      <c r="Q23" s="106"/>
      <c r="R23" s="50"/>
      <c r="S23" s="106"/>
      <c r="T23" s="50"/>
      <c r="U23" s="50"/>
      <c r="V23" s="50"/>
      <c r="W23" s="50"/>
      <c r="X23" s="50"/>
      <c r="Y23" s="50"/>
      <c r="Z23" s="50"/>
      <c r="AA23" s="50"/>
      <c r="AB23" s="50"/>
      <c r="AC23" s="50"/>
      <c r="AD23" s="50"/>
      <c r="AE23" s="50"/>
      <c r="AF23" s="50"/>
    </row>
    <row r="24" spans="1:32" s="98" customFormat="1" ht="15" customHeight="1" x14ac:dyDescent="0.2">
      <c r="A24" s="1410"/>
      <c r="B24" s="50"/>
      <c r="C24" s="127"/>
      <c r="D24" s="1115" t="str">
        <f t="shared" ref="D24:N24" si="4">pSystemsCostsWarrantyTotal_CFS</f>
        <v>pSystems Labor Cost - Warranty Related</v>
      </c>
      <c r="E24" s="1114">
        <f t="shared" si="4"/>
        <v>-607827.60629004077</v>
      </c>
      <c r="F24" s="1114">
        <f t="shared" si="4"/>
        <v>-607827.60629004077</v>
      </c>
      <c r="G24" s="1114">
        <f t="shared" si="4"/>
        <v>-607827.60629004077</v>
      </c>
      <c r="H24" s="1114">
        <f t="shared" si="4"/>
        <v>-607827.60629004077</v>
      </c>
      <c r="I24" s="1114">
        <f t="shared" si="4"/>
        <v>-607827.60629004077</v>
      </c>
      <c r="J24" s="1114">
        <f t="shared" si="4"/>
        <v>-607827.60629004077</v>
      </c>
      <c r="K24" s="1114">
        <f t="shared" si="4"/>
        <v>-607827.60629004077</v>
      </c>
      <c r="L24" s="1114">
        <f t="shared" si="4"/>
        <v>-607827.60629004077</v>
      </c>
      <c r="M24" s="1114">
        <f t="shared" si="4"/>
        <v>-607827.60629004077</v>
      </c>
      <c r="N24" s="1114">
        <f t="shared" si="4"/>
        <v>-607827.60629004077</v>
      </c>
      <c r="O24" s="655"/>
      <c r="P24" s="656"/>
      <c r="Q24" s="106"/>
      <c r="R24" s="106"/>
      <c r="S24" s="106"/>
      <c r="T24" s="50"/>
      <c r="U24" s="50"/>
      <c r="V24" s="50"/>
      <c r="W24" s="50"/>
      <c r="X24" s="50"/>
      <c r="Y24" s="50"/>
      <c r="Z24" s="50"/>
      <c r="AA24" s="50"/>
      <c r="AB24" s="50"/>
      <c r="AC24" s="50"/>
      <c r="AD24" s="50"/>
      <c r="AE24" s="50"/>
      <c r="AF24" s="50"/>
    </row>
    <row r="25" spans="1:32" s="98" customFormat="1" ht="15" customHeight="1" x14ac:dyDescent="0.2">
      <c r="A25" s="1410"/>
      <c r="B25" s="50"/>
      <c r="C25" s="127"/>
      <c r="D25" s="1116" t="s">
        <v>4069</v>
      </c>
      <c r="E25" s="1117">
        <f t="shared" ref="E25:N25" si="5">SUM(E24+E23+E22+E34)</f>
        <v>-8361868.5163128739</v>
      </c>
      <c r="F25" s="1117">
        <f t="shared" si="5"/>
        <v>-9012365.8812635187</v>
      </c>
      <c r="G25" s="1117">
        <f t="shared" si="5"/>
        <v>-9614856.1531375125</v>
      </c>
      <c r="H25" s="1117">
        <f t="shared" si="5"/>
        <v>-8457254.0952314958</v>
      </c>
      <c r="I25" s="1117">
        <f t="shared" si="5"/>
        <v>-9074444.6329093315</v>
      </c>
      <c r="J25" s="1117">
        <f t="shared" si="5"/>
        <v>-9790160.3339679912</v>
      </c>
      <c r="K25" s="1117">
        <f t="shared" si="5"/>
        <v>-10452709.73370707</v>
      </c>
      <c r="L25" s="1117">
        <f t="shared" si="5"/>
        <v>-9193247.0845299773</v>
      </c>
      <c r="M25" s="1117">
        <f t="shared" si="5"/>
        <v>-9863290.6437433306</v>
      </c>
      <c r="N25" s="1117">
        <f t="shared" si="5"/>
        <v>-10639997.987810712</v>
      </c>
      <c r="O25" s="1166" t="s">
        <v>4325</v>
      </c>
      <c r="P25" s="656"/>
      <c r="Q25" s="106"/>
      <c r="R25" s="106"/>
      <c r="S25" s="106"/>
      <c r="T25" s="50"/>
      <c r="U25" s="50"/>
      <c r="V25" s="50"/>
      <c r="W25" s="50"/>
      <c r="X25" s="50"/>
      <c r="Y25" s="50"/>
      <c r="Z25" s="50"/>
      <c r="AA25" s="50"/>
      <c r="AB25" s="50"/>
      <c r="AC25" s="50"/>
      <c r="AD25" s="50"/>
      <c r="AE25" s="50"/>
      <c r="AF25" s="50"/>
    </row>
    <row r="26" spans="1:32" s="111" customFormat="1" ht="20.100000000000001" customHeight="1" x14ac:dyDescent="0.2">
      <c r="A26" s="1410"/>
      <c r="B26" s="107"/>
      <c r="C26" s="652"/>
      <c r="D26" s="1131" t="s">
        <v>4073</v>
      </c>
      <c r="E26" s="1127"/>
      <c r="F26" s="1127"/>
      <c r="G26" s="1127"/>
      <c r="H26" s="1127"/>
      <c r="I26" s="1127"/>
      <c r="J26" s="1127"/>
      <c r="K26" s="1127"/>
      <c r="L26" s="1127"/>
      <c r="M26" s="1127"/>
      <c r="N26" s="1127"/>
      <c r="O26" s="655"/>
      <c r="P26" s="653"/>
      <c r="Q26" s="110"/>
      <c r="R26" s="110"/>
      <c r="S26" s="110"/>
      <c r="T26" s="82"/>
      <c r="U26" s="107"/>
      <c r="V26" s="107"/>
      <c r="W26" s="107"/>
      <c r="X26" s="107"/>
      <c r="Y26" s="107"/>
      <c r="Z26" s="107"/>
      <c r="AA26" s="107"/>
      <c r="AB26" s="107"/>
      <c r="AC26" s="107"/>
      <c r="AD26" s="107"/>
      <c r="AE26" s="107"/>
      <c r="AF26" s="107"/>
    </row>
    <row r="27" spans="1:32" s="7" customFormat="1" ht="15" customHeight="1" x14ac:dyDescent="0.2">
      <c r="A27" s="1410"/>
      <c r="B27" s="50"/>
      <c r="C27" s="127"/>
      <c r="D27" s="1118" t="str">
        <f t="shared" ref="D27:N27" si="6">pSystems_CFS_PaperProcess</f>
        <v>Outsourced Paper Records Processing Cost</v>
      </c>
      <c r="E27" s="1114">
        <f t="shared" si="6"/>
        <v>-2360221.71</v>
      </c>
      <c r="F27" s="1114">
        <f t="shared" si="6"/>
        <v>-2404742.5198285715</v>
      </c>
      <c r="G27" s="1114">
        <f t="shared" si="6"/>
        <v>-2450810.1154020005</v>
      </c>
      <c r="H27" s="1114">
        <f t="shared" si="6"/>
        <v>-2504944.9649173133</v>
      </c>
      <c r="I27" s="1114">
        <f t="shared" si="6"/>
        <v>-2556641.7257099967</v>
      </c>
      <c r="J27" s="1114">
        <f t="shared" si="6"/>
        <v>-2609425.2877313965</v>
      </c>
      <c r="K27" s="1114">
        <f t="shared" si="6"/>
        <v>-2663314.8636972602</v>
      </c>
      <c r="L27" s="1114">
        <f t="shared" si="6"/>
        <v>-2718330.8082359345</v>
      </c>
      <c r="M27" s="1114">
        <f t="shared" si="6"/>
        <v>-2774494.4369125557</v>
      </c>
      <c r="N27" s="1114">
        <f t="shared" si="6"/>
        <v>-2831827.9055690872</v>
      </c>
      <c r="O27" s="655"/>
      <c r="P27" s="697"/>
      <c r="Q27" s="697"/>
      <c r="R27" s="697"/>
      <c r="S27" s="697"/>
      <c r="T27" s="24"/>
      <c r="U27" s="24"/>
      <c r="V27" s="24"/>
      <c r="W27" s="24"/>
      <c r="X27" s="24"/>
      <c r="Y27" s="24"/>
      <c r="Z27" s="24"/>
      <c r="AA27" s="24"/>
      <c r="AB27" s="24"/>
      <c r="AC27" s="24"/>
      <c r="AD27" s="24"/>
      <c r="AE27" s="24"/>
      <c r="AF27" s="24"/>
    </row>
    <row r="28" spans="1:32" s="7" customFormat="1" ht="15" customHeight="1" x14ac:dyDescent="0.2">
      <c r="A28" s="1410"/>
      <c r="B28" s="50"/>
      <c r="C28" s="127"/>
      <c r="D28" s="1118" t="str">
        <f t="shared" ref="D28:N28" si="7">pSystems_CFS_RecordsPaperPurchase</f>
        <v>Copy Paper Purchase Costs</v>
      </c>
      <c r="E28" s="1114">
        <f t="shared" si="7"/>
        <v>-214565.61000000002</v>
      </c>
      <c r="F28" s="1114">
        <f t="shared" si="7"/>
        <v>-218612.95634805196</v>
      </c>
      <c r="G28" s="1114">
        <f t="shared" si="7"/>
        <v>-222800.91958200003</v>
      </c>
      <c r="H28" s="1114">
        <f t="shared" si="7"/>
        <v>-227722.26953793757</v>
      </c>
      <c r="I28" s="1114">
        <f t="shared" si="7"/>
        <v>-232421.97506454517</v>
      </c>
      <c r="J28" s="1114">
        <f t="shared" si="7"/>
        <v>-237220.48070285426</v>
      </c>
      <c r="K28" s="1114">
        <f t="shared" si="7"/>
        <v>-242119.53306338729</v>
      </c>
      <c r="L28" s="1114">
        <f t="shared" si="7"/>
        <v>-247120.98256690311</v>
      </c>
      <c r="M28" s="1114">
        <f t="shared" si="7"/>
        <v>-252226.76699205051</v>
      </c>
      <c r="N28" s="1114">
        <f t="shared" si="7"/>
        <v>-257438.90050628071</v>
      </c>
      <c r="O28" s="655"/>
      <c r="P28" s="697"/>
      <c r="Q28" s="697"/>
      <c r="R28" s="697"/>
      <c r="S28" s="697"/>
      <c r="T28" s="24"/>
      <c r="U28" s="24"/>
      <c r="V28" s="24"/>
      <c r="W28" s="24"/>
      <c r="X28" s="24"/>
      <c r="Y28" s="24"/>
      <c r="Z28" s="24"/>
      <c r="AA28" s="24"/>
      <c r="AB28" s="24"/>
      <c r="AC28" s="24"/>
      <c r="AD28" s="24"/>
      <c r="AE28" s="24"/>
      <c r="AF28" s="24"/>
    </row>
    <row r="29" spans="1:32" s="7" customFormat="1" ht="15" customHeight="1" x14ac:dyDescent="0.2">
      <c r="A29" s="1410"/>
      <c r="B29" s="50"/>
      <c r="C29" s="127"/>
      <c r="D29" s="1118" t="str">
        <f t="shared" ref="D29:N29" si="8">pSystems_CFS_PaperBookPurchase</f>
        <v>Paper 'Book' Purchase Costs</v>
      </c>
      <c r="E29" s="1114">
        <f t="shared" si="8"/>
        <v>-547056</v>
      </c>
      <c r="F29" s="1114">
        <f t="shared" si="8"/>
        <v>-557997.12</v>
      </c>
      <c r="G29" s="1114">
        <f t="shared" si="8"/>
        <v>-569157.06239999994</v>
      </c>
      <c r="H29" s="1114">
        <f t="shared" si="8"/>
        <v>-580540.20364800002</v>
      </c>
      <c r="I29" s="1114">
        <f t="shared" si="8"/>
        <v>-592151.00772095995</v>
      </c>
      <c r="J29" s="1114">
        <f t="shared" si="8"/>
        <v>-603994.02787537919</v>
      </c>
      <c r="K29" s="1114">
        <f t="shared" si="8"/>
        <v>-616073.90843288694</v>
      </c>
      <c r="L29" s="1114">
        <f t="shared" si="8"/>
        <v>-628395.38660154445</v>
      </c>
      <c r="M29" s="1114">
        <f t="shared" si="8"/>
        <v>-640963.29433357529</v>
      </c>
      <c r="N29" s="1114">
        <f t="shared" si="8"/>
        <v>-653782.5602202469</v>
      </c>
      <c r="O29" s="655"/>
      <c r="P29" s="697"/>
      <c r="Q29" s="697"/>
      <c r="R29" s="697"/>
      <c r="S29" s="697"/>
      <c r="T29" s="24"/>
      <c r="U29" s="24"/>
      <c r="V29" s="24"/>
      <c r="W29" s="24"/>
      <c r="X29" s="24"/>
      <c r="Y29" s="24"/>
      <c r="Z29" s="24"/>
      <c r="AA29" s="24"/>
      <c r="AB29" s="24"/>
      <c r="AC29" s="24"/>
      <c r="AD29" s="24"/>
      <c r="AE29" s="24"/>
      <c r="AF29" s="24"/>
    </row>
    <row r="30" spans="1:32" s="7" customFormat="1" ht="15" customHeight="1" x14ac:dyDescent="0.2">
      <c r="A30" s="1410"/>
      <c r="B30" s="50"/>
      <c r="C30" s="127"/>
      <c r="D30" s="1118" t="str">
        <f t="shared" ref="D30:N30" si="9">pSystems_CFS_RecordsMFDLease</f>
        <v>MFD Total Costs</v>
      </c>
      <c r="E30" s="1114">
        <f t="shared" si="9"/>
        <v>-1074425.8329</v>
      </c>
      <c r="F30" s="1114">
        <f t="shared" si="9"/>
        <v>-1096251.356541974</v>
      </c>
      <c r="G30" s="1114">
        <f t="shared" si="9"/>
        <v>-1117275.1767559801</v>
      </c>
      <c r="H30" s="1114">
        <f t="shared" si="9"/>
        <v>-1141896.1516405146</v>
      </c>
      <c r="I30" s="1114">
        <f t="shared" si="9"/>
        <v>-1165444.3967376258</v>
      </c>
      <c r="J30" s="1114">
        <f t="shared" si="9"/>
        <v>-1189487.1080823971</v>
      </c>
      <c r="K30" s="1114">
        <f t="shared" si="9"/>
        <v>-1214033.0532743125</v>
      </c>
      <c r="L30" s="1114">
        <f t="shared" si="9"/>
        <v>-1239091.5120783921</v>
      </c>
      <c r="M30" s="1114">
        <f t="shared" si="9"/>
        <v>-1264672.1960638876</v>
      </c>
      <c r="N30" s="1114">
        <f t="shared" si="9"/>
        <v>-1290785.1950579283</v>
      </c>
      <c r="O30" s="655"/>
      <c r="P30" s="697"/>
      <c r="Q30" s="697"/>
      <c r="R30" s="697"/>
      <c r="S30" s="697"/>
      <c r="T30" s="24"/>
      <c r="U30" s="24"/>
      <c r="V30" s="24"/>
      <c r="W30" s="24"/>
      <c r="X30" s="24"/>
      <c r="Y30" s="24"/>
      <c r="Z30" s="24"/>
      <c r="AA30" s="24"/>
      <c r="AB30" s="24"/>
      <c r="AC30" s="24"/>
      <c r="AD30" s="24"/>
      <c r="AE30" s="24"/>
      <c r="AF30" s="24"/>
    </row>
    <row r="31" spans="1:32" s="7" customFormat="1" ht="15" customHeight="1" x14ac:dyDescent="0.2">
      <c r="A31" s="1410"/>
      <c r="B31" s="50"/>
      <c r="C31" s="127"/>
      <c r="D31" s="1118" t="str">
        <f t="shared" ref="D31:N31" si="10">pSystems_CFS_RecordsOfficeLease</f>
        <v>Office Space Leasing Cost</v>
      </c>
      <c r="E31" s="1114">
        <f t="shared" si="10"/>
        <v>-247500</v>
      </c>
      <c r="F31" s="1114">
        <f t="shared" si="10"/>
        <v>-265455</v>
      </c>
      <c r="G31" s="1114">
        <f t="shared" si="10"/>
        <v>-270764.09999999998</v>
      </c>
      <c r="H31" s="1114">
        <f t="shared" si="10"/>
        <v>-276179.38199999998</v>
      </c>
      <c r="I31" s="1114">
        <f t="shared" si="10"/>
        <v>-281702.96964000002</v>
      </c>
      <c r="J31" s="1114">
        <f t="shared" si="10"/>
        <v>-287337.02903280006</v>
      </c>
      <c r="K31" s="1114">
        <f t="shared" si="10"/>
        <v>-293083.76961345604</v>
      </c>
      <c r="L31" s="1114">
        <f t="shared" si="10"/>
        <v>-298945.44500572508</v>
      </c>
      <c r="M31" s="1114">
        <f t="shared" si="10"/>
        <v>-304924.35390583961</v>
      </c>
      <c r="N31" s="1114">
        <f t="shared" si="10"/>
        <v>-311022.84098395635</v>
      </c>
      <c r="O31" s="655"/>
      <c r="P31" s="697"/>
      <c r="Q31" s="697"/>
      <c r="R31" s="697"/>
      <c r="S31" s="697"/>
      <c r="T31" s="24"/>
      <c r="U31" s="24"/>
      <c r="V31" s="24"/>
      <c r="W31" s="24"/>
      <c r="X31" s="24"/>
      <c r="Y31" s="24"/>
      <c r="Z31" s="24"/>
      <c r="AA31" s="24"/>
      <c r="AB31" s="24"/>
      <c r="AC31" s="24"/>
      <c r="AD31" s="24"/>
      <c r="AE31" s="24"/>
      <c r="AF31" s="24"/>
    </row>
    <row r="32" spans="1:32" s="701" customFormat="1" ht="15" customHeight="1" x14ac:dyDescent="0.2">
      <c r="A32" s="1410"/>
      <c r="B32" s="107"/>
      <c r="C32" s="652"/>
      <c r="D32" s="1169" t="str">
        <f t="shared" ref="D32:N32" si="11">pSystems_CFS_RecordsTotal</f>
        <v>pSystems Induced Records Costs - Total</v>
      </c>
      <c r="E32" s="1117">
        <f t="shared" si="11"/>
        <v>-4443769.1529000001</v>
      </c>
      <c r="F32" s="1117">
        <f t="shared" si="11"/>
        <v>-4543058.9527185969</v>
      </c>
      <c r="G32" s="1117">
        <f t="shared" si="11"/>
        <v>-4630807.3741399795</v>
      </c>
      <c r="H32" s="1117">
        <f t="shared" si="11"/>
        <v>-4731282.9717437653</v>
      </c>
      <c r="I32" s="1117">
        <f t="shared" si="11"/>
        <v>-4828362.074873127</v>
      </c>
      <c r="J32" s="1117">
        <f t="shared" si="11"/>
        <v>-4927463.9334248276</v>
      </c>
      <c r="K32" s="1117">
        <f t="shared" si="11"/>
        <v>-5028625.1280813031</v>
      </c>
      <c r="L32" s="1117">
        <f t="shared" si="11"/>
        <v>-5131884.1344884988</v>
      </c>
      <c r="M32" s="1117">
        <f t="shared" si="11"/>
        <v>-5237281.0482079089</v>
      </c>
      <c r="N32" s="1117">
        <f t="shared" si="11"/>
        <v>-5344857.4023374999</v>
      </c>
      <c r="O32" s="1166"/>
      <c r="P32" s="699"/>
      <c r="Q32" s="699"/>
      <c r="R32" s="699"/>
      <c r="S32" s="699"/>
      <c r="T32" s="700"/>
      <c r="U32" s="700"/>
      <c r="V32" s="700"/>
      <c r="W32" s="700"/>
      <c r="X32" s="700"/>
      <c r="Y32" s="700"/>
      <c r="Z32" s="700"/>
      <c r="AA32" s="700"/>
      <c r="AB32" s="700"/>
      <c r="AC32" s="700"/>
      <c r="AD32" s="700"/>
      <c r="AE32" s="700"/>
      <c r="AF32" s="700"/>
    </row>
    <row r="33" spans="1:32" s="701" customFormat="1" ht="20.100000000000001" customHeight="1" x14ac:dyDescent="0.2">
      <c r="A33" s="1410"/>
      <c r="B33" s="107"/>
      <c r="C33" s="652"/>
      <c r="D33" s="1131" t="s">
        <v>4117</v>
      </c>
      <c r="E33" s="1127"/>
      <c r="F33" s="1127"/>
      <c r="G33" s="1127"/>
      <c r="H33" s="1127"/>
      <c r="I33" s="1127"/>
      <c r="J33" s="1127"/>
      <c r="K33" s="1127"/>
      <c r="L33" s="1127"/>
      <c r="M33" s="1127"/>
      <c r="N33" s="1127"/>
      <c r="O33" s="655"/>
      <c r="P33" s="699"/>
      <c r="Q33" s="699"/>
      <c r="R33" s="699"/>
      <c r="S33" s="699"/>
      <c r="T33" s="700"/>
      <c r="U33" s="700"/>
      <c r="V33" s="700"/>
      <c r="W33" s="700"/>
      <c r="X33" s="700"/>
      <c r="Y33" s="700"/>
      <c r="Z33" s="700"/>
      <c r="AA33" s="700"/>
      <c r="AB33" s="700"/>
      <c r="AC33" s="700"/>
      <c r="AD33" s="700"/>
      <c r="AE33" s="700"/>
      <c r="AF33" s="700"/>
    </row>
    <row r="34" spans="1:32" s="701" customFormat="1" ht="15" customHeight="1" x14ac:dyDescent="0.2">
      <c r="A34" s="1410"/>
      <c r="B34" s="107"/>
      <c r="C34" s="652"/>
      <c r="D34" s="1116" t="str">
        <f t="shared" ref="D34:N34" si="12">pSystemsRecordsPaperArchive_CFS</f>
        <v>pSystem Induced Costs - Archiving &amp; Retrieval</v>
      </c>
      <c r="E34" s="1114">
        <f t="shared" si="12"/>
        <v>-63386.107663461538</v>
      </c>
      <c r="F34" s="1114">
        <f t="shared" si="12"/>
        <v>-80944.933742524969</v>
      </c>
      <c r="G34" s="1114">
        <f t="shared" si="12"/>
        <v>-99274.16719740961</v>
      </c>
      <c r="H34" s="1114">
        <f t="shared" si="12"/>
        <v>-118447.63146576325</v>
      </c>
      <c r="I34" s="1114">
        <f t="shared" si="12"/>
        <v>-138248.09255171186</v>
      </c>
      <c r="J34" s="1114">
        <f t="shared" si="12"/>
        <v>-158690.39785306741</v>
      </c>
      <c r="K34" s="1114">
        <f t="shared" si="12"/>
        <v>-180022.94774746001</v>
      </c>
      <c r="L34" s="1114">
        <f t="shared" si="12"/>
        <v>-202276.05914783082</v>
      </c>
      <c r="M34" s="1114">
        <f t="shared" si="12"/>
        <v>-225238.430773678</v>
      </c>
      <c r="N34" s="1114">
        <f t="shared" si="12"/>
        <v>-248927.18707286532</v>
      </c>
      <c r="O34" s="1166"/>
      <c r="P34" s="699"/>
      <c r="Q34" s="699"/>
      <c r="R34" s="699"/>
      <c r="S34" s="699"/>
      <c r="T34" s="700"/>
      <c r="U34" s="700"/>
      <c r="V34" s="700"/>
      <c r="W34" s="700"/>
      <c r="X34" s="700"/>
      <c r="Y34" s="700"/>
      <c r="Z34" s="700"/>
      <c r="AA34" s="700"/>
      <c r="AB34" s="700"/>
      <c r="AC34" s="700"/>
      <c r="AD34" s="700"/>
      <c r="AE34" s="700"/>
      <c r="AF34" s="700"/>
    </row>
    <row r="35" spans="1:32" s="705" customFormat="1" ht="20.100000000000001" customHeight="1" x14ac:dyDescent="0.2">
      <c r="A35" s="1410"/>
      <c r="B35" s="648"/>
      <c r="C35" s="702"/>
      <c r="D35" s="1131" t="s">
        <v>4075</v>
      </c>
      <c r="E35" s="1132"/>
      <c r="F35" s="1132"/>
      <c r="G35" s="1132"/>
      <c r="H35" s="1132"/>
      <c r="I35" s="1132"/>
      <c r="J35" s="1132"/>
      <c r="K35" s="1132"/>
      <c r="L35" s="1132"/>
      <c r="M35" s="1132"/>
      <c r="N35" s="1132"/>
      <c r="O35" s="655"/>
      <c r="P35" s="703"/>
      <c r="Q35" s="703"/>
      <c r="R35" s="703"/>
      <c r="S35" s="703"/>
      <c r="T35" s="704"/>
      <c r="U35" s="704"/>
      <c r="V35" s="704"/>
      <c r="W35" s="704"/>
      <c r="X35" s="704"/>
      <c r="Y35" s="704"/>
      <c r="Z35" s="704"/>
      <c r="AA35" s="704"/>
      <c r="AB35" s="704"/>
      <c r="AC35" s="704"/>
      <c r="AD35" s="704"/>
      <c r="AE35" s="704"/>
      <c r="AF35" s="704"/>
    </row>
    <row r="36" spans="1:32" s="111" customFormat="1" ht="15" customHeight="1" x14ac:dyDescent="0.2">
      <c r="A36" s="1410"/>
      <c r="B36" s="107"/>
      <c r="C36" s="652"/>
      <c r="D36" s="1116" t="str">
        <f t="shared" ref="D36:N36" si="13">pSystemsCost_TrgTotal_CFS</f>
        <v>pSystems Induced Training Cost - Total</v>
      </c>
      <c r="E36" s="1117">
        <f t="shared" si="13"/>
        <v>-313000</v>
      </c>
      <c r="F36" s="1117">
        <f t="shared" si="13"/>
        <v>-319260</v>
      </c>
      <c r="G36" s="1117">
        <f t="shared" si="13"/>
        <v>-325645.20000000007</v>
      </c>
      <c r="H36" s="1117">
        <f t="shared" si="13"/>
        <v>-332158.10399999999</v>
      </c>
      <c r="I36" s="1117">
        <f t="shared" si="13"/>
        <v>-338801.26608000015</v>
      </c>
      <c r="J36" s="1117">
        <f t="shared" si="13"/>
        <v>-345577.29140159988</v>
      </c>
      <c r="K36" s="1117">
        <f t="shared" si="13"/>
        <v>-352488.83722963196</v>
      </c>
      <c r="L36" s="1117">
        <f t="shared" si="13"/>
        <v>-359538.61397422454</v>
      </c>
      <c r="M36" s="1117">
        <f t="shared" si="13"/>
        <v>-366729.38625370903</v>
      </c>
      <c r="N36" s="1117">
        <f t="shared" si="13"/>
        <v>-374063.97397878318</v>
      </c>
      <c r="O36" s="1166" t="s">
        <v>4326</v>
      </c>
      <c r="P36" s="653"/>
      <c r="Q36" s="110"/>
      <c r="R36" s="110"/>
      <c r="S36" s="110"/>
      <c r="T36" s="82"/>
      <c r="U36" s="107"/>
      <c r="V36" s="107"/>
      <c r="W36" s="107"/>
      <c r="X36" s="107"/>
      <c r="Y36" s="107"/>
      <c r="Z36" s="107"/>
      <c r="AA36" s="107"/>
      <c r="AB36" s="107"/>
      <c r="AC36" s="107"/>
      <c r="AD36" s="107"/>
      <c r="AE36" s="107"/>
      <c r="AF36" s="107"/>
    </row>
    <row r="37" spans="1:32" s="111" customFormat="1" ht="20.100000000000001" customHeight="1" x14ac:dyDescent="0.2">
      <c r="A37" s="1410"/>
      <c r="B37" s="107"/>
      <c r="C37" s="652"/>
      <c r="D37" s="1131" t="s">
        <v>4077</v>
      </c>
      <c r="E37" s="1127"/>
      <c r="F37" s="1127"/>
      <c r="G37" s="1127"/>
      <c r="H37" s="1127"/>
      <c r="I37" s="1127"/>
      <c r="J37" s="1127"/>
      <c r="K37" s="1127"/>
      <c r="L37" s="1127"/>
      <c r="M37" s="1127"/>
      <c r="N37" s="1127"/>
      <c r="O37" s="655"/>
      <c r="P37" s="653"/>
      <c r="Q37" s="110"/>
      <c r="R37" s="110"/>
      <c r="S37" s="110"/>
      <c r="T37" s="82"/>
      <c r="U37" s="107"/>
      <c r="V37" s="107"/>
      <c r="W37" s="107"/>
      <c r="X37" s="107"/>
      <c r="Y37" s="107"/>
      <c r="Z37" s="107"/>
      <c r="AA37" s="107"/>
      <c r="AB37" s="107"/>
      <c r="AC37" s="107"/>
      <c r="AD37" s="107"/>
      <c r="AE37" s="107"/>
      <c r="AF37" s="107"/>
    </row>
    <row r="38" spans="1:32" s="111" customFormat="1" ht="15" customHeight="1" x14ac:dyDescent="0.2">
      <c r="A38" s="1410"/>
      <c r="B38" s="107"/>
      <c r="C38" s="652"/>
      <c r="D38" s="1116" t="str">
        <f t="shared" ref="D38:N38" si="14">pSystemsIT_Cost_Total_CFS</f>
        <v>pSystems Induced IT Costs - Total</v>
      </c>
      <c r="E38" s="1117">
        <f t="shared" si="14"/>
        <v>-39450000</v>
      </c>
      <c r="F38" s="1117">
        <f t="shared" si="14"/>
        <v>-40084000</v>
      </c>
      <c r="G38" s="1117">
        <f t="shared" si="14"/>
        <v>-40730680</v>
      </c>
      <c r="H38" s="1117">
        <f t="shared" si="14"/>
        <v>-41390293.599999994</v>
      </c>
      <c r="I38" s="1117">
        <f t="shared" si="14"/>
        <v>-42063099.472000003</v>
      </c>
      <c r="J38" s="1117">
        <f t="shared" si="14"/>
        <v>-42749361.461440004</v>
      </c>
      <c r="K38" s="1117">
        <f t="shared" si="14"/>
        <v>-43449348.690668799</v>
      </c>
      <c r="L38" s="1117">
        <f t="shared" si="14"/>
        <v>-44163335.664482169</v>
      </c>
      <c r="M38" s="1117">
        <f t="shared" si="14"/>
        <v>-44891602.377771825</v>
      </c>
      <c r="N38" s="1117">
        <f t="shared" si="14"/>
        <v>-45634434.425327256</v>
      </c>
      <c r="O38" s="1166" t="s">
        <v>4327</v>
      </c>
      <c r="P38" s="653"/>
      <c r="Q38" s="110"/>
      <c r="R38" s="110"/>
      <c r="S38" s="110"/>
      <c r="T38" s="82"/>
      <c r="U38" s="107"/>
      <c r="V38" s="107"/>
      <c r="W38" s="107"/>
      <c r="X38" s="107"/>
      <c r="Y38" s="107"/>
      <c r="Z38" s="107"/>
      <c r="AA38" s="107"/>
      <c r="AB38" s="107"/>
      <c r="AC38" s="107"/>
      <c r="AD38" s="107"/>
      <c r="AE38" s="107"/>
      <c r="AF38" s="107"/>
    </row>
    <row r="39" spans="1:32" s="98" customFormat="1" ht="15" customHeight="1" x14ac:dyDescent="0.2">
      <c r="A39" s="1410"/>
      <c r="B39" s="50"/>
      <c r="C39" s="127"/>
      <c r="D39" s="1133"/>
      <c r="E39" s="1133"/>
      <c r="F39" s="1133"/>
      <c r="G39" s="1133"/>
      <c r="H39" s="1133"/>
      <c r="I39" s="1133"/>
      <c r="J39" s="1133"/>
      <c r="K39" s="1133"/>
      <c r="L39" s="1133"/>
      <c r="M39" s="1133"/>
      <c r="N39" s="1133"/>
      <c r="O39" s="655"/>
      <c r="P39" s="698"/>
      <c r="Q39" s="106"/>
      <c r="R39" s="106"/>
      <c r="S39" s="106"/>
      <c r="T39" s="706"/>
      <c r="U39" s="50"/>
      <c r="V39" s="50"/>
      <c r="W39" s="50"/>
      <c r="X39" s="50"/>
      <c r="Y39" s="50"/>
      <c r="Z39" s="50"/>
      <c r="AA39" s="50"/>
      <c r="AB39" s="50"/>
      <c r="AC39" s="50"/>
      <c r="AD39" s="50"/>
      <c r="AE39" s="50"/>
      <c r="AF39" s="50"/>
    </row>
    <row r="40" spans="1:32" s="111" customFormat="1" ht="20.100000000000001" customHeight="1" x14ac:dyDescent="0.2">
      <c r="A40" s="1410"/>
      <c r="B40" s="107"/>
      <c r="C40" s="652"/>
      <c r="D40" s="1119" t="s">
        <v>4094</v>
      </c>
      <c r="E40" s="1117">
        <f t="shared" ref="E40:N40" si="15">SUM(E38+E36+E34+E32+E25)</f>
        <v>-52632023.776876338</v>
      </c>
      <c r="F40" s="1117">
        <f t="shared" si="15"/>
        <v>-54039629.767724641</v>
      </c>
      <c r="G40" s="1117">
        <f t="shared" si="15"/>
        <v>-55401262.894474901</v>
      </c>
      <c r="H40" s="1117">
        <f t="shared" si="15"/>
        <v>-55029436.402441017</v>
      </c>
      <c r="I40" s="1117">
        <f t="shared" si="15"/>
        <v>-56442955.538414165</v>
      </c>
      <c r="J40" s="1117">
        <f t="shared" si="15"/>
        <v>-57971253.418087497</v>
      </c>
      <c r="K40" s="1117">
        <f t="shared" si="15"/>
        <v>-59463195.337434262</v>
      </c>
      <c r="L40" s="1117">
        <f t="shared" si="15"/>
        <v>-59050281.556622699</v>
      </c>
      <c r="M40" s="1117">
        <f t="shared" si="15"/>
        <v>-60584141.886750445</v>
      </c>
      <c r="N40" s="1117">
        <f t="shared" si="15"/>
        <v>-62242280.97652711</v>
      </c>
      <c r="O40" s="1166" t="s">
        <v>4328</v>
      </c>
      <c r="P40" s="781"/>
      <c r="Q40" s="110"/>
      <c r="R40" s="110"/>
      <c r="S40" s="110"/>
      <c r="T40" s="82"/>
      <c r="U40" s="107"/>
      <c r="V40" s="107"/>
      <c r="W40" s="107"/>
      <c r="X40" s="107"/>
      <c r="Y40" s="107"/>
      <c r="Z40" s="107"/>
      <c r="AA40" s="107"/>
      <c r="AB40" s="107"/>
      <c r="AC40" s="107"/>
      <c r="AD40" s="107"/>
      <c r="AE40" s="107"/>
      <c r="AF40" s="107"/>
    </row>
    <row r="41" spans="1:32" s="111" customFormat="1" ht="15" customHeight="1" x14ac:dyDescent="0.2">
      <c r="A41" s="1410"/>
      <c r="B41" s="107"/>
      <c r="C41" s="652"/>
      <c r="D41" s="1134"/>
      <c r="E41" s="1127"/>
      <c r="F41" s="1127"/>
      <c r="G41" s="1127"/>
      <c r="H41" s="1127"/>
      <c r="I41" s="1127"/>
      <c r="J41" s="1127"/>
      <c r="K41" s="1127"/>
      <c r="L41" s="1127"/>
      <c r="M41" s="1127"/>
      <c r="N41" s="1127"/>
      <c r="O41" s="655"/>
      <c r="P41" s="781"/>
      <c r="Q41" s="110"/>
      <c r="R41" s="110"/>
      <c r="S41" s="110"/>
      <c r="T41" s="31"/>
      <c r="U41" s="107"/>
      <c r="V41" s="107"/>
      <c r="W41" s="107"/>
      <c r="X41" s="107"/>
      <c r="Y41" s="107"/>
      <c r="Z41" s="107"/>
      <c r="AA41" s="107"/>
      <c r="AB41" s="107"/>
      <c r="AC41" s="107"/>
      <c r="AD41" s="107"/>
      <c r="AE41" s="107"/>
      <c r="AF41" s="107"/>
    </row>
    <row r="42" spans="1:32" s="650" customFormat="1" ht="20.100000000000001" customHeight="1" x14ac:dyDescent="0.2">
      <c r="A42" s="1410"/>
      <c r="B42" s="107"/>
      <c r="C42" s="762"/>
      <c r="D42" s="1119" t="s">
        <v>4079</v>
      </c>
      <c r="E42" s="1120">
        <f>E40</f>
        <v>-52632023.776876338</v>
      </c>
      <c r="F42" s="1120">
        <f t="shared" ref="F42:N42" si="16">F40+E42</f>
        <v>-106671653.54460098</v>
      </c>
      <c r="G42" s="1120">
        <f t="shared" si="16"/>
        <v>-162072916.43907589</v>
      </c>
      <c r="H42" s="1120">
        <f t="shared" si="16"/>
        <v>-217102352.84151691</v>
      </c>
      <c r="I42" s="1120">
        <f t="shared" si="16"/>
        <v>-273545308.37993109</v>
      </c>
      <c r="J42" s="1120">
        <f t="shared" si="16"/>
        <v>-331516561.79801857</v>
      </c>
      <c r="K42" s="1120">
        <f t="shared" si="16"/>
        <v>-390979757.13545287</v>
      </c>
      <c r="L42" s="1120">
        <f t="shared" si="16"/>
        <v>-450030038.69207555</v>
      </c>
      <c r="M42" s="1120">
        <f t="shared" si="16"/>
        <v>-510614180.57882601</v>
      </c>
      <c r="N42" s="1120">
        <f t="shared" si="16"/>
        <v>-572856461.55535316</v>
      </c>
      <c r="O42" s="1166" t="s">
        <v>4329</v>
      </c>
      <c r="P42" s="782"/>
      <c r="Q42" s="649"/>
      <c r="R42" s="649"/>
      <c r="S42" s="649"/>
      <c r="T42" s="31"/>
      <c r="U42" s="648"/>
      <c r="V42" s="648"/>
      <c r="W42" s="648"/>
      <c r="X42" s="648"/>
      <c r="Y42" s="648"/>
      <c r="Z42" s="648"/>
      <c r="AA42" s="648"/>
      <c r="AB42" s="648"/>
      <c r="AC42" s="648"/>
      <c r="AD42" s="648"/>
      <c r="AE42" s="648"/>
      <c r="AF42" s="648"/>
    </row>
    <row r="43" spans="1:32" s="98" customFormat="1" ht="14.1" customHeight="1" x14ac:dyDescent="0.25">
      <c r="A43" s="1410"/>
      <c r="B43" s="120"/>
      <c r="C43" s="104"/>
      <c r="D43" s="1135"/>
      <c r="E43" s="1133"/>
      <c r="F43" s="1133"/>
      <c r="G43" s="1133"/>
      <c r="H43" s="1133"/>
      <c r="I43" s="1133"/>
      <c r="J43" s="1133"/>
      <c r="K43" s="1133"/>
      <c r="L43" s="1133"/>
      <c r="M43" s="1133"/>
      <c r="N43" s="1133"/>
      <c r="O43" s="1129"/>
      <c r="P43" s="651"/>
      <c r="Q43" s="106"/>
      <c r="R43" s="106"/>
      <c r="S43" s="106"/>
      <c r="T43" s="31"/>
      <c r="U43" s="50"/>
      <c r="V43" s="50"/>
      <c r="W43" s="50"/>
      <c r="X43" s="50"/>
      <c r="Y43" s="50"/>
      <c r="Z43" s="50"/>
      <c r="AA43" s="50"/>
      <c r="AB43" s="50"/>
      <c r="AC43" s="50"/>
      <c r="AD43" s="50"/>
      <c r="AE43" s="50"/>
      <c r="AF43" s="50"/>
    </row>
    <row r="44" spans="1:32" s="98" customFormat="1" ht="14.1" customHeight="1" x14ac:dyDescent="0.25">
      <c r="A44" s="50"/>
      <c r="B44" s="120"/>
      <c r="C44" s="104"/>
      <c r="D44" s="109"/>
      <c r="E44" s="105"/>
      <c r="F44" s="105"/>
      <c r="G44" s="105"/>
      <c r="H44" s="105"/>
      <c r="I44" s="105"/>
      <c r="J44" s="105"/>
      <c r="K44" s="105"/>
      <c r="L44" s="105"/>
      <c r="M44" s="105"/>
      <c r="N44" s="105"/>
      <c r="O44" s="108"/>
      <c r="P44" s="106"/>
      <c r="Q44" s="106"/>
      <c r="R44" s="106"/>
      <c r="S44" s="106"/>
      <c r="T44" s="31"/>
      <c r="U44" s="50"/>
      <c r="V44" s="50"/>
      <c r="W44" s="50"/>
      <c r="X44" s="50"/>
      <c r="Y44" s="50"/>
      <c r="Z44" s="50"/>
      <c r="AA44" s="50"/>
      <c r="AB44" s="50"/>
      <c r="AC44" s="50"/>
      <c r="AD44" s="50"/>
      <c r="AE44" s="50"/>
      <c r="AF44" s="50"/>
    </row>
    <row r="45" spans="1:32" s="122" customFormat="1" ht="15.75" collapsed="1" x14ac:dyDescent="0.2">
      <c r="A45" s="1043" t="s">
        <v>4214</v>
      </c>
      <c r="B45" s="1039"/>
      <c r="C45" s="1039"/>
      <c r="D45" s="1039"/>
      <c r="E45" s="1039"/>
      <c r="F45" s="1039"/>
      <c r="G45" s="1039"/>
      <c r="H45" s="1039"/>
      <c r="I45" s="1039"/>
      <c r="J45" s="1039"/>
      <c r="K45" s="1039"/>
      <c r="L45" s="1039"/>
      <c r="M45" s="1039"/>
      <c r="N45" s="1039"/>
      <c r="O45" s="1039"/>
      <c r="P45" s="206"/>
      <c r="Q45" s="206"/>
      <c r="R45" s="206"/>
      <c r="S45" s="206"/>
      <c r="T45" s="206"/>
      <c r="U45" s="206"/>
      <c r="V45" s="206"/>
      <c r="W45" s="206"/>
      <c r="X45" s="206"/>
      <c r="Y45" s="206"/>
      <c r="Z45" s="206"/>
      <c r="AA45" s="206"/>
      <c r="AB45" s="206"/>
      <c r="AC45" s="206"/>
      <c r="AD45" s="206"/>
      <c r="AE45" s="206"/>
      <c r="AF45" s="206"/>
    </row>
    <row r="48" spans="1:32" x14ac:dyDescent="0.2">
      <c r="C48" s="104" t="s">
        <v>4318</v>
      </c>
    </row>
  </sheetData>
  <sheetProtection selectLockedCells="1" sort="0" autoFilter="0" pivotTables="0"/>
  <protectedRanges>
    <protectedRange sqref="M3" name="SetupTab_1_1_1"/>
  </protectedRanges>
  <mergeCells count="7">
    <mergeCell ref="A21:A43"/>
    <mergeCell ref="A13:A17"/>
    <mergeCell ref="A2:A4"/>
    <mergeCell ref="B2:L2"/>
    <mergeCell ref="M2:O2"/>
    <mergeCell ref="B3:L4"/>
    <mergeCell ref="M3:O4"/>
  </mergeCells>
  <phoneticPr fontId="2" type="noConversion"/>
  <pageMargins left="0.75" right="0.75" top="1" bottom="1" header="0.5" footer="0.5"/>
  <pageSetup orientation="portrait" r:id="rId1"/>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AG64"/>
  <sheetViews>
    <sheetView zoomScaleNormal="100" workbookViewId="0"/>
  </sheetViews>
  <sheetFormatPr defaultColWidth="11" defaultRowHeight="12.75" x14ac:dyDescent="0.2"/>
  <cols>
    <col min="1" max="1" width="80.7109375" style="3" customWidth="1"/>
    <col min="2" max="2" width="5.7109375" style="3" customWidth="1"/>
    <col min="3" max="3" width="55.7109375" style="104" customWidth="1"/>
    <col min="4" max="4" width="60.7109375" style="133" customWidth="1"/>
    <col min="5" max="7" width="25.7109375" style="3" customWidth="1"/>
    <col min="8" max="8" width="25.7109375" style="6" customWidth="1"/>
    <col min="9" max="14" width="25.7109375" style="3" customWidth="1"/>
    <col min="15" max="15" width="45.7109375" style="3" bestFit="1" customWidth="1"/>
    <col min="16" max="16" width="58" style="3" customWidth="1"/>
    <col min="17" max="16384" width="11" style="3"/>
  </cols>
  <sheetData>
    <row r="1" spans="1:33" s="1191" customFormat="1" ht="30" customHeight="1" x14ac:dyDescent="0.3">
      <c r="A1" s="1183" t="s">
        <v>66</v>
      </c>
      <c r="B1" s="1188"/>
      <c r="C1" s="1182" t="str">
        <f>"Cashflow Results - "&amp;(Scenario2)</f>
        <v>Cashflow Results - hSystems (Hybrid)</v>
      </c>
      <c r="D1" s="1188"/>
      <c r="E1" s="1182"/>
      <c r="F1" s="1182"/>
      <c r="G1" s="1182"/>
      <c r="H1" s="1182"/>
      <c r="I1" s="1182"/>
      <c r="J1" s="1182"/>
      <c r="K1" s="1182"/>
      <c r="L1" s="1182"/>
      <c r="M1" s="1182"/>
      <c r="N1" s="1182"/>
      <c r="O1" s="1182"/>
      <c r="P1" s="1182"/>
      <c r="Q1" s="1189"/>
      <c r="R1" s="1189"/>
      <c r="S1" s="1189"/>
      <c r="T1" s="1189"/>
      <c r="U1" s="1189"/>
      <c r="V1" s="1189"/>
      <c r="W1" s="1189"/>
      <c r="X1" s="1189"/>
      <c r="Y1" s="1189"/>
      <c r="Z1" s="1189"/>
      <c r="AA1" s="1189"/>
      <c r="AB1" s="1189"/>
      <c r="AC1" s="1189"/>
      <c r="AD1" s="1189"/>
      <c r="AE1" s="1189"/>
      <c r="AF1" s="1189"/>
      <c r="AG1" s="1190"/>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128" customFormat="1" ht="12.75" customHeight="1" x14ac:dyDescent="0.25">
      <c r="A5" s="188"/>
      <c r="B5" s="13"/>
      <c r="C5" s="147"/>
      <c r="D5" s="758"/>
      <c r="E5" s="147"/>
      <c r="F5" s="147"/>
      <c r="G5" s="147"/>
      <c r="H5" s="147"/>
      <c r="I5" s="147"/>
      <c r="J5" s="147"/>
      <c r="K5" s="147"/>
      <c r="L5" s="147"/>
      <c r="M5" s="163"/>
      <c r="N5" s="163"/>
      <c r="O5" s="163"/>
      <c r="P5" s="152"/>
    </row>
    <row r="6" spans="1:33" ht="14.1" customHeight="1" x14ac:dyDescent="0.2">
      <c r="A6" s="13"/>
      <c r="B6" s="13"/>
      <c r="D6" s="759"/>
      <c r="E6" s="49"/>
      <c r="F6" s="49"/>
      <c r="G6" s="13"/>
      <c r="H6" s="13"/>
      <c r="I6" s="13"/>
      <c r="J6" s="13"/>
      <c r="K6" s="13"/>
      <c r="L6" s="13"/>
      <c r="M6" s="13"/>
      <c r="N6" s="13"/>
      <c r="O6" s="13"/>
      <c r="P6" s="19"/>
      <c r="Q6" s="19"/>
      <c r="R6" s="19"/>
      <c r="S6" s="19"/>
      <c r="T6" s="19"/>
      <c r="U6" s="19"/>
      <c r="V6" s="19"/>
      <c r="W6" s="19"/>
      <c r="X6" s="19"/>
      <c r="Y6" s="19"/>
      <c r="Z6" s="19"/>
      <c r="AA6" s="19"/>
      <c r="AB6" s="19"/>
      <c r="AC6" s="19"/>
      <c r="AD6" s="19"/>
      <c r="AE6" s="19"/>
    </row>
    <row r="7" spans="1:33" ht="14.1" customHeight="1" x14ac:dyDescent="0.2">
      <c r="A7" s="13"/>
      <c r="B7" s="13"/>
      <c r="D7" s="760" t="str">
        <f>CurrSymbol&amp;" in "&amp;CurrUnits&amp;"s"</f>
        <v>US$ in 1000s</v>
      </c>
      <c r="E7" s="42" t="s">
        <v>12</v>
      </c>
      <c r="F7" s="42" t="s">
        <v>11</v>
      </c>
      <c r="G7" s="75" t="s">
        <v>10</v>
      </c>
      <c r="H7" s="42" t="s">
        <v>39</v>
      </c>
      <c r="I7" s="78" t="s">
        <v>40</v>
      </c>
      <c r="J7" s="42" t="s">
        <v>41</v>
      </c>
      <c r="K7" s="42" t="s">
        <v>42</v>
      </c>
      <c r="L7" s="42" t="s">
        <v>43</v>
      </c>
      <c r="M7" s="42" t="s">
        <v>44</v>
      </c>
      <c r="N7" s="42" t="s">
        <v>45</v>
      </c>
      <c r="O7" s="1442" t="s">
        <v>4324</v>
      </c>
      <c r="Q7" s="19"/>
      <c r="R7" s="19"/>
      <c r="S7" s="19"/>
      <c r="T7" s="19"/>
      <c r="U7" s="19"/>
      <c r="V7" s="19"/>
      <c r="W7" s="19"/>
      <c r="X7" s="19"/>
      <c r="Y7" s="19"/>
      <c r="Z7" s="19"/>
      <c r="AA7" s="19"/>
      <c r="AB7" s="19"/>
      <c r="AC7" s="19"/>
      <c r="AD7" s="19"/>
      <c r="AE7" s="19"/>
    </row>
    <row r="8" spans="1:33" ht="14.1" customHeight="1" x14ac:dyDescent="0.2">
      <c r="A8" s="13"/>
      <c r="B8" s="13"/>
      <c r="D8" s="759"/>
      <c r="E8" s="43">
        <f>Yr1End</f>
        <v>43830</v>
      </c>
      <c r="F8" s="43">
        <f>Yr2End</f>
        <v>44196</v>
      </c>
      <c r="G8" s="76">
        <f>Yr3End</f>
        <v>44561</v>
      </c>
      <c r="H8" s="43">
        <f>Yr4end</f>
        <v>44926</v>
      </c>
      <c r="I8" s="79">
        <f>Yr5end</f>
        <v>45291</v>
      </c>
      <c r="J8" s="43">
        <f>Yr6end</f>
        <v>45657</v>
      </c>
      <c r="K8" s="43">
        <f>Yr7end</f>
        <v>46022</v>
      </c>
      <c r="L8" s="43">
        <f>Yr8end</f>
        <v>46387</v>
      </c>
      <c r="M8" s="43">
        <f>Yr9end</f>
        <v>46752</v>
      </c>
      <c r="N8" s="43">
        <f>Yr10end</f>
        <v>47118</v>
      </c>
      <c r="O8" s="1442"/>
      <c r="P8" s="131"/>
      <c r="Q8" s="19"/>
      <c r="R8" s="19"/>
      <c r="S8" s="19"/>
      <c r="T8" s="19"/>
      <c r="U8" s="19"/>
      <c r="V8" s="19"/>
      <c r="W8" s="19"/>
      <c r="X8" s="19"/>
      <c r="Y8" s="19"/>
      <c r="Z8" s="19"/>
      <c r="AA8" s="19"/>
      <c r="AB8" s="19"/>
      <c r="AC8" s="19"/>
      <c r="AD8" s="19"/>
      <c r="AE8" s="19"/>
    </row>
    <row r="9" spans="1:33" ht="14.1" customHeight="1" x14ac:dyDescent="0.2">
      <c r="A9" s="13"/>
      <c r="B9" s="13"/>
      <c r="D9" s="759"/>
      <c r="E9" s="44">
        <f>Yr1End</f>
        <v>43830</v>
      </c>
      <c r="F9" s="44">
        <f>Yr2End</f>
        <v>44196</v>
      </c>
      <c r="G9" s="77">
        <f>Yr3End</f>
        <v>44561</v>
      </c>
      <c r="H9" s="44">
        <f>Yr4end</f>
        <v>44926</v>
      </c>
      <c r="I9" s="80">
        <f>Yr5end</f>
        <v>45291</v>
      </c>
      <c r="J9" s="44">
        <f>Yr6end</f>
        <v>45657</v>
      </c>
      <c r="K9" s="44">
        <f>Yr7end</f>
        <v>46022</v>
      </c>
      <c r="L9" s="44">
        <f>Yr8end</f>
        <v>46387</v>
      </c>
      <c r="M9" s="44">
        <f>Yr9end</f>
        <v>46752</v>
      </c>
      <c r="N9" s="44">
        <f>Yr10end</f>
        <v>47118</v>
      </c>
      <c r="O9" s="1442"/>
      <c r="P9" s="131"/>
      <c r="Q9" s="19"/>
      <c r="R9" s="19"/>
      <c r="S9" s="19"/>
      <c r="T9" s="19"/>
      <c r="U9" s="19"/>
      <c r="V9" s="19"/>
      <c r="W9" s="19"/>
      <c r="X9" s="19"/>
      <c r="Y9" s="19"/>
      <c r="Z9" s="19"/>
      <c r="AA9" s="19"/>
      <c r="AB9" s="19"/>
      <c r="AC9" s="19"/>
      <c r="AD9" s="19"/>
      <c r="AE9" s="19"/>
    </row>
    <row r="10" spans="1:33" ht="14.1" customHeight="1" x14ac:dyDescent="0.2">
      <c r="A10" s="13"/>
      <c r="B10" s="13"/>
      <c r="D10" s="761"/>
      <c r="E10" s="10"/>
      <c r="F10" s="10"/>
      <c r="G10" s="10"/>
      <c r="H10" s="10"/>
      <c r="I10" s="10"/>
      <c r="J10" s="10"/>
      <c r="K10" s="10"/>
      <c r="L10" s="10"/>
      <c r="M10" s="10"/>
      <c r="N10" s="10"/>
      <c r="O10" s="10"/>
      <c r="Q10" s="9"/>
      <c r="R10" s="9"/>
      <c r="S10" s="19"/>
      <c r="T10" s="19"/>
      <c r="U10" s="19"/>
      <c r="V10" s="19"/>
      <c r="W10" s="19"/>
      <c r="X10" s="19"/>
      <c r="Y10" s="19"/>
      <c r="Z10" s="19"/>
      <c r="AA10" s="19"/>
      <c r="AB10" s="19"/>
      <c r="AC10" s="19"/>
      <c r="AD10" s="19"/>
      <c r="AE10" s="19"/>
    </row>
    <row r="11" spans="1:33" s="122" customFormat="1" ht="15.75" x14ac:dyDescent="0.2">
      <c r="A11" s="1043">
        <v>1</v>
      </c>
      <c r="B11" s="1039"/>
      <c r="C11" s="1039"/>
      <c r="D11" s="1039"/>
      <c r="E11" s="1039"/>
      <c r="F11" s="1039"/>
      <c r="G11" s="1039"/>
      <c r="H11" s="1039"/>
      <c r="I11" s="1039"/>
      <c r="J11" s="1039"/>
      <c r="K11" s="1039"/>
      <c r="L11" s="1039"/>
      <c r="M11" s="1039"/>
      <c r="N11" s="1039"/>
      <c r="O11" s="1039"/>
      <c r="P11" s="206"/>
      <c r="Q11" s="206"/>
      <c r="R11" s="206"/>
      <c r="S11" s="206"/>
      <c r="T11" s="206"/>
      <c r="U11" s="206"/>
      <c r="V11" s="206"/>
      <c r="W11" s="206"/>
      <c r="X11" s="206"/>
      <c r="Y11" s="206"/>
      <c r="Z11" s="206"/>
      <c r="AA11" s="206"/>
      <c r="AB11" s="206"/>
      <c r="AC11" s="206"/>
      <c r="AD11" s="206"/>
      <c r="AE11" s="206"/>
    </row>
    <row r="12" spans="1:33" ht="14.1" customHeight="1" thickBot="1" x14ac:dyDescent="0.25">
      <c r="A12" s="13"/>
      <c r="B12" s="13"/>
      <c r="D12" s="761"/>
      <c r="E12" s="10"/>
      <c r="F12" s="10"/>
      <c r="G12" s="10"/>
      <c r="H12" s="10"/>
      <c r="I12" s="10"/>
      <c r="J12" s="10"/>
      <c r="K12" s="10"/>
      <c r="L12" s="10"/>
      <c r="M12" s="10"/>
      <c r="N12" s="10"/>
      <c r="O12" s="10"/>
      <c r="Q12" s="9"/>
      <c r="R12" s="9"/>
      <c r="S12" s="19"/>
      <c r="T12" s="19"/>
      <c r="U12" s="19"/>
      <c r="V12" s="19"/>
      <c r="W12" s="19"/>
      <c r="X12" s="19"/>
      <c r="Y12" s="19"/>
      <c r="Z12" s="19"/>
      <c r="AA12" s="19"/>
      <c r="AB12" s="19"/>
      <c r="AC12" s="19"/>
      <c r="AD12" s="19"/>
      <c r="AE12" s="19"/>
    </row>
    <row r="13" spans="1:33" ht="15" customHeight="1" x14ac:dyDescent="0.2">
      <c r="A13" s="1436" t="s">
        <v>4319</v>
      </c>
      <c r="B13" s="13"/>
      <c r="D13" s="779" t="s">
        <v>4098</v>
      </c>
      <c r="E13" s="380"/>
      <c r="F13" s="380"/>
      <c r="G13" s="380"/>
      <c r="H13" s="380"/>
      <c r="I13" s="380"/>
      <c r="J13" s="380"/>
      <c r="K13" s="380"/>
      <c r="L13" s="380"/>
      <c r="M13" s="380"/>
      <c r="N13" s="380"/>
      <c r="O13" s="749"/>
      <c r="Q13" s="9"/>
      <c r="R13" s="9"/>
      <c r="S13" s="19"/>
      <c r="T13" s="19"/>
      <c r="U13" s="19"/>
      <c r="V13" s="19"/>
      <c r="W13" s="19"/>
      <c r="X13" s="19"/>
      <c r="Y13" s="19"/>
      <c r="Z13" s="19"/>
      <c r="AA13" s="19"/>
      <c r="AB13" s="19"/>
      <c r="AC13" s="19"/>
      <c r="AD13" s="19"/>
      <c r="AE13" s="19"/>
    </row>
    <row r="14" spans="1:33" s="111" customFormat="1" ht="15" customHeight="1" x14ac:dyDescent="0.2">
      <c r="A14" s="1437"/>
      <c r="B14" s="107"/>
      <c r="C14" s="652"/>
      <c r="D14" s="1139" t="str">
        <f t="shared" ref="D14:N14" si="0">hSystemsFTELaborCostWorstCase_CFS</f>
        <v>hSystems Cost of Labor - Worst Case Total</v>
      </c>
      <c r="E14" s="1136">
        <f t="shared" si="0"/>
        <v>-379378750</v>
      </c>
      <c r="F14" s="1122">
        <f t="shared" si="0"/>
        <v>-386966325</v>
      </c>
      <c r="G14" s="1122">
        <f t="shared" si="0"/>
        <v>-394705651.5</v>
      </c>
      <c r="H14" s="1122">
        <f t="shared" si="0"/>
        <v>-402599764.52999991</v>
      </c>
      <c r="I14" s="1122">
        <f t="shared" si="0"/>
        <v>-410651759.82060003</v>
      </c>
      <c r="J14" s="1122">
        <f t="shared" si="0"/>
        <v>-418864795.017012</v>
      </c>
      <c r="K14" s="1122">
        <f t="shared" si="0"/>
        <v>-427242090.9173522</v>
      </c>
      <c r="L14" s="1122">
        <f t="shared" si="0"/>
        <v>-435786932.73569924</v>
      </c>
      <c r="M14" s="1122">
        <f t="shared" si="0"/>
        <v>-444502671.39041322</v>
      </c>
      <c r="N14" s="1122">
        <f t="shared" si="0"/>
        <v>-453392724.81822163</v>
      </c>
      <c r="O14" s="750"/>
      <c r="P14" s="654"/>
      <c r="Q14" s="110"/>
      <c r="R14" s="110"/>
      <c r="S14" s="107"/>
      <c r="T14" s="107"/>
      <c r="U14" s="107"/>
      <c r="V14" s="107"/>
      <c r="W14" s="107"/>
      <c r="X14" s="107"/>
      <c r="Y14" s="107"/>
      <c r="Z14" s="107"/>
      <c r="AA14" s="107"/>
      <c r="AB14" s="107"/>
      <c r="AC14" s="107"/>
      <c r="AD14" s="107"/>
      <c r="AE14" s="107"/>
    </row>
    <row r="15" spans="1:33" s="111" customFormat="1" ht="15" customHeight="1" x14ac:dyDescent="0.2">
      <c r="A15" s="1437"/>
      <c r="B15" s="107"/>
      <c r="C15" s="652"/>
      <c r="D15" s="1139" t="str">
        <f t="shared" ref="D15:N15" si="1">hSystemsFTELaborCostMostLikely_CFS</f>
        <v>hSystems Cost of Labor - Most Likely Total</v>
      </c>
      <c r="E15" s="1137">
        <f t="shared" si="1"/>
        <v>-358023015.625</v>
      </c>
      <c r="F15" s="1137">
        <f t="shared" si="1"/>
        <v>-364856502.1875</v>
      </c>
      <c r="G15" s="1137">
        <f t="shared" si="1"/>
        <v>-371820119.00624996</v>
      </c>
      <c r="H15" s="1137">
        <f t="shared" si="1"/>
        <v>-378916337.8968749</v>
      </c>
      <c r="I15" s="1137">
        <f t="shared" si="1"/>
        <v>-386147677.49552238</v>
      </c>
      <c r="J15" s="1137">
        <f t="shared" si="1"/>
        <v>-393516704.14295709</v>
      </c>
      <c r="K15" s="1137">
        <f t="shared" si="1"/>
        <v>-401026032.78529108</v>
      </c>
      <c r="L15" s="1137">
        <f t="shared" si="1"/>
        <v>-408678327.89166093</v>
      </c>
      <c r="M15" s="1137">
        <f t="shared" si="1"/>
        <v>-416476304.38917166</v>
      </c>
      <c r="N15" s="1137">
        <f t="shared" si="1"/>
        <v>-424422728.61542606</v>
      </c>
      <c r="O15" s="750"/>
      <c r="P15" s="654"/>
      <c r="Q15" s="110"/>
      <c r="R15" s="110"/>
      <c r="S15" s="107"/>
      <c r="T15" s="107"/>
      <c r="U15" s="107"/>
      <c r="V15" s="107"/>
      <c r="W15" s="107"/>
      <c r="X15" s="107"/>
      <c r="Y15" s="107"/>
      <c r="Z15" s="107"/>
      <c r="AA15" s="107"/>
      <c r="AB15" s="107"/>
      <c r="AC15" s="107"/>
      <c r="AD15" s="107"/>
      <c r="AE15" s="107"/>
    </row>
    <row r="16" spans="1:33" s="111" customFormat="1" ht="15" customHeight="1" x14ac:dyDescent="0.2">
      <c r="A16" s="1437"/>
      <c r="B16" s="107"/>
      <c r="C16" s="652"/>
      <c r="D16" s="1139" t="str">
        <f t="shared" ref="D16:N16" si="2">hSystemsFTELaborCostBestCase_CFS</f>
        <v>hSystems Cost of Labor - Best Case Total</v>
      </c>
      <c r="E16" s="1137">
        <f t="shared" si="2"/>
        <v>-337503531.25</v>
      </c>
      <c r="F16" s="1137">
        <f t="shared" si="2"/>
        <v>-343926628.125</v>
      </c>
      <c r="G16" s="1137">
        <f t="shared" si="2"/>
        <v>-350471647.46250004</v>
      </c>
      <c r="H16" s="1137">
        <f t="shared" si="2"/>
        <v>-357140896.92224997</v>
      </c>
      <c r="I16" s="1137">
        <f t="shared" si="2"/>
        <v>-363936727.70140493</v>
      </c>
      <c r="J16" s="1137">
        <f t="shared" si="2"/>
        <v>-370861535.35295731</v>
      </c>
      <c r="K16" s="1137">
        <f t="shared" si="2"/>
        <v>-377917760.61949122</v>
      </c>
      <c r="L16" s="1137">
        <f t="shared" si="2"/>
        <v>-385107890.28254509</v>
      </c>
      <c r="M16" s="1137">
        <f t="shared" si="2"/>
        <v>-392434458.02787352</v>
      </c>
      <c r="N16" s="1137">
        <f t="shared" si="2"/>
        <v>-399900045.32690185</v>
      </c>
      <c r="O16" s="750"/>
      <c r="P16" s="654"/>
      <c r="Q16" s="110"/>
      <c r="R16" s="110"/>
      <c r="S16" s="107"/>
      <c r="T16" s="107"/>
      <c r="U16" s="107"/>
      <c r="V16" s="107"/>
      <c r="W16" s="107"/>
      <c r="X16" s="107"/>
      <c r="Y16" s="107"/>
      <c r="Z16" s="107"/>
      <c r="AA16" s="107"/>
      <c r="AB16" s="107"/>
      <c r="AC16" s="107"/>
      <c r="AD16" s="107"/>
      <c r="AE16" s="107"/>
    </row>
    <row r="17" spans="1:31" s="111" customFormat="1" ht="15" customHeight="1" thickBot="1" x14ac:dyDescent="0.25">
      <c r="A17" s="1437"/>
      <c r="B17" s="107"/>
      <c r="C17" s="652"/>
      <c r="D17" s="774"/>
      <c r="E17" s="775"/>
      <c r="F17" s="775"/>
      <c r="G17" s="775"/>
      <c r="H17" s="775"/>
      <c r="I17" s="775"/>
      <c r="J17" s="775"/>
      <c r="K17" s="775"/>
      <c r="L17" s="775"/>
      <c r="M17" s="775"/>
      <c r="N17" s="775"/>
      <c r="O17" s="756"/>
      <c r="P17" s="654"/>
      <c r="Q17" s="110"/>
      <c r="R17" s="110"/>
      <c r="S17" s="107"/>
      <c r="T17" s="107"/>
      <c r="U17" s="107"/>
      <c r="V17" s="107"/>
      <c r="W17" s="107"/>
      <c r="X17" s="107"/>
      <c r="Y17" s="107"/>
      <c r="Z17" s="107"/>
      <c r="AA17" s="107"/>
      <c r="AB17" s="107"/>
      <c r="AC17" s="107"/>
      <c r="AD17" s="107"/>
      <c r="AE17" s="107"/>
    </row>
    <row r="18" spans="1:31" s="111" customFormat="1" ht="15" customHeight="1" thickBot="1" x14ac:dyDescent="0.25">
      <c r="A18" s="1437"/>
      <c r="B18" s="107"/>
      <c r="C18" s="652"/>
      <c r="D18" s="762"/>
      <c r="E18" s="657"/>
      <c r="F18" s="657"/>
      <c r="G18" s="657"/>
      <c r="H18" s="657"/>
      <c r="I18" s="657"/>
      <c r="J18" s="657"/>
      <c r="K18" s="657"/>
      <c r="L18" s="657"/>
      <c r="M18" s="657"/>
      <c r="N18" s="657"/>
      <c r="O18" s="202"/>
      <c r="P18" s="654"/>
      <c r="Q18" s="110"/>
      <c r="R18" s="110"/>
      <c r="S18" s="107"/>
      <c r="T18" s="107"/>
      <c r="U18" s="107"/>
      <c r="V18" s="107"/>
      <c r="W18" s="107"/>
      <c r="X18" s="107"/>
      <c r="Y18" s="107"/>
      <c r="Z18" s="107"/>
      <c r="AA18" s="107"/>
      <c r="AB18" s="107"/>
      <c r="AC18" s="107"/>
      <c r="AD18" s="107"/>
      <c r="AE18" s="107"/>
    </row>
    <row r="19" spans="1:31" s="111" customFormat="1" ht="15" customHeight="1" x14ac:dyDescent="0.2">
      <c r="A19" s="1437"/>
      <c r="B19" s="107"/>
      <c r="C19" s="652"/>
      <c r="D19" s="778" t="s">
        <v>4084</v>
      </c>
      <c r="E19" s="776"/>
      <c r="F19" s="776"/>
      <c r="G19" s="776"/>
      <c r="H19" s="776"/>
      <c r="I19" s="776"/>
      <c r="J19" s="776"/>
      <c r="K19" s="776"/>
      <c r="L19" s="776"/>
      <c r="M19" s="776"/>
      <c r="N19" s="776"/>
      <c r="O19" s="777"/>
      <c r="P19" s="654"/>
      <c r="Q19" s="110"/>
      <c r="R19" s="110"/>
      <c r="S19" s="107"/>
      <c r="T19" s="107"/>
      <c r="U19" s="107"/>
      <c r="V19" s="107"/>
      <c r="W19" s="107"/>
      <c r="X19" s="107"/>
      <c r="Y19" s="107"/>
      <c r="Z19" s="107"/>
      <c r="AA19" s="107"/>
      <c r="AB19" s="107"/>
      <c r="AC19" s="107"/>
      <c r="AD19" s="107"/>
      <c r="AE19" s="107"/>
    </row>
    <row r="20" spans="1:31" s="111" customFormat="1" ht="15" customHeight="1" x14ac:dyDescent="0.2">
      <c r="A20" s="1437"/>
      <c r="B20" s="107"/>
      <c r="C20" s="652"/>
      <c r="D20" s="1139" t="s">
        <v>4101</v>
      </c>
      <c r="E20" s="1117">
        <f t="shared" ref="E20:N20" si="3">SUM(E14-E31)</f>
        <v>-375482881.91358477</v>
      </c>
      <c r="F20" s="1117">
        <f t="shared" si="3"/>
        <v>-383718906.32504439</v>
      </c>
      <c r="G20" s="1117">
        <f t="shared" si="3"/>
        <v>-391304962.63051945</v>
      </c>
      <c r="H20" s="1117">
        <f t="shared" si="3"/>
        <v>-399939914.30250067</v>
      </c>
      <c r="I20" s="1117">
        <f t="shared" si="3"/>
        <v>-407757668.08561689</v>
      </c>
      <c r="J20" s="1117">
        <f t="shared" si="3"/>
        <v>-415634909.42103767</v>
      </c>
      <c r="K20" s="1117">
        <f t="shared" si="3"/>
        <v>-423765484.84089661</v>
      </c>
      <c r="L20" s="1117">
        <f t="shared" si="3"/>
        <v>-433004253.92972416</v>
      </c>
      <c r="M20" s="1117">
        <f t="shared" si="3"/>
        <v>-441467775.24348748</v>
      </c>
      <c r="N20" s="1117">
        <f t="shared" si="3"/>
        <v>-450023435.17490643</v>
      </c>
      <c r="O20" s="751"/>
      <c r="P20" s="653"/>
      <c r="Q20" s="110"/>
      <c r="R20" s="110"/>
      <c r="S20" s="82"/>
      <c r="T20" s="107"/>
      <c r="U20" s="107"/>
      <c r="V20" s="107"/>
      <c r="W20" s="107"/>
      <c r="X20" s="107"/>
      <c r="Y20" s="107"/>
      <c r="Z20" s="107"/>
      <c r="AA20" s="107"/>
      <c r="AB20" s="107"/>
      <c r="AC20" s="107"/>
      <c r="AD20" s="107"/>
      <c r="AE20" s="107"/>
    </row>
    <row r="21" spans="1:31" s="111" customFormat="1" ht="15" customHeight="1" x14ac:dyDescent="0.2">
      <c r="A21" s="1437"/>
      <c r="B21" s="107"/>
      <c r="C21" s="652"/>
      <c r="D21" s="1139" t="s">
        <v>4099</v>
      </c>
      <c r="E21" s="1117">
        <f t="shared" ref="E21:N21" si="4">SUM(E15-E31)</f>
        <v>-354127147.53858477</v>
      </c>
      <c r="F21" s="1117">
        <f t="shared" si="4"/>
        <v>-361609083.51254439</v>
      </c>
      <c r="G21" s="1117">
        <f t="shared" si="4"/>
        <v>-368419430.13676941</v>
      </c>
      <c r="H21" s="1117">
        <f t="shared" si="4"/>
        <v>-376256487.66937566</v>
      </c>
      <c r="I21" s="1117">
        <f t="shared" si="4"/>
        <v>-383253585.76053923</v>
      </c>
      <c r="J21" s="1117">
        <f t="shared" si="4"/>
        <v>-390286818.54698277</v>
      </c>
      <c r="K21" s="1117">
        <f t="shared" si="4"/>
        <v>-397549426.70883548</v>
      </c>
      <c r="L21" s="1117">
        <f t="shared" si="4"/>
        <v>-405895649.08568585</v>
      </c>
      <c r="M21" s="1117">
        <f t="shared" si="4"/>
        <v>-413441408.24224591</v>
      </c>
      <c r="N21" s="1117">
        <f t="shared" si="4"/>
        <v>-421053438.97211087</v>
      </c>
      <c r="O21" s="751"/>
      <c r="P21" s="653"/>
      <c r="Q21" s="110"/>
      <c r="R21" s="110"/>
      <c r="S21" s="82"/>
      <c r="T21" s="107"/>
      <c r="U21" s="107"/>
      <c r="V21" s="107"/>
      <c r="W21" s="107"/>
      <c r="X21" s="107"/>
      <c r="Y21" s="107"/>
      <c r="Z21" s="107"/>
      <c r="AA21" s="107"/>
      <c r="AB21" s="107"/>
      <c r="AC21" s="107"/>
      <c r="AD21" s="107"/>
      <c r="AE21" s="107"/>
    </row>
    <row r="22" spans="1:31" s="111" customFormat="1" ht="15" customHeight="1" x14ac:dyDescent="0.2">
      <c r="A22" s="1437"/>
      <c r="B22" s="107"/>
      <c r="C22" s="652"/>
      <c r="D22" s="1139" t="s">
        <v>4100</v>
      </c>
      <c r="E22" s="1117">
        <f t="shared" ref="E22:N22" si="5">SUM(E16-E31)</f>
        <v>-333607663.16358477</v>
      </c>
      <c r="F22" s="1117">
        <f t="shared" si="5"/>
        <v>-340679209.45004439</v>
      </c>
      <c r="G22" s="1117">
        <f t="shared" si="5"/>
        <v>-347070958.59301949</v>
      </c>
      <c r="H22" s="1117">
        <f t="shared" si="5"/>
        <v>-354481046.69475073</v>
      </c>
      <c r="I22" s="1117">
        <f t="shared" si="5"/>
        <v>-361042635.96642178</v>
      </c>
      <c r="J22" s="1117">
        <f t="shared" si="5"/>
        <v>-367631649.75698298</v>
      </c>
      <c r="K22" s="1117">
        <f t="shared" si="5"/>
        <v>-374441154.54303563</v>
      </c>
      <c r="L22" s="1117">
        <f t="shared" si="5"/>
        <v>-382325211.47657001</v>
      </c>
      <c r="M22" s="1117">
        <f t="shared" si="5"/>
        <v>-389399561.88094777</v>
      </c>
      <c r="N22" s="1117">
        <f t="shared" si="5"/>
        <v>-396530755.68358666</v>
      </c>
      <c r="O22" s="751"/>
      <c r="P22" s="653"/>
      <c r="Q22" s="110"/>
      <c r="R22" s="110"/>
      <c r="S22" s="82"/>
      <c r="T22" s="107"/>
      <c r="U22" s="107"/>
      <c r="V22" s="107"/>
      <c r="W22" s="107"/>
      <c r="X22" s="107"/>
      <c r="Y22" s="107"/>
      <c r="Z22" s="107"/>
      <c r="AA22" s="107"/>
      <c r="AB22" s="107"/>
      <c r="AC22" s="107"/>
      <c r="AD22" s="107"/>
      <c r="AE22" s="107"/>
    </row>
    <row r="23" spans="1:31" s="111" customFormat="1" ht="15" customHeight="1" thickBot="1" x14ac:dyDescent="0.25">
      <c r="A23" s="1438"/>
      <c r="B23" s="107"/>
      <c r="C23" s="652"/>
      <c r="D23" s="774"/>
      <c r="E23" s="752"/>
      <c r="F23" s="752"/>
      <c r="G23" s="752"/>
      <c r="H23" s="752"/>
      <c r="I23" s="752"/>
      <c r="J23" s="752"/>
      <c r="K23" s="752"/>
      <c r="L23" s="752"/>
      <c r="M23" s="752"/>
      <c r="N23" s="752"/>
      <c r="O23" s="753"/>
      <c r="P23" s="653"/>
      <c r="Q23" s="110"/>
      <c r="R23" s="110"/>
      <c r="S23" s="82"/>
      <c r="T23" s="107"/>
      <c r="U23" s="107"/>
      <c r="V23" s="107"/>
      <c r="W23" s="107"/>
      <c r="X23" s="107"/>
      <c r="Y23" s="107"/>
      <c r="Z23" s="107"/>
      <c r="AA23" s="107"/>
      <c r="AB23" s="107"/>
      <c r="AC23" s="107"/>
      <c r="AD23" s="107"/>
      <c r="AE23" s="107"/>
    </row>
    <row r="24" spans="1:31" s="111" customFormat="1" ht="15" customHeight="1" x14ac:dyDescent="0.2">
      <c r="A24" s="107"/>
      <c r="B24" s="107"/>
      <c r="C24" s="652"/>
      <c r="D24" s="773"/>
      <c r="E24" s="652"/>
      <c r="F24" s="652"/>
      <c r="G24" s="652"/>
      <c r="H24" s="652"/>
      <c r="I24" s="652"/>
      <c r="J24" s="652"/>
      <c r="K24" s="652"/>
      <c r="L24" s="652"/>
      <c r="M24" s="652"/>
      <c r="N24" s="652"/>
      <c r="O24" s="655"/>
      <c r="P24" s="653"/>
      <c r="Q24" s="110"/>
      <c r="R24" s="110"/>
      <c r="S24" s="82"/>
      <c r="T24" s="107"/>
      <c r="U24" s="107"/>
      <c r="V24" s="107"/>
      <c r="W24" s="107"/>
      <c r="X24" s="107"/>
      <c r="Y24" s="107"/>
      <c r="Z24" s="107"/>
      <c r="AA24" s="107"/>
      <c r="AB24" s="107"/>
      <c r="AC24" s="107"/>
      <c r="AD24" s="107"/>
      <c r="AE24" s="107"/>
    </row>
    <row r="25" spans="1:31" s="122" customFormat="1" ht="15.75" x14ac:dyDescent="0.2">
      <c r="A25" s="1043">
        <v>2</v>
      </c>
      <c r="B25" s="1039"/>
      <c r="C25" s="1039"/>
      <c r="D25" s="1039"/>
      <c r="E25" s="1039"/>
      <c r="F25" s="1039"/>
      <c r="G25" s="1039"/>
      <c r="H25" s="1039"/>
      <c r="I25" s="1039"/>
      <c r="J25" s="1039"/>
      <c r="K25" s="1039"/>
      <c r="L25" s="1039"/>
      <c r="M25" s="1039"/>
      <c r="N25" s="1039"/>
      <c r="O25" s="1039"/>
      <c r="P25" s="206"/>
      <c r="Q25" s="206"/>
      <c r="R25" s="206"/>
      <c r="S25" s="206"/>
      <c r="T25" s="206"/>
      <c r="U25" s="206"/>
      <c r="V25" s="206"/>
      <c r="W25" s="206"/>
      <c r="X25" s="206"/>
      <c r="Y25" s="206"/>
      <c r="Z25" s="206"/>
      <c r="AA25" s="206"/>
      <c r="AB25" s="206"/>
      <c r="AC25" s="206"/>
      <c r="AD25" s="206"/>
      <c r="AE25" s="206"/>
    </row>
    <row r="26" spans="1:31" s="111" customFormat="1" ht="15" customHeight="1" thickBot="1" x14ac:dyDescent="0.25">
      <c r="A26" s="107"/>
      <c r="B26" s="107"/>
      <c r="C26" s="652"/>
      <c r="D26" s="773"/>
      <c r="E26" s="652"/>
      <c r="F26" s="652"/>
      <c r="G26" s="652"/>
      <c r="H26" s="652"/>
      <c r="I26" s="652"/>
      <c r="J26" s="652"/>
      <c r="K26" s="652"/>
      <c r="L26" s="652"/>
      <c r="M26" s="652"/>
      <c r="N26" s="652"/>
      <c r="O26" s="655"/>
      <c r="P26" s="653"/>
      <c r="Q26" s="110"/>
      <c r="R26" s="110"/>
      <c r="S26" s="82"/>
      <c r="T26" s="107"/>
      <c r="U26" s="107"/>
      <c r="V26" s="107"/>
      <c r="W26" s="107"/>
      <c r="X26" s="107"/>
      <c r="Y26" s="107"/>
      <c r="Z26" s="107"/>
      <c r="AA26" s="107"/>
      <c r="AB26" s="107"/>
      <c r="AC26" s="107"/>
      <c r="AD26" s="107"/>
      <c r="AE26" s="107"/>
    </row>
    <row r="27" spans="1:31" ht="15" customHeight="1" x14ac:dyDescent="0.2">
      <c r="A27" s="1439" t="s">
        <v>4320</v>
      </c>
      <c r="B27" s="13"/>
      <c r="C27" s="652"/>
      <c r="D27" s="779" t="s">
        <v>4070</v>
      </c>
      <c r="E27" s="380"/>
      <c r="F27" s="380"/>
      <c r="G27" s="380"/>
      <c r="H27" s="380"/>
      <c r="I27" s="380"/>
      <c r="J27" s="380"/>
      <c r="K27" s="380"/>
      <c r="L27" s="380"/>
      <c r="M27" s="380"/>
      <c r="N27" s="380"/>
      <c r="O27" s="749"/>
      <c r="P27" s="9"/>
      <c r="Q27" s="9"/>
      <c r="R27" s="9"/>
      <c r="S27" s="19"/>
      <c r="T27" s="19"/>
      <c r="U27" s="19"/>
      <c r="V27" s="19"/>
      <c r="W27" s="19"/>
      <c r="X27" s="19"/>
      <c r="Y27" s="19"/>
      <c r="Z27" s="19"/>
      <c r="AA27" s="19"/>
      <c r="AB27" s="19"/>
      <c r="AC27" s="19"/>
      <c r="AD27" s="19"/>
      <c r="AE27" s="19"/>
    </row>
    <row r="28" spans="1:31" s="98" customFormat="1" ht="15" customHeight="1" x14ac:dyDescent="0.2">
      <c r="A28" s="1440"/>
      <c r="B28" s="50"/>
      <c r="C28" s="127"/>
      <c r="D28" s="1139" t="str">
        <f t="shared" ref="D28:N28" si="6">hSystemsReworkTotalCostpa_CFS</f>
        <v>hSystems Induced Labor Cost - Records Rework</v>
      </c>
      <c r="E28" s="1114">
        <f t="shared" si="6"/>
        <v>-1503620.9510462603</v>
      </c>
      <c r="F28" s="1114">
        <f t="shared" si="6"/>
        <v>-765698.67602890392</v>
      </c>
      <c r="G28" s="1114">
        <f t="shared" si="6"/>
        <v>-702126.98232756357</v>
      </c>
      <c r="H28" s="1114">
        <f t="shared" si="6"/>
        <v>-638308.24880919571</v>
      </c>
      <c r="I28" s="1114">
        <f t="shared" si="6"/>
        <v>-651599.54109314736</v>
      </c>
      <c r="J28" s="1114">
        <f t="shared" si="6"/>
        <v>-665174.21523519326</v>
      </c>
      <c r="K28" s="1114">
        <f t="shared" si="6"/>
        <v>-679037.08208664658</v>
      </c>
      <c r="L28" s="1114">
        <f t="shared" si="6"/>
        <v>-693193.30419660069</v>
      </c>
      <c r="M28" s="1114">
        <f t="shared" si="6"/>
        <v>-707648.33408807474</v>
      </c>
      <c r="N28" s="1114">
        <f t="shared" si="6"/>
        <v>-722407.87286789133</v>
      </c>
      <c r="O28" s="750"/>
      <c r="P28" s="106"/>
      <c r="Q28" s="106"/>
      <c r="R28" s="106"/>
      <c r="S28" s="50"/>
      <c r="T28" s="50"/>
      <c r="U28" s="50"/>
      <c r="V28" s="50"/>
      <c r="W28" s="50"/>
      <c r="X28" s="50"/>
      <c r="Y28" s="50"/>
      <c r="Z28" s="50"/>
      <c r="AA28" s="50"/>
      <c r="AB28" s="50"/>
      <c r="AC28" s="50"/>
      <c r="AD28" s="50"/>
      <c r="AE28" s="50"/>
    </row>
    <row r="29" spans="1:31" s="98" customFormat="1" ht="15" customHeight="1" x14ac:dyDescent="0.2">
      <c r="A29" s="1440"/>
      <c r="B29" s="50"/>
      <c r="C29" s="127"/>
      <c r="D29" s="1139" t="str">
        <f t="shared" ref="D29:N29" si="7">hSystemsLease_Cost_Total_CFS</f>
        <v>hSystems Induced Cost - Lessee Related</v>
      </c>
      <c r="E29" s="1114">
        <f t="shared" si="7"/>
        <v>-2044917.0746318332</v>
      </c>
      <c r="F29" s="1114">
        <f t="shared" si="7"/>
        <v>-2134389.9381895335</v>
      </c>
      <c r="G29" s="1114">
        <f t="shared" si="7"/>
        <v>-2351231.8264158419</v>
      </c>
      <c r="H29" s="1114">
        <f t="shared" si="7"/>
        <v>-1674211.9179528712</v>
      </c>
      <c r="I29" s="1114">
        <f t="shared" si="7"/>
        <v>-1895162.133152806</v>
      </c>
      <c r="J29" s="1114">
        <f t="shared" si="7"/>
        <v>-2217381.3200019677</v>
      </c>
      <c r="K29" s="1114">
        <f t="shared" si="7"/>
        <v>-2450238.933631754</v>
      </c>
      <c r="L29" s="1114">
        <f t="shared" si="7"/>
        <v>-1742155.441041301</v>
      </c>
      <c r="M29" s="1114">
        <f t="shared" si="7"/>
        <v>-1979917.752100508</v>
      </c>
      <c r="N29" s="1114">
        <f t="shared" si="7"/>
        <v>-2299551.7097101505</v>
      </c>
      <c r="O29" s="750"/>
      <c r="P29" s="106"/>
      <c r="Q29" s="106"/>
      <c r="R29" s="106"/>
      <c r="S29" s="50"/>
      <c r="T29" s="50"/>
      <c r="U29" s="50"/>
      <c r="V29" s="50"/>
      <c r="W29" s="50"/>
      <c r="X29" s="50"/>
      <c r="Y29" s="50"/>
      <c r="Z29" s="50"/>
      <c r="AA29" s="50"/>
      <c r="AB29" s="50"/>
      <c r="AC29" s="50"/>
      <c r="AD29" s="50"/>
      <c r="AE29" s="50"/>
    </row>
    <row r="30" spans="1:31" s="98" customFormat="1" ht="15" customHeight="1" x14ac:dyDescent="0.2">
      <c r="A30" s="1440"/>
      <c r="B30" s="50"/>
      <c r="C30" s="127"/>
      <c r="D30" s="1139" t="str">
        <f t="shared" ref="D30:N30" si="8">hSystemsCostsWarrantyTotal_CFS</f>
        <v>hSystems Labor Cost - Warranty Related</v>
      </c>
      <c r="E30" s="1114">
        <f t="shared" si="8"/>
        <v>-347330.06073716615</v>
      </c>
      <c r="F30" s="1114">
        <f t="shared" si="8"/>
        <v>-347330.06073716615</v>
      </c>
      <c r="G30" s="1114">
        <f t="shared" si="8"/>
        <v>-347330.06073716615</v>
      </c>
      <c r="H30" s="1114">
        <f t="shared" si="8"/>
        <v>-347330.06073716615</v>
      </c>
      <c r="I30" s="1114">
        <f t="shared" si="8"/>
        <v>-347330.06073716615</v>
      </c>
      <c r="J30" s="1114">
        <f t="shared" si="8"/>
        <v>-347330.06073716615</v>
      </c>
      <c r="K30" s="1114">
        <f t="shared" si="8"/>
        <v>-347330.06073716615</v>
      </c>
      <c r="L30" s="1114">
        <f t="shared" si="8"/>
        <v>-347330.06073716615</v>
      </c>
      <c r="M30" s="1114">
        <f t="shared" si="8"/>
        <v>-347330.06073716615</v>
      </c>
      <c r="N30" s="1114">
        <f t="shared" si="8"/>
        <v>-347330.06073716615</v>
      </c>
      <c r="O30" s="750"/>
      <c r="P30" s="656"/>
      <c r="Q30" s="106"/>
      <c r="R30" s="106"/>
      <c r="S30" s="50"/>
      <c r="T30" s="50"/>
      <c r="U30" s="50"/>
      <c r="V30" s="50"/>
      <c r="W30" s="50"/>
      <c r="X30" s="50"/>
      <c r="Y30" s="50"/>
      <c r="Z30" s="50"/>
      <c r="AA30" s="50"/>
      <c r="AB30" s="50"/>
      <c r="AC30" s="50"/>
      <c r="AD30" s="50"/>
      <c r="AE30" s="50"/>
    </row>
    <row r="31" spans="1:31" s="98" customFormat="1" ht="15" customHeight="1" x14ac:dyDescent="0.2">
      <c r="A31" s="1440"/>
      <c r="B31" s="50"/>
      <c r="C31" s="127"/>
      <c r="D31" s="1141" t="s">
        <v>4071</v>
      </c>
      <c r="E31" s="1117">
        <f>SUM(E28:E30)</f>
        <v>-3895868.0864152596</v>
      </c>
      <c r="F31" s="1117">
        <f t="shared" ref="F31:N31" si="9">SUM(F28:F30)</f>
        <v>-3247418.6749556037</v>
      </c>
      <c r="G31" s="1117">
        <f t="shared" si="9"/>
        <v>-3400688.8694805717</v>
      </c>
      <c r="H31" s="1117">
        <f t="shared" si="9"/>
        <v>-2659850.2274992331</v>
      </c>
      <c r="I31" s="1117">
        <f t="shared" si="9"/>
        <v>-2894091.7349831196</v>
      </c>
      <c r="J31" s="1117">
        <f t="shared" si="9"/>
        <v>-3229885.5959743271</v>
      </c>
      <c r="K31" s="1117">
        <f t="shared" si="9"/>
        <v>-3476606.0764555666</v>
      </c>
      <c r="L31" s="1117">
        <f t="shared" si="9"/>
        <v>-2782678.8059750679</v>
      </c>
      <c r="M31" s="1117">
        <f t="shared" si="9"/>
        <v>-3034896.1469257488</v>
      </c>
      <c r="N31" s="1117">
        <f t="shared" si="9"/>
        <v>-3369289.6433152077</v>
      </c>
      <c r="O31" s="1166" t="s">
        <v>4330</v>
      </c>
      <c r="P31" s="656"/>
      <c r="Q31" s="106"/>
      <c r="R31" s="106"/>
      <c r="S31" s="50"/>
      <c r="T31" s="50"/>
      <c r="U31" s="50"/>
      <c r="V31" s="50"/>
      <c r="W31" s="50"/>
      <c r="X31" s="50"/>
      <c r="Y31" s="50"/>
      <c r="Z31" s="50"/>
      <c r="AA31" s="50"/>
      <c r="AB31" s="50"/>
      <c r="AC31" s="50"/>
      <c r="AD31" s="50"/>
      <c r="AE31" s="50"/>
    </row>
    <row r="32" spans="1:31" s="111" customFormat="1" ht="15" customHeight="1" x14ac:dyDescent="0.2">
      <c r="A32" s="1440"/>
      <c r="B32" s="107"/>
      <c r="C32" s="652"/>
      <c r="D32" s="764"/>
      <c r="E32" s="652"/>
      <c r="F32" s="652"/>
      <c r="G32" s="652"/>
      <c r="H32" s="652"/>
      <c r="I32" s="652"/>
      <c r="J32" s="652"/>
      <c r="K32" s="652"/>
      <c r="L32" s="652"/>
      <c r="M32" s="652"/>
      <c r="N32" s="652"/>
      <c r="O32" s="750"/>
      <c r="P32" s="653"/>
      <c r="Q32" s="110"/>
      <c r="R32" s="110"/>
      <c r="S32" s="82"/>
      <c r="T32" s="107"/>
      <c r="U32" s="107"/>
      <c r="V32" s="107"/>
      <c r="W32" s="107"/>
      <c r="X32" s="107"/>
      <c r="Y32" s="107"/>
      <c r="Z32" s="107"/>
      <c r="AA32" s="107"/>
      <c r="AB32" s="107"/>
      <c r="AC32" s="107"/>
      <c r="AD32" s="107"/>
      <c r="AE32" s="107"/>
    </row>
    <row r="33" spans="1:31" s="111" customFormat="1" ht="15" customHeight="1" x14ac:dyDescent="0.2">
      <c r="A33" s="1440"/>
      <c r="B33" s="107"/>
      <c r="C33" s="652"/>
      <c r="D33" s="767" t="s">
        <v>4085</v>
      </c>
      <c r="E33" s="652"/>
      <c r="F33" s="652"/>
      <c r="G33" s="652"/>
      <c r="H33" s="652"/>
      <c r="I33" s="652"/>
      <c r="J33" s="652"/>
      <c r="K33" s="652"/>
      <c r="L33" s="652"/>
      <c r="M33" s="652"/>
      <c r="N33" s="652"/>
      <c r="O33" s="750"/>
      <c r="P33" s="653"/>
      <c r="Q33" s="110"/>
      <c r="R33" s="110"/>
      <c r="S33" s="82"/>
      <c r="T33" s="107"/>
      <c r="U33" s="107"/>
      <c r="V33" s="107"/>
      <c r="W33" s="107"/>
      <c r="X33" s="107"/>
      <c r="Y33" s="107"/>
      <c r="Z33" s="107"/>
      <c r="AA33" s="107"/>
      <c r="AB33" s="107"/>
      <c r="AC33" s="107"/>
      <c r="AD33" s="107"/>
      <c r="AE33" s="107"/>
    </row>
    <row r="34" spans="1:31" s="7" customFormat="1" ht="15" customHeight="1" x14ac:dyDescent="0.2">
      <c r="A34" s="1440"/>
      <c r="B34" s="50"/>
      <c r="C34" s="127"/>
      <c r="D34" s="1139" t="str">
        <f t="shared" ref="D34:N34" si="10">hSystems_CFS_PaperProcess</f>
        <v>Outsourced Paper Records Processing Cost</v>
      </c>
      <c r="E34" s="1114">
        <f t="shared" si="10"/>
        <v>-2360221.71</v>
      </c>
      <c r="F34" s="1114">
        <f t="shared" si="10"/>
        <v>-1202371.2599142857</v>
      </c>
      <c r="G34" s="1114">
        <f t="shared" si="10"/>
        <v>-1102864.5519308997</v>
      </c>
      <c r="H34" s="1114">
        <f t="shared" si="10"/>
        <v>-1001977.9859669253</v>
      </c>
      <c r="I34" s="1114">
        <f t="shared" si="10"/>
        <v>-1022656.6902839985</v>
      </c>
      <c r="J34" s="1114">
        <f t="shared" si="10"/>
        <v>-1043770.1150925587</v>
      </c>
      <c r="K34" s="1114">
        <f t="shared" si="10"/>
        <v>-1065325.9454789041</v>
      </c>
      <c r="L34" s="1114">
        <f t="shared" si="10"/>
        <v>-1087332.3232943739</v>
      </c>
      <c r="M34" s="1114">
        <f t="shared" si="10"/>
        <v>-1109797.7747650221</v>
      </c>
      <c r="N34" s="1114">
        <f t="shared" si="10"/>
        <v>-1132731.1622276348</v>
      </c>
      <c r="O34" s="750"/>
      <c r="P34" s="697"/>
      <c r="Q34" s="697"/>
      <c r="R34" s="697"/>
      <c r="S34" s="24"/>
      <c r="T34" s="24"/>
      <c r="U34" s="24"/>
      <c r="V34" s="24"/>
      <c r="W34" s="24"/>
      <c r="X34" s="24"/>
      <c r="Y34" s="24"/>
      <c r="Z34" s="24"/>
      <c r="AA34" s="24"/>
      <c r="AB34" s="24"/>
      <c r="AC34" s="24"/>
      <c r="AD34" s="24"/>
      <c r="AE34" s="24"/>
    </row>
    <row r="35" spans="1:31" s="7" customFormat="1" ht="15" customHeight="1" x14ac:dyDescent="0.2">
      <c r="A35" s="1440"/>
      <c r="B35" s="50"/>
      <c r="C35" s="127"/>
      <c r="D35" s="1139" t="str">
        <f t="shared" ref="D35:N35" si="11">hSystems_CFS_RecordsPaperPurchase</f>
        <v>Copy Paper Purchase Costs</v>
      </c>
      <c r="E35" s="1114">
        <f t="shared" si="11"/>
        <v>-214565.61000000002</v>
      </c>
      <c r="F35" s="1114">
        <f t="shared" si="11"/>
        <v>-109306.47817402598</v>
      </c>
      <c r="G35" s="1114">
        <f t="shared" si="11"/>
        <v>-100260.41381189998</v>
      </c>
      <c r="H35" s="1114">
        <f t="shared" si="11"/>
        <v>-91088.907815175029</v>
      </c>
      <c r="I35" s="1114">
        <f t="shared" si="11"/>
        <v>-92968.790025818045</v>
      </c>
      <c r="J35" s="1114">
        <f t="shared" si="11"/>
        <v>-94888.192281141703</v>
      </c>
      <c r="K35" s="1114">
        <f t="shared" si="11"/>
        <v>-96847.813225354912</v>
      </c>
      <c r="L35" s="1114">
        <f t="shared" si="11"/>
        <v>-98848.39302676126</v>
      </c>
      <c r="M35" s="1114">
        <f t="shared" si="11"/>
        <v>-100890.70679682019</v>
      </c>
      <c r="N35" s="1114">
        <f t="shared" si="11"/>
        <v>-102975.56020251228</v>
      </c>
      <c r="O35" s="750"/>
      <c r="P35" s="697"/>
      <c r="Q35" s="697"/>
      <c r="R35" s="697"/>
      <c r="S35" s="24"/>
      <c r="T35" s="24"/>
      <c r="U35" s="24"/>
      <c r="V35" s="24"/>
      <c r="W35" s="24"/>
      <c r="X35" s="24"/>
      <c r="Y35" s="24"/>
      <c r="Z35" s="24"/>
      <c r="AA35" s="24"/>
      <c r="AB35" s="24"/>
      <c r="AC35" s="24"/>
      <c r="AD35" s="24"/>
      <c r="AE35" s="24"/>
    </row>
    <row r="36" spans="1:31" s="7" customFormat="1" ht="15" customHeight="1" x14ac:dyDescent="0.2">
      <c r="A36" s="1440"/>
      <c r="B36" s="50"/>
      <c r="C36" s="127"/>
      <c r="D36" s="1139" t="str">
        <f t="shared" ref="D36:N36" si="12">hSystems_CFS_PaperBookPurchase</f>
        <v>Paper 'Book' Purchase Costs</v>
      </c>
      <c r="E36" s="1114">
        <f t="shared" si="12"/>
        <v>-547056</v>
      </c>
      <c r="F36" s="1114">
        <f t="shared" si="12"/>
        <v>-557997.12</v>
      </c>
      <c r="G36" s="1114">
        <f t="shared" si="12"/>
        <v>-569157.06239999994</v>
      </c>
      <c r="H36" s="1114">
        <f t="shared" si="12"/>
        <v>-580540.20364800002</v>
      </c>
      <c r="I36" s="1114">
        <f t="shared" si="12"/>
        <v>-592151.00772095995</v>
      </c>
      <c r="J36" s="1114">
        <f t="shared" si="12"/>
        <v>-603994.02787537919</v>
      </c>
      <c r="K36" s="1114">
        <f t="shared" si="12"/>
        <v>-616073.90843288694</v>
      </c>
      <c r="L36" s="1114">
        <f t="shared" si="12"/>
        <v>-628395.38660154445</v>
      </c>
      <c r="M36" s="1114">
        <f t="shared" si="12"/>
        <v>-640963.29433357529</v>
      </c>
      <c r="N36" s="1114">
        <f t="shared" si="12"/>
        <v>-653782.5602202469</v>
      </c>
      <c r="O36" s="750"/>
      <c r="P36" s="697"/>
      <c r="Q36" s="697"/>
      <c r="R36" s="697"/>
      <c r="S36" s="24"/>
      <c r="T36" s="24"/>
      <c r="U36" s="24"/>
      <c r="V36" s="24"/>
      <c r="W36" s="24"/>
      <c r="X36" s="24"/>
      <c r="Y36" s="24"/>
      <c r="Z36" s="24"/>
      <c r="AA36" s="24"/>
      <c r="AB36" s="24"/>
      <c r="AC36" s="24"/>
      <c r="AD36" s="24"/>
      <c r="AE36" s="24"/>
    </row>
    <row r="37" spans="1:31" s="7" customFormat="1" ht="15" customHeight="1" x14ac:dyDescent="0.2">
      <c r="A37" s="1440"/>
      <c r="B37" s="50"/>
      <c r="C37" s="127"/>
      <c r="D37" s="1139" t="str">
        <f t="shared" ref="D37:N37" si="13">hSystems_CFS_RecordsMFDLease</f>
        <v>MFD Total Costs</v>
      </c>
      <c r="E37" s="1114">
        <f t="shared" si="13"/>
        <v>-1074425.8329</v>
      </c>
      <c r="F37" s="1114">
        <f t="shared" si="13"/>
        <v>-561742.678270987</v>
      </c>
      <c r="G37" s="1114">
        <f t="shared" si="13"/>
        <v>-518052.1035401909</v>
      </c>
      <c r="H37" s="1114">
        <f t="shared" si="13"/>
        <v>-473759.01281620585</v>
      </c>
      <c r="I37" s="1114">
        <f t="shared" si="13"/>
        <v>-483518.32189825026</v>
      </c>
      <c r="J37" s="1114">
        <f t="shared" si="13"/>
        <v>-493482.21770022291</v>
      </c>
      <c r="K37" s="1114">
        <f t="shared" si="13"/>
        <v>-503654.34326633433</v>
      </c>
      <c r="L37" s="1114">
        <f t="shared" si="13"/>
        <v>-514038.54922709835</v>
      </c>
      <c r="M37" s="1114">
        <f t="shared" si="13"/>
        <v>-524638.86170921125</v>
      </c>
      <c r="N37" s="1114">
        <f t="shared" si="13"/>
        <v>-535459.46097250062</v>
      </c>
      <c r="O37" s="750"/>
      <c r="P37" s="697"/>
      <c r="Q37" s="697"/>
      <c r="R37" s="697"/>
      <c r="S37" s="24"/>
      <c r="T37" s="24"/>
      <c r="U37" s="24"/>
      <c r="V37" s="24"/>
      <c r="W37" s="24"/>
      <c r="X37" s="24"/>
      <c r="Y37" s="24"/>
      <c r="Z37" s="24"/>
      <c r="AA37" s="24"/>
      <c r="AB37" s="24"/>
      <c r="AC37" s="24"/>
      <c r="AD37" s="24"/>
      <c r="AE37" s="24"/>
    </row>
    <row r="38" spans="1:31" s="7" customFormat="1" ht="15" customHeight="1" x14ac:dyDescent="0.2">
      <c r="A38" s="1440"/>
      <c r="B38" s="50"/>
      <c r="C38" s="127"/>
      <c r="D38" s="1139" t="str">
        <f t="shared" ref="D38:N38" si="14">hSystems_CFS_RecordsOfficeLease</f>
        <v>Office Space Leasing Cost</v>
      </c>
      <c r="E38" s="1114">
        <f t="shared" si="14"/>
        <v>-219600</v>
      </c>
      <c r="F38" s="1114">
        <f t="shared" si="14"/>
        <v>-235620</v>
      </c>
      <c r="G38" s="1114">
        <f t="shared" si="14"/>
        <v>-240332.4</v>
      </c>
      <c r="H38" s="1114">
        <f t="shared" si="14"/>
        <v>-245139.04799999998</v>
      </c>
      <c r="I38" s="1114">
        <f t="shared" si="14"/>
        <v>-250041.82895999998</v>
      </c>
      <c r="J38" s="1114">
        <f t="shared" si="14"/>
        <v>-255042.66553920001</v>
      </c>
      <c r="K38" s="1114">
        <f t="shared" si="14"/>
        <v>-260143.51884998402</v>
      </c>
      <c r="L38" s="1114">
        <f t="shared" si="14"/>
        <v>-265346.38922698365</v>
      </c>
      <c r="M38" s="1114">
        <f t="shared" si="14"/>
        <v>-270653.31701152329</v>
      </c>
      <c r="N38" s="1114">
        <f t="shared" si="14"/>
        <v>-276066.38335175382</v>
      </c>
      <c r="O38" s="750"/>
      <c r="P38" s="697"/>
      <c r="Q38" s="697"/>
      <c r="R38" s="697"/>
      <c r="S38" s="24"/>
      <c r="T38" s="24"/>
      <c r="U38" s="24"/>
      <c r="V38" s="24"/>
      <c r="W38" s="24"/>
      <c r="X38" s="24"/>
      <c r="Y38" s="24"/>
      <c r="Z38" s="24"/>
      <c r="AA38" s="24"/>
      <c r="AB38" s="24"/>
      <c r="AC38" s="24"/>
      <c r="AD38" s="24"/>
      <c r="AE38" s="24"/>
    </row>
    <row r="39" spans="1:31" s="701" customFormat="1" ht="15" customHeight="1" x14ac:dyDescent="0.2">
      <c r="A39" s="1440"/>
      <c r="B39" s="107"/>
      <c r="C39" s="652"/>
      <c r="D39" s="1141" t="str">
        <f t="shared" ref="D39:N39" si="15">hSystems_CFS_RecordsTotal</f>
        <v>hSystems Induced Records Costs - Total</v>
      </c>
      <c r="E39" s="1117">
        <f t="shared" si="15"/>
        <v>-4415869.1529000001</v>
      </c>
      <c r="F39" s="1117">
        <f t="shared" si="15"/>
        <v>-2667037.536359299</v>
      </c>
      <c r="G39" s="1117">
        <f t="shared" si="15"/>
        <v>-2530666.5316829905</v>
      </c>
      <c r="H39" s="1117">
        <f t="shared" si="15"/>
        <v>-2392505.1582463062</v>
      </c>
      <c r="I39" s="1117">
        <f t="shared" si="15"/>
        <v>-2441336.6388890268</v>
      </c>
      <c r="J39" s="1117">
        <f t="shared" si="15"/>
        <v>-2491177.2184885023</v>
      </c>
      <c r="K39" s="1117">
        <f t="shared" si="15"/>
        <v>-2542045.5292534642</v>
      </c>
      <c r="L39" s="1117">
        <f t="shared" si="15"/>
        <v>-2593961.0413767616</v>
      </c>
      <c r="M39" s="1117">
        <f t="shared" si="15"/>
        <v>-2646943.9546161518</v>
      </c>
      <c r="N39" s="1117">
        <f t="shared" si="15"/>
        <v>-2701015.1269746483</v>
      </c>
      <c r="O39" s="1167"/>
      <c r="P39" s="699"/>
      <c r="Q39" s="699"/>
      <c r="R39" s="699"/>
      <c r="S39" s="700"/>
      <c r="T39" s="700"/>
      <c r="U39" s="700"/>
      <c r="V39" s="700"/>
      <c r="W39" s="700"/>
      <c r="X39" s="700"/>
      <c r="Y39" s="700"/>
      <c r="Z39" s="700"/>
      <c r="AA39" s="700"/>
      <c r="AB39" s="700"/>
      <c r="AC39" s="700"/>
      <c r="AD39" s="700"/>
      <c r="AE39" s="700"/>
    </row>
    <row r="40" spans="1:31" s="701" customFormat="1" ht="15" customHeight="1" x14ac:dyDescent="0.2">
      <c r="A40" s="1440"/>
      <c r="B40" s="107"/>
      <c r="C40" s="652"/>
      <c r="D40" s="772"/>
      <c r="E40" s="652"/>
      <c r="F40" s="652"/>
      <c r="G40" s="652"/>
      <c r="H40" s="652"/>
      <c r="I40" s="652"/>
      <c r="J40" s="652"/>
      <c r="K40" s="652"/>
      <c r="L40" s="652"/>
      <c r="M40" s="652"/>
      <c r="N40" s="652"/>
      <c r="O40" s="750"/>
      <c r="P40" s="699"/>
      <c r="Q40" s="699"/>
      <c r="R40" s="699"/>
      <c r="S40" s="700"/>
      <c r="T40" s="700"/>
      <c r="U40" s="700"/>
      <c r="V40" s="700"/>
      <c r="W40" s="700"/>
      <c r="X40" s="700"/>
      <c r="Y40" s="700"/>
      <c r="Z40" s="700"/>
      <c r="AA40" s="700"/>
      <c r="AB40" s="700"/>
      <c r="AC40" s="700"/>
      <c r="AD40" s="700"/>
      <c r="AE40" s="700"/>
    </row>
    <row r="41" spans="1:31" s="701" customFormat="1" ht="15" customHeight="1" x14ac:dyDescent="0.2">
      <c r="A41" s="1440"/>
      <c r="B41" s="107"/>
      <c r="C41" s="652"/>
      <c r="D41" s="612" t="s">
        <v>4121</v>
      </c>
      <c r="E41" s="652"/>
      <c r="F41" s="652"/>
      <c r="G41" s="652"/>
      <c r="H41" s="652"/>
      <c r="I41" s="652"/>
      <c r="J41" s="652"/>
      <c r="K41" s="652"/>
      <c r="L41" s="652"/>
      <c r="M41" s="652"/>
      <c r="N41" s="652"/>
      <c r="O41" s="750"/>
      <c r="P41" s="699"/>
      <c r="Q41" s="699"/>
      <c r="R41" s="699"/>
      <c r="S41" s="700"/>
      <c r="T41" s="700"/>
      <c r="U41" s="700"/>
      <c r="V41" s="700"/>
      <c r="W41" s="700"/>
      <c r="X41" s="700"/>
      <c r="Y41" s="700"/>
      <c r="Z41" s="700"/>
      <c r="AA41" s="700"/>
      <c r="AB41" s="700"/>
      <c r="AC41" s="700"/>
      <c r="AD41" s="700"/>
      <c r="AE41" s="700"/>
    </row>
    <row r="42" spans="1:31" s="701" customFormat="1" ht="15" customHeight="1" x14ac:dyDescent="0.2">
      <c r="A42" s="1440"/>
      <c r="B42" s="107"/>
      <c r="C42" s="652"/>
      <c r="D42" s="1143" t="str">
        <f t="shared" ref="D42:N42" si="16">hSystemsRecordsPaperArchive_CFS</f>
        <v>hSystem Induced Costs - Archiving &amp; Retrieval</v>
      </c>
      <c r="E42" s="1117">
        <f t="shared" si="16"/>
        <v>-63386.107663461538</v>
      </c>
      <c r="F42" s="1117">
        <f t="shared" si="16"/>
        <v>-54608.893787762485</v>
      </c>
      <c r="G42" s="1117">
        <f t="shared" si="16"/>
        <v>-54865.34974055479</v>
      </c>
      <c r="H42" s="1117">
        <f t="shared" si="16"/>
        <v>-53892.068491752107</v>
      </c>
      <c r="I42" s="1117">
        <f t="shared" si="16"/>
        <v>-52489.028766739415</v>
      </c>
      <c r="J42" s="1117">
        <f t="shared" si="16"/>
        <v>-50253.758831375664</v>
      </c>
      <c r="K42" s="1117">
        <f t="shared" si="16"/>
        <v>-47230.802850255299</v>
      </c>
      <c r="L42" s="1117">
        <f t="shared" si="16"/>
        <v>-43375.396382095809</v>
      </c>
      <c r="M42" s="1117">
        <f t="shared" si="16"/>
        <v>-38543.985426466999</v>
      </c>
      <c r="N42" s="1117">
        <f t="shared" si="16"/>
        <v>-32682.174786395692</v>
      </c>
      <c r="O42" s="1167"/>
      <c r="P42" s="699"/>
      <c r="Q42" s="699"/>
      <c r="R42" s="699"/>
      <c r="S42" s="700"/>
      <c r="T42" s="700"/>
      <c r="U42" s="700"/>
      <c r="V42" s="700"/>
      <c r="W42" s="700"/>
      <c r="X42" s="700"/>
      <c r="Y42" s="700"/>
      <c r="Z42" s="700"/>
      <c r="AA42" s="700"/>
      <c r="AB42" s="700"/>
      <c r="AC42" s="700"/>
      <c r="AD42" s="700"/>
      <c r="AE42" s="700"/>
    </row>
    <row r="43" spans="1:31" s="7" customFormat="1" ht="15" customHeight="1" x14ac:dyDescent="0.2">
      <c r="A43" s="1440"/>
      <c r="B43" s="50"/>
      <c r="C43" s="127"/>
      <c r="D43" s="765"/>
      <c r="E43" s="127"/>
      <c r="F43" s="127"/>
      <c r="G43" s="127"/>
      <c r="H43" s="127"/>
      <c r="I43" s="127"/>
      <c r="J43" s="127"/>
      <c r="K43" s="127"/>
      <c r="L43" s="127"/>
      <c r="M43" s="127"/>
      <c r="N43" s="127"/>
      <c r="O43" s="750"/>
      <c r="P43" s="697"/>
      <c r="Q43" s="697"/>
      <c r="R43" s="697"/>
      <c r="S43" s="24"/>
      <c r="T43" s="24"/>
      <c r="U43" s="24"/>
      <c r="V43" s="24"/>
      <c r="W43" s="24"/>
      <c r="X43" s="24"/>
      <c r="Y43" s="24"/>
      <c r="Z43" s="24"/>
      <c r="AA43" s="24"/>
      <c r="AB43" s="24"/>
      <c r="AC43" s="24"/>
      <c r="AD43" s="24"/>
      <c r="AE43" s="24"/>
    </row>
    <row r="44" spans="1:31" s="705" customFormat="1" ht="15" customHeight="1" x14ac:dyDescent="0.2">
      <c r="A44" s="1440"/>
      <c r="B44" s="648"/>
      <c r="C44" s="702"/>
      <c r="D44" s="768" t="s">
        <v>4088</v>
      </c>
      <c r="E44" s="702"/>
      <c r="F44" s="702"/>
      <c r="G44" s="702"/>
      <c r="H44" s="702"/>
      <c r="I44" s="702"/>
      <c r="J44" s="702"/>
      <c r="K44" s="702"/>
      <c r="L44" s="702"/>
      <c r="M44" s="702"/>
      <c r="N44" s="702"/>
      <c r="O44" s="750"/>
      <c r="P44" s="703"/>
      <c r="Q44" s="703"/>
      <c r="R44" s="703"/>
      <c r="S44" s="704"/>
      <c r="T44" s="704"/>
      <c r="U44" s="704"/>
      <c r="V44" s="704"/>
      <c r="W44" s="704"/>
      <c r="X44" s="704"/>
      <c r="Y44" s="704"/>
      <c r="Z44" s="704"/>
      <c r="AA44" s="704"/>
      <c r="AB44" s="704"/>
      <c r="AC44" s="704"/>
      <c r="AD44" s="704"/>
      <c r="AE44" s="704"/>
    </row>
    <row r="45" spans="1:31" s="111" customFormat="1" ht="15" customHeight="1" x14ac:dyDescent="0.2">
      <c r="A45" s="1440"/>
      <c r="B45" s="107"/>
      <c r="C45" s="652"/>
      <c r="D45" s="1139" t="str">
        <f>hSystemsCost_TrgTotalWorstCase_CFS</f>
        <v>hSystems Induced Training Cost - Worst Case</v>
      </c>
      <c r="E45" s="1138">
        <f>hSystemsCost_TrgTotalWorstCase_CFS</f>
        <v>-421000</v>
      </c>
      <c r="F45" s="1138">
        <f>hSystemsCost_TrgTotalWorstCase_CFS</f>
        <v>-319260</v>
      </c>
      <c r="G45" s="1114">
        <f t="shared" ref="G45:N45" si="17">hSystemsCost_TrgTotal_CFS</f>
        <v>-325645.20000000007</v>
      </c>
      <c r="H45" s="1114">
        <f t="shared" si="17"/>
        <v>-332158.10399999999</v>
      </c>
      <c r="I45" s="1114">
        <f t="shared" si="17"/>
        <v>-338801.26608000015</v>
      </c>
      <c r="J45" s="1114">
        <f t="shared" si="17"/>
        <v>-345577.29140159988</v>
      </c>
      <c r="K45" s="1114">
        <f t="shared" si="17"/>
        <v>-352488.83722963196</v>
      </c>
      <c r="L45" s="1114">
        <f t="shared" si="17"/>
        <v>-359538.61397422454</v>
      </c>
      <c r="M45" s="1114">
        <f t="shared" si="17"/>
        <v>-366729.38625370903</v>
      </c>
      <c r="N45" s="1114">
        <f t="shared" si="17"/>
        <v>-374063.97397878318</v>
      </c>
      <c r="O45" s="1167"/>
      <c r="P45" s="653"/>
      <c r="Q45" s="110"/>
      <c r="R45" s="110"/>
      <c r="S45" s="82"/>
      <c r="T45" s="107"/>
      <c r="U45" s="107"/>
      <c r="V45" s="107"/>
      <c r="W45" s="107"/>
      <c r="X45" s="107"/>
      <c r="Y45" s="107"/>
      <c r="Z45" s="107"/>
      <c r="AA45" s="107"/>
      <c r="AB45" s="107"/>
      <c r="AC45" s="107"/>
      <c r="AD45" s="107"/>
      <c r="AE45" s="107"/>
    </row>
    <row r="46" spans="1:31" s="705" customFormat="1" ht="15" customHeight="1" x14ac:dyDescent="0.2">
      <c r="A46" s="1440"/>
      <c r="B46" s="648"/>
      <c r="C46" s="702"/>
      <c r="D46" s="1139" t="str">
        <f t="shared" ref="D46:N46" si="18">hSystemsCost_TrgTotalMostLikely_CFS</f>
        <v>hSystems Induced Training Cost - Most Likely</v>
      </c>
      <c r="E46" s="1138">
        <f t="shared" si="18"/>
        <v>-377300</v>
      </c>
      <c r="F46" s="1138">
        <f t="shared" si="18"/>
        <v>-300135</v>
      </c>
      <c r="G46" s="1138">
        <f t="shared" si="18"/>
        <v>-305877.60000000003</v>
      </c>
      <c r="H46" s="1138">
        <f t="shared" si="18"/>
        <v>-311729.85000000009</v>
      </c>
      <c r="I46" s="1138">
        <f t="shared" si="18"/>
        <v>-317693.83895999996</v>
      </c>
      <c r="J46" s="1138">
        <f t="shared" si="18"/>
        <v>-323771.69553840009</v>
      </c>
      <c r="K46" s="1138">
        <f t="shared" si="18"/>
        <v>-329965.58884435205</v>
      </c>
      <c r="L46" s="1138">
        <f t="shared" si="18"/>
        <v>-336277.72920432669</v>
      </c>
      <c r="M46" s="1138">
        <f t="shared" si="18"/>
        <v>-342710.36894316267</v>
      </c>
      <c r="N46" s="1138">
        <f t="shared" si="18"/>
        <v>-349265.80317987048</v>
      </c>
      <c r="O46" s="1167"/>
      <c r="P46" s="703"/>
      <c r="Q46" s="703"/>
      <c r="R46" s="703"/>
      <c r="S46" s="704"/>
      <c r="T46" s="704"/>
      <c r="U46" s="704"/>
      <c r="V46" s="704"/>
      <c r="W46" s="704"/>
      <c r="X46" s="704"/>
      <c r="Y46" s="704"/>
      <c r="Z46" s="704"/>
      <c r="AA46" s="704"/>
      <c r="AB46" s="704"/>
      <c r="AC46" s="704"/>
      <c r="AD46" s="704"/>
      <c r="AE46" s="704"/>
    </row>
    <row r="47" spans="1:31" ht="12.75" customHeight="1" x14ac:dyDescent="0.2">
      <c r="A47" s="1440"/>
      <c r="D47" s="1139" t="str">
        <f t="shared" ref="D47:N47" si="19">hSystemsCost_TrgTotalBestCase_CFS</f>
        <v>hSystems Induced Training Cost - Best Case</v>
      </c>
      <c r="E47" s="1138">
        <f t="shared" si="19"/>
        <v>-344400</v>
      </c>
      <c r="F47" s="1138">
        <f t="shared" si="19"/>
        <v>-282489</v>
      </c>
      <c r="G47" s="1138">
        <f t="shared" si="19"/>
        <v>-287878.68</v>
      </c>
      <c r="H47" s="1138">
        <f t="shared" si="19"/>
        <v>-293370.95159999991</v>
      </c>
      <c r="I47" s="1138">
        <f t="shared" si="19"/>
        <v>-298967.76259200007</v>
      </c>
      <c r="J47" s="1138">
        <f t="shared" si="19"/>
        <v>-304671.09764303989</v>
      </c>
      <c r="K47" s="1138">
        <f t="shared" si="19"/>
        <v>-310482.97899108473</v>
      </c>
      <c r="L47" s="1138">
        <f t="shared" si="19"/>
        <v>-316405.46715399408</v>
      </c>
      <c r="M47" s="1138">
        <f t="shared" si="19"/>
        <v>-322440.6616518235</v>
      </c>
      <c r="N47" s="1138">
        <f t="shared" si="19"/>
        <v>-328590.70174270443</v>
      </c>
      <c r="O47" s="1167"/>
    </row>
    <row r="48" spans="1:31" s="111" customFormat="1" ht="15" customHeight="1" x14ac:dyDescent="0.2">
      <c r="A48" s="1440"/>
      <c r="B48" s="107"/>
      <c r="C48" s="652"/>
      <c r="D48" s="757"/>
      <c r="E48" s="652"/>
      <c r="F48" s="652"/>
      <c r="G48" s="652"/>
      <c r="H48" s="652"/>
      <c r="I48" s="652"/>
      <c r="J48" s="652"/>
      <c r="K48" s="652"/>
      <c r="L48" s="652"/>
      <c r="M48" s="652"/>
      <c r="N48" s="652"/>
      <c r="O48" s="750"/>
      <c r="P48" s="653"/>
      <c r="Q48" s="110"/>
      <c r="R48" s="110"/>
      <c r="S48" s="82"/>
      <c r="T48" s="107"/>
      <c r="U48" s="107"/>
      <c r="V48" s="107"/>
      <c r="W48" s="107"/>
      <c r="X48" s="107"/>
      <c r="Y48" s="107"/>
      <c r="Z48" s="107"/>
      <c r="AA48" s="107"/>
      <c r="AB48" s="107"/>
      <c r="AC48" s="107"/>
      <c r="AD48" s="107"/>
      <c r="AE48" s="107"/>
    </row>
    <row r="49" spans="1:31" s="111" customFormat="1" ht="15" customHeight="1" x14ac:dyDescent="0.2">
      <c r="A49" s="1440"/>
      <c r="B49" s="107"/>
      <c r="C49" s="652"/>
      <c r="D49" s="768" t="s">
        <v>4090</v>
      </c>
      <c r="E49" s="652"/>
      <c r="F49" s="652"/>
      <c r="G49" s="652"/>
      <c r="H49" s="652"/>
      <c r="I49" s="652"/>
      <c r="J49" s="652"/>
      <c r="K49" s="652"/>
      <c r="L49" s="652"/>
      <c r="M49" s="652"/>
      <c r="N49" s="652"/>
      <c r="O49" s="750"/>
      <c r="P49" s="653"/>
      <c r="Q49" s="110"/>
      <c r="R49" s="110"/>
      <c r="S49" s="82"/>
      <c r="T49" s="107"/>
      <c r="U49" s="107"/>
      <c r="V49" s="107"/>
      <c r="W49" s="107"/>
      <c r="X49" s="107"/>
      <c r="Y49" s="107"/>
      <c r="Z49" s="107"/>
      <c r="AA49" s="107"/>
      <c r="AB49" s="107"/>
      <c r="AC49" s="107"/>
      <c r="AD49" s="107"/>
      <c r="AE49" s="107"/>
    </row>
    <row r="50" spans="1:31" s="111" customFormat="1" ht="15" customHeight="1" x14ac:dyDescent="0.2">
      <c r="A50" s="1440"/>
      <c r="B50" s="107"/>
      <c r="C50" s="652"/>
      <c r="D50" s="1141" t="str">
        <f t="shared" ref="D50:N50" si="20">hSystemsIT_Cost_Total_CFS</f>
        <v>hSystems Induced IT Costs - Total</v>
      </c>
      <c r="E50" s="1117">
        <f t="shared" si="20"/>
        <v>-59450000</v>
      </c>
      <c r="F50" s="1117">
        <f t="shared" si="20"/>
        <v>-65484000</v>
      </c>
      <c r="G50" s="1117">
        <f t="shared" si="20"/>
        <v>-66538680</v>
      </c>
      <c r="H50" s="1117">
        <f t="shared" si="20"/>
        <v>-67614453.599999994</v>
      </c>
      <c r="I50" s="1117">
        <f t="shared" si="20"/>
        <v>-68711742.672000006</v>
      </c>
      <c r="J50" s="1117">
        <f t="shared" si="20"/>
        <v>-69830977.525440007</v>
      </c>
      <c r="K50" s="1117">
        <f t="shared" si="20"/>
        <v>-70972597.07594882</v>
      </c>
      <c r="L50" s="1117">
        <f t="shared" si="20"/>
        <v>-72137049.017467752</v>
      </c>
      <c r="M50" s="1117">
        <f t="shared" si="20"/>
        <v>-73324789.997817129</v>
      </c>
      <c r="N50" s="1117">
        <f t="shared" si="20"/>
        <v>-74536285.79777348</v>
      </c>
      <c r="O50" s="1167"/>
      <c r="P50" s="653"/>
      <c r="Q50" s="110"/>
      <c r="R50" s="110"/>
      <c r="S50" s="82"/>
      <c r="T50" s="107"/>
      <c r="U50" s="107"/>
      <c r="V50" s="107"/>
      <c r="W50" s="107"/>
      <c r="X50" s="107"/>
      <c r="Y50" s="107"/>
      <c r="Z50" s="107"/>
      <c r="AA50" s="107"/>
      <c r="AB50" s="107"/>
      <c r="AC50" s="107"/>
      <c r="AD50" s="107"/>
      <c r="AE50" s="107"/>
    </row>
    <row r="51" spans="1:31" s="98" customFormat="1" ht="15" customHeight="1" x14ac:dyDescent="0.2">
      <c r="A51" s="1440"/>
      <c r="B51" s="50"/>
      <c r="C51" s="127"/>
      <c r="D51" s="765"/>
      <c r="E51" s="127"/>
      <c r="F51" s="127"/>
      <c r="G51" s="127"/>
      <c r="H51" s="127"/>
      <c r="I51" s="127"/>
      <c r="J51" s="127"/>
      <c r="K51" s="127"/>
      <c r="L51" s="127"/>
      <c r="M51" s="127"/>
      <c r="N51" s="127"/>
      <c r="O51" s="750"/>
      <c r="P51" s="698"/>
      <c r="Q51" s="106"/>
      <c r="R51" s="106"/>
      <c r="S51" s="706"/>
      <c r="T51" s="50"/>
      <c r="U51" s="50"/>
      <c r="V51" s="50"/>
      <c r="W51" s="50"/>
      <c r="X51" s="50"/>
      <c r="Y51" s="50"/>
      <c r="Z51" s="50"/>
      <c r="AA51" s="50"/>
      <c r="AB51" s="50"/>
      <c r="AC51" s="50"/>
      <c r="AD51" s="50"/>
      <c r="AE51" s="50"/>
    </row>
    <row r="52" spans="1:31" s="98" customFormat="1" ht="15" customHeight="1" x14ac:dyDescent="0.2">
      <c r="A52" s="1440"/>
      <c r="B52" s="50"/>
      <c r="C52" s="127"/>
      <c r="D52" s="780" t="s">
        <v>4093</v>
      </c>
      <c r="E52" s="127"/>
      <c r="F52" s="127"/>
      <c r="G52" s="127"/>
      <c r="H52" s="127"/>
      <c r="I52" s="127"/>
      <c r="J52" s="127"/>
      <c r="K52" s="127"/>
      <c r="L52" s="127"/>
      <c r="M52" s="127"/>
      <c r="N52" s="127"/>
      <c r="O52" s="750"/>
      <c r="P52" s="698"/>
      <c r="Q52" s="106"/>
      <c r="R52" s="106"/>
      <c r="S52" s="706"/>
      <c r="T52" s="50"/>
      <c r="U52" s="50"/>
      <c r="V52" s="50"/>
      <c r="W52" s="50"/>
      <c r="X52" s="50"/>
      <c r="Y52" s="50"/>
      <c r="Z52" s="50"/>
      <c r="AA52" s="50"/>
      <c r="AB52" s="50"/>
      <c r="AC52" s="50"/>
      <c r="AD52" s="50"/>
      <c r="AE52" s="50"/>
    </row>
    <row r="53" spans="1:31" s="111" customFormat="1" ht="15" customHeight="1" x14ac:dyDescent="0.2">
      <c r="A53" s="1440"/>
      <c r="B53" s="107"/>
      <c r="C53" s="652"/>
      <c r="D53" s="1139" t="s">
        <v>4337</v>
      </c>
      <c r="E53" s="1117">
        <f>SUM(E50+E45+E42+E39+E31)</f>
        <v>-68246123.346978724</v>
      </c>
      <c r="F53" s="1117">
        <f t="shared" ref="F53:N53" si="21">SUM(F50+F45+F42+F39+F31)</f>
        <v>-71772325.105102673</v>
      </c>
      <c r="G53" s="1117">
        <f t="shared" si="21"/>
        <v>-72850545.950904116</v>
      </c>
      <c r="H53" s="1117">
        <f t="shared" si="21"/>
        <v>-73052859.158237293</v>
      </c>
      <c r="I53" s="1117">
        <f t="shared" si="21"/>
        <v>-74438461.340718895</v>
      </c>
      <c r="J53" s="1117">
        <f t="shared" si="21"/>
        <v>-75947871.39013581</v>
      </c>
      <c r="K53" s="1117">
        <f t="shared" si="21"/>
        <v>-77390968.321737751</v>
      </c>
      <c r="L53" s="1117">
        <f t="shared" si="21"/>
        <v>-77916602.875175893</v>
      </c>
      <c r="M53" s="1117">
        <f t="shared" si="21"/>
        <v>-79411903.471039206</v>
      </c>
      <c r="N53" s="1117">
        <f t="shared" si="21"/>
        <v>-81013336.71682851</v>
      </c>
      <c r="O53" s="1167" t="s">
        <v>4331</v>
      </c>
      <c r="P53" s="781"/>
      <c r="Q53" s="110"/>
      <c r="R53" s="110"/>
      <c r="S53" s="82"/>
      <c r="T53" s="107"/>
      <c r="U53" s="107"/>
      <c r="V53" s="107"/>
      <c r="W53" s="107"/>
      <c r="X53" s="107"/>
      <c r="Y53" s="107"/>
      <c r="Z53" s="107"/>
      <c r="AA53" s="107"/>
      <c r="AB53" s="107"/>
      <c r="AC53" s="107"/>
      <c r="AD53" s="107"/>
      <c r="AE53" s="107"/>
    </row>
    <row r="54" spans="1:31" s="111" customFormat="1" ht="15" customHeight="1" x14ac:dyDescent="0.2">
      <c r="A54" s="1440"/>
      <c r="B54" s="107"/>
      <c r="C54" s="652"/>
      <c r="D54" s="1139" t="s">
        <v>4338</v>
      </c>
      <c r="E54" s="1117">
        <f>SUM(E50+E46+E42+E39+E31)</f>
        <v>-68202423.346978724</v>
      </c>
      <c r="F54" s="1117">
        <f t="shared" ref="F54:N54" si="22">SUM(F50+F46+F42+F39+F31)</f>
        <v>-71753200.105102673</v>
      </c>
      <c r="G54" s="1117">
        <f t="shared" si="22"/>
        <v>-72830778.350904122</v>
      </c>
      <c r="H54" s="1117">
        <f t="shared" si="22"/>
        <v>-73032430.904237285</v>
      </c>
      <c r="I54" s="1117">
        <f t="shared" si="22"/>
        <v>-74417353.913598895</v>
      </c>
      <c r="J54" s="1117">
        <f t="shared" si="22"/>
        <v>-75926065.794272617</v>
      </c>
      <c r="K54" s="1117">
        <f t="shared" si="22"/>
        <v>-77368445.073352471</v>
      </c>
      <c r="L54" s="1117">
        <f t="shared" si="22"/>
        <v>-77893341.990405992</v>
      </c>
      <c r="M54" s="1117">
        <f t="shared" si="22"/>
        <v>-79387884.453728676</v>
      </c>
      <c r="N54" s="1117">
        <f t="shared" si="22"/>
        <v>-80988538.546029598</v>
      </c>
      <c r="O54" s="1167" t="s">
        <v>4332</v>
      </c>
      <c r="P54" s="781"/>
      <c r="Q54" s="110"/>
      <c r="R54" s="110"/>
      <c r="S54" s="82"/>
      <c r="T54" s="107"/>
      <c r="U54" s="107"/>
      <c r="V54" s="107"/>
      <c r="W54" s="107"/>
      <c r="X54" s="107"/>
      <c r="Y54" s="107"/>
      <c r="Z54" s="107"/>
      <c r="AA54" s="107"/>
      <c r="AB54" s="107"/>
      <c r="AC54" s="107"/>
      <c r="AD54" s="107"/>
      <c r="AE54" s="107"/>
    </row>
    <row r="55" spans="1:31" s="111" customFormat="1" ht="15" customHeight="1" x14ac:dyDescent="0.2">
      <c r="A55" s="1440"/>
      <c r="B55" s="107"/>
      <c r="C55" s="652"/>
      <c r="D55" s="1139" t="s">
        <v>4339</v>
      </c>
      <c r="E55" s="1117">
        <f>SUM(E50+E47+E39+E42+E31)</f>
        <v>-68169523.346978724</v>
      </c>
      <c r="F55" s="1117">
        <f t="shared" ref="F55:N55" si="23">SUM(F50+F47+F39+F42+F31)</f>
        <v>-71735554.105102658</v>
      </c>
      <c r="G55" s="1117">
        <f t="shared" si="23"/>
        <v>-72812779.430904105</v>
      </c>
      <c r="H55" s="1117">
        <f t="shared" si="23"/>
        <v>-73014072.005837291</v>
      </c>
      <c r="I55" s="1117">
        <f t="shared" si="23"/>
        <v>-74398627.837230891</v>
      </c>
      <c r="J55" s="1117">
        <f t="shared" si="23"/>
        <v>-75906965.196377248</v>
      </c>
      <c r="K55" s="1117">
        <f t="shared" si="23"/>
        <v>-77348962.463499203</v>
      </c>
      <c r="L55" s="1117">
        <f t="shared" si="23"/>
        <v>-77873469.728355661</v>
      </c>
      <c r="M55" s="1117">
        <f t="shared" si="23"/>
        <v>-79367614.746437326</v>
      </c>
      <c r="N55" s="1117">
        <f t="shared" si="23"/>
        <v>-80967863.444592431</v>
      </c>
      <c r="O55" s="1167" t="s">
        <v>4333</v>
      </c>
      <c r="P55" s="781"/>
      <c r="Q55" s="110"/>
      <c r="R55" s="110"/>
      <c r="S55" s="82"/>
      <c r="T55" s="107"/>
      <c r="U55" s="107"/>
      <c r="V55" s="107"/>
      <c r="W55" s="107"/>
      <c r="X55" s="107"/>
      <c r="Y55" s="107"/>
      <c r="Z55" s="107"/>
      <c r="AA55" s="107"/>
      <c r="AB55" s="107"/>
      <c r="AC55" s="107"/>
      <c r="AD55" s="107"/>
      <c r="AE55" s="107"/>
    </row>
    <row r="56" spans="1:31" s="111" customFormat="1" ht="15" customHeight="1" x14ac:dyDescent="0.2">
      <c r="A56" s="1440"/>
      <c r="B56" s="107"/>
      <c r="C56" s="652"/>
      <c r="D56" s="754"/>
      <c r="E56" s="652"/>
      <c r="F56" s="652"/>
      <c r="G56" s="652"/>
      <c r="H56" s="652"/>
      <c r="I56" s="652"/>
      <c r="J56" s="652"/>
      <c r="K56" s="652"/>
      <c r="L56" s="652"/>
      <c r="M56" s="652"/>
      <c r="N56" s="652"/>
      <c r="O56" s="750"/>
      <c r="P56" s="781"/>
      <c r="Q56" s="110"/>
      <c r="R56" s="110"/>
      <c r="S56" s="82"/>
      <c r="T56" s="107"/>
      <c r="U56" s="107"/>
      <c r="V56" s="107"/>
      <c r="W56" s="107"/>
      <c r="X56" s="107"/>
      <c r="Y56" s="107"/>
      <c r="Z56" s="107"/>
      <c r="AA56" s="107"/>
      <c r="AB56" s="107"/>
      <c r="AC56" s="107"/>
      <c r="AD56" s="107"/>
      <c r="AE56" s="107"/>
    </row>
    <row r="57" spans="1:31" s="111" customFormat="1" ht="15" customHeight="1" x14ac:dyDescent="0.2">
      <c r="A57" s="1440"/>
      <c r="B57" s="107"/>
      <c r="C57" s="652"/>
      <c r="D57" s="769" t="s">
        <v>4095</v>
      </c>
      <c r="E57" s="652"/>
      <c r="F57" s="652"/>
      <c r="G57" s="652"/>
      <c r="H57" s="652"/>
      <c r="I57" s="652"/>
      <c r="J57" s="652"/>
      <c r="K57" s="652"/>
      <c r="L57" s="652"/>
      <c r="M57" s="652"/>
      <c r="N57" s="652"/>
      <c r="O57" s="750"/>
      <c r="P57" s="781"/>
      <c r="Q57" s="110"/>
      <c r="R57" s="110"/>
      <c r="S57" s="82"/>
      <c r="T57" s="107"/>
      <c r="U57" s="107"/>
      <c r="V57" s="107"/>
      <c r="W57" s="107"/>
      <c r="X57" s="107"/>
      <c r="Y57" s="107"/>
      <c r="Z57" s="107"/>
      <c r="AA57" s="107"/>
      <c r="AB57" s="107"/>
      <c r="AC57" s="107"/>
      <c r="AD57" s="107"/>
      <c r="AE57" s="107"/>
    </row>
    <row r="58" spans="1:31" s="111" customFormat="1" ht="15" customHeight="1" x14ac:dyDescent="0.2">
      <c r="A58" s="1440"/>
      <c r="B58" s="107"/>
      <c r="C58" s="652"/>
      <c r="D58" s="1139" t="s">
        <v>4340</v>
      </c>
      <c r="E58" s="1120">
        <f>E53</f>
        <v>-68246123.346978724</v>
      </c>
      <c r="F58" s="1120">
        <f t="shared" ref="F58:N58" si="24">F53+E58</f>
        <v>-140018448.45208138</v>
      </c>
      <c r="G58" s="1120">
        <f t="shared" si="24"/>
        <v>-212868994.40298551</v>
      </c>
      <c r="H58" s="1120">
        <f t="shared" si="24"/>
        <v>-285921853.56122279</v>
      </c>
      <c r="I58" s="1120">
        <f t="shared" si="24"/>
        <v>-360360314.90194166</v>
      </c>
      <c r="J58" s="1120">
        <f t="shared" si="24"/>
        <v>-436308186.29207748</v>
      </c>
      <c r="K58" s="1120">
        <f t="shared" si="24"/>
        <v>-513699154.61381525</v>
      </c>
      <c r="L58" s="1120">
        <f t="shared" si="24"/>
        <v>-591615757.48899114</v>
      </c>
      <c r="M58" s="1120">
        <f t="shared" si="24"/>
        <v>-671027660.96003032</v>
      </c>
      <c r="N58" s="1120">
        <f t="shared" si="24"/>
        <v>-752040997.67685878</v>
      </c>
      <c r="O58" s="1167" t="s">
        <v>4334</v>
      </c>
      <c r="P58" s="781"/>
      <c r="Q58" s="110"/>
      <c r="R58" s="110"/>
      <c r="S58" s="82"/>
      <c r="T58" s="107"/>
      <c r="U58" s="107"/>
      <c r="V58" s="107"/>
      <c r="W58" s="107"/>
      <c r="X58" s="107"/>
      <c r="Y58" s="107"/>
      <c r="Z58" s="107"/>
      <c r="AA58" s="107"/>
      <c r="AB58" s="107"/>
      <c r="AC58" s="107"/>
      <c r="AD58" s="107"/>
      <c r="AE58" s="107"/>
    </row>
    <row r="59" spans="1:31" s="111" customFormat="1" ht="15" customHeight="1" x14ac:dyDescent="0.2">
      <c r="A59" s="1440"/>
      <c r="B59" s="107"/>
      <c r="C59" s="652"/>
      <c r="D59" s="1139" t="s">
        <v>4341</v>
      </c>
      <c r="E59" s="1120">
        <f>E54</f>
        <v>-68202423.346978724</v>
      </c>
      <c r="F59" s="1120">
        <f t="shared" ref="F59:N59" si="25">F54+E59</f>
        <v>-139955623.45208138</v>
      </c>
      <c r="G59" s="1120">
        <f t="shared" si="25"/>
        <v>-212786401.80298549</v>
      </c>
      <c r="H59" s="1120">
        <f t="shared" si="25"/>
        <v>-285818832.70722276</v>
      </c>
      <c r="I59" s="1120">
        <f t="shared" si="25"/>
        <v>-360236186.62082165</v>
      </c>
      <c r="J59" s="1120">
        <f t="shared" si="25"/>
        <v>-436162252.41509426</v>
      </c>
      <c r="K59" s="1120">
        <f t="shared" si="25"/>
        <v>-513530697.48844671</v>
      </c>
      <c r="L59" s="1120">
        <f t="shared" si="25"/>
        <v>-591424039.47885275</v>
      </c>
      <c r="M59" s="1120">
        <f t="shared" si="25"/>
        <v>-670811923.93258142</v>
      </c>
      <c r="N59" s="1120">
        <f t="shared" si="25"/>
        <v>-751800462.47861099</v>
      </c>
      <c r="O59" s="1167" t="s">
        <v>4335</v>
      </c>
      <c r="P59" s="781"/>
      <c r="Q59" s="110"/>
      <c r="R59" s="110"/>
      <c r="S59" s="82"/>
      <c r="T59" s="107"/>
      <c r="U59" s="107"/>
      <c r="V59" s="107"/>
      <c r="W59" s="107"/>
      <c r="X59" s="107"/>
      <c r="Y59" s="107"/>
      <c r="Z59" s="107"/>
      <c r="AA59" s="107"/>
      <c r="AB59" s="107"/>
      <c r="AC59" s="107"/>
      <c r="AD59" s="107"/>
      <c r="AE59" s="107"/>
    </row>
    <row r="60" spans="1:31" s="111" customFormat="1" ht="15" customHeight="1" x14ac:dyDescent="0.2">
      <c r="A60" s="1440"/>
      <c r="B60" s="107"/>
      <c r="C60" s="652"/>
      <c r="D60" s="1139" t="s">
        <v>4342</v>
      </c>
      <c r="E60" s="1120">
        <f>E55</f>
        <v>-68169523.346978724</v>
      </c>
      <c r="F60" s="1120">
        <f t="shared" ref="F60:N60" si="26">F55+E60</f>
        <v>-139905077.45208138</v>
      </c>
      <c r="G60" s="1120">
        <f t="shared" si="26"/>
        <v>-212717856.88298547</v>
      </c>
      <c r="H60" s="1120">
        <f t="shared" si="26"/>
        <v>-285731928.88882279</v>
      </c>
      <c r="I60" s="1120">
        <f t="shared" si="26"/>
        <v>-360130556.72605371</v>
      </c>
      <c r="J60" s="1120">
        <f t="shared" si="26"/>
        <v>-436037521.92243099</v>
      </c>
      <c r="K60" s="1120">
        <f t="shared" si="26"/>
        <v>-513386484.38593018</v>
      </c>
      <c r="L60" s="1120">
        <f t="shared" si="26"/>
        <v>-591259954.11428583</v>
      </c>
      <c r="M60" s="1120">
        <f t="shared" si="26"/>
        <v>-670627568.86072314</v>
      </c>
      <c r="N60" s="1120">
        <f t="shared" si="26"/>
        <v>-751595432.30531561</v>
      </c>
      <c r="O60" s="1167" t="s">
        <v>4336</v>
      </c>
      <c r="P60" s="781"/>
      <c r="Q60" s="110"/>
      <c r="R60" s="110"/>
      <c r="S60" s="31"/>
      <c r="T60" s="107"/>
      <c r="U60" s="107"/>
      <c r="V60" s="107"/>
      <c r="W60" s="107"/>
      <c r="X60" s="107"/>
      <c r="Y60" s="107"/>
      <c r="Z60" s="107"/>
      <c r="AA60" s="107"/>
      <c r="AB60" s="107"/>
      <c r="AC60" s="107"/>
      <c r="AD60" s="107"/>
      <c r="AE60" s="107"/>
    </row>
    <row r="61" spans="1:31" s="98" customFormat="1" ht="15" customHeight="1" thickBot="1" x14ac:dyDescent="0.25">
      <c r="A61" s="1441"/>
      <c r="B61" s="107"/>
      <c r="C61" s="104"/>
      <c r="D61" s="766"/>
      <c r="E61" s="755"/>
      <c r="F61" s="755"/>
      <c r="G61" s="755"/>
      <c r="H61" s="755"/>
      <c r="I61" s="755"/>
      <c r="J61" s="755"/>
      <c r="K61" s="755"/>
      <c r="L61" s="755"/>
      <c r="M61" s="755"/>
      <c r="N61" s="755"/>
      <c r="O61" s="756"/>
      <c r="P61" s="651"/>
      <c r="Q61" s="106"/>
      <c r="R61" s="106"/>
      <c r="S61" s="31"/>
      <c r="T61" s="50"/>
      <c r="U61" s="50"/>
      <c r="V61" s="50"/>
      <c r="W61" s="50"/>
      <c r="X61" s="50"/>
      <c r="Y61" s="50"/>
      <c r="Z61" s="50"/>
      <c r="AA61" s="50"/>
      <c r="AB61" s="50"/>
      <c r="AC61" s="50"/>
      <c r="AD61" s="50"/>
      <c r="AE61" s="50"/>
    </row>
    <row r="62" spans="1:31" s="98" customFormat="1" ht="15" customHeight="1" x14ac:dyDescent="0.2">
      <c r="A62" s="50"/>
      <c r="B62" s="107"/>
      <c r="C62" s="104"/>
      <c r="D62" s="763"/>
      <c r="E62" s="105"/>
      <c r="F62" s="105"/>
      <c r="G62" s="105"/>
      <c r="H62" s="105"/>
      <c r="I62" s="105"/>
      <c r="J62" s="105"/>
      <c r="K62" s="105"/>
      <c r="L62" s="105"/>
      <c r="M62" s="105"/>
      <c r="N62" s="105"/>
      <c r="O62" s="108"/>
      <c r="P62" s="106"/>
      <c r="Q62" s="106"/>
      <c r="R62" s="106"/>
      <c r="S62" s="31"/>
      <c r="T62" s="50"/>
      <c r="U62" s="50"/>
      <c r="V62" s="50"/>
      <c r="W62" s="50"/>
      <c r="X62" s="50"/>
      <c r="Y62" s="50"/>
      <c r="Z62" s="50"/>
      <c r="AA62" s="50"/>
      <c r="AB62" s="50"/>
      <c r="AC62" s="50"/>
      <c r="AD62" s="50"/>
      <c r="AE62" s="50"/>
    </row>
    <row r="63" spans="1:31" s="122" customFormat="1" ht="15.75" collapsed="1" x14ac:dyDescent="0.2">
      <c r="A63" s="1043" t="s">
        <v>4214</v>
      </c>
      <c r="B63" s="1039"/>
      <c r="C63" s="1039"/>
      <c r="D63" s="1039"/>
      <c r="E63" s="1039"/>
      <c r="F63" s="1039"/>
      <c r="G63" s="1039"/>
      <c r="H63" s="1039"/>
      <c r="I63" s="1039"/>
      <c r="J63" s="1039"/>
      <c r="K63" s="1039"/>
      <c r="L63" s="1039"/>
      <c r="M63" s="1039"/>
      <c r="N63" s="1039"/>
      <c r="O63" s="1039"/>
      <c r="P63" s="206"/>
      <c r="Q63" s="206"/>
      <c r="R63" s="206"/>
      <c r="S63" s="206"/>
      <c r="T63" s="206"/>
      <c r="U63" s="206"/>
      <c r="V63" s="206"/>
      <c r="W63" s="206"/>
      <c r="X63" s="206"/>
      <c r="Y63" s="206"/>
      <c r="Z63" s="206"/>
      <c r="AA63" s="206"/>
      <c r="AB63" s="206"/>
      <c r="AC63" s="206"/>
      <c r="AD63" s="206"/>
      <c r="AE63" s="206"/>
    </row>
    <row r="64" spans="1:31" ht="15" customHeight="1" x14ac:dyDescent="0.2"/>
  </sheetData>
  <sheetProtection selectLockedCells="1" sort="0" autoFilter="0" pivotTables="0"/>
  <protectedRanges>
    <protectedRange sqref="M3" name="SetupTab_1_1_1"/>
  </protectedRanges>
  <mergeCells count="8">
    <mergeCell ref="A13:A23"/>
    <mergeCell ref="A27:A61"/>
    <mergeCell ref="O7:O9"/>
    <mergeCell ref="A2:A4"/>
    <mergeCell ref="B2:L2"/>
    <mergeCell ref="M2:O2"/>
    <mergeCell ref="B3:L4"/>
    <mergeCell ref="M3:O4"/>
  </mergeCells>
  <pageMargins left="0.75" right="0.75" top="1" bottom="1" header="0.5" footer="0.5"/>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AH64"/>
  <sheetViews>
    <sheetView zoomScaleNormal="100" workbookViewId="0"/>
  </sheetViews>
  <sheetFormatPr defaultColWidth="11" defaultRowHeight="12.75" x14ac:dyDescent="0.2"/>
  <cols>
    <col min="1" max="1" width="80.7109375" style="3" customWidth="1"/>
    <col min="2" max="2" width="5.7109375" style="3" customWidth="1"/>
    <col min="3" max="3" width="55.7109375" style="104" customWidth="1"/>
    <col min="4" max="4" width="60.7109375" style="133" customWidth="1"/>
    <col min="5" max="7" width="25.7109375" style="3" customWidth="1"/>
    <col min="8" max="8" width="25.7109375" style="6" customWidth="1"/>
    <col min="9" max="14" width="25.7109375" style="3" customWidth="1"/>
    <col min="15" max="15" width="44.140625" style="3" bestFit="1" customWidth="1"/>
    <col min="16" max="16" width="58" style="3" customWidth="1"/>
    <col min="17" max="17" width="11" style="3"/>
    <col min="18" max="18" width="66.5703125" style="3" customWidth="1"/>
    <col min="19" max="16384" width="11" style="3"/>
  </cols>
  <sheetData>
    <row r="1" spans="1:34" s="1191" customFormat="1" ht="30" customHeight="1" x14ac:dyDescent="0.3">
      <c r="A1" s="1183" t="s">
        <v>66</v>
      </c>
      <c r="B1" s="1188"/>
      <c r="C1" s="1182" t="str">
        <f>"Cashflow Results - "&amp;(Scenario3)</f>
        <v>Cashflow Results - eSystems (Paperless)</v>
      </c>
      <c r="D1" s="1188"/>
      <c r="E1" s="1182"/>
      <c r="F1" s="1182"/>
      <c r="G1" s="1182"/>
      <c r="H1" s="1182"/>
      <c r="I1" s="1182"/>
      <c r="J1" s="1182"/>
      <c r="K1" s="1182"/>
      <c r="L1" s="1182"/>
      <c r="M1" s="1182"/>
      <c r="N1" s="1182"/>
      <c r="O1" s="1182"/>
      <c r="P1" s="1182"/>
      <c r="Q1" s="1189"/>
      <c r="R1" s="1189"/>
      <c r="S1" s="1189"/>
      <c r="T1" s="1189"/>
      <c r="U1" s="1189"/>
      <c r="V1" s="1189"/>
      <c r="W1" s="1189"/>
      <c r="X1" s="1189"/>
      <c r="Y1" s="1189"/>
      <c r="Z1" s="1189"/>
      <c r="AA1" s="1189"/>
      <c r="AB1" s="1189"/>
      <c r="AC1" s="1189"/>
      <c r="AD1" s="1189"/>
      <c r="AE1" s="1189"/>
      <c r="AF1" s="1189"/>
      <c r="AG1" s="1189"/>
      <c r="AH1" s="1190"/>
    </row>
    <row r="2" spans="1:34"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4"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4"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4" s="128" customFormat="1" ht="12.75" customHeight="1" x14ac:dyDescent="0.25">
      <c r="A5" s="188"/>
      <c r="B5" s="13"/>
      <c r="C5" s="147"/>
      <c r="D5" s="758"/>
      <c r="E5" s="147"/>
      <c r="F5" s="147"/>
      <c r="G5" s="147"/>
      <c r="H5" s="147"/>
      <c r="I5" s="147"/>
      <c r="J5" s="147"/>
      <c r="K5" s="147"/>
      <c r="L5" s="147"/>
      <c r="M5" s="163"/>
      <c r="N5" s="163"/>
      <c r="O5" s="163"/>
      <c r="P5" s="152"/>
    </row>
    <row r="6" spans="1:34" ht="14.1" customHeight="1" x14ac:dyDescent="0.2">
      <c r="A6" s="13"/>
      <c r="B6" s="13"/>
      <c r="D6" s="759"/>
      <c r="E6" s="49"/>
      <c r="F6" s="49"/>
      <c r="G6" s="13"/>
      <c r="H6" s="13"/>
      <c r="I6" s="13"/>
      <c r="J6" s="13"/>
      <c r="K6" s="13"/>
      <c r="L6" s="13"/>
      <c r="M6" s="13"/>
      <c r="N6" s="13"/>
      <c r="O6" s="13"/>
      <c r="P6" s="19"/>
      <c r="Q6" s="19"/>
      <c r="R6" s="19"/>
      <c r="S6" s="19"/>
      <c r="T6" s="19"/>
      <c r="U6" s="19"/>
      <c r="V6" s="19"/>
      <c r="W6" s="19"/>
      <c r="X6" s="19"/>
      <c r="Y6" s="19"/>
      <c r="Z6" s="19"/>
      <c r="AA6" s="19"/>
      <c r="AB6" s="19"/>
      <c r="AC6" s="19"/>
      <c r="AD6" s="19"/>
      <c r="AE6" s="19"/>
      <c r="AF6" s="19"/>
    </row>
    <row r="7" spans="1:34" ht="14.1" customHeight="1" x14ac:dyDescent="0.2">
      <c r="A7" s="13"/>
      <c r="B7" s="13"/>
      <c r="D7" s="760" t="str">
        <f>CurrSymbol&amp;" in "&amp;CurrUnits&amp;"s"</f>
        <v>US$ in 1000s</v>
      </c>
      <c r="E7" s="42" t="s">
        <v>12</v>
      </c>
      <c r="F7" s="42" t="s">
        <v>11</v>
      </c>
      <c r="G7" s="75" t="s">
        <v>10</v>
      </c>
      <c r="H7" s="42" t="s">
        <v>39</v>
      </c>
      <c r="I7" s="78" t="s">
        <v>40</v>
      </c>
      <c r="J7" s="42" t="s">
        <v>41</v>
      </c>
      <c r="K7" s="42" t="s">
        <v>42</v>
      </c>
      <c r="L7" s="42" t="s">
        <v>43</v>
      </c>
      <c r="M7" s="42" t="s">
        <v>44</v>
      </c>
      <c r="N7" s="42" t="s">
        <v>45</v>
      </c>
      <c r="O7" s="1443" t="s">
        <v>0</v>
      </c>
      <c r="Q7" s="19"/>
      <c r="R7" s="19"/>
      <c r="S7" s="19"/>
      <c r="T7" s="19"/>
      <c r="U7" s="19"/>
      <c r="V7" s="19"/>
      <c r="W7" s="19"/>
      <c r="X7" s="19"/>
      <c r="Y7" s="19"/>
      <c r="Z7" s="19"/>
      <c r="AA7" s="19"/>
      <c r="AB7" s="19"/>
      <c r="AC7" s="19"/>
      <c r="AD7" s="19"/>
      <c r="AE7" s="19"/>
      <c r="AF7" s="19"/>
    </row>
    <row r="8" spans="1:34" ht="14.1" customHeight="1" x14ac:dyDescent="0.2">
      <c r="A8" s="13"/>
      <c r="B8" s="13"/>
      <c r="D8" s="759"/>
      <c r="E8" s="43">
        <f>Yr1End</f>
        <v>43830</v>
      </c>
      <c r="F8" s="43">
        <f>Yr2End</f>
        <v>44196</v>
      </c>
      <c r="G8" s="76">
        <f>Yr3End</f>
        <v>44561</v>
      </c>
      <c r="H8" s="43">
        <f>Yr4end</f>
        <v>44926</v>
      </c>
      <c r="I8" s="79">
        <f>Yr5end</f>
        <v>45291</v>
      </c>
      <c r="J8" s="43">
        <f>Yr6end</f>
        <v>45657</v>
      </c>
      <c r="K8" s="43">
        <f>Yr7end</f>
        <v>46022</v>
      </c>
      <c r="L8" s="43">
        <f>Yr8end</f>
        <v>46387</v>
      </c>
      <c r="M8" s="43">
        <f>Yr9end</f>
        <v>46752</v>
      </c>
      <c r="N8" s="43">
        <f>Yr10end</f>
        <v>47118</v>
      </c>
      <c r="O8" s="1443"/>
      <c r="P8" s="131" t="s">
        <v>67</v>
      </c>
      <c r="Q8" s="19"/>
      <c r="R8" s="19"/>
      <c r="S8" s="19"/>
      <c r="T8" s="19"/>
      <c r="U8" s="19"/>
      <c r="V8" s="19"/>
      <c r="W8" s="19"/>
      <c r="X8" s="19"/>
      <c r="Y8" s="19"/>
      <c r="Z8" s="19"/>
      <c r="AA8" s="19"/>
      <c r="AB8" s="19"/>
      <c r="AC8" s="19"/>
      <c r="AD8" s="19"/>
      <c r="AE8" s="19"/>
      <c r="AF8" s="19"/>
    </row>
    <row r="9" spans="1:34" ht="14.1" customHeight="1" x14ac:dyDescent="0.2">
      <c r="A9" s="13"/>
      <c r="B9" s="13"/>
      <c r="D9" s="759"/>
      <c r="E9" s="44">
        <f>Yr1End</f>
        <v>43830</v>
      </c>
      <c r="F9" s="44">
        <f>Yr2End</f>
        <v>44196</v>
      </c>
      <c r="G9" s="77">
        <f>Yr3End</f>
        <v>44561</v>
      </c>
      <c r="H9" s="44">
        <f>Yr4end</f>
        <v>44926</v>
      </c>
      <c r="I9" s="80">
        <f>Yr5end</f>
        <v>45291</v>
      </c>
      <c r="J9" s="44">
        <f>Yr6end</f>
        <v>45657</v>
      </c>
      <c r="K9" s="44">
        <f>Yr7end</f>
        <v>46022</v>
      </c>
      <c r="L9" s="44">
        <f>Yr8end</f>
        <v>46387</v>
      </c>
      <c r="M9" s="44">
        <f>Yr9end</f>
        <v>46752</v>
      </c>
      <c r="N9" s="44">
        <f>Yr10end</f>
        <v>47118</v>
      </c>
      <c r="O9" s="1443"/>
      <c r="P9" s="131"/>
      <c r="Q9" s="19"/>
      <c r="R9" s="19"/>
      <c r="S9" s="19"/>
      <c r="T9" s="19"/>
      <c r="U9" s="19"/>
      <c r="V9" s="19"/>
      <c r="W9" s="19"/>
      <c r="X9" s="19"/>
      <c r="Y9" s="19"/>
      <c r="Z9" s="19"/>
      <c r="AA9" s="19"/>
      <c r="AB9" s="19"/>
      <c r="AC9" s="19"/>
      <c r="AD9" s="19"/>
      <c r="AE9" s="19"/>
      <c r="AF9" s="19"/>
    </row>
    <row r="10" spans="1:34" ht="14.1" customHeight="1" x14ac:dyDescent="0.2">
      <c r="A10" s="13"/>
      <c r="B10" s="13"/>
      <c r="D10" s="761"/>
      <c r="E10" s="10"/>
      <c r="F10" s="10"/>
      <c r="G10" s="10"/>
      <c r="H10" s="10"/>
      <c r="I10" s="10"/>
      <c r="J10" s="10"/>
      <c r="K10" s="10"/>
      <c r="L10" s="10"/>
      <c r="M10" s="10"/>
      <c r="N10" s="10"/>
      <c r="O10" s="10"/>
      <c r="Q10" s="9"/>
      <c r="R10" s="9"/>
      <c r="S10" s="9"/>
      <c r="T10" s="19"/>
      <c r="U10" s="19"/>
      <c r="V10" s="19"/>
      <c r="W10" s="19"/>
      <c r="X10" s="19"/>
      <c r="Y10" s="19"/>
      <c r="Z10" s="19"/>
      <c r="AA10" s="19"/>
      <c r="AB10" s="19"/>
      <c r="AC10" s="19"/>
      <c r="AD10" s="19"/>
      <c r="AE10" s="19"/>
      <c r="AF10" s="19"/>
    </row>
    <row r="11" spans="1:34" s="122" customFormat="1" ht="15.75" x14ac:dyDescent="0.2">
      <c r="A11" s="1043">
        <v>1</v>
      </c>
      <c r="B11" s="1039"/>
      <c r="C11" s="1039"/>
      <c r="D11" s="1039"/>
      <c r="E11" s="1039"/>
      <c r="F11" s="1039"/>
      <c r="G11" s="1039"/>
      <c r="H11" s="1039"/>
      <c r="I11" s="1039"/>
      <c r="J11" s="1039"/>
      <c r="K11" s="1039"/>
      <c r="L11" s="1039"/>
      <c r="M11" s="1039"/>
      <c r="N11" s="1039"/>
      <c r="O11" s="1039"/>
      <c r="P11" s="206"/>
      <c r="Q11" s="206"/>
      <c r="R11" s="206"/>
      <c r="S11" s="206"/>
      <c r="T11" s="206"/>
      <c r="U11" s="206"/>
      <c r="V11" s="206"/>
      <c r="W11" s="206"/>
      <c r="X11" s="206"/>
      <c r="Y11" s="206"/>
      <c r="Z11" s="206"/>
      <c r="AA11" s="206"/>
      <c r="AB11" s="206"/>
      <c r="AC11" s="206"/>
      <c r="AD11" s="206"/>
      <c r="AE11" s="206"/>
      <c r="AF11" s="206"/>
    </row>
    <row r="12" spans="1:34" ht="14.1" customHeight="1" thickBot="1" x14ac:dyDescent="0.25">
      <c r="A12" s="13"/>
      <c r="B12" s="13"/>
      <c r="D12" s="761"/>
      <c r="E12" s="10"/>
      <c r="F12" s="10"/>
      <c r="G12" s="10"/>
      <c r="H12" s="10"/>
      <c r="I12" s="10"/>
      <c r="J12" s="10"/>
      <c r="K12" s="10"/>
      <c r="L12" s="10"/>
      <c r="M12" s="10"/>
      <c r="N12" s="10"/>
      <c r="O12" s="10"/>
      <c r="Q12" s="9"/>
      <c r="R12" s="9"/>
      <c r="S12" s="9"/>
      <c r="T12" s="19"/>
      <c r="U12" s="19"/>
      <c r="V12" s="19"/>
      <c r="W12" s="19"/>
      <c r="X12" s="19"/>
      <c r="Y12" s="19"/>
      <c r="Z12" s="19"/>
      <c r="AA12" s="19"/>
      <c r="AB12" s="19"/>
      <c r="AC12" s="19"/>
      <c r="AD12" s="19"/>
      <c r="AE12" s="19"/>
      <c r="AF12" s="19"/>
    </row>
    <row r="13" spans="1:34" ht="15" customHeight="1" x14ac:dyDescent="0.2">
      <c r="A13" s="1436" t="s">
        <v>4321</v>
      </c>
      <c r="B13" s="13"/>
      <c r="D13" s="783" t="s">
        <v>4104</v>
      </c>
      <c r="E13" s="380"/>
      <c r="F13" s="380"/>
      <c r="G13" s="380"/>
      <c r="H13" s="380"/>
      <c r="I13" s="380"/>
      <c r="J13" s="380"/>
      <c r="K13" s="380"/>
      <c r="L13" s="380"/>
      <c r="M13" s="380"/>
      <c r="N13" s="380"/>
      <c r="O13" s="749"/>
      <c r="Q13" s="9"/>
      <c r="R13" s="9"/>
      <c r="S13" s="9"/>
      <c r="T13" s="19"/>
      <c r="U13" s="19"/>
      <c r="V13" s="19"/>
      <c r="W13" s="19"/>
      <c r="X13" s="19"/>
      <c r="Y13" s="19"/>
      <c r="Z13" s="19"/>
      <c r="AA13" s="19"/>
      <c r="AB13" s="19"/>
      <c r="AC13" s="19"/>
      <c r="AD13" s="19"/>
      <c r="AE13" s="19"/>
      <c r="AF13" s="19"/>
    </row>
    <row r="14" spans="1:34" s="111" customFormat="1" ht="15" customHeight="1" x14ac:dyDescent="0.2">
      <c r="A14" s="1437"/>
      <c r="B14" s="107"/>
      <c r="C14" s="652"/>
      <c r="D14" s="1139" t="str">
        <f t="shared" ref="D14:N14" si="0">eSystemsFTELaborCostWorstCase_CFS</f>
        <v>eSystems Cost of Labor - Worst Case Total</v>
      </c>
      <c r="E14" s="1136">
        <f t="shared" si="0"/>
        <v>-379378750</v>
      </c>
      <c r="F14" s="1122">
        <f t="shared" si="0"/>
        <v>-386966325</v>
      </c>
      <c r="G14" s="1122">
        <f t="shared" si="0"/>
        <v>-394705651.5</v>
      </c>
      <c r="H14" s="1122">
        <f t="shared" si="0"/>
        <v>-402599764.52999991</v>
      </c>
      <c r="I14" s="1122">
        <f t="shared" si="0"/>
        <v>-410651759.82060003</v>
      </c>
      <c r="J14" s="1122">
        <f t="shared" si="0"/>
        <v>-418864795.017012</v>
      </c>
      <c r="K14" s="1122">
        <f t="shared" si="0"/>
        <v>-427242090.9173522</v>
      </c>
      <c r="L14" s="1122">
        <f t="shared" si="0"/>
        <v>-435786932.73569924</v>
      </c>
      <c r="M14" s="1122">
        <f t="shared" si="0"/>
        <v>-444502671.39041322</v>
      </c>
      <c r="N14" s="1122">
        <f t="shared" si="0"/>
        <v>-453392724.81822163</v>
      </c>
      <c r="O14" s="1142"/>
      <c r="P14" s="654"/>
      <c r="Q14" s="110"/>
      <c r="R14" s="110"/>
      <c r="S14" s="110"/>
      <c r="T14" s="107"/>
      <c r="U14" s="107"/>
      <c r="V14" s="107"/>
      <c r="W14" s="107"/>
      <c r="X14" s="107"/>
      <c r="Y14" s="107"/>
      <c r="Z14" s="107"/>
      <c r="AA14" s="107"/>
      <c r="AB14" s="107"/>
      <c r="AC14" s="107"/>
      <c r="AD14" s="107"/>
      <c r="AE14" s="107"/>
      <c r="AF14" s="107"/>
    </row>
    <row r="15" spans="1:34" s="111" customFormat="1" ht="15" customHeight="1" x14ac:dyDescent="0.2">
      <c r="A15" s="1437"/>
      <c r="B15" s="107"/>
      <c r="C15" s="652"/>
      <c r="D15" s="1139" t="str">
        <f t="shared" ref="D15:N15" si="1">eSystemsFTELaborCostMostLikely_CFS</f>
        <v>eSystems Cost of Labor - Most Likely Total</v>
      </c>
      <c r="E15" s="1137">
        <f t="shared" si="1"/>
        <v>-334590593.75</v>
      </c>
      <c r="F15" s="1137">
        <f t="shared" si="1"/>
        <v>-341259375.29999995</v>
      </c>
      <c r="G15" s="1137">
        <f t="shared" si="1"/>
        <v>-348061071.87449992</v>
      </c>
      <c r="H15" s="1137">
        <f t="shared" si="1"/>
        <v>-354998332.56186002</v>
      </c>
      <c r="I15" s="1137">
        <f t="shared" si="1"/>
        <v>-362073859.2479645</v>
      </c>
      <c r="J15" s="1137">
        <f t="shared" si="1"/>
        <v>-369290407.66848862</v>
      </c>
      <c r="K15" s="1137">
        <f t="shared" si="1"/>
        <v>-376650788.4821344</v>
      </c>
      <c r="L15" s="1137">
        <f t="shared" si="1"/>
        <v>-384157868.36525857</v>
      </c>
      <c r="M15" s="1137">
        <f t="shared" si="1"/>
        <v>-391814571.12831503</v>
      </c>
      <c r="N15" s="1137">
        <f t="shared" si="1"/>
        <v>-399623878.85454756</v>
      </c>
      <c r="O15" s="1142"/>
      <c r="P15" s="654"/>
      <c r="Q15" s="110"/>
      <c r="R15" s="110"/>
      <c r="S15" s="110"/>
      <c r="T15" s="107"/>
      <c r="U15" s="107"/>
      <c r="V15" s="107"/>
      <c r="W15" s="107"/>
      <c r="X15" s="107"/>
      <c r="Y15" s="107"/>
      <c r="Z15" s="107"/>
      <c r="AA15" s="107"/>
      <c r="AB15" s="107"/>
      <c r="AC15" s="107"/>
      <c r="AD15" s="107"/>
      <c r="AE15" s="107"/>
      <c r="AF15" s="107"/>
    </row>
    <row r="16" spans="1:34" s="111" customFormat="1" ht="15" customHeight="1" x14ac:dyDescent="0.2">
      <c r="A16" s="1437"/>
      <c r="B16" s="107"/>
      <c r="C16" s="652"/>
      <c r="D16" s="1139" t="str">
        <f t="shared" ref="D16:N16" si="2">eSystemsFTELaborCostBestCase_CFS</f>
        <v>eSystems Cost of Labor - Best Case Total</v>
      </c>
      <c r="E16" s="1137">
        <f t="shared" si="2"/>
        <v>-312032750</v>
      </c>
      <c r="F16" s="1137">
        <f t="shared" si="2"/>
        <v>-318250374.67499995</v>
      </c>
      <c r="G16" s="1137">
        <f t="shared" si="2"/>
        <v>-324591891.23699999</v>
      </c>
      <c r="H16" s="1137">
        <f t="shared" si="2"/>
        <v>-331059768.31160986</v>
      </c>
      <c r="I16" s="1137">
        <f t="shared" si="2"/>
        <v>-337656523.71270961</v>
      </c>
      <c r="J16" s="1137">
        <f t="shared" si="2"/>
        <v>-344384725.42252862</v>
      </c>
      <c r="K16" s="1137">
        <f t="shared" si="2"/>
        <v>-351246992.59125501</v>
      </c>
      <c r="L16" s="1137">
        <f t="shared" si="2"/>
        <v>-358245996.55656171</v>
      </c>
      <c r="M16" s="1137">
        <f t="shared" si="2"/>
        <v>-365384461.88344425</v>
      </c>
      <c r="N16" s="1137">
        <f t="shared" si="2"/>
        <v>-372665167.42477942</v>
      </c>
      <c r="O16" s="1142"/>
      <c r="P16" s="654"/>
      <c r="Q16" s="110"/>
      <c r="R16" s="110"/>
      <c r="S16" s="110"/>
      <c r="T16" s="107"/>
      <c r="U16" s="107"/>
      <c r="V16" s="107"/>
      <c r="W16" s="107"/>
      <c r="X16" s="107"/>
      <c r="Y16" s="107"/>
      <c r="Z16" s="107"/>
      <c r="AA16" s="107"/>
      <c r="AB16" s="107"/>
      <c r="AC16" s="107"/>
      <c r="AD16" s="107"/>
      <c r="AE16" s="107"/>
      <c r="AF16" s="107"/>
    </row>
    <row r="17" spans="1:32" s="111" customFormat="1" ht="15" customHeight="1" thickBot="1" x14ac:dyDescent="0.25">
      <c r="A17" s="1437"/>
      <c r="B17" s="107"/>
      <c r="C17" s="652"/>
      <c r="D17" s="774"/>
      <c r="E17" s="775"/>
      <c r="F17" s="775"/>
      <c r="G17" s="775"/>
      <c r="H17" s="775"/>
      <c r="I17" s="775"/>
      <c r="J17" s="775"/>
      <c r="K17" s="775"/>
      <c r="L17" s="775"/>
      <c r="M17" s="775"/>
      <c r="N17" s="775"/>
      <c r="O17" s="756"/>
      <c r="P17" s="654"/>
      <c r="Q17" s="110"/>
      <c r="R17" s="110"/>
      <c r="S17" s="110"/>
      <c r="T17" s="107"/>
      <c r="U17" s="107"/>
      <c r="V17" s="107"/>
      <c r="W17" s="107"/>
      <c r="X17" s="107"/>
      <c r="Y17" s="107"/>
      <c r="Z17" s="107"/>
      <c r="AA17" s="107"/>
      <c r="AB17" s="107"/>
      <c r="AC17" s="107"/>
      <c r="AD17" s="107"/>
      <c r="AE17" s="107"/>
      <c r="AF17" s="107"/>
    </row>
    <row r="18" spans="1:32" s="111" customFormat="1" ht="15" customHeight="1" thickBot="1" x14ac:dyDescent="0.25">
      <c r="A18" s="1437"/>
      <c r="B18" s="107"/>
      <c r="C18" s="652"/>
      <c r="D18" s="762"/>
      <c r="E18" s="657"/>
      <c r="F18" s="657"/>
      <c r="G18" s="657"/>
      <c r="H18" s="657"/>
      <c r="I18" s="657"/>
      <c r="J18" s="657"/>
      <c r="K18" s="657"/>
      <c r="L18" s="657"/>
      <c r="M18" s="657"/>
      <c r="N18" s="657"/>
      <c r="O18" s="202"/>
      <c r="P18" s="654"/>
      <c r="Q18" s="110"/>
      <c r="R18" s="110"/>
      <c r="S18" s="110"/>
      <c r="T18" s="107"/>
      <c r="U18" s="107"/>
      <c r="V18" s="107"/>
      <c r="W18" s="107"/>
      <c r="X18" s="107"/>
      <c r="Y18" s="107"/>
      <c r="Z18" s="107"/>
      <c r="AA18" s="107"/>
      <c r="AB18" s="107"/>
      <c r="AC18" s="107"/>
      <c r="AD18" s="107"/>
      <c r="AE18" s="107"/>
      <c r="AF18" s="107"/>
    </row>
    <row r="19" spans="1:32" s="111" customFormat="1" ht="15" customHeight="1" x14ac:dyDescent="0.2">
      <c r="A19" s="1437"/>
      <c r="B19" s="107"/>
      <c r="C19" s="652"/>
      <c r="D19" s="784" t="s">
        <v>4105</v>
      </c>
      <c r="E19" s="776"/>
      <c r="F19" s="776"/>
      <c r="G19" s="776"/>
      <c r="H19" s="776"/>
      <c r="I19" s="776"/>
      <c r="J19" s="776"/>
      <c r="K19" s="776"/>
      <c r="L19" s="776"/>
      <c r="M19" s="776"/>
      <c r="N19" s="776"/>
      <c r="O19" s="777"/>
      <c r="P19" s="654"/>
      <c r="Q19" s="110"/>
      <c r="R19" s="110"/>
      <c r="S19" s="110"/>
      <c r="T19" s="107"/>
      <c r="U19" s="107"/>
      <c r="V19" s="107"/>
      <c r="W19" s="107"/>
      <c r="X19" s="107"/>
      <c r="Y19" s="107"/>
      <c r="Z19" s="107"/>
      <c r="AA19" s="107"/>
      <c r="AB19" s="107"/>
      <c r="AC19" s="107"/>
      <c r="AD19" s="107"/>
      <c r="AE19" s="107"/>
      <c r="AF19" s="107"/>
    </row>
    <row r="20" spans="1:32" s="111" customFormat="1" ht="15" customHeight="1" x14ac:dyDescent="0.2">
      <c r="A20" s="1437"/>
      <c r="B20" s="107"/>
      <c r="C20" s="652"/>
      <c r="D20" s="1139" t="s">
        <v>4101</v>
      </c>
      <c r="E20" s="1117">
        <f t="shared" ref="E20:N20" si="3">SUM(E14-E31)</f>
        <v>-377753231.04008037</v>
      </c>
      <c r="F20" s="1117">
        <f t="shared" si="3"/>
        <v>-386037585.36816627</v>
      </c>
      <c r="G20" s="1117">
        <f t="shared" si="3"/>
        <v>-393741104.96831298</v>
      </c>
      <c r="H20" s="1117">
        <f t="shared" si="3"/>
        <v>-401857957.75307029</v>
      </c>
      <c r="I20" s="1117">
        <f t="shared" si="3"/>
        <v>-409874721.47772712</v>
      </c>
      <c r="J20" s="1117">
        <f t="shared" si="3"/>
        <v>-417888860.4497869</v>
      </c>
      <c r="K20" s="1117">
        <f t="shared" si="3"/>
        <v>-426225872.66579926</v>
      </c>
      <c r="L20" s="1117">
        <f t="shared" si="3"/>
        <v>-435013599.14926535</v>
      </c>
      <c r="M20" s="1117">
        <f t="shared" si="3"/>
        <v>-443691556.35776955</v>
      </c>
      <c r="N20" s="1117">
        <f t="shared" si="3"/>
        <v>-452369105.25408</v>
      </c>
      <c r="O20" s="1140"/>
      <c r="P20" s="653"/>
      <c r="Q20" s="110"/>
      <c r="R20" s="110"/>
      <c r="S20" s="110"/>
      <c r="T20" s="82"/>
      <c r="U20" s="107"/>
      <c r="V20" s="107"/>
      <c r="W20" s="107"/>
      <c r="X20" s="107"/>
      <c r="Y20" s="107"/>
      <c r="Z20" s="107"/>
      <c r="AA20" s="107"/>
      <c r="AB20" s="107"/>
      <c r="AC20" s="107"/>
      <c r="AD20" s="107"/>
      <c r="AE20" s="107"/>
      <c r="AF20" s="107"/>
    </row>
    <row r="21" spans="1:32" s="111" customFormat="1" ht="15" customHeight="1" x14ac:dyDescent="0.2">
      <c r="A21" s="1437"/>
      <c r="B21" s="107"/>
      <c r="C21" s="652"/>
      <c r="D21" s="1139" t="s">
        <v>4099</v>
      </c>
      <c r="E21" s="1117">
        <f t="shared" ref="E21:N21" si="4">SUM(E15-E31)</f>
        <v>-332965074.79008037</v>
      </c>
      <c r="F21" s="1117">
        <f t="shared" si="4"/>
        <v>-340330635.66816622</v>
      </c>
      <c r="G21" s="1117">
        <f t="shared" si="4"/>
        <v>-347096525.3428129</v>
      </c>
      <c r="H21" s="1117">
        <f t="shared" si="4"/>
        <v>-354256525.78493041</v>
      </c>
      <c r="I21" s="1117">
        <f t="shared" si="4"/>
        <v>-361296820.90509158</v>
      </c>
      <c r="J21" s="1117">
        <f t="shared" si="4"/>
        <v>-368314473.10126352</v>
      </c>
      <c r="K21" s="1117">
        <f t="shared" si="4"/>
        <v>-375634570.23058146</v>
      </c>
      <c r="L21" s="1117">
        <f t="shared" si="4"/>
        <v>-383384534.77882469</v>
      </c>
      <c r="M21" s="1117">
        <f t="shared" si="4"/>
        <v>-391003456.09567136</v>
      </c>
      <c r="N21" s="1117">
        <f t="shared" si="4"/>
        <v>-398600259.29040593</v>
      </c>
      <c r="O21" s="1140"/>
      <c r="P21" s="653"/>
      <c r="Q21" s="110"/>
      <c r="R21" s="110"/>
      <c r="S21" s="110"/>
      <c r="T21" s="82"/>
      <c r="U21" s="107"/>
      <c r="V21" s="107"/>
      <c r="W21" s="107"/>
      <c r="X21" s="107"/>
      <c r="Y21" s="107"/>
      <c r="Z21" s="107"/>
      <c r="AA21" s="107"/>
      <c r="AB21" s="107"/>
      <c r="AC21" s="107"/>
      <c r="AD21" s="107"/>
      <c r="AE21" s="107"/>
      <c r="AF21" s="107"/>
    </row>
    <row r="22" spans="1:32" s="111" customFormat="1" ht="15" customHeight="1" x14ac:dyDescent="0.2">
      <c r="A22" s="1437"/>
      <c r="B22" s="107"/>
      <c r="C22" s="652"/>
      <c r="D22" s="1139" t="s">
        <v>4100</v>
      </c>
      <c r="E22" s="1117">
        <f t="shared" ref="E22:N22" si="5">SUM(E16-E31)</f>
        <v>-310407231.04008037</v>
      </c>
      <c r="F22" s="1117">
        <f t="shared" si="5"/>
        <v>-317321635.04316622</v>
      </c>
      <c r="G22" s="1117">
        <f t="shared" si="5"/>
        <v>-323627344.70531297</v>
      </c>
      <c r="H22" s="1117">
        <f t="shared" si="5"/>
        <v>-330317961.53468025</v>
      </c>
      <c r="I22" s="1117">
        <f t="shared" si="5"/>
        <v>-336879485.36983669</v>
      </c>
      <c r="J22" s="1117">
        <f t="shared" si="5"/>
        <v>-343408790.85530353</v>
      </c>
      <c r="K22" s="1117">
        <f t="shared" si="5"/>
        <v>-350230774.33970207</v>
      </c>
      <c r="L22" s="1117">
        <f t="shared" si="5"/>
        <v>-357472662.97012782</v>
      </c>
      <c r="M22" s="1117">
        <f t="shared" si="5"/>
        <v>-364573346.85080057</v>
      </c>
      <c r="N22" s="1117">
        <f t="shared" si="5"/>
        <v>-371641547.86063778</v>
      </c>
      <c r="O22" s="1140"/>
      <c r="P22" s="653"/>
      <c r="Q22" s="110"/>
      <c r="R22" s="110"/>
      <c r="S22" s="110"/>
      <c r="T22" s="82"/>
      <c r="U22" s="107"/>
      <c r="V22" s="107"/>
      <c r="W22" s="107"/>
      <c r="X22" s="107"/>
      <c r="Y22" s="107"/>
      <c r="Z22" s="107"/>
      <c r="AA22" s="107"/>
      <c r="AB22" s="107"/>
      <c r="AC22" s="107"/>
      <c r="AD22" s="107"/>
      <c r="AE22" s="107"/>
      <c r="AF22" s="107"/>
    </row>
    <row r="23" spans="1:32" s="111" customFormat="1" ht="15" customHeight="1" thickBot="1" x14ac:dyDescent="0.25">
      <c r="A23" s="1438"/>
      <c r="B23" s="107"/>
      <c r="C23" s="652"/>
      <c r="D23" s="774"/>
      <c r="E23" s="752"/>
      <c r="F23" s="752"/>
      <c r="G23" s="752"/>
      <c r="H23" s="752"/>
      <c r="I23" s="752"/>
      <c r="J23" s="752"/>
      <c r="K23" s="752"/>
      <c r="L23" s="752"/>
      <c r="M23" s="752"/>
      <c r="N23" s="752"/>
      <c r="O23" s="753"/>
      <c r="P23" s="653"/>
      <c r="Q23" s="110"/>
      <c r="R23" s="110"/>
      <c r="S23" s="110"/>
      <c r="T23" s="82"/>
      <c r="U23" s="107"/>
      <c r="V23" s="107"/>
      <c r="W23" s="107"/>
      <c r="X23" s="107"/>
      <c r="Y23" s="107"/>
      <c r="Z23" s="107"/>
      <c r="AA23" s="107"/>
      <c r="AB23" s="107"/>
      <c r="AC23" s="107"/>
      <c r="AD23" s="107"/>
      <c r="AE23" s="107"/>
      <c r="AF23" s="107"/>
    </row>
    <row r="24" spans="1:32" s="111" customFormat="1" ht="15" customHeight="1" x14ac:dyDescent="0.2">
      <c r="A24" s="107"/>
      <c r="B24" s="107"/>
      <c r="C24" s="652"/>
      <c r="D24" s="773"/>
      <c r="E24" s="652"/>
      <c r="F24" s="652"/>
      <c r="G24" s="652"/>
      <c r="H24" s="652"/>
      <c r="I24" s="652"/>
      <c r="J24" s="652"/>
      <c r="K24" s="652"/>
      <c r="L24" s="652"/>
      <c r="M24" s="652"/>
      <c r="N24" s="652"/>
      <c r="O24" s="655"/>
      <c r="P24" s="653"/>
      <c r="Q24" s="110"/>
      <c r="R24" s="110"/>
      <c r="S24" s="110"/>
      <c r="T24" s="82"/>
      <c r="U24" s="107"/>
      <c r="V24" s="107"/>
      <c r="W24" s="107"/>
      <c r="X24" s="107"/>
      <c r="Y24" s="107"/>
      <c r="Z24" s="107"/>
      <c r="AA24" s="107"/>
      <c r="AB24" s="107"/>
      <c r="AC24" s="107"/>
      <c r="AD24" s="107"/>
      <c r="AE24" s="107"/>
      <c r="AF24" s="107"/>
    </row>
    <row r="25" spans="1:32" s="122" customFormat="1" ht="15.75" x14ac:dyDescent="0.2">
      <c r="A25" s="1043">
        <v>2</v>
      </c>
      <c r="B25" s="1039"/>
      <c r="C25" s="1039"/>
      <c r="D25" s="1039"/>
      <c r="E25" s="1039"/>
      <c r="F25" s="1039"/>
      <c r="G25" s="1039"/>
      <c r="H25" s="1039"/>
      <c r="I25" s="1039"/>
      <c r="J25" s="1039"/>
      <c r="K25" s="1039"/>
      <c r="L25" s="1039"/>
      <c r="M25" s="1039"/>
      <c r="N25" s="1039"/>
      <c r="O25" s="1039"/>
      <c r="P25" s="206"/>
      <c r="Q25" s="206"/>
      <c r="R25" s="206"/>
      <c r="S25" s="206"/>
      <c r="T25" s="206"/>
      <c r="U25" s="206"/>
      <c r="V25" s="206"/>
      <c r="W25" s="206"/>
      <c r="X25" s="206"/>
      <c r="Y25" s="206"/>
      <c r="Z25" s="206"/>
      <c r="AA25" s="206"/>
      <c r="AB25" s="206"/>
      <c r="AC25" s="206"/>
      <c r="AD25" s="206"/>
      <c r="AE25" s="206"/>
      <c r="AF25" s="206"/>
    </row>
    <row r="26" spans="1:32" s="111" customFormat="1" ht="15" customHeight="1" thickBot="1" x14ac:dyDescent="0.25">
      <c r="A26" s="107"/>
      <c r="B26" s="107"/>
      <c r="C26" s="652"/>
      <c r="D26" s="773"/>
      <c r="E26" s="652"/>
      <c r="F26" s="652"/>
      <c r="G26" s="652"/>
      <c r="H26" s="652"/>
      <c r="I26" s="652"/>
      <c r="J26" s="652"/>
      <c r="K26" s="652"/>
      <c r="L26" s="652"/>
      <c r="M26" s="652"/>
      <c r="N26" s="652"/>
      <c r="O26" s="655"/>
      <c r="P26" s="653"/>
      <c r="Q26" s="110"/>
      <c r="R26" s="110"/>
      <c r="S26" s="110"/>
      <c r="T26" s="82"/>
      <c r="U26" s="107"/>
      <c r="V26" s="107"/>
      <c r="W26" s="107"/>
      <c r="X26" s="107"/>
      <c r="Y26" s="107"/>
      <c r="Z26" s="107"/>
      <c r="AA26" s="107"/>
      <c r="AB26" s="107"/>
      <c r="AC26" s="107"/>
      <c r="AD26" s="107"/>
      <c r="AE26" s="107"/>
      <c r="AF26" s="107"/>
    </row>
    <row r="27" spans="1:32" ht="15" customHeight="1" x14ac:dyDescent="0.2">
      <c r="A27" s="1436" t="s">
        <v>4322</v>
      </c>
      <c r="B27" s="13"/>
      <c r="C27" s="652"/>
      <c r="D27" s="783" t="s">
        <v>4106</v>
      </c>
      <c r="E27" s="380"/>
      <c r="F27" s="380"/>
      <c r="G27" s="380"/>
      <c r="H27" s="380"/>
      <c r="I27" s="380"/>
      <c r="J27" s="380"/>
      <c r="K27" s="380"/>
      <c r="L27" s="380"/>
      <c r="M27" s="380"/>
      <c r="N27" s="380"/>
      <c r="O27" s="749"/>
      <c r="P27" s="9"/>
      <c r="Q27" s="9"/>
      <c r="R27" s="9"/>
      <c r="S27" s="9"/>
      <c r="T27" s="19"/>
      <c r="U27" s="19"/>
      <c r="V27" s="19"/>
      <c r="W27" s="19"/>
      <c r="X27" s="19"/>
      <c r="Y27" s="19"/>
      <c r="Z27" s="19"/>
      <c r="AA27" s="19"/>
      <c r="AB27" s="19"/>
      <c r="AC27" s="19"/>
      <c r="AD27" s="19"/>
      <c r="AE27" s="19"/>
      <c r="AF27" s="19"/>
    </row>
    <row r="28" spans="1:32" s="98" customFormat="1" ht="15" customHeight="1" x14ac:dyDescent="0.2">
      <c r="A28" s="1437"/>
      <c r="B28" s="50"/>
      <c r="C28" s="127"/>
      <c r="D28" s="1139" t="str">
        <f t="shared" ref="D28:N28" si="6">eSystemsReworkTotalCostpa_CFS</f>
        <v>eSystems Induced Labor Cost - Records Rework</v>
      </c>
      <c r="E28" s="1114">
        <f t="shared" si="6"/>
        <v>-328917.08304136939</v>
      </c>
      <c r="F28" s="1114">
        <f t="shared" si="6"/>
        <v>-13399.726830505819</v>
      </c>
      <c r="G28" s="1114">
        <f t="shared" si="6"/>
        <v>-10239.351825610303</v>
      </c>
      <c r="H28" s="1114">
        <f t="shared" si="6"/>
        <v>-12217.618824863506</v>
      </c>
      <c r="I28" s="1114">
        <f t="shared" si="6"/>
        <v>-10690.304971059442</v>
      </c>
      <c r="J28" s="1114">
        <f t="shared" si="6"/>
        <v>-9094.178723918656</v>
      </c>
      <c r="K28" s="1114">
        <f t="shared" si="6"/>
        <v>-7426.9680853226946</v>
      </c>
      <c r="L28" s="1114">
        <f t="shared" si="6"/>
        <v>-5686.3513234877391</v>
      </c>
      <c r="M28" s="1114">
        <f t="shared" si="6"/>
        <v>-3869.9518270441581</v>
      </c>
      <c r="N28" s="1114">
        <f t="shared" si="6"/>
        <v>-1975.3340273731401</v>
      </c>
      <c r="O28" s="750"/>
      <c r="P28" s="106"/>
      <c r="Q28" s="106"/>
      <c r="R28" s="50"/>
      <c r="S28" s="106"/>
      <c r="T28" s="50"/>
      <c r="U28" s="50"/>
      <c r="V28" s="50"/>
      <c r="W28" s="50"/>
      <c r="X28" s="50"/>
      <c r="Y28" s="50"/>
      <c r="Z28" s="50"/>
      <c r="AA28" s="50"/>
      <c r="AB28" s="50"/>
      <c r="AC28" s="50"/>
      <c r="AD28" s="50"/>
      <c r="AE28" s="50"/>
      <c r="AF28" s="50"/>
    </row>
    <row r="29" spans="1:32" s="98" customFormat="1" ht="15" customHeight="1" x14ac:dyDescent="0.2">
      <c r="A29" s="1437"/>
      <c r="B29" s="50"/>
      <c r="C29" s="127"/>
      <c r="D29" s="1139" t="str">
        <f t="shared" ref="D29:N29" si="7">eSystemsLease_Cost_Total_CFS</f>
        <v>eSystems Induced Cost - Lessee Related</v>
      </c>
      <c r="E29" s="1114">
        <f t="shared" si="7"/>
        <v>-1144644.9753057656</v>
      </c>
      <c r="F29" s="1114">
        <f t="shared" si="7"/>
        <v>-763383.00343069294</v>
      </c>
      <c r="G29" s="1114">
        <f t="shared" si="7"/>
        <v>-802350.27828891075</v>
      </c>
      <c r="H29" s="1114">
        <f t="shared" si="7"/>
        <v>-577632.25653225125</v>
      </c>
      <c r="I29" s="1114">
        <f t="shared" si="7"/>
        <v>-614391.1363293567</v>
      </c>
      <c r="J29" s="1114">
        <f t="shared" si="7"/>
        <v>-814883.48692864378</v>
      </c>
      <c r="K29" s="1114">
        <f t="shared" si="7"/>
        <v>-856834.38189509546</v>
      </c>
      <c r="L29" s="1114">
        <f t="shared" si="7"/>
        <v>-615690.33353786648</v>
      </c>
      <c r="M29" s="1114">
        <f t="shared" si="7"/>
        <v>-655288.17924410745</v>
      </c>
      <c r="N29" s="1114">
        <f t="shared" si="7"/>
        <v>-869687.32854175079</v>
      </c>
      <c r="O29" s="750"/>
      <c r="P29" s="106"/>
      <c r="Q29" s="106"/>
      <c r="R29" s="50"/>
      <c r="S29" s="106"/>
      <c r="T29" s="50"/>
      <c r="U29" s="50"/>
      <c r="V29" s="50"/>
      <c r="W29" s="50"/>
      <c r="X29" s="50"/>
      <c r="Y29" s="50"/>
      <c r="Z29" s="50"/>
      <c r="AA29" s="50"/>
      <c r="AB29" s="50"/>
      <c r="AC29" s="50"/>
      <c r="AD29" s="50"/>
      <c r="AE29" s="50"/>
      <c r="AF29" s="50"/>
    </row>
    <row r="30" spans="1:32" s="98" customFormat="1" ht="15" customHeight="1" x14ac:dyDescent="0.2">
      <c r="A30" s="1437"/>
      <c r="B30" s="50"/>
      <c r="C30" s="127"/>
      <c r="D30" s="1139" t="str">
        <f t="shared" ref="D30:N30" si="8">eSystemsCostsWarrantyTotal_CFS</f>
        <v>eSystems Labor Cost - Warranty Related</v>
      </c>
      <c r="E30" s="1114">
        <f t="shared" si="8"/>
        <v>-151956.90157251019</v>
      </c>
      <c r="F30" s="1114">
        <f t="shared" si="8"/>
        <v>-151956.90157251019</v>
      </c>
      <c r="G30" s="1114">
        <f t="shared" si="8"/>
        <v>-151956.90157251019</v>
      </c>
      <c r="H30" s="1114">
        <f t="shared" si="8"/>
        <v>-151956.90157251019</v>
      </c>
      <c r="I30" s="1114">
        <f t="shared" si="8"/>
        <v>-151956.90157251019</v>
      </c>
      <c r="J30" s="1114">
        <f t="shared" si="8"/>
        <v>-151956.90157251019</v>
      </c>
      <c r="K30" s="1114">
        <f t="shared" si="8"/>
        <v>-151956.90157251019</v>
      </c>
      <c r="L30" s="1114">
        <f t="shared" si="8"/>
        <v>-151956.90157251019</v>
      </c>
      <c r="M30" s="1114">
        <f t="shared" si="8"/>
        <v>-151956.90157251019</v>
      </c>
      <c r="N30" s="1114">
        <f t="shared" si="8"/>
        <v>-151956.90157251019</v>
      </c>
      <c r="O30" s="750"/>
      <c r="P30" s="656"/>
      <c r="Q30" s="106"/>
      <c r="R30" s="106"/>
      <c r="S30" s="106"/>
      <c r="T30" s="50"/>
      <c r="U30" s="50"/>
      <c r="V30" s="50"/>
      <c r="W30" s="50"/>
      <c r="X30" s="50"/>
      <c r="Y30" s="50"/>
      <c r="Z30" s="50"/>
      <c r="AA30" s="50"/>
      <c r="AB30" s="50"/>
      <c r="AC30" s="50"/>
      <c r="AD30" s="50"/>
      <c r="AE30" s="50"/>
      <c r="AF30" s="50"/>
    </row>
    <row r="31" spans="1:32" s="98" customFormat="1" ht="15" customHeight="1" x14ac:dyDescent="0.2">
      <c r="A31" s="1437"/>
      <c r="B31" s="50"/>
      <c r="C31" s="127"/>
      <c r="D31" s="1144" t="s">
        <v>4107</v>
      </c>
      <c r="E31" s="1117">
        <f>SUM(E28:E30)</f>
        <v>-1625518.9599196452</v>
      </c>
      <c r="F31" s="1117">
        <f t="shared" ref="F31:N31" si="9">SUM(F28:F30)</f>
        <v>-928739.63183370885</v>
      </c>
      <c r="G31" s="1117">
        <f t="shared" si="9"/>
        <v>-964546.53168703127</v>
      </c>
      <c r="H31" s="1117">
        <f t="shared" si="9"/>
        <v>-741806.77692962484</v>
      </c>
      <c r="I31" s="1117">
        <f t="shared" si="9"/>
        <v>-777038.34287292627</v>
      </c>
      <c r="J31" s="1117">
        <f t="shared" si="9"/>
        <v>-975934.56722507253</v>
      </c>
      <c r="K31" s="1117">
        <f t="shared" si="9"/>
        <v>-1016218.2515529282</v>
      </c>
      <c r="L31" s="1117">
        <f t="shared" si="9"/>
        <v>-773333.58643386443</v>
      </c>
      <c r="M31" s="1117">
        <f t="shared" si="9"/>
        <v>-811115.03264366183</v>
      </c>
      <c r="N31" s="1117">
        <f t="shared" si="9"/>
        <v>-1023619.5641416342</v>
      </c>
      <c r="O31" s="1166" t="s">
        <v>4355</v>
      </c>
      <c r="P31" s="656"/>
      <c r="Q31" s="106"/>
      <c r="R31" s="106"/>
      <c r="S31" s="106"/>
      <c r="T31" s="50"/>
      <c r="U31" s="50"/>
      <c r="V31" s="50"/>
      <c r="W31" s="50"/>
      <c r="X31" s="50"/>
      <c r="Y31" s="50"/>
      <c r="Z31" s="50"/>
      <c r="AA31" s="50"/>
      <c r="AB31" s="50"/>
      <c r="AC31" s="50"/>
      <c r="AD31" s="50"/>
      <c r="AE31" s="50"/>
      <c r="AF31" s="50"/>
    </row>
    <row r="32" spans="1:32" s="111" customFormat="1" ht="15" customHeight="1" x14ac:dyDescent="0.2">
      <c r="A32" s="1437"/>
      <c r="B32" s="107"/>
      <c r="C32" s="652"/>
      <c r="D32" s="785"/>
      <c r="E32" s="652"/>
      <c r="F32" s="652"/>
      <c r="G32" s="652"/>
      <c r="H32" s="652"/>
      <c r="I32" s="652"/>
      <c r="J32" s="652"/>
      <c r="K32" s="652"/>
      <c r="L32" s="652"/>
      <c r="M32" s="652"/>
      <c r="N32" s="652"/>
      <c r="O32" s="750"/>
      <c r="P32" s="653"/>
      <c r="Q32" s="110"/>
      <c r="R32" s="110"/>
      <c r="S32" s="110"/>
      <c r="T32" s="82"/>
      <c r="U32" s="107"/>
      <c r="V32" s="107"/>
      <c r="W32" s="107"/>
      <c r="X32" s="107"/>
      <c r="Y32" s="107"/>
      <c r="Z32" s="107"/>
      <c r="AA32" s="107"/>
      <c r="AB32" s="107"/>
      <c r="AC32" s="107"/>
      <c r="AD32" s="107"/>
      <c r="AE32" s="107"/>
      <c r="AF32" s="107"/>
    </row>
    <row r="33" spans="1:32" s="111" customFormat="1" ht="15" customHeight="1" x14ac:dyDescent="0.2">
      <c r="A33" s="1437"/>
      <c r="B33" s="107"/>
      <c r="C33" s="652"/>
      <c r="D33" s="785" t="s">
        <v>4108</v>
      </c>
      <c r="E33" s="652"/>
      <c r="F33" s="652"/>
      <c r="G33" s="652"/>
      <c r="H33" s="652"/>
      <c r="I33" s="652"/>
      <c r="J33" s="652"/>
      <c r="K33" s="652"/>
      <c r="L33" s="652"/>
      <c r="M33" s="652"/>
      <c r="N33" s="652"/>
      <c r="O33" s="750"/>
      <c r="P33" s="653"/>
      <c r="Q33" s="110"/>
      <c r="R33" s="110"/>
      <c r="S33" s="110"/>
      <c r="T33" s="82"/>
      <c r="U33" s="107"/>
      <c r="V33" s="107"/>
      <c r="W33" s="107"/>
      <c r="X33" s="107"/>
      <c r="Y33" s="107"/>
      <c r="Z33" s="107"/>
      <c r="AA33" s="107"/>
      <c r="AB33" s="107"/>
      <c r="AC33" s="107"/>
      <c r="AD33" s="107"/>
      <c r="AE33" s="107"/>
      <c r="AF33" s="107"/>
    </row>
    <row r="34" spans="1:32" s="7" customFormat="1" ht="15" customHeight="1" x14ac:dyDescent="0.2">
      <c r="A34" s="1437"/>
      <c r="B34" s="50"/>
      <c r="C34" s="127"/>
      <c r="D34" s="1139" t="str">
        <f t="shared" ref="D34:N34" si="10">eSystems_CFS_PaperProcess</f>
        <v>Outsourced Paper Records Processing Cost</v>
      </c>
      <c r="E34" s="1114">
        <f t="shared" si="10"/>
        <v>-2360221.71</v>
      </c>
      <c r="F34" s="1114">
        <f t="shared" si="10"/>
        <v>-96189.700793142867</v>
      </c>
      <c r="G34" s="1114">
        <f t="shared" si="10"/>
        <v>-73524.303462060008</v>
      </c>
      <c r="H34" s="1114">
        <f t="shared" si="10"/>
        <v>-87673.07377210597</v>
      </c>
      <c r="I34" s="1114">
        <f t="shared" si="10"/>
        <v>-76699.251771299911</v>
      </c>
      <c r="J34" s="1114">
        <f t="shared" si="10"/>
        <v>-65235.632193284917</v>
      </c>
      <c r="K34" s="1114">
        <f t="shared" si="10"/>
        <v>-53266.297273945209</v>
      </c>
      <c r="L34" s="1114">
        <f t="shared" si="10"/>
        <v>-40774.962123539015</v>
      </c>
      <c r="M34" s="1114">
        <f t="shared" si="10"/>
        <v>-27744.944369125562</v>
      </c>
      <c r="N34" s="1114">
        <f t="shared" si="10"/>
        <v>-14159.139527845438</v>
      </c>
      <c r="O34" s="750"/>
      <c r="P34" s="697"/>
      <c r="Q34" s="697"/>
      <c r="R34" s="697"/>
      <c r="S34" s="697"/>
      <c r="T34" s="24"/>
      <c r="U34" s="24"/>
      <c r="V34" s="24"/>
      <c r="W34" s="24"/>
      <c r="X34" s="24"/>
      <c r="Y34" s="24"/>
      <c r="Z34" s="24"/>
      <c r="AA34" s="24"/>
      <c r="AB34" s="24"/>
      <c r="AC34" s="24"/>
      <c r="AD34" s="24"/>
      <c r="AE34" s="24"/>
      <c r="AF34" s="24"/>
    </row>
    <row r="35" spans="1:32" s="7" customFormat="1" ht="15" customHeight="1" x14ac:dyDescent="0.2">
      <c r="A35" s="1437"/>
      <c r="B35" s="50"/>
      <c r="C35" s="127"/>
      <c r="D35" s="1139" t="str">
        <f t="shared" ref="D35:N35" si="11">eSystems_CFS_RecordsPaperPurchase</f>
        <v>Copy Paper Purchase Costs</v>
      </c>
      <c r="E35" s="1114">
        <f t="shared" si="11"/>
        <v>-214565.61000000002</v>
      </c>
      <c r="F35" s="1114">
        <f t="shared" si="11"/>
        <v>-8744.5182539220787</v>
      </c>
      <c r="G35" s="1114">
        <f t="shared" si="11"/>
        <v>-6684.0275874600002</v>
      </c>
      <c r="H35" s="1114">
        <f t="shared" si="11"/>
        <v>-7970.2794338278145</v>
      </c>
      <c r="I35" s="1114">
        <f t="shared" si="11"/>
        <v>-6972.6592519363558</v>
      </c>
      <c r="J35" s="1114">
        <f t="shared" si="11"/>
        <v>-5930.5120175713564</v>
      </c>
      <c r="K35" s="1114">
        <f t="shared" si="11"/>
        <v>-4842.3906612677465</v>
      </c>
      <c r="L35" s="1114">
        <f t="shared" si="11"/>
        <v>-3706.8147385035463</v>
      </c>
      <c r="M35" s="1114">
        <f t="shared" si="11"/>
        <v>-2522.2676699205058</v>
      </c>
      <c r="N35" s="1114">
        <f t="shared" si="11"/>
        <v>-1287.1945025314037</v>
      </c>
      <c r="O35" s="750"/>
      <c r="P35" s="697"/>
      <c r="Q35" s="697"/>
      <c r="R35" s="697"/>
      <c r="S35" s="697"/>
      <c r="T35" s="24"/>
      <c r="U35" s="24"/>
      <c r="V35" s="24"/>
      <c r="W35" s="24"/>
      <c r="X35" s="24"/>
      <c r="Y35" s="24"/>
      <c r="Z35" s="24"/>
      <c r="AA35" s="24"/>
      <c r="AB35" s="24"/>
      <c r="AC35" s="24"/>
      <c r="AD35" s="24"/>
      <c r="AE35" s="24"/>
      <c r="AF35" s="24"/>
    </row>
    <row r="36" spans="1:32" s="7" customFormat="1" ht="15" customHeight="1" x14ac:dyDescent="0.2">
      <c r="A36" s="1437"/>
      <c r="B36" s="50"/>
      <c r="C36" s="127"/>
      <c r="D36" s="1139" t="str">
        <f t="shared" ref="D36:N36" si="12">eSystems_CFS_PaperBookPurchase</f>
        <v>Paper 'Book' Purchase Costs</v>
      </c>
      <c r="E36" s="1114">
        <f t="shared" si="12"/>
        <v>-547056</v>
      </c>
      <c r="F36" s="1114">
        <f t="shared" si="12"/>
        <v>0</v>
      </c>
      <c r="G36" s="1114">
        <f t="shared" si="12"/>
        <v>0</v>
      </c>
      <c r="H36" s="1114">
        <f t="shared" si="12"/>
        <v>0</v>
      </c>
      <c r="I36" s="1114">
        <f t="shared" si="12"/>
        <v>0</v>
      </c>
      <c r="J36" s="1114">
        <f t="shared" si="12"/>
        <v>0</v>
      </c>
      <c r="K36" s="1114">
        <f t="shared" si="12"/>
        <v>0</v>
      </c>
      <c r="L36" s="1114">
        <f t="shared" si="12"/>
        <v>0</v>
      </c>
      <c r="M36" s="1114">
        <f t="shared" si="12"/>
        <v>0</v>
      </c>
      <c r="N36" s="1114">
        <f t="shared" si="12"/>
        <v>0</v>
      </c>
      <c r="O36" s="750"/>
      <c r="P36" s="697"/>
      <c r="Q36" s="697"/>
      <c r="R36" s="697"/>
      <c r="S36" s="697"/>
      <c r="T36" s="24"/>
      <c r="U36" s="24"/>
      <c r="V36" s="24"/>
      <c r="W36" s="24"/>
      <c r="X36" s="24"/>
      <c r="Y36" s="24"/>
      <c r="Z36" s="24"/>
      <c r="AA36" s="24"/>
      <c r="AB36" s="24"/>
      <c r="AC36" s="24"/>
      <c r="AD36" s="24"/>
      <c r="AE36" s="24"/>
      <c r="AF36" s="24"/>
    </row>
    <row r="37" spans="1:32" s="7" customFormat="1" ht="15" customHeight="1" x14ac:dyDescent="0.2">
      <c r="A37" s="1437"/>
      <c r="B37" s="50"/>
      <c r="C37" s="127"/>
      <c r="D37" s="1139" t="str">
        <f t="shared" ref="D37:N37" si="13">eSystems_CFS_RecordsMFDLease</f>
        <v>MFD Total Costs</v>
      </c>
      <c r="E37" s="1114">
        <f t="shared" si="13"/>
        <v>-1071725.8329</v>
      </c>
      <c r="F37" s="1114">
        <f t="shared" si="13"/>
        <v>-69994.69426167896</v>
      </c>
      <c r="G37" s="1114">
        <f t="shared" si="13"/>
        <v>-60463.5749026794</v>
      </c>
      <c r="H37" s="1114">
        <f t="shared" si="13"/>
        <v>-67308.920031418005</v>
      </c>
      <c r="I37" s="1114">
        <f t="shared" si="13"/>
        <v>-62997.242413968779</v>
      </c>
      <c r="J37" s="1114">
        <f t="shared" si="13"/>
        <v>-58479.161211363935</v>
      </c>
      <c r="K37" s="1114">
        <f t="shared" si="13"/>
        <v>-53747.826927948088</v>
      </c>
      <c r="L37" s="1114">
        <f t="shared" si="13"/>
        <v>-48796.23139751811</v>
      </c>
      <c r="M37" s="1114">
        <f t="shared" si="13"/>
        <v>-43617.19437867176</v>
      </c>
      <c r="N37" s="1114">
        <f t="shared" si="13"/>
        <v>-38203.352699594259</v>
      </c>
      <c r="O37" s="750"/>
      <c r="P37" s="697"/>
      <c r="Q37" s="697"/>
      <c r="R37" s="697"/>
      <c r="S37" s="697"/>
      <c r="T37" s="24"/>
      <c r="U37" s="24"/>
      <c r="V37" s="24"/>
      <c r="W37" s="24"/>
      <c r="X37" s="24"/>
      <c r="Y37" s="24"/>
      <c r="Z37" s="24"/>
      <c r="AA37" s="24"/>
      <c r="AB37" s="24"/>
      <c r="AC37" s="24"/>
      <c r="AD37" s="24"/>
      <c r="AE37" s="24"/>
      <c r="AF37" s="24"/>
    </row>
    <row r="38" spans="1:32" s="7" customFormat="1" ht="15" customHeight="1" x14ac:dyDescent="0.2">
      <c r="A38" s="1437"/>
      <c r="B38" s="50"/>
      <c r="C38" s="127"/>
      <c r="D38" s="1139" t="str">
        <f t="shared" ref="D38:N38" si="14">eSystems_CFS_RecordsOfficeLease</f>
        <v>Office Space Leasing Cost</v>
      </c>
      <c r="E38" s="1114">
        <f t="shared" si="14"/>
        <v>-75112.5</v>
      </c>
      <c r="F38" s="1114">
        <f t="shared" si="14"/>
        <v>-79827.75</v>
      </c>
      <c r="G38" s="1114">
        <f t="shared" si="14"/>
        <v>-84545.505000000005</v>
      </c>
      <c r="H38" s="1114">
        <f t="shared" si="14"/>
        <v>-86236.415099999998</v>
      </c>
      <c r="I38" s="1114">
        <f t="shared" si="14"/>
        <v>-87961.143402000002</v>
      </c>
      <c r="J38" s="1114">
        <f t="shared" si="14"/>
        <v>-89720.366270040002</v>
      </c>
      <c r="K38" s="1114">
        <f t="shared" si="14"/>
        <v>-91514.773595440813</v>
      </c>
      <c r="L38" s="1114">
        <f t="shared" si="14"/>
        <v>-93345.069067349599</v>
      </c>
      <c r="M38" s="1114">
        <f t="shared" si="14"/>
        <v>-95211.970448696593</v>
      </c>
      <c r="N38" s="1114">
        <f t="shared" si="14"/>
        <v>-97116.209857670532</v>
      </c>
      <c r="O38" s="750"/>
      <c r="P38" s="697"/>
      <c r="Q38" s="697"/>
      <c r="R38" s="697"/>
      <c r="S38" s="697"/>
      <c r="T38" s="24"/>
      <c r="U38" s="24"/>
      <c r="V38" s="24"/>
      <c r="W38" s="24"/>
      <c r="X38" s="24"/>
      <c r="Y38" s="24"/>
      <c r="Z38" s="24"/>
      <c r="AA38" s="24"/>
      <c r="AB38" s="24"/>
      <c r="AC38" s="24"/>
      <c r="AD38" s="24"/>
      <c r="AE38" s="24"/>
      <c r="AF38" s="24"/>
    </row>
    <row r="39" spans="1:32" s="701" customFormat="1" ht="15" customHeight="1" x14ac:dyDescent="0.2">
      <c r="A39" s="1437"/>
      <c r="B39" s="107"/>
      <c r="C39" s="652"/>
      <c r="D39" s="1144" t="str">
        <f t="shared" ref="D39:N39" si="15">eSystems_CFS_RecordsTotal</f>
        <v>eSystems Induced Records Costs - Total</v>
      </c>
      <c r="E39" s="1117">
        <f t="shared" si="15"/>
        <v>-4268681.6529000001</v>
      </c>
      <c r="F39" s="1117">
        <f t="shared" si="15"/>
        <v>-254756.66330874391</v>
      </c>
      <c r="G39" s="1117">
        <f t="shared" si="15"/>
        <v>-225217.41095219943</v>
      </c>
      <c r="H39" s="1117">
        <f t="shared" si="15"/>
        <v>-249188.68833735178</v>
      </c>
      <c r="I39" s="1117">
        <f t="shared" si="15"/>
        <v>-234630.29683920508</v>
      </c>
      <c r="J39" s="1117">
        <f t="shared" si="15"/>
        <v>-219365.67169226019</v>
      </c>
      <c r="K39" s="1117">
        <f t="shared" si="15"/>
        <v>-203371.28845860186</v>
      </c>
      <c r="L39" s="1117">
        <f t="shared" si="15"/>
        <v>-186623.07732691028</v>
      </c>
      <c r="M39" s="1117">
        <f t="shared" si="15"/>
        <v>-169096.37686641444</v>
      </c>
      <c r="N39" s="1117">
        <f t="shared" si="15"/>
        <v>-150765.89658764162</v>
      </c>
      <c r="O39" s="750"/>
      <c r="P39" s="699"/>
      <c r="Q39" s="699"/>
      <c r="R39" s="699"/>
      <c r="S39" s="699"/>
      <c r="T39" s="700"/>
      <c r="U39" s="700"/>
      <c r="V39" s="700"/>
      <c r="W39" s="700"/>
      <c r="X39" s="700"/>
      <c r="Y39" s="700"/>
      <c r="Z39" s="700"/>
      <c r="AA39" s="700"/>
      <c r="AB39" s="700"/>
      <c r="AC39" s="700"/>
      <c r="AD39" s="700"/>
      <c r="AE39" s="700"/>
      <c r="AF39" s="700"/>
    </row>
    <row r="40" spans="1:32" s="701" customFormat="1" ht="15" customHeight="1" x14ac:dyDescent="0.2">
      <c r="A40" s="1437"/>
      <c r="B40" s="107"/>
      <c r="C40" s="652"/>
      <c r="D40" s="814"/>
      <c r="E40" s="652"/>
      <c r="F40" s="652"/>
      <c r="G40" s="652"/>
      <c r="H40" s="652"/>
      <c r="I40" s="652"/>
      <c r="J40" s="652"/>
      <c r="K40" s="652"/>
      <c r="L40" s="652"/>
      <c r="M40" s="652"/>
      <c r="N40" s="652"/>
      <c r="O40" s="750"/>
      <c r="P40" s="699"/>
      <c r="Q40" s="699"/>
      <c r="R40" s="699"/>
      <c r="S40" s="699"/>
      <c r="T40" s="700"/>
      <c r="U40" s="700"/>
      <c r="V40" s="700"/>
      <c r="W40" s="700"/>
      <c r="X40" s="700"/>
      <c r="Y40" s="700"/>
      <c r="Z40" s="700"/>
      <c r="AA40" s="700"/>
      <c r="AB40" s="700"/>
      <c r="AC40" s="700"/>
      <c r="AD40" s="700"/>
      <c r="AE40" s="700"/>
      <c r="AF40" s="700"/>
    </row>
    <row r="41" spans="1:32" s="701" customFormat="1" ht="15" customHeight="1" x14ac:dyDescent="0.2">
      <c r="A41" s="1437"/>
      <c r="B41" s="107"/>
      <c r="C41" s="652"/>
      <c r="D41" s="814" t="s">
        <v>4122</v>
      </c>
      <c r="E41" s="652"/>
      <c r="F41" s="652"/>
      <c r="G41" s="652"/>
      <c r="H41" s="652"/>
      <c r="I41" s="652"/>
      <c r="J41" s="652"/>
      <c r="K41" s="652"/>
      <c r="L41" s="652"/>
      <c r="M41" s="652"/>
      <c r="N41" s="652"/>
      <c r="O41" s="750"/>
      <c r="P41" s="699"/>
      <c r="Q41" s="699"/>
      <c r="R41" s="699"/>
      <c r="S41" s="699"/>
      <c r="T41" s="700"/>
      <c r="U41" s="700"/>
      <c r="V41" s="700"/>
      <c r="W41" s="700"/>
      <c r="X41" s="700"/>
      <c r="Y41" s="700"/>
      <c r="Z41" s="700"/>
      <c r="AA41" s="700"/>
      <c r="AB41" s="700"/>
      <c r="AC41" s="700"/>
      <c r="AD41" s="700"/>
      <c r="AE41" s="700"/>
      <c r="AF41" s="700"/>
    </row>
    <row r="42" spans="1:32" s="701" customFormat="1" ht="15" customHeight="1" x14ac:dyDescent="0.2">
      <c r="A42" s="1437"/>
      <c r="B42" s="107"/>
      <c r="C42" s="652"/>
      <c r="D42" s="1145" t="str">
        <f t="shared" ref="D42:N42" si="16">eSystemsRecordsPaperArchive_CFS</f>
        <v>eSystem Induced Costs - Archiving &amp; Retrieval</v>
      </c>
      <c r="E42" s="1117">
        <f t="shared" si="16"/>
        <v>-63386.107663461538</v>
      </c>
      <c r="F42" s="1117">
        <f t="shared" si="16"/>
        <v>-27975.361165601003</v>
      </c>
      <c r="G42" s="1117">
        <f t="shared" si="16"/>
        <v>-23322.365722544531</v>
      </c>
      <c r="H42" s="1117">
        <f t="shared" si="16"/>
        <v>-18540.621780030327</v>
      </c>
      <c r="I42" s="1117">
        <f t="shared" si="16"/>
        <v>-13295.55353503114</v>
      </c>
      <c r="J42" s="1117">
        <f t="shared" si="16"/>
        <v>-7697.0734947976816</v>
      </c>
      <c r="K42" s="1117">
        <f t="shared" si="16"/>
        <v>-6399.915966063335</v>
      </c>
      <c r="L42" s="1117">
        <f t="shared" si="16"/>
        <v>-2657.338113167214</v>
      </c>
      <c r="M42" s="1117">
        <f t="shared" si="16"/>
        <v>-2631.4724620186103</v>
      </c>
      <c r="N42" s="1117">
        <f t="shared" si="16"/>
        <v>-2597.9529280273432</v>
      </c>
      <c r="O42" s="750"/>
      <c r="P42" s="699"/>
      <c r="Q42" s="699"/>
      <c r="R42" s="699"/>
      <c r="S42" s="699"/>
      <c r="T42" s="700"/>
      <c r="U42" s="700"/>
      <c r="V42" s="700"/>
      <c r="W42" s="700"/>
      <c r="X42" s="700"/>
      <c r="Y42" s="700"/>
      <c r="Z42" s="700"/>
      <c r="AA42" s="700"/>
      <c r="AB42" s="700"/>
      <c r="AC42" s="700"/>
      <c r="AD42" s="700"/>
      <c r="AE42" s="700"/>
      <c r="AF42" s="700"/>
    </row>
    <row r="43" spans="1:32" s="705" customFormat="1" ht="15" customHeight="1" x14ac:dyDescent="0.2">
      <c r="A43" s="1437"/>
      <c r="B43" s="648"/>
      <c r="C43" s="702"/>
      <c r="D43" s="786"/>
      <c r="E43" s="702"/>
      <c r="F43" s="702"/>
      <c r="G43" s="702"/>
      <c r="H43" s="702"/>
      <c r="I43" s="702"/>
      <c r="J43" s="702"/>
      <c r="K43" s="702"/>
      <c r="L43" s="702"/>
      <c r="M43" s="702"/>
      <c r="N43" s="702"/>
      <c r="O43" s="750"/>
      <c r="P43" s="703"/>
      <c r="Q43" s="703"/>
      <c r="R43" s="703"/>
      <c r="S43" s="703"/>
      <c r="T43" s="704"/>
      <c r="U43" s="704"/>
      <c r="V43" s="704"/>
      <c r="W43" s="704"/>
      <c r="X43" s="704"/>
      <c r="Y43" s="704"/>
      <c r="Z43" s="704"/>
      <c r="AA43" s="704"/>
      <c r="AB43" s="704"/>
      <c r="AC43" s="704"/>
      <c r="AD43" s="704"/>
      <c r="AE43" s="704"/>
      <c r="AF43" s="704"/>
    </row>
    <row r="44" spans="1:32" s="705" customFormat="1" ht="15" customHeight="1" x14ac:dyDescent="0.2">
      <c r="A44" s="1437"/>
      <c r="B44" s="648"/>
      <c r="C44" s="702"/>
      <c r="D44" s="786" t="s">
        <v>4109</v>
      </c>
      <c r="E44" s="702"/>
      <c r="F44" s="702"/>
      <c r="G44" s="702"/>
      <c r="H44" s="702"/>
      <c r="I44" s="702"/>
      <c r="J44" s="702"/>
      <c r="K44" s="702"/>
      <c r="L44" s="702"/>
      <c r="M44" s="702"/>
      <c r="N44" s="702"/>
      <c r="O44" s="750"/>
      <c r="P44" s="703"/>
      <c r="Q44" s="703"/>
      <c r="R44" s="703"/>
      <c r="S44" s="703"/>
      <c r="T44" s="704"/>
      <c r="U44" s="704"/>
      <c r="V44" s="704"/>
      <c r="W44" s="704"/>
      <c r="X44" s="704"/>
      <c r="Y44" s="704"/>
      <c r="Z44" s="704"/>
      <c r="AA44" s="704"/>
      <c r="AB44" s="704"/>
      <c r="AC44" s="704"/>
      <c r="AD44" s="704"/>
      <c r="AE44" s="704"/>
      <c r="AF44" s="704"/>
    </row>
    <row r="45" spans="1:32" s="111" customFormat="1" ht="15" customHeight="1" x14ac:dyDescent="0.2">
      <c r="A45" s="1437"/>
      <c r="B45" s="107"/>
      <c r="C45" s="652"/>
      <c r="D45" s="1139" t="str">
        <f>eSystemsCost_TrgTotalWorstCase_CFS</f>
        <v>eSystems Induced Training Cost - Worst Case</v>
      </c>
      <c r="E45" s="1138">
        <f>eSystemsCost_TrgTotalWorstCase_CFS</f>
        <v>-2801000</v>
      </c>
      <c r="F45" s="1138">
        <f>eSystemsCost_TrgTotalWorstCase_CFS</f>
        <v>-319260</v>
      </c>
      <c r="G45" s="1114">
        <f t="shared" ref="G45:N45" si="17">eSystemsCost_TrgTotal_CFS</f>
        <v>-265245.81839999999</v>
      </c>
      <c r="H45" s="1114">
        <f t="shared" si="17"/>
        <v>-270522.08215199999</v>
      </c>
      <c r="I45" s="1114">
        <f t="shared" si="17"/>
        <v>-275903.29812672001</v>
      </c>
      <c r="J45" s="1114">
        <f t="shared" si="17"/>
        <v>-281391.55390756804</v>
      </c>
      <c r="K45" s="1114">
        <f t="shared" si="17"/>
        <v>-286988.97860039928</v>
      </c>
      <c r="L45" s="1114">
        <f t="shared" si="17"/>
        <v>-292697.74365938059</v>
      </c>
      <c r="M45" s="1114">
        <f t="shared" si="17"/>
        <v>-298520.06372928119</v>
      </c>
      <c r="N45" s="1114">
        <f t="shared" si="17"/>
        <v>-304458.19750451401</v>
      </c>
      <c r="O45" s="750"/>
      <c r="P45" s="653"/>
      <c r="Q45" s="110"/>
      <c r="R45" s="110"/>
      <c r="S45" s="110"/>
      <c r="T45" s="82"/>
      <c r="U45" s="107"/>
      <c r="V45" s="107"/>
      <c r="W45" s="107"/>
      <c r="X45" s="107"/>
      <c r="Y45" s="107"/>
      <c r="Z45" s="107"/>
      <c r="AA45" s="107"/>
      <c r="AB45" s="107"/>
      <c r="AC45" s="107"/>
      <c r="AD45" s="107"/>
      <c r="AE45" s="107"/>
      <c r="AF45" s="107"/>
    </row>
    <row r="46" spans="1:32" s="705" customFormat="1" ht="15" customHeight="1" x14ac:dyDescent="0.2">
      <c r="A46" s="1437"/>
      <c r="B46" s="648"/>
      <c r="C46" s="702"/>
      <c r="D46" s="1139" t="str">
        <f t="shared" ref="D46:N46" si="18">eSystemsCost_TrgTotalMostLikely_CFS</f>
        <v>eSystems Induced Training Cost - Most Likely</v>
      </c>
      <c r="E46" s="1138">
        <f t="shared" si="18"/>
        <v>-2455750</v>
      </c>
      <c r="F46" s="1138">
        <f t="shared" si="18"/>
        <v>-280013.45999999996</v>
      </c>
      <c r="G46" s="1138">
        <f t="shared" si="18"/>
        <v>-285585.6384</v>
      </c>
      <c r="H46" s="1138">
        <f t="shared" si="18"/>
        <v>-291268.6985520001</v>
      </c>
      <c r="I46" s="1138">
        <f t="shared" si="18"/>
        <v>-297064.84685471992</v>
      </c>
      <c r="J46" s="1138">
        <f t="shared" si="18"/>
        <v>-302976.33361012809</v>
      </c>
      <c r="K46" s="1138">
        <f t="shared" si="18"/>
        <v>-309005.45389701054</v>
      </c>
      <c r="L46" s="1138">
        <f t="shared" si="18"/>
        <v>-315154.54846192413</v>
      </c>
      <c r="M46" s="1138">
        <f t="shared" si="18"/>
        <v>-321426.00462787546</v>
      </c>
      <c r="N46" s="1138">
        <f t="shared" si="18"/>
        <v>-327822.25722108007</v>
      </c>
      <c r="O46" s="750"/>
      <c r="P46" s="703"/>
      <c r="Q46" s="703"/>
      <c r="R46" s="703"/>
      <c r="S46" s="703"/>
      <c r="T46" s="704"/>
      <c r="U46" s="704"/>
      <c r="V46" s="704"/>
      <c r="W46" s="704"/>
      <c r="X46" s="704"/>
      <c r="Y46" s="704"/>
      <c r="Z46" s="704"/>
      <c r="AA46" s="704"/>
      <c r="AB46" s="704"/>
      <c r="AC46" s="704"/>
      <c r="AD46" s="704"/>
      <c r="AE46" s="704"/>
      <c r="AF46" s="704"/>
    </row>
    <row r="47" spans="1:32" ht="12.75" customHeight="1" x14ac:dyDescent="0.2">
      <c r="A47" s="1437"/>
      <c r="D47" s="1139" t="str">
        <f t="shared" ref="D47:N47" si="19">eSystemsCost_TrgTotalBestCase_CFS</f>
        <v>eSystems Induced Training Cost - Best Case</v>
      </c>
      <c r="E47" s="1138">
        <f t="shared" si="19"/>
        <v>-2280600</v>
      </c>
      <c r="F47" s="1138">
        <f t="shared" si="19"/>
        <v>-260072.46</v>
      </c>
      <c r="G47" s="1138">
        <f t="shared" si="19"/>
        <v>-265245.81839999999</v>
      </c>
      <c r="H47" s="1138">
        <f t="shared" si="19"/>
        <v>-270522.08215199999</v>
      </c>
      <c r="I47" s="1138">
        <f t="shared" si="19"/>
        <v>-275903.29812672001</v>
      </c>
      <c r="J47" s="1138">
        <f t="shared" si="19"/>
        <v>-281391.55390756804</v>
      </c>
      <c r="K47" s="1138">
        <f t="shared" si="19"/>
        <v>-286988.97860039928</v>
      </c>
      <c r="L47" s="1138">
        <f t="shared" si="19"/>
        <v>-292697.74365938059</v>
      </c>
      <c r="M47" s="1138">
        <f t="shared" si="19"/>
        <v>-298520.06372928119</v>
      </c>
      <c r="N47" s="1138">
        <f t="shared" si="19"/>
        <v>-304458.19750451401</v>
      </c>
      <c r="O47" s="750"/>
    </row>
    <row r="48" spans="1:32" s="111" customFormat="1" ht="15" customHeight="1" x14ac:dyDescent="0.2">
      <c r="A48" s="1437"/>
      <c r="B48" s="107"/>
      <c r="C48" s="652"/>
      <c r="D48" s="786"/>
      <c r="E48" s="652"/>
      <c r="F48" s="652"/>
      <c r="G48" s="652"/>
      <c r="H48" s="652"/>
      <c r="I48" s="652"/>
      <c r="J48" s="652"/>
      <c r="K48" s="652"/>
      <c r="L48" s="652"/>
      <c r="M48" s="652"/>
      <c r="N48" s="652"/>
      <c r="O48" s="750"/>
      <c r="P48" s="653"/>
      <c r="Q48" s="110"/>
      <c r="R48" s="110"/>
      <c r="S48" s="110"/>
      <c r="T48" s="82"/>
      <c r="U48" s="107"/>
      <c r="V48" s="107"/>
      <c r="W48" s="107"/>
      <c r="X48" s="107"/>
      <c r="Y48" s="107"/>
      <c r="Z48" s="107"/>
      <c r="AA48" s="107"/>
      <c r="AB48" s="107"/>
      <c r="AC48" s="107"/>
      <c r="AD48" s="107"/>
      <c r="AE48" s="107"/>
      <c r="AF48" s="107"/>
    </row>
    <row r="49" spans="1:32" s="111" customFormat="1" ht="15" customHeight="1" x14ac:dyDescent="0.2">
      <c r="A49" s="1437"/>
      <c r="B49" s="107"/>
      <c r="C49" s="652"/>
      <c r="D49" s="786" t="s">
        <v>4110</v>
      </c>
      <c r="E49" s="652"/>
      <c r="F49" s="652"/>
      <c r="G49" s="652"/>
      <c r="H49" s="652"/>
      <c r="I49" s="652"/>
      <c r="J49" s="652"/>
      <c r="K49" s="652"/>
      <c r="L49" s="652"/>
      <c r="M49" s="652"/>
      <c r="N49" s="652"/>
      <c r="O49" s="750"/>
      <c r="P49" s="653"/>
      <c r="Q49" s="110"/>
      <c r="R49" s="110"/>
      <c r="S49" s="110"/>
      <c r="T49" s="82"/>
      <c r="U49" s="107"/>
      <c r="V49" s="107"/>
      <c r="W49" s="107"/>
      <c r="X49" s="107"/>
      <c r="Y49" s="107"/>
      <c r="Z49" s="107"/>
      <c r="AA49" s="107"/>
      <c r="AB49" s="107"/>
      <c r="AC49" s="107"/>
      <c r="AD49" s="107"/>
      <c r="AE49" s="107"/>
      <c r="AF49" s="107"/>
    </row>
    <row r="50" spans="1:32" s="111" customFormat="1" ht="15" customHeight="1" x14ac:dyDescent="0.2">
      <c r="A50" s="1437"/>
      <c r="B50" s="107"/>
      <c r="C50" s="652"/>
      <c r="D50" s="1144" t="str">
        <f t="shared" ref="D50:N50" si="20">eSystemsIT_Cost_Total_CFS</f>
        <v>eSystems Induced IT Costs - Total</v>
      </c>
      <c r="E50" s="1117">
        <f t="shared" si="20"/>
        <v>-90550000</v>
      </c>
      <c r="F50" s="1117">
        <f t="shared" si="20"/>
        <v>-92106000</v>
      </c>
      <c r="G50" s="1117">
        <f t="shared" si="20"/>
        <v>-93693120</v>
      </c>
      <c r="H50" s="1117">
        <f t="shared" si="20"/>
        <v>-95311982.399999991</v>
      </c>
      <c r="I50" s="1117">
        <f t="shared" si="20"/>
        <v>-96963222.048000008</v>
      </c>
      <c r="J50" s="1117">
        <f t="shared" si="20"/>
        <v>-98647486.488960013</v>
      </c>
      <c r="K50" s="1117">
        <f t="shared" si="20"/>
        <v>-100365436.21873921</v>
      </c>
      <c r="L50" s="1117">
        <f t="shared" si="20"/>
        <v>-102117744.94311395</v>
      </c>
      <c r="M50" s="1117">
        <f t="shared" si="20"/>
        <v>-103905099.84197627</v>
      </c>
      <c r="N50" s="1117">
        <f t="shared" si="20"/>
        <v>-105728201.83881579</v>
      </c>
      <c r="O50" s="750"/>
      <c r="P50" s="653"/>
      <c r="Q50" s="110"/>
      <c r="R50" s="110"/>
      <c r="S50" s="110"/>
      <c r="T50" s="82"/>
      <c r="U50" s="107"/>
      <c r="V50" s="107"/>
      <c r="W50" s="107"/>
      <c r="X50" s="107"/>
      <c r="Y50" s="107"/>
      <c r="Z50" s="107"/>
      <c r="AA50" s="107"/>
      <c r="AB50" s="107"/>
      <c r="AC50" s="107"/>
      <c r="AD50" s="107"/>
      <c r="AE50" s="107"/>
      <c r="AF50" s="107"/>
    </row>
    <row r="51" spans="1:32" s="98" customFormat="1" ht="15" customHeight="1" x14ac:dyDescent="0.2">
      <c r="A51" s="1437"/>
      <c r="B51" s="50"/>
      <c r="C51" s="127"/>
      <c r="D51" s="787"/>
      <c r="E51" s="127"/>
      <c r="F51" s="127"/>
      <c r="G51" s="127"/>
      <c r="H51" s="127"/>
      <c r="I51" s="127"/>
      <c r="J51" s="127"/>
      <c r="K51" s="127"/>
      <c r="L51" s="127"/>
      <c r="M51" s="127"/>
      <c r="N51" s="127"/>
      <c r="O51" s="750"/>
      <c r="P51" s="698"/>
      <c r="Q51" s="106"/>
      <c r="R51" s="106"/>
      <c r="S51" s="106"/>
      <c r="T51" s="706"/>
      <c r="U51" s="50"/>
      <c r="V51" s="50"/>
      <c r="W51" s="50"/>
      <c r="X51" s="50"/>
      <c r="Y51" s="50"/>
      <c r="Z51" s="50"/>
      <c r="AA51" s="50"/>
      <c r="AB51" s="50"/>
      <c r="AC51" s="50"/>
      <c r="AD51" s="50"/>
      <c r="AE51" s="50"/>
      <c r="AF51" s="50"/>
    </row>
    <row r="52" spans="1:32" s="98" customFormat="1" ht="15" customHeight="1" x14ac:dyDescent="0.2">
      <c r="A52" s="1437"/>
      <c r="B52" s="50"/>
      <c r="C52" s="127"/>
      <c r="D52" s="787" t="s">
        <v>4111</v>
      </c>
      <c r="E52" s="127"/>
      <c r="F52" s="127"/>
      <c r="G52" s="127"/>
      <c r="H52" s="127"/>
      <c r="I52" s="127"/>
      <c r="J52" s="127"/>
      <c r="K52" s="127"/>
      <c r="L52" s="127"/>
      <c r="M52" s="127"/>
      <c r="N52" s="127"/>
      <c r="O52" s="751"/>
      <c r="P52" s="698"/>
      <c r="Q52" s="106"/>
      <c r="R52" s="106"/>
      <c r="S52" s="106"/>
      <c r="T52" s="706"/>
      <c r="U52" s="50"/>
      <c r="V52" s="50"/>
      <c r="W52" s="50"/>
      <c r="X52" s="50"/>
      <c r="Y52" s="50"/>
      <c r="Z52" s="50"/>
      <c r="AA52" s="50"/>
      <c r="AB52" s="50"/>
      <c r="AC52" s="50"/>
      <c r="AD52" s="50"/>
      <c r="AE52" s="50"/>
      <c r="AF52" s="50"/>
    </row>
    <row r="53" spans="1:32" s="111" customFormat="1" ht="15" customHeight="1" x14ac:dyDescent="0.2">
      <c r="A53" s="1437"/>
      <c r="B53" s="107"/>
      <c r="C53" s="652"/>
      <c r="D53" s="1139" t="s">
        <v>4343</v>
      </c>
      <c r="E53" s="1117">
        <f>SUM(E50+E45+E42+E39+E31)</f>
        <v>-99308586.720483109</v>
      </c>
      <c r="F53" s="1117">
        <f t="shared" ref="F53:N53" si="21">SUM(F50+F45+F42+F39+F31)</f>
        <v>-93636731.65630804</v>
      </c>
      <c r="G53" s="1117">
        <f t="shared" si="21"/>
        <v>-95171452.126761779</v>
      </c>
      <c r="H53" s="1117">
        <f t="shared" si="21"/>
        <v>-96592040.569198996</v>
      </c>
      <c r="I53" s="1117">
        <f t="shared" si="21"/>
        <v>-98264089.539373904</v>
      </c>
      <c r="J53" s="1117">
        <f t="shared" si="21"/>
        <v>-100131875.35527971</v>
      </c>
      <c r="K53" s="1117">
        <f t="shared" si="21"/>
        <v>-101878414.6533172</v>
      </c>
      <c r="L53" s="1117">
        <f t="shared" si="21"/>
        <v>-103373056.68864727</v>
      </c>
      <c r="M53" s="1117">
        <f t="shared" si="21"/>
        <v>-105186462.78767765</v>
      </c>
      <c r="N53" s="1117">
        <f t="shared" si="21"/>
        <v>-107209643.44997761</v>
      </c>
      <c r="O53" s="1167" t="s">
        <v>4349</v>
      </c>
      <c r="P53" s="781"/>
      <c r="Q53" s="110"/>
      <c r="R53" s="110"/>
      <c r="S53" s="110"/>
      <c r="T53" s="82"/>
      <c r="U53" s="107"/>
      <c r="V53" s="107"/>
      <c r="W53" s="107"/>
      <c r="X53" s="107"/>
      <c r="Y53" s="107"/>
      <c r="Z53" s="107"/>
      <c r="AA53" s="107"/>
      <c r="AB53" s="107"/>
      <c r="AC53" s="107"/>
      <c r="AD53" s="107"/>
      <c r="AE53" s="107"/>
      <c r="AF53" s="107"/>
    </row>
    <row r="54" spans="1:32" s="111" customFormat="1" ht="15" customHeight="1" x14ac:dyDescent="0.2">
      <c r="A54" s="1437"/>
      <c r="B54" s="107"/>
      <c r="C54" s="652"/>
      <c r="D54" s="1139" t="s">
        <v>4344</v>
      </c>
      <c r="E54" s="1117">
        <f t="shared" ref="E54:N54" si="22">SUM(E50+E46+E42+E39+E31)</f>
        <v>-98963336.720483109</v>
      </c>
      <c r="F54" s="1117">
        <f t="shared" si="22"/>
        <v>-93597485.116308033</v>
      </c>
      <c r="G54" s="1117">
        <f t="shared" si="22"/>
        <v>-95191791.946761787</v>
      </c>
      <c r="H54" s="1117">
        <f t="shared" si="22"/>
        <v>-96612787.185598999</v>
      </c>
      <c r="I54" s="1117">
        <f t="shared" si="22"/>
        <v>-98285251.088101894</v>
      </c>
      <c r="J54" s="1117">
        <f t="shared" si="22"/>
        <v>-100153460.13498227</v>
      </c>
      <c r="K54" s="1117">
        <f t="shared" si="22"/>
        <v>-101900431.12861381</v>
      </c>
      <c r="L54" s="1117">
        <f t="shared" si="22"/>
        <v>-103395513.49344982</v>
      </c>
      <c r="M54" s="1117">
        <f t="shared" si="22"/>
        <v>-105209368.72857623</v>
      </c>
      <c r="N54" s="1117">
        <f t="shared" si="22"/>
        <v>-107233007.50969416</v>
      </c>
      <c r="O54" s="1167" t="s">
        <v>4350</v>
      </c>
      <c r="P54" s="781"/>
      <c r="Q54" s="110"/>
      <c r="R54" s="110"/>
      <c r="S54" s="110"/>
      <c r="T54" s="82"/>
      <c r="U54" s="107"/>
      <c r="V54" s="107"/>
      <c r="W54" s="107"/>
      <c r="X54" s="107"/>
      <c r="Y54" s="107"/>
      <c r="Z54" s="107"/>
      <c r="AA54" s="107"/>
      <c r="AB54" s="107"/>
      <c r="AC54" s="107"/>
      <c r="AD54" s="107"/>
      <c r="AE54" s="107"/>
      <c r="AF54" s="107"/>
    </row>
    <row r="55" spans="1:32" s="111" customFormat="1" ht="15" customHeight="1" x14ac:dyDescent="0.2">
      <c r="A55" s="1437"/>
      <c r="B55" s="107"/>
      <c r="C55" s="652"/>
      <c r="D55" s="1139" t="s">
        <v>4345</v>
      </c>
      <c r="E55" s="1117">
        <f t="shared" ref="E55:N55" si="23">SUM(E50+E47+E42+E39+E31)</f>
        <v>-98788186.720483109</v>
      </c>
      <c r="F55" s="1117">
        <f t="shared" si="23"/>
        <v>-93577544.116308033</v>
      </c>
      <c r="G55" s="1117">
        <f t="shared" si="23"/>
        <v>-95171452.126761779</v>
      </c>
      <c r="H55" s="1117">
        <f t="shared" si="23"/>
        <v>-96592040.569198996</v>
      </c>
      <c r="I55" s="1117">
        <f t="shared" si="23"/>
        <v>-98264089.539373904</v>
      </c>
      <c r="J55" s="1117">
        <f t="shared" si="23"/>
        <v>-100131875.35527971</v>
      </c>
      <c r="K55" s="1117">
        <f t="shared" si="23"/>
        <v>-101878414.6533172</v>
      </c>
      <c r="L55" s="1117">
        <f t="shared" si="23"/>
        <v>-103373056.68864727</v>
      </c>
      <c r="M55" s="1117">
        <f t="shared" si="23"/>
        <v>-105186462.78767765</v>
      </c>
      <c r="N55" s="1117">
        <f t="shared" si="23"/>
        <v>-107209643.44997761</v>
      </c>
      <c r="O55" s="1167" t="s">
        <v>4351</v>
      </c>
      <c r="P55" s="781"/>
      <c r="Q55" s="110"/>
      <c r="R55" s="110"/>
      <c r="S55" s="110"/>
      <c r="T55" s="82"/>
      <c r="U55" s="107"/>
      <c r="V55" s="107"/>
      <c r="W55" s="107"/>
      <c r="X55" s="107"/>
      <c r="Y55" s="107"/>
      <c r="Z55" s="107"/>
      <c r="AA55" s="107"/>
      <c r="AB55" s="107"/>
      <c r="AC55" s="107"/>
      <c r="AD55" s="107"/>
      <c r="AE55" s="107"/>
      <c r="AF55" s="107"/>
    </row>
    <row r="56" spans="1:32" s="111" customFormat="1" ht="15" customHeight="1" x14ac:dyDescent="0.2">
      <c r="A56" s="1437"/>
      <c r="B56" s="107"/>
      <c r="C56" s="652"/>
      <c r="D56" s="788"/>
      <c r="E56" s="652"/>
      <c r="F56" s="652"/>
      <c r="G56" s="652"/>
      <c r="H56" s="652"/>
      <c r="I56" s="652"/>
      <c r="J56" s="652"/>
      <c r="K56" s="652"/>
      <c r="L56" s="652"/>
      <c r="M56" s="652"/>
      <c r="N56" s="652"/>
      <c r="O56" s="750"/>
      <c r="P56" s="781"/>
      <c r="Q56" s="110"/>
      <c r="R56" s="110"/>
      <c r="S56" s="110"/>
      <c r="T56" s="82"/>
      <c r="U56" s="107"/>
      <c r="V56" s="107"/>
      <c r="W56" s="107"/>
      <c r="X56" s="107"/>
      <c r="Y56" s="107"/>
      <c r="Z56" s="107"/>
      <c r="AA56" s="107"/>
      <c r="AB56" s="107"/>
      <c r="AC56" s="107"/>
      <c r="AD56" s="107"/>
      <c r="AE56" s="107"/>
      <c r="AF56" s="107"/>
    </row>
    <row r="57" spans="1:32" s="111" customFormat="1" ht="15" customHeight="1" x14ac:dyDescent="0.2">
      <c r="A57" s="1437"/>
      <c r="B57" s="107"/>
      <c r="C57" s="652"/>
      <c r="D57" s="788" t="s">
        <v>4112</v>
      </c>
      <c r="E57" s="652"/>
      <c r="F57" s="652"/>
      <c r="G57" s="652"/>
      <c r="H57" s="652"/>
      <c r="I57" s="652"/>
      <c r="J57" s="652"/>
      <c r="K57" s="652"/>
      <c r="L57" s="652"/>
      <c r="M57" s="652"/>
      <c r="N57" s="652"/>
      <c r="O57" s="750"/>
      <c r="P57" s="781"/>
      <c r="Q57" s="110"/>
      <c r="R57" s="110"/>
      <c r="S57" s="110"/>
      <c r="T57" s="82"/>
      <c r="U57" s="107"/>
      <c r="V57" s="107"/>
      <c r="W57" s="107"/>
      <c r="X57" s="107"/>
      <c r="Y57" s="107"/>
      <c r="Z57" s="107"/>
      <c r="AA57" s="107"/>
      <c r="AB57" s="107"/>
      <c r="AC57" s="107"/>
      <c r="AD57" s="107"/>
      <c r="AE57" s="107"/>
      <c r="AF57" s="107"/>
    </row>
    <row r="58" spans="1:32" s="111" customFormat="1" ht="15" customHeight="1" x14ac:dyDescent="0.2">
      <c r="A58" s="1437"/>
      <c r="B58" s="107"/>
      <c r="C58" s="652"/>
      <c r="D58" s="1139" t="s">
        <v>4346</v>
      </c>
      <c r="E58" s="1120">
        <f>E53</f>
        <v>-99308586.720483109</v>
      </c>
      <c r="F58" s="1120">
        <f t="shared" ref="F58:N58" si="24">F53+E58</f>
        <v>-192945318.37679115</v>
      </c>
      <c r="G58" s="1120">
        <f t="shared" si="24"/>
        <v>-288116770.50355291</v>
      </c>
      <c r="H58" s="1120">
        <f t="shared" si="24"/>
        <v>-384708811.07275188</v>
      </c>
      <c r="I58" s="1120">
        <f t="shared" si="24"/>
        <v>-482972900.61212575</v>
      </c>
      <c r="J58" s="1120">
        <f t="shared" si="24"/>
        <v>-583104775.96740544</v>
      </c>
      <c r="K58" s="1120">
        <f t="shared" si="24"/>
        <v>-684983190.62072265</v>
      </c>
      <c r="L58" s="1120">
        <f t="shared" si="24"/>
        <v>-788356247.30936992</v>
      </c>
      <c r="M58" s="1120">
        <f t="shared" si="24"/>
        <v>-893542710.09704757</v>
      </c>
      <c r="N58" s="1120">
        <f t="shared" si="24"/>
        <v>-1000752353.5470252</v>
      </c>
      <c r="O58" s="1167" t="s">
        <v>4352</v>
      </c>
      <c r="P58" s="781"/>
      <c r="Q58" s="110"/>
      <c r="R58" s="110"/>
      <c r="S58" s="110"/>
      <c r="T58" s="82"/>
      <c r="U58" s="107"/>
      <c r="V58" s="107"/>
      <c r="W58" s="107"/>
      <c r="X58" s="107"/>
      <c r="Y58" s="107"/>
      <c r="Z58" s="107"/>
      <c r="AA58" s="107"/>
      <c r="AB58" s="107"/>
      <c r="AC58" s="107"/>
      <c r="AD58" s="107"/>
      <c r="AE58" s="107"/>
      <c r="AF58" s="107"/>
    </row>
    <row r="59" spans="1:32" s="111" customFormat="1" ht="15" customHeight="1" x14ac:dyDescent="0.2">
      <c r="A59" s="1437"/>
      <c r="B59" s="107"/>
      <c r="C59" s="652"/>
      <c r="D59" s="1139" t="s">
        <v>4347</v>
      </c>
      <c r="E59" s="1120">
        <f>E54</f>
        <v>-98963336.720483109</v>
      </c>
      <c r="F59" s="1120">
        <f t="shared" ref="F59:N59" si="25">F54+E59</f>
        <v>-192560821.83679116</v>
      </c>
      <c r="G59" s="1120">
        <f t="shared" si="25"/>
        <v>-287752613.78355294</v>
      </c>
      <c r="H59" s="1120">
        <f t="shared" si="25"/>
        <v>-384365400.96915197</v>
      </c>
      <c r="I59" s="1120">
        <f t="shared" si="25"/>
        <v>-482650652.05725384</v>
      </c>
      <c r="J59" s="1120">
        <f t="shared" si="25"/>
        <v>-582804112.19223607</v>
      </c>
      <c r="K59" s="1120">
        <f t="shared" si="25"/>
        <v>-684704543.3208499</v>
      </c>
      <c r="L59" s="1120">
        <f t="shared" si="25"/>
        <v>-788100056.8142997</v>
      </c>
      <c r="M59" s="1120">
        <f t="shared" si="25"/>
        <v>-893309425.54287589</v>
      </c>
      <c r="N59" s="1120">
        <f t="shared" si="25"/>
        <v>-1000542433.0525701</v>
      </c>
      <c r="O59" s="1167" t="s">
        <v>4353</v>
      </c>
      <c r="P59" s="781"/>
      <c r="Q59" s="110"/>
      <c r="R59" s="110"/>
      <c r="S59" s="110"/>
      <c r="T59" s="82"/>
      <c r="U59" s="107"/>
      <c r="V59" s="107"/>
      <c r="W59" s="107"/>
      <c r="X59" s="107"/>
      <c r="Y59" s="107"/>
      <c r="Z59" s="107"/>
      <c r="AA59" s="107"/>
      <c r="AB59" s="107"/>
      <c r="AC59" s="107"/>
      <c r="AD59" s="107"/>
      <c r="AE59" s="107"/>
      <c r="AF59" s="107"/>
    </row>
    <row r="60" spans="1:32" s="111" customFormat="1" ht="15" customHeight="1" x14ac:dyDescent="0.2">
      <c r="A60" s="1437"/>
      <c r="B60" s="107"/>
      <c r="C60" s="652"/>
      <c r="D60" s="1139" t="s">
        <v>4348</v>
      </c>
      <c r="E60" s="1120">
        <f>E55</f>
        <v>-98788186.720483109</v>
      </c>
      <c r="F60" s="1120">
        <f t="shared" ref="F60:N60" si="26">F55+E60</f>
        <v>-192365730.83679116</v>
      </c>
      <c r="G60" s="1120">
        <f t="shared" si="26"/>
        <v>-287537182.96355295</v>
      </c>
      <c r="H60" s="1120">
        <f t="shared" si="26"/>
        <v>-384129223.53275192</v>
      </c>
      <c r="I60" s="1120">
        <f t="shared" si="26"/>
        <v>-482393313.07212579</v>
      </c>
      <c r="J60" s="1120">
        <f t="shared" si="26"/>
        <v>-582525188.42740548</v>
      </c>
      <c r="K60" s="1120">
        <f t="shared" si="26"/>
        <v>-684403603.08072269</v>
      </c>
      <c r="L60" s="1120">
        <f t="shared" si="26"/>
        <v>-787776659.76936996</v>
      </c>
      <c r="M60" s="1120">
        <f t="shared" si="26"/>
        <v>-892963122.55704761</v>
      </c>
      <c r="N60" s="1120">
        <f t="shared" si="26"/>
        <v>-1000172766.0070252</v>
      </c>
      <c r="O60" s="1167" t="s">
        <v>4354</v>
      </c>
      <c r="P60" s="781"/>
      <c r="Q60" s="110"/>
      <c r="R60" s="110"/>
      <c r="S60" s="110"/>
      <c r="T60" s="31"/>
      <c r="U60" s="107"/>
      <c r="V60" s="107"/>
      <c r="W60" s="107"/>
      <c r="X60" s="107"/>
      <c r="Y60" s="107"/>
      <c r="Z60" s="107"/>
      <c r="AA60" s="107"/>
      <c r="AB60" s="107"/>
      <c r="AC60" s="107"/>
      <c r="AD60" s="107"/>
      <c r="AE60" s="107"/>
      <c r="AF60" s="107"/>
    </row>
    <row r="61" spans="1:32" s="98" customFormat="1" ht="15" customHeight="1" thickBot="1" x14ac:dyDescent="0.25">
      <c r="A61" s="1438"/>
      <c r="B61" s="107"/>
      <c r="C61" s="104"/>
      <c r="D61" s="766"/>
      <c r="E61" s="755"/>
      <c r="F61" s="755"/>
      <c r="G61" s="755"/>
      <c r="H61" s="755"/>
      <c r="I61" s="755"/>
      <c r="J61" s="755"/>
      <c r="K61" s="755"/>
      <c r="L61" s="755"/>
      <c r="M61" s="755"/>
      <c r="N61" s="755"/>
      <c r="O61" s="756"/>
      <c r="P61" s="651"/>
      <c r="Q61" s="106"/>
      <c r="R61" s="106"/>
      <c r="S61" s="106"/>
      <c r="T61" s="31"/>
      <c r="U61" s="50"/>
      <c r="V61" s="50"/>
      <c r="W61" s="50"/>
      <c r="X61" s="50"/>
      <c r="Y61" s="50"/>
      <c r="Z61" s="50"/>
      <c r="AA61" s="50"/>
      <c r="AB61" s="50"/>
      <c r="AC61" s="50"/>
      <c r="AD61" s="50"/>
      <c r="AE61" s="50"/>
      <c r="AF61" s="50"/>
    </row>
    <row r="62" spans="1:32" s="98" customFormat="1" ht="15" customHeight="1" x14ac:dyDescent="0.2">
      <c r="A62" s="50"/>
      <c r="B62" s="107"/>
      <c r="C62" s="104"/>
      <c r="D62" s="763"/>
      <c r="E62" s="105"/>
      <c r="F62" s="105"/>
      <c r="G62" s="105"/>
      <c r="H62" s="105"/>
      <c r="I62" s="105"/>
      <c r="J62" s="105"/>
      <c r="K62" s="105"/>
      <c r="L62" s="105"/>
      <c r="M62" s="105"/>
      <c r="N62" s="105"/>
      <c r="O62" s="108"/>
      <c r="P62" s="106"/>
      <c r="Q62" s="106"/>
      <c r="R62" s="106"/>
      <c r="S62" s="106"/>
      <c r="T62" s="31"/>
      <c r="U62" s="50"/>
      <c r="V62" s="50"/>
      <c r="W62" s="50"/>
      <c r="X62" s="50"/>
      <c r="Y62" s="50"/>
      <c r="Z62" s="50"/>
      <c r="AA62" s="50"/>
      <c r="AB62" s="50"/>
      <c r="AC62" s="50"/>
      <c r="AD62" s="50"/>
      <c r="AE62" s="50"/>
      <c r="AF62" s="50"/>
    </row>
    <row r="63" spans="1:32" s="122" customFormat="1" ht="15.75" collapsed="1" x14ac:dyDescent="0.2">
      <c r="A63" s="1043" t="s">
        <v>4214</v>
      </c>
      <c r="B63" s="1039"/>
      <c r="C63" s="1039"/>
      <c r="D63" s="1039"/>
      <c r="E63" s="1039"/>
      <c r="F63" s="1039"/>
      <c r="G63" s="1039"/>
      <c r="H63" s="1039"/>
      <c r="I63" s="1039"/>
      <c r="J63" s="1039"/>
      <c r="K63" s="1039"/>
      <c r="L63" s="1039"/>
      <c r="M63" s="1039"/>
      <c r="N63" s="1039"/>
      <c r="O63" s="1039"/>
      <c r="P63" s="206"/>
      <c r="Q63" s="206"/>
      <c r="R63" s="206"/>
      <c r="S63" s="206"/>
      <c r="T63" s="206"/>
      <c r="U63" s="206"/>
      <c r="V63" s="206"/>
      <c r="W63" s="206"/>
      <c r="X63" s="206"/>
      <c r="Y63" s="206"/>
      <c r="Z63" s="206"/>
      <c r="AA63" s="206"/>
      <c r="AB63" s="206"/>
      <c r="AC63" s="206"/>
      <c r="AD63" s="206"/>
      <c r="AE63" s="206"/>
      <c r="AF63" s="206"/>
    </row>
    <row r="64" spans="1:32" ht="15" customHeight="1" x14ac:dyDescent="0.2"/>
  </sheetData>
  <sheetProtection selectLockedCells="1" sort="0" autoFilter="0" pivotTables="0"/>
  <protectedRanges>
    <protectedRange sqref="M3" name="SetupTab_1_1_1"/>
  </protectedRanges>
  <mergeCells count="8">
    <mergeCell ref="A13:A23"/>
    <mergeCell ref="A27:A61"/>
    <mergeCell ref="O7:O9"/>
    <mergeCell ref="A2:A4"/>
    <mergeCell ref="B2:L2"/>
    <mergeCell ref="M2:O2"/>
    <mergeCell ref="B3:L4"/>
    <mergeCell ref="M3:O4"/>
  </mergeCells>
  <pageMargins left="0.75" right="0.75" top="1" bottom="1" header="0.5" footer="0.5"/>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39997558519241921"/>
  </sheetPr>
  <dimension ref="A1:AH194"/>
  <sheetViews>
    <sheetView zoomScaleNormal="100" workbookViewId="0"/>
  </sheetViews>
  <sheetFormatPr defaultColWidth="11" defaultRowHeight="12.75" outlineLevelRow="1" x14ac:dyDescent="0.2"/>
  <cols>
    <col min="1" max="1" width="80.7109375" customWidth="1"/>
    <col min="2" max="2" width="5.7109375" customWidth="1"/>
    <col min="3" max="3" width="43.7109375" customWidth="1"/>
    <col min="4" max="4" width="58.42578125" customWidth="1"/>
    <col min="5" max="15" width="20.7109375" customWidth="1"/>
    <col min="16" max="16" width="57.7109375" customWidth="1"/>
    <col min="20" max="20" width="31.7109375" customWidth="1"/>
  </cols>
  <sheetData>
    <row r="1" spans="1:34" s="1191" customFormat="1" ht="30" customHeight="1" x14ac:dyDescent="0.3">
      <c r="A1" s="1183" t="s">
        <v>66</v>
      </c>
      <c r="B1" s="1182"/>
      <c r="C1" s="1182" t="s">
        <v>4377</v>
      </c>
      <c r="D1" s="1182"/>
      <c r="E1" s="1182"/>
      <c r="F1" s="1182"/>
      <c r="G1" s="1182"/>
      <c r="H1" s="1182"/>
      <c r="I1" s="1182"/>
      <c r="J1" s="1182"/>
      <c r="K1" s="1182"/>
      <c r="L1" s="1182"/>
      <c r="M1" s="1182"/>
      <c r="N1" s="1182"/>
      <c r="O1" s="1182"/>
      <c r="P1" s="1182"/>
      <c r="Q1" s="1189"/>
      <c r="R1" s="1189"/>
      <c r="S1" s="1189"/>
      <c r="T1" s="1189"/>
      <c r="U1" s="1189"/>
      <c r="V1" s="1189"/>
      <c r="W1" s="1189"/>
      <c r="X1" s="1189"/>
      <c r="Y1" s="1189"/>
      <c r="Z1" s="1189"/>
      <c r="AA1" s="1189"/>
      <c r="AB1" s="1189"/>
      <c r="AC1" s="1189"/>
      <c r="AD1" s="1189"/>
      <c r="AE1" s="1189"/>
      <c r="AF1" s="1189"/>
      <c r="AG1" s="1189"/>
      <c r="AH1" s="1190"/>
    </row>
    <row r="2" spans="1:34"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4"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4"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4" s="3" customFormat="1" ht="14.1" customHeight="1" x14ac:dyDescent="0.2">
      <c r="A5" s="1281"/>
      <c r="B5" s="13"/>
      <c r="C5" s="104"/>
      <c r="D5" s="13"/>
      <c r="E5" s="13"/>
      <c r="F5" s="13"/>
      <c r="G5" s="13"/>
      <c r="H5" s="13"/>
      <c r="I5" s="13"/>
      <c r="J5" s="13"/>
      <c r="K5" s="13"/>
      <c r="L5" s="13"/>
      <c r="M5" s="13"/>
      <c r="N5" s="13"/>
      <c r="O5" s="13"/>
      <c r="P5" s="132"/>
      <c r="Q5" s="19"/>
      <c r="R5" s="19"/>
      <c r="S5" s="19"/>
      <c r="T5" s="19"/>
      <c r="U5" s="19"/>
      <c r="V5" s="19"/>
      <c r="W5" s="19"/>
      <c r="X5" s="19"/>
      <c r="Y5" s="19"/>
      <c r="Z5" s="19"/>
      <c r="AA5" s="19"/>
      <c r="AB5" s="19"/>
      <c r="AC5" s="19"/>
      <c r="AD5" s="19"/>
      <c r="AE5" s="19"/>
      <c r="AF5" s="19"/>
    </row>
    <row r="6" spans="1:34" s="3" customFormat="1" ht="14.1" customHeight="1" x14ac:dyDescent="0.2">
      <c r="A6" s="13"/>
      <c r="B6" s="13"/>
      <c r="D6" s="13"/>
      <c r="E6" s="439">
        <f>Yr1End</f>
        <v>43830</v>
      </c>
      <c r="F6" s="439">
        <f>Yr2End</f>
        <v>44196</v>
      </c>
      <c r="G6" s="439">
        <f>Yr3End</f>
        <v>44561</v>
      </c>
      <c r="H6" s="439">
        <f>Yr4end</f>
        <v>44926</v>
      </c>
      <c r="I6" s="439">
        <f>Yr5end</f>
        <v>45291</v>
      </c>
      <c r="J6" s="439">
        <f>Yr6end</f>
        <v>45657</v>
      </c>
      <c r="K6" s="439">
        <f>Yr7end</f>
        <v>46022</v>
      </c>
      <c r="L6" s="439">
        <f>Yr8end</f>
        <v>46387</v>
      </c>
      <c r="M6" s="439">
        <f>Yr9end</f>
        <v>46752</v>
      </c>
      <c r="N6" s="439">
        <f>Yr10end</f>
        <v>47118</v>
      </c>
      <c r="O6" s="133"/>
      <c r="P6" s="133"/>
      <c r="Q6" s="19"/>
      <c r="R6" s="19"/>
      <c r="S6" s="19"/>
      <c r="T6" s="19"/>
      <c r="U6" s="19"/>
      <c r="V6" s="19"/>
      <c r="W6" s="19"/>
      <c r="X6" s="19"/>
      <c r="Y6" s="19"/>
      <c r="Z6" s="19"/>
      <c r="AA6" s="19"/>
      <c r="AB6" s="19"/>
      <c r="AC6" s="19"/>
      <c r="AD6" s="19"/>
      <c r="AE6" s="19"/>
      <c r="AF6" s="19"/>
    </row>
    <row r="7" spans="1:34" s="3" customFormat="1" ht="14.1" customHeight="1" x14ac:dyDescent="0.2">
      <c r="A7" s="1404" t="s">
        <v>4211</v>
      </c>
      <c r="C7" s="104"/>
      <c r="D7" s="13"/>
      <c r="E7"/>
      <c r="F7"/>
      <c r="G7"/>
      <c r="H7"/>
      <c r="I7"/>
      <c r="J7"/>
      <c r="K7"/>
      <c r="L7"/>
      <c r="M7"/>
      <c r="N7"/>
      <c r="O7" s="131"/>
      <c r="P7" s="131"/>
      <c r="Q7" s="19"/>
      <c r="R7" s="19"/>
      <c r="S7" s="19"/>
      <c r="T7" s="19"/>
      <c r="U7" s="19"/>
      <c r="V7" s="19"/>
      <c r="W7" s="19"/>
      <c r="X7" s="19"/>
      <c r="Y7" s="19"/>
      <c r="Z7" s="19"/>
      <c r="AA7" s="19"/>
      <c r="AB7" s="19"/>
      <c r="AC7" s="19"/>
      <c r="AD7" s="19"/>
      <c r="AE7" s="19"/>
      <c r="AF7" s="19"/>
    </row>
    <row r="8" spans="1:34" s="3" customFormat="1" ht="14.1" customHeight="1" x14ac:dyDescent="0.2">
      <c r="A8" s="1405"/>
      <c r="C8" s="104"/>
      <c r="D8" s="13"/>
      <c r="E8"/>
      <c r="F8"/>
      <c r="G8"/>
      <c r="H8"/>
      <c r="I8"/>
      <c r="J8"/>
      <c r="K8"/>
      <c r="L8"/>
      <c r="M8"/>
      <c r="N8"/>
      <c r="O8" s="131"/>
      <c r="P8" s="131"/>
      <c r="Q8" s="19"/>
      <c r="R8" s="19"/>
      <c r="S8" s="19"/>
      <c r="T8" s="19"/>
      <c r="U8" s="19"/>
      <c r="V8" s="19"/>
      <c r="W8" s="19"/>
      <c r="X8" s="19"/>
      <c r="Y8" s="19"/>
      <c r="Z8" s="19"/>
      <c r="AA8" s="19"/>
      <c r="AB8" s="19"/>
      <c r="AC8" s="19"/>
      <c r="AD8" s="19"/>
      <c r="AE8" s="19"/>
      <c r="AF8" s="19"/>
    </row>
    <row r="9" spans="1:34" s="3" customFormat="1" ht="14.1" customHeight="1" x14ac:dyDescent="0.2">
      <c r="A9" s="1405"/>
      <c r="C9" s="104"/>
      <c r="D9" s="13"/>
      <c r="E9"/>
      <c r="F9"/>
      <c r="G9"/>
      <c r="H9"/>
      <c r="I9"/>
      <c r="J9"/>
      <c r="K9"/>
      <c r="L9"/>
      <c r="M9"/>
      <c r="N9"/>
      <c r="O9" s="131"/>
      <c r="P9" s="131"/>
      <c r="Q9" s="19"/>
      <c r="R9" s="19"/>
      <c r="S9" s="19"/>
      <c r="T9" s="19"/>
      <c r="U9" s="19"/>
      <c r="V9" s="19"/>
      <c r="W9" s="19"/>
      <c r="X9" s="19"/>
      <c r="Y9" s="19"/>
      <c r="Z9" s="19"/>
      <c r="AA9" s="19"/>
      <c r="AB9" s="19"/>
      <c r="AC9" s="19"/>
      <c r="AD9" s="19"/>
      <c r="AE9" s="19"/>
      <c r="AF9" s="19"/>
    </row>
    <row r="10" spans="1:34" s="3" customFormat="1" ht="14.1" customHeight="1" x14ac:dyDescent="0.2">
      <c r="A10" s="1406"/>
      <c r="C10" s="104"/>
      <c r="D10" s="13"/>
      <c r="E10"/>
      <c r="F10"/>
      <c r="G10"/>
      <c r="H10"/>
      <c r="I10"/>
      <c r="J10"/>
      <c r="K10"/>
      <c r="L10"/>
      <c r="M10"/>
      <c r="N10"/>
      <c r="O10" s="131"/>
      <c r="P10" s="131"/>
      <c r="Q10" s="19"/>
      <c r="R10" s="19"/>
      <c r="S10" s="19"/>
      <c r="T10" s="19"/>
      <c r="U10" s="19"/>
      <c r="V10" s="19"/>
      <c r="W10" s="19"/>
      <c r="X10" s="19"/>
      <c r="Y10" s="19"/>
      <c r="Z10" s="19"/>
      <c r="AA10" s="19"/>
      <c r="AB10" s="19"/>
      <c r="AC10" s="19"/>
      <c r="AD10" s="19"/>
      <c r="AE10" s="19"/>
      <c r="AF10" s="19"/>
    </row>
    <row r="11" spans="1:34" s="3" customFormat="1" ht="14.1" customHeight="1" x14ac:dyDescent="0.2">
      <c r="A11" s="13"/>
      <c r="C11" s="104"/>
      <c r="D11" s="13"/>
      <c r="E11"/>
      <c r="F11"/>
      <c r="G11"/>
      <c r="H11"/>
      <c r="I11"/>
      <c r="J11"/>
      <c r="K11"/>
      <c r="L11"/>
      <c r="M11"/>
      <c r="N11"/>
      <c r="O11" s="131"/>
      <c r="P11" s="131"/>
      <c r="Q11" s="19"/>
      <c r="R11" s="19"/>
      <c r="S11" s="19"/>
      <c r="T11" s="19"/>
      <c r="U11" s="19"/>
      <c r="V11" s="19"/>
      <c r="W11" s="19"/>
      <c r="X11" s="19"/>
      <c r="Y11" s="19"/>
      <c r="Z11" s="19"/>
      <c r="AA11" s="19"/>
      <c r="AB11" s="19"/>
      <c r="AC11" s="19"/>
      <c r="AD11" s="19"/>
      <c r="AE11" s="19"/>
      <c r="AF11" s="19"/>
    </row>
    <row r="12" spans="1:34" s="122" customFormat="1" ht="12.75" customHeight="1" x14ac:dyDescent="0.2">
      <c r="A12" s="1043">
        <v>1</v>
      </c>
      <c r="B12" s="1039"/>
      <c r="C12" s="1039"/>
      <c r="D12" s="1039"/>
      <c r="E12" s="1039"/>
      <c r="F12" s="1039"/>
      <c r="G12" s="1039"/>
      <c r="H12" s="1039"/>
      <c r="I12" s="1039"/>
      <c r="J12" s="1039"/>
      <c r="K12" s="1039"/>
      <c r="L12" s="1039"/>
      <c r="M12" s="1039"/>
      <c r="N12" s="1039"/>
      <c r="O12" s="1039"/>
      <c r="P12" s="206"/>
      <c r="Q12" s="206"/>
      <c r="R12" s="206"/>
      <c r="S12" s="206"/>
      <c r="T12" s="206"/>
      <c r="U12" s="206"/>
      <c r="V12" s="206"/>
      <c r="W12" s="206"/>
      <c r="X12" s="206"/>
      <c r="Y12" s="206"/>
      <c r="Z12" s="206"/>
      <c r="AA12" s="206"/>
      <c r="AB12" s="206"/>
      <c r="AC12" s="206"/>
      <c r="AD12" s="206"/>
      <c r="AE12" s="206"/>
      <c r="AF12" s="206"/>
    </row>
    <row r="13" spans="1:34" s="3" customFormat="1" ht="14.1" customHeight="1" x14ac:dyDescent="0.2">
      <c r="A13" s="13"/>
      <c r="C13" s="104"/>
      <c r="D13" s="13"/>
      <c r="E13"/>
      <c r="F13"/>
      <c r="G13"/>
      <c r="H13"/>
      <c r="I13"/>
      <c r="J13"/>
      <c r="K13"/>
      <c r="L13"/>
      <c r="M13"/>
      <c r="N13"/>
      <c r="O13" s="131"/>
      <c r="P13" s="131"/>
      <c r="Q13" s="19"/>
      <c r="R13" s="19"/>
      <c r="S13" s="19"/>
      <c r="T13" s="19"/>
      <c r="U13" s="19"/>
      <c r="V13" s="19"/>
      <c r="W13" s="19"/>
      <c r="X13" s="19"/>
      <c r="Y13" s="19"/>
      <c r="Z13" s="19"/>
      <c r="AA13" s="19"/>
      <c r="AB13" s="19"/>
      <c r="AC13" s="19"/>
      <c r="AD13" s="19"/>
      <c r="AE13" s="19"/>
      <c r="AF13" s="19"/>
    </row>
    <row r="14" spans="1:34" s="3" customFormat="1" ht="31.5" x14ac:dyDescent="0.2">
      <c r="A14" s="1400" t="s">
        <v>4357</v>
      </c>
      <c r="C14" s="1163" t="s">
        <v>4323</v>
      </c>
      <c r="D14" s="13"/>
      <c r="E14"/>
      <c r="F14"/>
      <c r="G14"/>
      <c r="H14"/>
      <c r="I14"/>
      <c r="J14"/>
      <c r="K14"/>
      <c r="L14"/>
      <c r="M14"/>
      <c r="N14"/>
      <c r="O14" s="131"/>
      <c r="P14" s="131"/>
      <c r="Q14" s="19"/>
      <c r="R14" s="19"/>
      <c r="S14" s="19"/>
      <c r="T14" s="19"/>
      <c r="U14" s="19"/>
      <c r="V14" s="19"/>
      <c r="W14" s="19"/>
      <c r="X14" s="19"/>
      <c r="Y14" s="19"/>
      <c r="Z14" s="19"/>
      <c r="AA14" s="19"/>
      <c r="AB14" s="19"/>
      <c r="AC14" s="19"/>
      <c r="AD14" s="19"/>
      <c r="AE14" s="19"/>
      <c r="AF14" s="19"/>
    </row>
    <row r="15" spans="1:34" s="98" customFormat="1" ht="14.1" customHeight="1" x14ac:dyDescent="0.2">
      <c r="A15" s="1407"/>
      <c r="C15" s="1158"/>
      <c r="D15" s="50"/>
      <c r="E15" s="488"/>
      <c r="F15" s="488"/>
      <c r="G15" s="488"/>
      <c r="H15" s="488"/>
      <c r="I15" s="488"/>
      <c r="J15" s="488"/>
      <c r="K15" s="488"/>
      <c r="L15" s="488"/>
      <c r="M15" s="488"/>
      <c r="N15" s="488"/>
      <c r="O15" s="1159"/>
      <c r="P15" s="1159"/>
      <c r="Q15" s="50"/>
      <c r="R15" s="50"/>
      <c r="S15" s="50"/>
      <c r="T15" s="50"/>
      <c r="U15" s="50"/>
      <c r="V15" s="50"/>
      <c r="W15" s="50"/>
      <c r="X15" s="50"/>
      <c r="Y15" s="50"/>
      <c r="Z15" s="50"/>
      <c r="AA15" s="50"/>
      <c r="AB15" s="50"/>
      <c r="AC15" s="50"/>
      <c r="AD15" s="50"/>
      <c r="AE15" s="50"/>
      <c r="AF15" s="50"/>
    </row>
    <row r="16" spans="1:34" s="98" customFormat="1" ht="14.1" customHeight="1" x14ac:dyDescent="0.2">
      <c r="A16" s="1407"/>
      <c r="C16" s="1158"/>
      <c r="D16" s="50"/>
      <c r="E16" s="488"/>
      <c r="F16" s="488"/>
      <c r="G16" s="488"/>
      <c r="H16" s="488"/>
      <c r="I16" s="488"/>
      <c r="J16" s="488"/>
      <c r="K16" s="488"/>
      <c r="L16" s="488"/>
      <c r="M16" s="488"/>
      <c r="N16" s="488"/>
      <c r="O16" s="1159"/>
      <c r="P16" s="1159"/>
      <c r="Q16" s="50"/>
      <c r="R16" s="50"/>
      <c r="S16" s="50"/>
      <c r="T16" s="50"/>
      <c r="U16" s="50"/>
      <c r="V16" s="50"/>
      <c r="W16" s="50"/>
      <c r="X16" s="50"/>
      <c r="Y16" s="50"/>
      <c r="Z16" s="50"/>
      <c r="AA16" s="50"/>
      <c r="AB16" s="50"/>
      <c r="AC16" s="50"/>
      <c r="AD16" s="50"/>
      <c r="AE16" s="50"/>
      <c r="AF16" s="50"/>
    </row>
    <row r="17" spans="1:32" s="98" customFormat="1" ht="14.1" customHeight="1" x14ac:dyDescent="0.2">
      <c r="A17" s="1408"/>
      <c r="C17" s="1158"/>
      <c r="D17" s="50"/>
      <c r="E17" s="488"/>
      <c r="F17" s="488"/>
      <c r="G17" s="488"/>
      <c r="H17" s="488"/>
      <c r="I17" s="488"/>
      <c r="J17" s="488"/>
      <c r="K17" s="488"/>
      <c r="L17" s="488"/>
      <c r="M17" s="488"/>
      <c r="N17" s="488"/>
      <c r="O17" s="1159"/>
      <c r="P17" s="1159"/>
      <c r="Q17" s="50"/>
      <c r="R17" s="50"/>
      <c r="S17" s="50"/>
      <c r="T17" s="50"/>
      <c r="U17" s="50"/>
      <c r="V17" s="50"/>
      <c r="W17" s="50"/>
      <c r="X17" s="50"/>
      <c r="Y17" s="50"/>
      <c r="Z17" s="50"/>
      <c r="AA17" s="50"/>
      <c r="AB17" s="50"/>
      <c r="AC17" s="50"/>
      <c r="AD17" s="50"/>
      <c r="AE17" s="50"/>
      <c r="AF17" s="50"/>
    </row>
    <row r="18" spans="1:32" s="98" customFormat="1" ht="14.1" customHeight="1" x14ac:dyDescent="0.2">
      <c r="A18" s="7"/>
      <c r="C18" s="1158"/>
      <c r="D18" s="50"/>
      <c r="E18" s="488"/>
      <c r="F18" s="488"/>
      <c r="G18" s="488"/>
      <c r="H18" s="488"/>
      <c r="I18" s="488"/>
      <c r="J18" s="488"/>
      <c r="K18" s="488"/>
      <c r="L18" s="488"/>
      <c r="M18" s="488"/>
      <c r="N18" s="488"/>
      <c r="O18" s="1159"/>
      <c r="P18" s="1159"/>
      <c r="Q18" s="50"/>
      <c r="R18" s="50"/>
      <c r="S18" s="50"/>
      <c r="T18" s="50"/>
      <c r="U18" s="50"/>
      <c r="V18" s="50"/>
      <c r="W18" s="50"/>
      <c r="X18" s="50"/>
      <c r="Y18" s="50"/>
      <c r="Z18" s="50"/>
      <c r="AA18" s="50"/>
      <c r="AB18" s="50"/>
      <c r="AC18" s="50"/>
      <c r="AD18" s="50"/>
      <c r="AE18" s="50"/>
      <c r="AF18" s="50"/>
    </row>
    <row r="19" spans="1:32" s="7" customFormat="1" ht="14.1" hidden="1" customHeight="1" outlineLevel="1" thickBot="1" x14ac:dyDescent="0.25">
      <c r="C19" s="1160"/>
      <c r="D19" s="50"/>
      <c r="E19" s="8"/>
      <c r="F19" s="8"/>
      <c r="G19" s="8"/>
      <c r="H19" s="8"/>
      <c r="I19" s="8"/>
      <c r="J19" s="8"/>
      <c r="K19" s="8"/>
      <c r="L19" s="8"/>
      <c r="M19" s="8"/>
      <c r="N19" s="8"/>
      <c r="O19" s="1157"/>
      <c r="P19" s="1157"/>
      <c r="Q19" s="24"/>
      <c r="R19" s="24"/>
      <c r="S19" s="24"/>
      <c r="T19" s="24"/>
      <c r="U19" s="24"/>
      <c r="V19" s="24"/>
      <c r="W19" s="24"/>
      <c r="X19" s="24"/>
      <c r="Y19" s="24"/>
      <c r="Z19" s="24"/>
      <c r="AA19" s="24"/>
      <c r="AB19" s="24"/>
      <c r="AC19" s="24"/>
      <c r="AD19" s="24"/>
      <c r="AE19" s="24"/>
      <c r="AF19" s="24"/>
    </row>
    <row r="20" spans="1:32" s="3" customFormat="1" ht="15.75" hidden="1" customHeight="1" outlineLevel="1" x14ac:dyDescent="0.2">
      <c r="A20" s="14"/>
      <c r="B20" s="13"/>
      <c r="C20" s="789" t="s">
        <v>4129</v>
      </c>
      <c r="D20" s="239"/>
      <c r="E20" s="790"/>
      <c r="F20" s="790"/>
      <c r="G20" s="790"/>
      <c r="H20" s="790"/>
      <c r="I20" s="790"/>
      <c r="J20" s="790"/>
      <c r="K20" s="790"/>
      <c r="L20" s="790"/>
      <c r="M20" s="790"/>
      <c r="N20" s="645"/>
      <c r="O20" s="791"/>
      <c r="P20" s="791"/>
      <c r="Q20" s="19"/>
      <c r="R20" s="19"/>
      <c r="S20" s="19"/>
      <c r="T20" s="19"/>
      <c r="U20" s="19"/>
      <c r="V20" s="19"/>
      <c r="W20" s="19"/>
      <c r="X20" s="19"/>
      <c r="Y20" s="19"/>
      <c r="Z20" s="19"/>
      <c r="AA20" s="19"/>
      <c r="AB20" s="19"/>
      <c r="AC20" s="19"/>
      <c r="AD20" s="19"/>
      <c r="AE20" s="19"/>
      <c r="AF20" s="19"/>
    </row>
    <row r="21" spans="1:32" s="3" customFormat="1" ht="15.75" hidden="1" customHeight="1" outlineLevel="1" x14ac:dyDescent="0.2">
      <c r="A21" s="14"/>
      <c r="B21" s="13"/>
      <c r="C21" s="792"/>
      <c r="D21" s="1161" t="str">
        <f t="shared" ref="D21:N21" si="0">pSystemsFTECostAnnualBurdenedTotal_CFS</f>
        <v>pSystems Cost of Labor - Base Case</v>
      </c>
      <c r="E21" s="1114">
        <f t="shared" si="0"/>
        <v>-379378750</v>
      </c>
      <c r="F21" s="1114">
        <f t="shared" si="0"/>
        <v>-386966325</v>
      </c>
      <c r="G21" s="1114">
        <f t="shared" si="0"/>
        <v>-394705651.5</v>
      </c>
      <c r="H21" s="1114">
        <f t="shared" si="0"/>
        <v>-402599764.52999991</v>
      </c>
      <c r="I21" s="1114">
        <f t="shared" si="0"/>
        <v>-410651759.82060003</v>
      </c>
      <c r="J21" s="1114">
        <f t="shared" si="0"/>
        <v>-418864795.017012</v>
      </c>
      <c r="K21" s="1114">
        <f t="shared" si="0"/>
        <v>-427242090.9173522</v>
      </c>
      <c r="L21" s="1114">
        <f t="shared" si="0"/>
        <v>-435786932.73569924</v>
      </c>
      <c r="M21" s="1114">
        <f t="shared" si="0"/>
        <v>-444502671.39041322</v>
      </c>
      <c r="N21" s="1162">
        <f t="shared" si="0"/>
        <v>-453392724.81822163</v>
      </c>
      <c r="O21" s="791"/>
      <c r="P21" s="791"/>
      <c r="Q21" s="19"/>
      <c r="R21" s="19"/>
      <c r="S21" s="19"/>
      <c r="T21" s="19"/>
      <c r="U21" s="19"/>
      <c r="V21" s="19"/>
      <c r="W21" s="19"/>
      <c r="X21" s="19"/>
      <c r="Y21" s="19"/>
      <c r="Z21" s="19"/>
      <c r="AA21" s="19"/>
      <c r="AB21" s="19"/>
      <c r="AC21" s="19"/>
      <c r="AD21" s="19"/>
      <c r="AE21" s="19"/>
      <c r="AF21" s="19"/>
    </row>
    <row r="22" spans="1:32" s="14" customFormat="1" ht="15.75" hidden="1" customHeight="1" outlineLevel="1" x14ac:dyDescent="0.2">
      <c r="C22" s="816" t="s">
        <v>4131</v>
      </c>
      <c r="D22" s="796"/>
      <c r="E22" s="796"/>
      <c r="F22" s="796"/>
      <c r="G22" s="796"/>
      <c r="H22" s="796"/>
      <c r="I22" s="796"/>
      <c r="J22" s="796"/>
      <c r="K22" s="796"/>
      <c r="L22" s="796"/>
      <c r="M22" s="796"/>
      <c r="N22" s="797"/>
    </row>
    <row r="23" spans="1:32" s="14" customFormat="1" ht="15.75" hidden="1" customHeight="1" outlineLevel="1" x14ac:dyDescent="0.2">
      <c r="C23" s="795"/>
      <c r="D23" s="1146" t="str">
        <f t="shared" ref="D23:N23" si="1">hSystemsFTELaborCostWorstCase_CFS</f>
        <v>hSystems Cost of Labor - Worst Case Total</v>
      </c>
      <c r="E23" s="1114">
        <f t="shared" si="1"/>
        <v>-379378750</v>
      </c>
      <c r="F23" s="1114">
        <f t="shared" si="1"/>
        <v>-386966325</v>
      </c>
      <c r="G23" s="1114">
        <f t="shared" si="1"/>
        <v>-394705651.5</v>
      </c>
      <c r="H23" s="1114">
        <f t="shared" si="1"/>
        <v>-402599764.52999991</v>
      </c>
      <c r="I23" s="1114">
        <f t="shared" si="1"/>
        <v>-410651759.82060003</v>
      </c>
      <c r="J23" s="1114">
        <f t="shared" si="1"/>
        <v>-418864795.017012</v>
      </c>
      <c r="K23" s="1114">
        <f t="shared" si="1"/>
        <v>-427242090.9173522</v>
      </c>
      <c r="L23" s="1114">
        <f t="shared" si="1"/>
        <v>-435786932.73569924</v>
      </c>
      <c r="M23" s="1114">
        <f t="shared" si="1"/>
        <v>-444502671.39041322</v>
      </c>
      <c r="N23" s="1162">
        <f t="shared" si="1"/>
        <v>-453392724.81822163</v>
      </c>
    </row>
    <row r="24" spans="1:32" s="14" customFormat="1" ht="15.75" hidden="1" customHeight="1" outlineLevel="1" x14ac:dyDescent="0.2">
      <c r="C24" s="795"/>
      <c r="D24" s="1146" t="str">
        <f t="shared" ref="D24:N24" si="2">hSystemsFTELaborCostMostLikely_CFS</f>
        <v>hSystems Cost of Labor - Most Likely Total</v>
      </c>
      <c r="E24" s="1114">
        <f t="shared" si="2"/>
        <v>-358023015.625</v>
      </c>
      <c r="F24" s="1114">
        <f t="shared" si="2"/>
        <v>-364856502.1875</v>
      </c>
      <c r="G24" s="1114">
        <f t="shared" si="2"/>
        <v>-371820119.00624996</v>
      </c>
      <c r="H24" s="1114">
        <f t="shared" si="2"/>
        <v>-378916337.8968749</v>
      </c>
      <c r="I24" s="1114">
        <f t="shared" si="2"/>
        <v>-386147677.49552238</v>
      </c>
      <c r="J24" s="1114">
        <f t="shared" si="2"/>
        <v>-393516704.14295709</v>
      </c>
      <c r="K24" s="1114">
        <f t="shared" si="2"/>
        <v>-401026032.78529108</v>
      </c>
      <c r="L24" s="1114">
        <f t="shared" si="2"/>
        <v>-408678327.89166093</v>
      </c>
      <c r="M24" s="1114">
        <f t="shared" si="2"/>
        <v>-416476304.38917166</v>
      </c>
      <c r="N24" s="1162">
        <f t="shared" si="2"/>
        <v>-424422728.61542606</v>
      </c>
    </row>
    <row r="25" spans="1:32" s="14" customFormat="1" ht="15.75" hidden="1" customHeight="1" outlineLevel="1" x14ac:dyDescent="0.2">
      <c r="C25" s="795"/>
      <c r="D25" s="1146" t="str">
        <f t="shared" ref="D25:N25" si="3">hSystemsFTELaborCostBestCase_CFS</f>
        <v>hSystems Cost of Labor - Best Case Total</v>
      </c>
      <c r="E25" s="1114">
        <f t="shared" si="3"/>
        <v>-337503531.25</v>
      </c>
      <c r="F25" s="1114">
        <f t="shared" si="3"/>
        <v>-343926628.125</v>
      </c>
      <c r="G25" s="1114">
        <f t="shared" si="3"/>
        <v>-350471647.46250004</v>
      </c>
      <c r="H25" s="1114">
        <f t="shared" si="3"/>
        <v>-357140896.92224997</v>
      </c>
      <c r="I25" s="1114">
        <f t="shared" si="3"/>
        <v>-363936727.70140493</v>
      </c>
      <c r="J25" s="1114">
        <f t="shared" si="3"/>
        <v>-370861535.35295731</v>
      </c>
      <c r="K25" s="1114">
        <f t="shared" si="3"/>
        <v>-377917760.61949122</v>
      </c>
      <c r="L25" s="1114">
        <f t="shared" si="3"/>
        <v>-385107890.28254509</v>
      </c>
      <c r="M25" s="1114">
        <f t="shared" si="3"/>
        <v>-392434458.02787352</v>
      </c>
      <c r="N25" s="1162">
        <f t="shared" si="3"/>
        <v>-399900045.32690185</v>
      </c>
    </row>
    <row r="26" spans="1:32" s="14" customFormat="1" ht="15.75" hidden="1" customHeight="1" outlineLevel="1" x14ac:dyDescent="0.2">
      <c r="C26" s="818" t="s">
        <v>4132</v>
      </c>
      <c r="D26" s="796"/>
      <c r="E26" s="796"/>
      <c r="F26" s="796"/>
      <c r="G26" s="796"/>
      <c r="H26" s="796"/>
      <c r="I26" s="796"/>
      <c r="J26" s="796"/>
      <c r="K26" s="796"/>
      <c r="L26" s="796"/>
      <c r="M26" s="796"/>
      <c r="N26" s="797"/>
    </row>
    <row r="27" spans="1:32" s="14" customFormat="1" ht="15.75" hidden="1" customHeight="1" outlineLevel="1" x14ac:dyDescent="0.2">
      <c r="C27" s="795"/>
      <c r="D27" s="1146" t="str">
        <f t="shared" ref="D27:N27" si="4">eSystemsFTELaborCostWorstCase_CFS</f>
        <v>eSystems Cost of Labor - Worst Case Total</v>
      </c>
      <c r="E27" s="1114">
        <f t="shared" si="4"/>
        <v>-379378750</v>
      </c>
      <c r="F27" s="1114">
        <f t="shared" si="4"/>
        <v>-386966325</v>
      </c>
      <c r="G27" s="1114">
        <f t="shared" si="4"/>
        <v>-394705651.5</v>
      </c>
      <c r="H27" s="1114">
        <f t="shared" si="4"/>
        <v>-402599764.52999991</v>
      </c>
      <c r="I27" s="1114">
        <f t="shared" si="4"/>
        <v>-410651759.82060003</v>
      </c>
      <c r="J27" s="1114">
        <f t="shared" si="4"/>
        <v>-418864795.017012</v>
      </c>
      <c r="K27" s="1114">
        <f t="shared" si="4"/>
        <v>-427242090.9173522</v>
      </c>
      <c r="L27" s="1114">
        <f t="shared" si="4"/>
        <v>-435786932.73569924</v>
      </c>
      <c r="M27" s="1114">
        <f t="shared" si="4"/>
        <v>-444502671.39041322</v>
      </c>
      <c r="N27" s="1162">
        <f t="shared" si="4"/>
        <v>-453392724.81822163</v>
      </c>
    </row>
    <row r="28" spans="1:32" s="14" customFormat="1" ht="15.75" hidden="1" customHeight="1" outlineLevel="1" x14ac:dyDescent="0.2">
      <c r="C28" s="795"/>
      <c r="D28" s="1146" t="str">
        <f t="shared" ref="D28:N28" si="5">eSystemsFTELaborCostMostLikely_CFS</f>
        <v>eSystems Cost of Labor - Most Likely Total</v>
      </c>
      <c r="E28" s="1114">
        <f t="shared" si="5"/>
        <v>-334590593.75</v>
      </c>
      <c r="F28" s="1114">
        <f t="shared" si="5"/>
        <v>-341259375.29999995</v>
      </c>
      <c r="G28" s="1114">
        <f t="shared" si="5"/>
        <v>-348061071.87449992</v>
      </c>
      <c r="H28" s="1114">
        <f t="shared" si="5"/>
        <v>-354998332.56186002</v>
      </c>
      <c r="I28" s="1114">
        <f t="shared" si="5"/>
        <v>-362073859.2479645</v>
      </c>
      <c r="J28" s="1114">
        <f t="shared" si="5"/>
        <v>-369290407.66848862</v>
      </c>
      <c r="K28" s="1114">
        <f t="shared" si="5"/>
        <v>-376650788.4821344</v>
      </c>
      <c r="L28" s="1114">
        <f t="shared" si="5"/>
        <v>-384157868.36525857</v>
      </c>
      <c r="M28" s="1114">
        <f t="shared" si="5"/>
        <v>-391814571.12831503</v>
      </c>
      <c r="N28" s="1162">
        <f t="shared" si="5"/>
        <v>-399623878.85454756</v>
      </c>
    </row>
    <row r="29" spans="1:32" s="14" customFormat="1" ht="15.75" hidden="1" customHeight="1" outlineLevel="1" x14ac:dyDescent="0.2">
      <c r="C29" s="795"/>
      <c r="D29" s="1146" t="str">
        <f t="shared" ref="D29:N29" si="6">eSystemsFTELaborCostBestCase_CFS</f>
        <v>eSystems Cost of Labor - Best Case Total</v>
      </c>
      <c r="E29" s="1114">
        <f t="shared" si="6"/>
        <v>-312032750</v>
      </c>
      <c r="F29" s="1114">
        <f t="shared" si="6"/>
        <v>-318250374.67499995</v>
      </c>
      <c r="G29" s="1114">
        <f t="shared" si="6"/>
        <v>-324591891.23699999</v>
      </c>
      <c r="H29" s="1114">
        <f t="shared" si="6"/>
        <v>-331059768.31160986</v>
      </c>
      <c r="I29" s="1114">
        <f t="shared" si="6"/>
        <v>-337656523.71270961</v>
      </c>
      <c r="J29" s="1114">
        <f t="shared" si="6"/>
        <v>-344384725.42252862</v>
      </c>
      <c r="K29" s="1114">
        <f t="shared" si="6"/>
        <v>-351246992.59125501</v>
      </c>
      <c r="L29" s="1114">
        <f t="shared" si="6"/>
        <v>-358245996.55656171</v>
      </c>
      <c r="M29" s="1114">
        <f t="shared" si="6"/>
        <v>-365384461.88344425</v>
      </c>
      <c r="N29" s="1162">
        <f t="shared" si="6"/>
        <v>-372665167.42477942</v>
      </c>
    </row>
    <row r="30" spans="1:32" s="14" customFormat="1" ht="16.5" hidden="1" customHeight="1" outlineLevel="1" thickBot="1" x14ac:dyDescent="0.25">
      <c r="C30" s="793"/>
      <c r="D30" s="794"/>
      <c r="E30" s="794"/>
      <c r="F30" s="794"/>
      <c r="G30" s="794"/>
      <c r="H30" s="794"/>
      <c r="I30" s="794"/>
      <c r="J30" s="794"/>
      <c r="K30" s="794"/>
      <c r="L30" s="794"/>
      <c r="M30" s="794"/>
      <c r="N30" s="646"/>
    </row>
    <row r="31" spans="1:32" s="14" customFormat="1" ht="16.5" hidden="1" customHeight="1" outlineLevel="1" x14ac:dyDescent="0.2">
      <c r="C31" s="796"/>
      <c r="D31" s="796"/>
      <c r="E31" s="796"/>
      <c r="F31" s="796"/>
      <c r="G31" s="796"/>
      <c r="H31" s="796"/>
      <c r="I31" s="796"/>
      <c r="J31" s="796"/>
      <c r="K31" s="796"/>
      <c r="L31" s="796"/>
      <c r="M31" s="796"/>
      <c r="N31" s="796"/>
    </row>
    <row r="32" spans="1:32" s="98" customFormat="1" ht="14.1" hidden="1" customHeight="1" outlineLevel="1" x14ac:dyDescent="0.2">
      <c r="A32" s="14"/>
      <c r="C32" s="1158"/>
      <c r="D32" s="50"/>
      <c r="E32" s="488"/>
      <c r="F32" s="488"/>
      <c r="G32" s="488"/>
      <c r="H32" s="488"/>
      <c r="I32" s="488"/>
      <c r="J32" s="488"/>
      <c r="K32" s="488"/>
      <c r="L32" s="488"/>
      <c r="M32" s="488"/>
      <c r="N32" s="488"/>
      <c r="O32" s="1159"/>
      <c r="P32" s="1159"/>
      <c r="Q32" s="50"/>
      <c r="R32" s="50"/>
      <c r="S32" s="50"/>
      <c r="T32" s="50"/>
      <c r="U32" s="50"/>
      <c r="V32" s="50"/>
      <c r="W32" s="50"/>
      <c r="X32" s="50"/>
      <c r="Y32" s="50"/>
      <c r="Z32" s="50"/>
      <c r="AA32" s="50"/>
      <c r="AB32" s="50"/>
      <c r="AC32" s="50"/>
      <c r="AD32" s="50"/>
      <c r="AE32" s="50"/>
      <c r="AF32" s="50"/>
    </row>
    <row r="33" spans="1:32" s="98" customFormat="1" ht="14.1" hidden="1" customHeight="1" outlineLevel="1" x14ac:dyDescent="0.2">
      <c r="A33" s="14"/>
      <c r="C33" s="1158"/>
      <c r="D33" s="50"/>
      <c r="E33" s="488"/>
      <c r="F33" s="488"/>
      <c r="G33" s="488"/>
      <c r="H33" s="488"/>
      <c r="I33" s="488"/>
      <c r="J33" s="488"/>
      <c r="K33" s="488"/>
      <c r="L33" s="488"/>
      <c r="M33" s="488"/>
      <c r="N33" s="488"/>
      <c r="O33" s="1159"/>
      <c r="P33" s="1159"/>
      <c r="Q33" s="50"/>
      <c r="R33" s="50"/>
      <c r="S33" s="50"/>
      <c r="T33" s="50"/>
      <c r="U33" s="50"/>
      <c r="V33" s="50"/>
      <c r="W33" s="50"/>
      <c r="X33" s="50"/>
      <c r="Y33" s="50"/>
      <c r="Z33" s="50"/>
      <c r="AA33" s="50"/>
      <c r="AB33" s="50"/>
      <c r="AC33" s="50"/>
      <c r="AD33" s="50"/>
      <c r="AE33" s="50"/>
      <c r="AF33" s="50"/>
    </row>
    <row r="34" spans="1:32" hidden="1" outlineLevel="1" x14ac:dyDescent="0.2"/>
    <row r="35" spans="1:32" hidden="1" outlineLevel="1" x14ac:dyDescent="0.2"/>
    <row r="36" spans="1:32" hidden="1" outlineLevel="1" x14ac:dyDescent="0.2"/>
    <row r="37" spans="1:32" hidden="1" outlineLevel="1" x14ac:dyDescent="0.2"/>
    <row r="38" spans="1:32" hidden="1" outlineLevel="1" x14ac:dyDescent="0.2"/>
    <row r="39" spans="1:32" hidden="1" outlineLevel="1" x14ac:dyDescent="0.2"/>
    <row r="40" spans="1:32" hidden="1" outlineLevel="1" x14ac:dyDescent="0.2"/>
    <row r="41" spans="1:32" hidden="1" outlineLevel="1" x14ac:dyDescent="0.2"/>
    <row r="42" spans="1:32" hidden="1" outlineLevel="1" x14ac:dyDescent="0.2"/>
    <row r="43" spans="1:32" hidden="1" outlineLevel="1" x14ac:dyDescent="0.2"/>
    <row r="44" spans="1:32" hidden="1" outlineLevel="1" x14ac:dyDescent="0.2"/>
    <row r="45" spans="1:32" hidden="1" outlineLevel="1" x14ac:dyDescent="0.2"/>
    <row r="46" spans="1:32" hidden="1" outlineLevel="1" x14ac:dyDescent="0.2"/>
    <row r="47" spans="1:32" hidden="1" outlineLevel="1" x14ac:dyDescent="0.2"/>
    <row r="48" spans="1:32" hidden="1" outlineLevel="1" x14ac:dyDescent="0.2"/>
    <row r="49" spans="1:32" hidden="1" outlineLevel="1" x14ac:dyDescent="0.2"/>
    <row r="50" spans="1:32" hidden="1" outlineLevel="1" x14ac:dyDescent="0.2"/>
    <row r="51" spans="1:32" hidden="1" outlineLevel="1" x14ac:dyDescent="0.2"/>
    <row r="52" spans="1:32" hidden="1" outlineLevel="1" x14ac:dyDescent="0.2"/>
    <row r="53" spans="1:32" hidden="1" outlineLevel="1" x14ac:dyDescent="0.2"/>
    <row r="54" spans="1:32" hidden="1" outlineLevel="1" x14ac:dyDescent="0.2"/>
    <row r="55" spans="1:32" hidden="1" outlineLevel="1" x14ac:dyDescent="0.2"/>
    <row r="56" spans="1:32" hidden="1" outlineLevel="1" x14ac:dyDescent="0.2"/>
    <row r="57" spans="1:32" hidden="1" outlineLevel="1" x14ac:dyDescent="0.2"/>
    <row r="58" spans="1:32" s="122" customFormat="1" ht="15.75" collapsed="1" x14ac:dyDescent="0.2">
      <c r="A58" s="1043">
        <v>2</v>
      </c>
      <c r="B58" s="1039"/>
      <c r="C58" s="1039"/>
      <c r="D58" s="1039"/>
      <c r="E58" s="1039"/>
      <c r="F58" s="1039"/>
      <c r="G58" s="1039"/>
      <c r="H58" s="1039"/>
      <c r="I58" s="1039"/>
      <c r="J58" s="1039"/>
      <c r="K58" s="1039"/>
      <c r="L58" s="1039"/>
      <c r="M58" s="1039"/>
      <c r="N58" s="1039"/>
      <c r="O58" s="1039"/>
      <c r="P58" s="206"/>
      <c r="Q58" s="206"/>
      <c r="R58" s="206"/>
      <c r="S58" s="206"/>
      <c r="T58" s="206"/>
      <c r="U58" s="206"/>
      <c r="V58" s="206"/>
      <c r="W58" s="206"/>
      <c r="X58" s="206"/>
      <c r="Y58" s="206"/>
      <c r="Z58" s="206"/>
      <c r="AA58" s="206"/>
      <c r="AB58" s="206"/>
      <c r="AC58" s="206"/>
      <c r="AD58" s="206"/>
      <c r="AE58" s="206"/>
      <c r="AF58" s="206"/>
    </row>
    <row r="59" spans="1:32" s="3" customFormat="1" ht="14.1" customHeight="1" x14ac:dyDescent="0.2">
      <c r="A59" s="13"/>
      <c r="C59" s="104"/>
      <c r="D59" s="13"/>
      <c r="E59"/>
      <c r="F59"/>
      <c r="G59"/>
      <c r="H59"/>
      <c r="I59"/>
      <c r="J59"/>
      <c r="K59"/>
      <c r="L59"/>
      <c r="M59"/>
      <c r="N59"/>
      <c r="O59" s="131"/>
      <c r="P59" s="131"/>
      <c r="Q59" s="19"/>
      <c r="R59" s="19"/>
      <c r="S59" s="19"/>
      <c r="T59" s="19"/>
      <c r="U59" s="19"/>
      <c r="V59" s="19"/>
      <c r="W59" s="19"/>
      <c r="X59" s="19"/>
      <c r="Y59" s="19"/>
      <c r="Z59" s="19"/>
      <c r="AA59" s="19"/>
      <c r="AB59" s="19"/>
      <c r="AC59" s="19"/>
      <c r="AD59" s="19"/>
      <c r="AE59" s="19"/>
      <c r="AF59" s="19"/>
    </row>
    <row r="60" spans="1:32" s="3" customFormat="1" ht="31.5" x14ac:dyDescent="0.2">
      <c r="A60" s="1400" t="s">
        <v>4358</v>
      </c>
      <c r="C60" s="1163" t="s">
        <v>4356</v>
      </c>
      <c r="D60" s="13"/>
      <c r="E60"/>
      <c r="F60"/>
      <c r="G60"/>
      <c r="H60"/>
      <c r="I60"/>
      <c r="J60"/>
      <c r="K60"/>
      <c r="L60"/>
      <c r="M60"/>
      <c r="N60"/>
      <c r="O60" s="131"/>
      <c r="P60" s="131"/>
      <c r="Q60" s="19"/>
      <c r="R60" s="19"/>
      <c r="S60" s="19"/>
      <c r="T60" s="19"/>
      <c r="U60" s="19"/>
      <c r="V60" s="19"/>
      <c r="W60" s="19"/>
      <c r="X60" s="19"/>
      <c r="Y60" s="19"/>
      <c r="Z60" s="19"/>
      <c r="AA60" s="19"/>
      <c r="AB60" s="19"/>
      <c r="AC60" s="19"/>
      <c r="AD60" s="19"/>
      <c r="AE60" s="19"/>
      <c r="AF60" s="19"/>
    </row>
    <row r="61" spans="1:32" s="98" customFormat="1" ht="14.1" customHeight="1" x14ac:dyDescent="0.2">
      <c r="A61" s="1407"/>
      <c r="C61" s="1158"/>
      <c r="D61" s="50"/>
      <c r="E61" s="488"/>
      <c r="F61" s="488"/>
      <c r="G61" s="488"/>
      <c r="H61" s="488"/>
      <c r="I61" s="488"/>
      <c r="J61" s="488"/>
      <c r="K61" s="488"/>
      <c r="L61" s="488"/>
      <c r="M61" s="488"/>
      <c r="N61" s="488"/>
      <c r="O61" s="1159"/>
      <c r="P61" s="1159"/>
      <c r="Q61" s="50"/>
      <c r="R61" s="50"/>
      <c r="S61" s="50"/>
      <c r="T61" s="50"/>
      <c r="U61" s="50"/>
      <c r="V61" s="50"/>
      <c r="W61" s="50"/>
      <c r="X61" s="50"/>
      <c r="Y61" s="50"/>
      <c r="Z61" s="50"/>
      <c r="AA61" s="50"/>
      <c r="AB61" s="50"/>
      <c r="AC61" s="50"/>
      <c r="AD61" s="50"/>
      <c r="AE61" s="50"/>
      <c r="AF61" s="50"/>
    </row>
    <row r="62" spans="1:32" s="98" customFormat="1" ht="14.1" customHeight="1" x14ac:dyDescent="0.2">
      <c r="A62" s="1407"/>
      <c r="C62" s="1158"/>
      <c r="D62" s="50"/>
      <c r="E62" s="488"/>
      <c r="F62" s="488"/>
      <c r="G62" s="488"/>
      <c r="H62" s="488"/>
      <c r="I62" s="488"/>
      <c r="J62" s="488"/>
      <c r="K62" s="488"/>
      <c r="L62" s="488"/>
      <c r="M62" s="488"/>
      <c r="N62" s="488"/>
      <c r="O62" s="1159"/>
      <c r="P62" s="1159"/>
      <c r="Q62" s="50"/>
      <c r="R62" s="50"/>
      <c r="S62" s="50"/>
      <c r="T62" s="50"/>
      <c r="U62" s="50"/>
      <c r="V62" s="50"/>
      <c r="W62" s="50"/>
      <c r="X62" s="50"/>
      <c r="Y62" s="50"/>
      <c r="Z62" s="50"/>
      <c r="AA62" s="50"/>
      <c r="AB62" s="50"/>
      <c r="AC62" s="50"/>
      <c r="AD62" s="50"/>
      <c r="AE62" s="50"/>
      <c r="AF62" s="50"/>
    </row>
    <row r="63" spans="1:32" s="98" customFormat="1" ht="14.1" customHeight="1" x14ac:dyDescent="0.2">
      <c r="A63" s="1408"/>
      <c r="D63" s="50"/>
      <c r="E63" s="488"/>
      <c r="F63" s="488"/>
      <c r="G63" s="488"/>
      <c r="H63" s="488"/>
      <c r="I63" s="488"/>
      <c r="J63" s="488"/>
      <c r="K63" s="488"/>
      <c r="L63" s="488"/>
      <c r="M63" s="488"/>
      <c r="N63" s="488"/>
      <c r="O63" s="1159"/>
      <c r="P63" s="1159"/>
      <c r="Q63" s="50"/>
      <c r="R63" s="50"/>
      <c r="S63" s="50"/>
      <c r="T63" s="50"/>
      <c r="U63" s="50"/>
      <c r="V63" s="50"/>
      <c r="W63" s="50"/>
      <c r="X63" s="50"/>
      <c r="Y63" s="50"/>
      <c r="Z63" s="50"/>
      <c r="AA63" s="50"/>
      <c r="AB63" s="50"/>
      <c r="AC63" s="50"/>
      <c r="AD63" s="50"/>
      <c r="AE63" s="50"/>
      <c r="AF63" s="50"/>
    </row>
    <row r="64" spans="1:32" s="98" customFormat="1" ht="14.1" customHeight="1" x14ac:dyDescent="0.2">
      <c r="A64" s="7"/>
      <c r="D64" s="50"/>
      <c r="E64" s="488"/>
      <c r="F64" s="488"/>
      <c r="G64" s="488"/>
      <c r="H64" s="488"/>
      <c r="I64" s="488"/>
      <c r="J64" s="488"/>
      <c r="K64" s="488"/>
      <c r="L64" s="488"/>
      <c r="M64" s="488"/>
      <c r="N64" s="488"/>
      <c r="O64" s="1159"/>
      <c r="P64" s="1159"/>
      <c r="Q64" s="50"/>
      <c r="R64" s="50"/>
      <c r="S64" s="50"/>
      <c r="T64" s="50"/>
      <c r="U64" s="50"/>
      <c r="V64" s="50"/>
      <c r="W64" s="50"/>
      <c r="X64" s="50"/>
      <c r="Y64" s="50"/>
      <c r="Z64" s="50"/>
      <c r="AA64" s="50"/>
      <c r="AB64" s="50"/>
      <c r="AC64" s="50"/>
      <c r="AD64" s="50"/>
      <c r="AE64" s="50"/>
      <c r="AF64" s="50"/>
    </row>
    <row r="65" spans="1:32" s="98" customFormat="1" ht="14.1" hidden="1" customHeight="1" outlineLevel="1" thickBot="1" x14ac:dyDescent="0.25">
      <c r="A65" s="7"/>
      <c r="D65" s="50"/>
      <c r="E65" s="488"/>
      <c r="F65" s="488"/>
      <c r="G65" s="488"/>
      <c r="H65" s="488"/>
      <c r="I65" s="488"/>
      <c r="J65" s="488"/>
      <c r="K65" s="488"/>
      <c r="L65" s="488"/>
      <c r="M65" s="488"/>
      <c r="N65" s="488"/>
      <c r="O65" s="1159"/>
      <c r="P65" s="1159"/>
      <c r="Q65" s="50"/>
      <c r="R65" s="50"/>
      <c r="S65" s="50"/>
      <c r="T65" s="50"/>
      <c r="U65" s="50"/>
      <c r="V65" s="50"/>
      <c r="W65" s="50"/>
      <c r="X65" s="50"/>
      <c r="Y65" s="50"/>
      <c r="Z65" s="50"/>
      <c r="AA65" s="50"/>
      <c r="AB65" s="50"/>
      <c r="AC65" s="50"/>
      <c r="AD65" s="50"/>
      <c r="AE65" s="50"/>
      <c r="AF65" s="50"/>
    </row>
    <row r="66" spans="1:32" s="98" customFormat="1" ht="14.1" hidden="1" customHeight="1" outlineLevel="1" x14ac:dyDescent="0.2">
      <c r="A66" s="7"/>
      <c r="C66" s="1174" t="s">
        <v>4359</v>
      </c>
      <c r="D66" s="1171" t="str">
        <f t="shared" ref="D66:N66" si="7">pSystemsInducedLaborCostTotal</f>
        <v>pSystem Induced Labor Costs - Total</v>
      </c>
      <c r="E66" s="1172">
        <f t="shared" si="7"/>
        <v>-8361868.5163128739</v>
      </c>
      <c r="F66" s="1172">
        <f t="shared" si="7"/>
        <v>-9012365.8812635187</v>
      </c>
      <c r="G66" s="1172">
        <f t="shared" si="7"/>
        <v>-9614856.1531375125</v>
      </c>
      <c r="H66" s="1172">
        <f t="shared" si="7"/>
        <v>-8457254.0952314958</v>
      </c>
      <c r="I66" s="1172">
        <f t="shared" si="7"/>
        <v>-9074444.6329093315</v>
      </c>
      <c r="J66" s="1172">
        <f t="shared" si="7"/>
        <v>-9790160.3339679912</v>
      </c>
      <c r="K66" s="1172">
        <f t="shared" si="7"/>
        <v>-10452709.73370707</v>
      </c>
      <c r="L66" s="1172">
        <f t="shared" si="7"/>
        <v>-9193247.0845299773</v>
      </c>
      <c r="M66" s="1172">
        <f t="shared" si="7"/>
        <v>-9863290.6437433306</v>
      </c>
      <c r="N66" s="1172">
        <f t="shared" si="7"/>
        <v>-10639997.987810712</v>
      </c>
      <c r="O66" s="1173"/>
      <c r="P66" s="1159"/>
      <c r="Q66" s="50"/>
      <c r="R66" s="50"/>
      <c r="S66" s="50"/>
      <c r="T66" s="50"/>
      <c r="U66" s="50"/>
      <c r="V66" s="50"/>
      <c r="W66" s="50"/>
      <c r="X66" s="50"/>
      <c r="Y66" s="50"/>
      <c r="Z66" s="50"/>
      <c r="AA66" s="50"/>
      <c r="AB66" s="50"/>
      <c r="AC66" s="50"/>
      <c r="AD66" s="50"/>
      <c r="AE66" s="50"/>
      <c r="AF66" s="50"/>
    </row>
    <row r="67" spans="1:32" hidden="1" outlineLevel="1" x14ac:dyDescent="0.2">
      <c r="C67" s="1175"/>
      <c r="D67" s="1168" t="str">
        <f t="shared" ref="D67:N67" si="8">hSystemsInducedLaborCostTotal</f>
        <v>hSystem Induced Labor Costs - Total</v>
      </c>
      <c r="E67" s="1114">
        <f t="shared" si="8"/>
        <v>-3895868.0864152596</v>
      </c>
      <c r="F67" s="1114">
        <f t="shared" si="8"/>
        <v>-3247418.6749556037</v>
      </c>
      <c r="G67" s="1114">
        <f t="shared" si="8"/>
        <v>-3400688.8694805717</v>
      </c>
      <c r="H67" s="1114">
        <f t="shared" si="8"/>
        <v>-2659850.2274992331</v>
      </c>
      <c r="I67" s="1114">
        <f t="shared" si="8"/>
        <v>-2894091.7349831196</v>
      </c>
      <c r="J67" s="1114">
        <f t="shared" si="8"/>
        <v>-3229885.5959743271</v>
      </c>
      <c r="K67" s="1114">
        <f t="shared" si="8"/>
        <v>-3476606.0764555666</v>
      </c>
      <c r="L67" s="1114">
        <f t="shared" si="8"/>
        <v>-2782678.8059750679</v>
      </c>
      <c r="M67" s="1114">
        <f t="shared" si="8"/>
        <v>-3034896.1469257488</v>
      </c>
      <c r="N67" s="1114">
        <f t="shared" si="8"/>
        <v>-3369289.6433152077</v>
      </c>
      <c r="O67" s="369"/>
    </row>
    <row r="68" spans="1:32" hidden="1" outlineLevel="1" x14ac:dyDescent="0.2">
      <c r="C68" s="1176"/>
      <c r="D68" s="1168" t="str">
        <f t="shared" ref="D68:N68" si="9">eSystemsInducedLaborCostTotal</f>
        <v>eSystem Induced Labor Costs - Total</v>
      </c>
      <c r="E68" s="1114">
        <f t="shared" si="9"/>
        <v>-1625518.9599196452</v>
      </c>
      <c r="F68" s="1114">
        <f t="shared" si="9"/>
        <v>-928739.63183370885</v>
      </c>
      <c r="G68" s="1114">
        <f t="shared" si="9"/>
        <v>-964546.53168703127</v>
      </c>
      <c r="H68" s="1114">
        <f t="shared" si="9"/>
        <v>-741806.77692962484</v>
      </c>
      <c r="I68" s="1114">
        <f t="shared" si="9"/>
        <v>-777038.34287292627</v>
      </c>
      <c r="J68" s="1114">
        <f t="shared" si="9"/>
        <v>-975934.56722507253</v>
      </c>
      <c r="K68" s="1114">
        <f t="shared" si="9"/>
        <v>-1016218.2515529282</v>
      </c>
      <c r="L68" s="1114">
        <f t="shared" si="9"/>
        <v>-773333.58643386443</v>
      </c>
      <c r="M68" s="1114">
        <f t="shared" si="9"/>
        <v>-811115.03264366183</v>
      </c>
      <c r="N68" s="1114">
        <f t="shared" si="9"/>
        <v>-1023619.5641416342</v>
      </c>
      <c r="O68" s="369"/>
    </row>
    <row r="69" spans="1:32" ht="13.5" hidden="1" outlineLevel="1" thickBot="1" x14ac:dyDescent="0.25">
      <c r="C69" s="1177"/>
      <c r="D69" s="429"/>
      <c r="E69" s="429"/>
      <c r="F69" s="429"/>
      <c r="G69" s="429"/>
      <c r="H69" s="429"/>
      <c r="I69" s="429"/>
      <c r="J69" s="429"/>
      <c r="K69" s="429"/>
      <c r="L69" s="429"/>
      <c r="M69" s="429"/>
      <c r="N69" s="429"/>
      <c r="O69" s="430"/>
    </row>
    <row r="70" spans="1:32" ht="13.5" hidden="1" outlineLevel="1" thickBot="1" x14ac:dyDescent="0.25">
      <c r="C70" s="1170"/>
    </row>
    <row r="71" spans="1:32" hidden="1" outlineLevel="1" x14ac:dyDescent="0.2">
      <c r="C71" s="1174" t="s">
        <v>4360</v>
      </c>
      <c r="D71" s="1171" t="str">
        <f t="shared" ref="D71:N71" si="10">pSystems_CFS_RecordsTotal</f>
        <v>pSystems Induced Records Costs - Total</v>
      </c>
      <c r="E71" s="1172">
        <f t="shared" si="10"/>
        <v>-4443769.1529000001</v>
      </c>
      <c r="F71" s="1172">
        <f t="shared" si="10"/>
        <v>-4543058.9527185969</v>
      </c>
      <c r="G71" s="1172">
        <f t="shared" si="10"/>
        <v>-4630807.3741399795</v>
      </c>
      <c r="H71" s="1172">
        <f t="shared" si="10"/>
        <v>-4731282.9717437653</v>
      </c>
      <c r="I71" s="1172">
        <f t="shared" si="10"/>
        <v>-4828362.074873127</v>
      </c>
      <c r="J71" s="1172">
        <f t="shared" si="10"/>
        <v>-4927463.9334248276</v>
      </c>
      <c r="K71" s="1172">
        <f t="shared" si="10"/>
        <v>-5028625.1280813031</v>
      </c>
      <c r="L71" s="1172">
        <f t="shared" si="10"/>
        <v>-5131884.1344884988</v>
      </c>
      <c r="M71" s="1172">
        <f t="shared" si="10"/>
        <v>-5237281.0482079089</v>
      </c>
      <c r="N71" s="1172">
        <f t="shared" si="10"/>
        <v>-5344857.4023374999</v>
      </c>
      <c r="O71" s="428"/>
    </row>
    <row r="72" spans="1:32" hidden="1" outlineLevel="1" x14ac:dyDescent="0.2">
      <c r="C72" s="1175"/>
      <c r="D72" s="1168" t="str">
        <f t="shared" ref="D72:N72" si="11">hSystems_CFS_RecordsTotal</f>
        <v>hSystems Induced Records Costs - Total</v>
      </c>
      <c r="E72" s="1114">
        <f t="shared" si="11"/>
        <v>-4415869.1529000001</v>
      </c>
      <c r="F72" s="1114">
        <f t="shared" si="11"/>
        <v>-2667037.536359299</v>
      </c>
      <c r="G72" s="1114">
        <f t="shared" si="11"/>
        <v>-2530666.5316829905</v>
      </c>
      <c r="H72" s="1114">
        <f t="shared" si="11"/>
        <v>-2392505.1582463062</v>
      </c>
      <c r="I72" s="1114">
        <f t="shared" si="11"/>
        <v>-2441336.6388890268</v>
      </c>
      <c r="J72" s="1114">
        <f t="shared" si="11"/>
        <v>-2491177.2184885023</v>
      </c>
      <c r="K72" s="1114">
        <f t="shared" si="11"/>
        <v>-2542045.5292534642</v>
      </c>
      <c r="L72" s="1114">
        <f t="shared" si="11"/>
        <v>-2593961.0413767616</v>
      </c>
      <c r="M72" s="1114">
        <f t="shared" si="11"/>
        <v>-2646943.9546161518</v>
      </c>
      <c r="N72" s="1114">
        <f t="shared" si="11"/>
        <v>-2701015.1269746483</v>
      </c>
      <c r="O72" s="369"/>
    </row>
    <row r="73" spans="1:32" hidden="1" outlineLevel="1" x14ac:dyDescent="0.2">
      <c r="C73" s="1176"/>
      <c r="D73" s="1168" t="str">
        <f t="shared" ref="D73:N73" si="12">eSystems_CFS_RecordsTotal</f>
        <v>eSystems Induced Records Costs - Total</v>
      </c>
      <c r="E73" s="1114">
        <f t="shared" si="12"/>
        <v>-4268681.6529000001</v>
      </c>
      <c r="F73" s="1114">
        <f t="shared" si="12"/>
        <v>-254756.66330874391</v>
      </c>
      <c r="G73" s="1114">
        <f t="shared" si="12"/>
        <v>-225217.41095219943</v>
      </c>
      <c r="H73" s="1114">
        <f t="shared" si="12"/>
        <v>-249188.68833735178</v>
      </c>
      <c r="I73" s="1114">
        <f t="shared" si="12"/>
        <v>-234630.29683920508</v>
      </c>
      <c r="J73" s="1114">
        <f t="shared" si="12"/>
        <v>-219365.67169226019</v>
      </c>
      <c r="K73" s="1114">
        <f t="shared" si="12"/>
        <v>-203371.28845860186</v>
      </c>
      <c r="L73" s="1114">
        <f t="shared" si="12"/>
        <v>-186623.07732691028</v>
      </c>
      <c r="M73" s="1114">
        <f t="shared" si="12"/>
        <v>-169096.37686641444</v>
      </c>
      <c r="N73" s="1114">
        <f t="shared" si="12"/>
        <v>-150765.89658764162</v>
      </c>
      <c r="O73" s="369"/>
    </row>
    <row r="74" spans="1:32" ht="13.5" hidden="1" outlineLevel="1" thickBot="1" x14ac:dyDescent="0.25">
      <c r="C74" s="1177"/>
      <c r="D74" s="429"/>
      <c r="E74" s="429"/>
      <c r="F74" s="429"/>
      <c r="G74" s="429"/>
      <c r="H74" s="429"/>
      <c r="I74" s="429"/>
      <c r="J74" s="429"/>
      <c r="K74" s="429"/>
      <c r="L74" s="429"/>
      <c r="M74" s="429"/>
      <c r="N74" s="429"/>
      <c r="O74" s="430"/>
    </row>
    <row r="75" spans="1:32" ht="13.5" hidden="1" outlineLevel="1" thickBot="1" x14ac:dyDescent="0.25">
      <c r="C75" s="1170"/>
    </row>
    <row r="76" spans="1:32" hidden="1" outlineLevel="1" x14ac:dyDescent="0.2">
      <c r="C76" s="1174" t="s">
        <v>4361</v>
      </c>
      <c r="D76" s="1171" t="str">
        <f t="shared" ref="D76:N76" si="13">pSystemsRecordsPaperArchive_CFS</f>
        <v>pSystem Induced Costs - Archiving &amp; Retrieval</v>
      </c>
      <c r="E76" s="1172">
        <f t="shared" si="13"/>
        <v>-63386.107663461538</v>
      </c>
      <c r="F76" s="1172">
        <f t="shared" si="13"/>
        <v>-80944.933742524969</v>
      </c>
      <c r="G76" s="1172">
        <f t="shared" si="13"/>
        <v>-99274.16719740961</v>
      </c>
      <c r="H76" s="1172">
        <f t="shared" si="13"/>
        <v>-118447.63146576325</v>
      </c>
      <c r="I76" s="1172">
        <f t="shared" si="13"/>
        <v>-138248.09255171186</v>
      </c>
      <c r="J76" s="1172">
        <f t="shared" si="13"/>
        <v>-158690.39785306741</v>
      </c>
      <c r="K76" s="1172">
        <f t="shared" si="13"/>
        <v>-180022.94774746001</v>
      </c>
      <c r="L76" s="1172">
        <f t="shared" si="13"/>
        <v>-202276.05914783082</v>
      </c>
      <c r="M76" s="1172">
        <f t="shared" si="13"/>
        <v>-225238.430773678</v>
      </c>
      <c r="N76" s="1172">
        <f t="shared" si="13"/>
        <v>-248927.18707286532</v>
      </c>
      <c r="O76" s="428"/>
    </row>
    <row r="77" spans="1:32" hidden="1" outlineLevel="1" x14ac:dyDescent="0.2">
      <c r="C77" s="1178"/>
      <c r="D77" s="1168" t="str">
        <f t="shared" ref="D77:N77" si="14">hSystemsRecordsPaperArchive_CFS</f>
        <v>hSystem Induced Costs - Archiving &amp; Retrieval</v>
      </c>
      <c r="E77" s="1114">
        <f t="shared" si="14"/>
        <v>-63386.107663461538</v>
      </c>
      <c r="F77" s="1114">
        <f t="shared" si="14"/>
        <v>-54608.893787762485</v>
      </c>
      <c r="G77" s="1114">
        <f t="shared" si="14"/>
        <v>-54865.34974055479</v>
      </c>
      <c r="H77" s="1114">
        <f t="shared" si="14"/>
        <v>-53892.068491752107</v>
      </c>
      <c r="I77" s="1114">
        <f t="shared" si="14"/>
        <v>-52489.028766739415</v>
      </c>
      <c r="J77" s="1114">
        <f t="shared" si="14"/>
        <v>-50253.758831375664</v>
      </c>
      <c r="K77" s="1114">
        <f t="shared" si="14"/>
        <v>-47230.802850255299</v>
      </c>
      <c r="L77" s="1114">
        <f t="shared" si="14"/>
        <v>-43375.396382095809</v>
      </c>
      <c r="M77" s="1114">
        <f t="shared" si="14"/>
        <v>-38543.985426466999</v>
      </c>
      <c r="N77" s="1114">
        <f t="shared" si="14"/>
        <v>-32682.174786395692</v>
      </c>
      <c r="O77" s="369"/>
    </row>
    <row r="78" spans="1:32" hidden="1" outlineLevel="1" x14ac:dyDescent="0.2">
      <c r="C78" s="1178"/>
      <c r="D78" s="1168" t="str">
        <f t="shared" ref="D78:N78" si="15">eSystemsRecordsPaperArchive_CFS</f>
        <v>eSystem Induced Costs - Archiving &amp; Retrieval</v>
      </c>
      <c r="E78" s="1114">
        <f t="shared" si="15"/>
        <v>-63386.107663461538</v>
      </c>
      <c r="F78" s="1114">
        <f t="shared" si="15"/>
        <v>-27975.361165601003</v>
      </c>
      <c r="G78" s="1114">
        <f t="shared" si="15"/>
        <v>-23322.365722544531</v>
      </c>
      <c r="H78" s="1114">
        <f t="shared" si="15"/>
        <v>-18540.621780030327</v>
      </c>
      <c r="I78" s="1114">
        <f t="shared" si="15"/>
        <v>-13295.55353503114</v>
      </c>
      <c r="J78" s="1114">
        <f t="shared" si="15"/>
        <v>-7697.0734947976816</v>
      </c>
      <c r="K78" s="1114">
        <f t="shared" si="15"/>
        <v>-6399.915966063335</v>
      </c>
      <c r="L78" s="1114">
        <f t="shared" si="15"/>
        <v>-2657.338113167214</v>
      </c>
      <c r="M78" s="1114">
        <f t="shared" si="15"/>
        <v>-2631.4724620186103</v>
      </c>
      <c r="N78" s="1114">
        <f t="shared" si="15"/>
        <v>-2597.9529280273432</v>
      </c>
      <c r="O78" s="369"/>
    </row>
    <row r="79" spans="1:32" ht="13.5" hidden="1" outlineLevel="1" thickBot="1" x14ac:dyDescent="0.25">
      <c r="C79" s="1177"/>
      <c r="D79" s="429"/>
      <c r="E79" s="429"/>
      <c r="F79" s="429"/>
      <c r="G79" s="429"/>
      <c r="H79" s="429"/>
      <c r="I79" s="429"/>
      <c r="J79" s="429"/>
      <c r="K79" s="429"/>
      <c r="L79" s="429"/>
      <c r="M79" s="429"/>
      <c r="N79" s="429"/>
      <c r="O79" s="430"/>
    </row>
    <row r="80" spans="1:32" ht="13.5" hidden="1" outlineLevel="1" thickBot="1" x14ac:dyDescent="0.25">
      <c r="C80" s="1170"/>
    </row>
    <row r="81" spans="3:15" hidden="1" outlineLevel="1" x14ac:dyDescent="0.2">
      <c r="C81" s="1174" t="s">
        <v>4363</v>
      </c>
      <c r="D81" s="1171" t="str">
        <f t="shared" ref="D81:N81" si="16">pSystemsCost_TrgTotal_CFS</f>
        <v>pSystems Induced Training Cost - Total</v>
      </c>
      <c r="E81" s="1172">
        <f t="shared" si="16"/>
        <v>-313000</v>
      </c>
      <c r="F81" s="1172">
        <f t="shared" si="16"/>
        <v>-319260</v>
      </c>
      <c r="G81" s="1172">
        <f t="shared" si="16"/>
        <v>-325645.20000000007</v>
      </c>
      <c r="H81" s="1172">
        <f t="shared" si="16"/>
        <v>-332158.10399999999</v>
      </c>
      <c r="I81" s="1172">
        <f t="shared" si="16"/>
        <v>-338801.26608000015</v>
      </c>
      <c r="J81" s="1172">
        <f t="shared" si="16"/>
        <v>-345577.29140159988</v>
      </c>
      <c r="K81" s="1172">
        <f t="shared" si="16"/>
        <v>-352488.83722963196</v>
      </c>
      <c r="L81" s="1172">
        <f t="shared" si="16"/>
        <v>-359538.61397422454</v>
      </c>
      <c r="M81" s="1172">
        <f t="shared" si="16"/>
        <v>-366729.38625370903</v>
      </c>
      <c r="N81" s="1172">
        <f t="shared" si="16"/>
        <v>-374063.97397878318</v>
      </c>
      <c r="O81" s="428"/>
    </row>
    <row r="82" spans="3:15" hidden="1" outlineLevel="1" x14ac:dyDescent="0.2">
      <c r="C82" s="1178"/>
      <c r="D82" s="5"/>
      <c r="E82" s="5"/>
      <c r="F82" s="5"/>
      <c r="G82" s="5"/>
      <c r="H82" s="5"/>
      <c r="I82" s="5"/>
      <c r="J82" s="5"/>
      <c r="K82" s="5"/>
      <c r="L82" s="5"/>
      <c r="M82" s="5"/>
      <c r="N82" s="5"/>
      <c r="O82" s="369"/>
    </row>
    <row r="83" spans="3:15" hidden="1" outlineLevel="1" x14ac:dyDescent="0.2">
      <c r="C83" s="1178"/>
      <c r="D83" s="1168" t="str">
        <f t="shared" ref="D83:N83" si="17">hSystemsCost_TrgTotalWorstCase_CFS</f>
        <v>hSystems Induced Training Cost - Worst Case</v>
      </c>
      <c r="E83" s="1114">
        <f t="shared" si="17"/>
        <v>-421000</v>
      </c>
      <c r="F83" s="1114">
        <f t="shared" si="17"/>
        <v>-319260</v>
      </c>
      <c r="G83" s="1114">
        <f t="shared" si="17"/>
        <v>-325645.20000000007</v>
      </c>
      <c r="H83" s="1114">
        <f t="shared" si="17"/>
        <v>-332158.10399999999</v>
      </c>
      <c r="I83" s="1114">
        <f t="shared" si="17"/>
        <v>-338801.26608000015</v>
      </c>
      <c r="J83" s="1114">
        <f t="shared" si="17"/>
        <v>-345577.29140159988</v>
      </c>
      <c r="K83" s="1114">
        <f t="shared" si="17"/>
        <v>-352488.83722963196</v>
      </c>
      <c r="L83" s="1114">
        <f t="shared" si="17"/>
        <v>-359538.61397422454</v>
      </c>
      <c r="M83" s="1114">
        <f t="shared" si="17"/>
        <v>-366729.38625370903</v>
      </c>
      <c r="N83" s="1114">
        <f t="shared" si="17"/>
        <v>-374063.97397878318</v>
      </c>
      <c r="O83" s="369"/>
    </row>
    <row r="84" spans="3:15" hidden="1" outlineLevel="1" x14ac:dyDescent="0.2">
      <c r="C84" s="1178"/>
      <c r="D84" s="1168" t="str">
        <f t="shared" ref="D84:N84" si="18">hSystemsCost_TrgTotalMostLikely_CFS</f>
        <v>hSystems Induced Training Cost - Most Likely</v>
      </c>
      <c r="E84" s="1114">
        <f t="shared" si="18"/>
        <v>-377300</v>
      </c>
      <c r="F84" s="1114">
        <f t="shared" si="18"/>
        <v>-300135</v>
      </c>
      <c r="G84" s="1114">
        <f t="shared" si="18"/>
        <v>-305877.60000000003</v>
      </c>
      <c r="H84" s="1114">
        <f t="shared" si="18"/>
        <v>-311729.85000000009</v>
      </c>
      <c r="I84" s="1114">
        <f t="shared" si="18"/>
        <v>-317693.83895999996</v>
      </c>
      <c r="J84" s="1114">
        <f t="shared" si="18"/>
        <v>-323771.69553840009</v>
      </c>
      <c r="K84" s="1114">
        <f t="shared" si="18"/>
        <v>-329965.58884435205</v>
      </c>
      <c r="L84" s="1114">
        <f t="shared" si="18"/>
        <v>-336277.72920432669</v>
      </c>
      <c r="M84" s="1114">
        <f t="shared" si="18"/>
        <v>-342710.36894316267</v>
      </c>
      <c r="N84" s="1114">
        <f t="shared" si="18"/>
        <v>-349265.80317987048</v>
      </c>
      <c r="O84" s="369"/>
    </row>
    <row r="85" spans="3:15" hidden="1" outlineLevel="1" x14ac:dyDescent="0.2">
      <c r="C85" s="1178"/>
      <c r="D85" s="1168" t="str">
        <f t="shared" ref="D85:N85" si="19">hSystemsCost_TrgTotalBestCase_CFS</f>
        <v>hSystems Induced Training Cost - Best Case</v>
      </c>
      <c r="E85" s="1114">
        <f t="shared" si="19"/>
        <v>-344400</v>
      </c>
      <c r="F85" s="1114">
        <f t="shared" si="19"/>
        <v>-282489</v>
      </c>
      <c r="G85" s="1114">
        <f t="shared" si="19"/>
        <v>-287878.68</v>
      </c>
      <c r="H85" s="1114">
        <f t="shared" si="19"/>
        <v>-293370.95159999991</v>
      </c>
      <c r="I85" s="1114">
        <f t="shared" si="19"/>
        <v>-298967.76259200007</v>
      </c>
      <c r="J85" s="1114">
        <f t="shared" si="19"/>
        <v>-304671.09764303989</v>
      </c>
      <c r="K85" s="1114">
        <f t="shared" si="19"/>
        <v>-310482.97899108473</v>
      </c>
      <c r="L85" s="1114">
        <f t="shared" si="19"/>
        <v>-316405.46715399408</v>
      </c>
      <c r="M85" s="1114">
        <f t="shared" si="19"/>
        <v>-322440.6616518235</v>
      </c>
      <c r="N85" s="1114">
        <f t="shared" si="19"/>
        <v>-328590.70174270443</v>
      </c>
      <c r="O85" s="369"/>
    </row>
    <row r="86" spans="3:15" hidden="1" outlineLevel="1" x14ac:dyDescent="0.2">
      <c r="C86" s="1178"/>
      <c r="D86" s="5"/>
      <c r="E86" s="5"/>
      <c r="F86" s="5"/>
      <c r="G86" s="5"/>
      <c r="H86" s="5"/>
      <c r="I86" s="5"/>
      <c r="J86" s="5"/>
      <c r="K86" s="5"/>
      <c r="L86" s="5"/>
      <c r="M86" s="5"/>
      <c r="N86" s="5"/>
      <c r="O86" s="369"/>
    </row>
    <row r="87" spans="3:15" hidden="1" outlineLevel="1" x14ac:dyDescent="0.2">
      <c r="C87" s="1178"/>
      <c r="D87" s="1168" t="str">
        <f t="shared" ref="D87:N87" si="20">eSystemsCost_TrgTotalWorstCase_CFS</f>
        <v>eSystems Induced Training Cost - Worst Case</v>
      </c>
      <c r="E87" s="1114">
        <f t="shared" si="20"/>
        <v>-2801000</v>
      </c>
      <c r="F87" s="1114">
        <f t="shared" si="20"/>
        <v>-319260</v>
      </c>
      <c r="G87" s="1114">
        <f t="shared" si="20"/>
        <v>-325645.20000000007</v>
      </c>
      <c r="H87" s="1114">
        <f t="shared" si="20"/>
        <v>-332158.10399999999</v>
      </c>
      <c r="I87" s="1114">
        <f t="shared" si="20"/>
        <v>-338801.26608000015</v>
      </c>
      <c r="J87" s="1114">
        <f t="shared" si="20"/>
        <v>-345577.29140159988</v>
      </c>
      <c r="K87" s="1114">
        <f t="shared" si="20"/>
        <v>-352488.83722963196</v>
      </c>
      <c r="L87" s="1114">
        <f t="shared" si="20"/>
        <v>-359538.61397422454</v>
      </c>
      <c r="M87" s="1114">
        <f t="shared" si="20"/>
        <v>-366729.38625370903</v>
      </c>
      <c r="N87" s="1114">
        <f t="shared" si="20"/>
        <v>-374063.97397878318</v>
      </c>
      <c r="O87" s="369"/>
    </row>
    <row r="88" spans="3:15" hidden="1" outlineLevel="1" x14ac:dyDescent="0.2">
      <c r="C88" s="1178"/>
      <c r="D88" s="1168" t="str">
        <f t="shared" ref="D88:N88" si="21">eSystemsCost_TrgTotalMostLikely_CFS</f>
        <v>eSystems Induced Training Cost - Most Likely</v>
      </c>
      <c r="E88" s="1114">
        <f t="shared" si="21"/>
        <v>-2455750</v>
      </c>
      <c r="F88" s="1114">
        <f t="shared" si="21"/>
        <v>-280013.45999999996</v>
      </c>
      <c r="G88" s="1114">
        <f t="shared" si="21"/>
        <v>-285585.6384</v>
      </c>
      <c r="H88" s="1114">
        <f t="shared" si="21"/>
        <v>-291268.6985520001</v>
      </c>
      <c r="I88" s="1114">
        <f t="shared" si="21"/>
        <v>-297064.84685471992</v>
      </c>
      <c r="J88" s="1114">
        <f t="shared" si="21"/>
        <v>-302976.33361012809</v>
      </c>
      <c r="K88" s="1114">
        <f t="shared" si="21"/>
        <v>-309005.45389701054</v>
      </c>
      <c r="L88" s="1114">
        <f t="shared" si="21"/>
        <v>-315154.54846192413</v>
      </c>
      <c r="M88" s="1114">
        <f t="shared" si="21"/>
        <v>-321426.00462787546</v>
      </c>
      <c r="N88" s="1114">
        <f t="shared" si="21"/>
        <v>-327822.25722108007</v>
      </c>
      <c r="O88" s="369"/>
    </row>
    <row r="89" spans="3:15" hidden="1" outlineLevel="1" x14ac:dyDescent="0.2">
      <c r="C89" s="1178"/>
      <c r="D89" s="1168" t="str">
        <f t="shared" ref="D89:N89" si="22">eSystemsCost_TrgTotalBestCase_CFS</f>
        <v>eSystems Induced Training Cost - Best Case</v>
      </c>
      <c r="E89" s="1114">
        <f t="shared" si="22"/>
        <v>-2280600</v>
      </c>
      <c r="F89" s="1114">
        <f t="shared" si="22"/>
        <v>-260072.46</v>
      </c>
      <c r="G89" s="1114">
        <f t="shared" si="22"/>
        <v>-265245.81839999999</v>
      </c>
      <c r="H89" s="1114">
        <f t="shared" si="22"/>
        <v>-270522.08215199999</v>
      </c>
      <c r="I89" s="1114">
        <f t="shared" si="22"/>
        <v>-275903.29812672001</v>
      </c>
      <c r="J89" s="1114">
        <f t="shared" si="22"/>
        <v>-281391.55390756804</v>
      </c>
      <c r="K89" s="1114">
        <f t="shared" si="22"/>
        <v>-286988.97860039928</v>
      </c>
      <c r="L89" s="1114">
        <f t="shared" si="22"/>
        <v>-292697.74365938059</v>
      </c>
      <c r="M89" s="1114">
        <f t="shared" si="22"/>
        <v>-298520.06372928119</v>
      </c>
      <c r="N89" s="1114">
        <f t="shared" si="22"/>
        <v>-304458.19750451401</v>
      </c>
      <c r="O89" s="369"/>
    </row>
    <row r="90" spans="3:15" ht="13.5" hidden="1" outlineLevel="1" thickBot="1" x14ac:dyDescent="0.25">
      <c r="C90" s="1177"/>
      <c r="D90" s="429"/>
      <c r="E90" s="429"/>
      <c r="F90" s="429"/>
      <c r="G90" s="429"/>
      <c r="H90" s="429"/>
      <c r="I90" s="429"/>
      <c r="J90" s="429"/>
      <c r="K90" s="429"/>
      <c r="L90" s="429"/>
      <c r="M90" s="429"/>
      <c r="N90" s="429"/>
      <c r="O90" s="430"/>
    </row>
    <row r="91" spans="3:15" ht="13.5" hidden="1" outlineLevel="1" thickBot="1" x14ac:dyDescent="0.25">
      <c r="C91" s="1170"/>
    </row>
    <row r="92" spans="3:15" hidden="1" outlineLevel="1" x14ac:dyDescent="0.2">
      <c r="C92" s="1174" t="s">
        <v>4362</v>
      </c>
      <c r="D92" s="1171" t="str">
        <f t="shared" ref="D92:N92" si="23">pSystemsIT_Cost_Total_CFS</f>
        <v>pSystems Induced IT Costs - Total</v>
      </c>
      <c r="E92" s="1172">
        <f t="shared" si="23"/>
        <v>-39450000</v>
      </c>
      <c r="F92" s="1172">
        <f t="shared" si="23"/>
        <v>-40084000</v>
      </c>
      <c r="G92" s="1172">
        <f t="shared" si="23"/>
        <v>-40730680</v>
      </c>
      <c r="H92" s="1172">
        <f t="shared" si="23"/>
        <v>-41390293.599999994</v>
      </c>
      <c r="I92" s="1172">
        <f t="shared" si="23"/>
        <v>-42063099.472000003</v>
      </c>
      <c r="J92" s="1172">
        <f t="shared" si="23"/>
        <v>-42749361.461440004</v>
      </c>
      <c r="K92" s="1172">
        <f t="shared" si="23"/>
        <v>-43449348.690668799</v>
      </c>
      <c r="L92" s="1172">
        <f t="shared" si="23"/>
        <v>-44163335.664482169</v>
      </c>
      <c r="M92" s="1172">
        <f t="shared" si="23"/>
        <v>-44891602.377771825</v>
      </c>
      <c r="N92" s="1172">
        <f t="shared" si="23"/>
        <v>-45634434.425327256</v>
      </c>
      <c r="O92" s="428"/>
    </row>
    <row r="93" spans="3:15" hidden="1" outlineLevel="1" x14ac:dyDescent="0.2">
      <c r="C93" s="1178"/>
      <c r="D93" s="1168" t="str">
        <f t="shared" ref="D93:N93" si="24">hSystemsIT_Cost_Total_CFS</f>
        <v>hSystems Induced IT Costs - Total</v>
      </c>
      <c r="E93" s="1114">
        <f t="shared" si="24"/>
        <v>-59450000</v>
      </c>
      <c r="F93" s="1114">
        <f t="shared" si="24"/>
        <v>-65484000</v>
      </c>
      <c r="G93" s="1114">
        <f t="shared" si="24"/>
        <v>-66538680</v>
      </c>
      <c r="H93" s="1114">
        <f t="shared" si="24"/>
        <v>-67614453.599999994</v>
      </c>
      <c r="I93" s="1114">
        <f t="shared" si="24"/>
        <v>-68711742.672000006</v>
      </c>
      <c r="J93" s="1114">
        <f t="shared" si="24"/>
        <v>-69830977.525440007</v>
      </c>
      <c r="K93" s="1114">
        <f t="shared" si="24"/>
        <v>-70972597.07594882</v>
      </c>
      <c r="L93" s="1114">
        <f t="shared" si="24"/>
        <v>-72137049.017467752</v>
      </c>
      <c r="M93" s="1114">
        <f t="shared" si="24"/>
        <v>-73324789.997817129</v>
      </c>
      <c r="N93" s="1114">
        <f t="shared" si="24"/>
        <v>-74536285.79777348</v>
      </c>
      <c r="O93" s="369"/>
    </row>
    <row r="94" spans="3:15" hidden="1" outlineLevel="1" x14ac:dyDescent="0.2">
      <c r="C94" s="1178"/>
      <c r="D94" s="1168" t="str">
        <f t="shared" ref="D94:N94" si="25">eSystemsIT_Cost_Total_CFS</f>
        <v>eSystems Induced IT Costs - Total</v>
      </c>
      <c r="E94" s="1114">
        <f t="shared" si="25"/>
        <v>-90550000</v>
      </c>
      <c r="F94" s="1114">
        <f t="shared" si="25"/>
        <v>-92106000</v>
      </c>
      <c r="G94" s="1114">
        <f t="shared" si="25"/>
        <v>-93693120</v>
      </c>
      <c r="H94" s="1114">
        <f t="shared" si="25"/>
        <v>-95311982.399999991</v>
      </c>
      <c r="I94" s="1114">
        <f t="shared" si="25"/>
        <v>-96963222.048000008</v>
      </c>
      <c r="J94" s="1114">
        <f t="shared" si="25"/>
        <v>-98647486.488960013</v>
      </c>
      <c r="K94" s="1114">
        <f t="shared" si="25"/>
        <v>-100365436.21873921</v>
      </c>
      <c r="L94" s="1114">
        <f t="shared" si="25"/>
        <v>-102117744.94311395</v>
      </c>
      <c r="M94" s="1114">
        <f t="shared" si="25"/>
        <v>-103905099.84197627</v>
      </c>
      <c r="N94" s="1114">
        <f t="shared" si="25"/>
        <v>-105728201.83881579</v>
      </c>
      <c r="O94" s="369"/>
    </row>
    <row r="95" spans="3:15" ht="13.5" hidden="1" outlineLevel="1" thickBot="1" x14ac:dyDescent="0.25">
      <c r="C95" s="1177"/>
      <c r="D95" s="429"/>
      <c r="E95" s="429"/>
      <c r="F95" s="429"/>
      <c r="G95" s="429"/>
      <c r="H95" s="429"/>
      <c r="I95" s="429"/>
      <c r="J95" s="429"/>
      <c r="K95" s="429"/>
      <c r="L95" s="429"/>
      <c r="M95" s="429"/>
      <c r="N95" s="429"/>
      <c r="O95" s="430"/>
    </row>
    <row r="96" spans="3:15" hidden="1" outlineLevel="1" x14ac:dyDescent="0.2">
      <c r="C96" s="1170"/>
    </row>
    <row r="97" spans="1:32" ht="13.5" hidden="1" outlineLevel="1" thickBot="1" x14ac:dyDescent="0.25">
      <c r="C97" s="1170"/>
    </row>
    <row r="98" spans="1:32" hidden="1" outlineLevel="1" x14ac:dyDescent="0.2">
      <c r="C98" s="1174" t="s">
        <v>4364</v>
      </c>
      <c r="D98" s="1171" t="str">
        <f t="shared" ref="D98:N98" si="26">pSystemsInducedCostTotalGrand</f>
        <v>pSystems Total Induced Costs</v>
      </c>
      <c r="E98" s="1172">
        <f t="shared" si="26"/>
        <v>-52632023.776876338</v>
      </c>
      <c r="F98" s="1172">
        <f t="shared" si="26"/>
        <v>-54039629.767724641</v>
      </c>
      <c r="G98" s="1172">
        <f t="shared" si="26"/>
        <v>-55401262.894474901</v>
      </c>
      <c r="H98" s="1172">
        <f t="shared" si="26"/>
        <v>-55029436.402441017</v>
      </c>
      <c r="I98" s="1172">
        <f t="shared" si="26"/>
        <v>-56442955.538414165</v>
      </c>
      <c r="J98" s="1172">
        <f t="shared" si="26"/>
        <v>-57971253.418087497</v>
      </c>
      <c r="K98" s="1172">
        <f t="shared" si="26"/>
        <v>-59463195.337434262</v>
      </c>
      <c r="L98" s="1172">
        <f t="shared" si="26"/>
        <v>-59050281.556622699</v>
      </c>
      <c r="M98" s="1172">
        <f t="shared" si="26"/>
        <v>-60584141.886750445</v>
      </c>
      <c r="N98" s="1172">
        <f t="shared" si="26"/>
        <v>-62242280.97652711</v>
      </c>
      <c r="O98" s="428"/>
    </row>
    <row r="99" spans="1:32" hidden="1" outlineLevel="1" x14ac:dyDescent="0.2">
      <c r="C99" s="1178"/>
      <c r="D99" s="5"/>
      <c r="E99" s="5"/>
      <c r="F99" s="5"/>
      <c r="G99" s="5"/>
      <c r="H99" s="5"/>
      <c r="I99" s="5"/>
      <c r="J99" s="5"/>
      <c r="K99" s="5"/>
      <c r="L99" s="5"/>
      <c r="M99" s="5"/>
      <c r="N99" s="5"/>
      <c r="O99" s="369"/>
    </row>
    <row r="100" spans="1:32" hidden="1" outlineLevel="1" x14ac:dyDescent="0.2">
      <c r="A100" s="1166"/>
      <c r="C100" s="1178"/>
      <c r="D100" s="1168" t="str">
        <f t="shared" ref="D100:N100" si="27">hSystemsInducedTotalCostWCTotalGrand</f>
        <v>hSystems Worst Case Total Induced Costs</v>
      </c>
      <c r="E100" s="1114">
        <f t="shared" si="27"/>
        <v>-68246123.346978724</v>
      </c>
      <c r="F100" s="1114">
        <f t="shared" si="27"/>
        <v>-71772325.105102673</v>
      </c>
      <c r="G100" s="1114">
        <f t="shared" si="27"/>
        <v>-72850545.950904116</v>
      </c>
      <c r="H100" s="1114">
        <f t="shared" si="27"/>
        <v>-73052859.158237293</v>
      </c>
      <c r="I100" s="1114">
        <f t="shared" si="27"/>
        <v>-74438461.340718895</v>
      </c>
      <c r="J100" s="1114">
        <f t="shared" si="27"/>
        <v>-75947871.39013581</v>
      </c>
      <c r="K100" s="1114">
        <f t="shared" si="27"/>
        <v>-77390968.321737751</v>
      </c>
      <c r="L100" s="1114">
        <f t="shared" si="27"/>
        <v>-77916602.875175893</v>
      </c>
      <c r="M100" s="1114">
        <f t="shared" si="27"/>
        <v>-79411903.471039206</v>
      </c>
      <c r="N100" s="1114">
        <f t="shared" si="27"/>
        <v>-81013336.71682851</v>
      </c>
      <c r="O100" s="369"/>
    </row>
    <row r="101" spans="1:32" hidden="1" outlineLevel="1" x14ac:dyDescent="0.2">
      <c r="A101" s="655"/>
      <c r="C101" s="1178"/>
      <c r="D101" s="1168" t="str">
        <f t="shared" ref="D101:N101" si="28">hSystemsInducedTotalCostMLTotalgrand</f>
        <v>hSystems Most Likely Total Induced Costs</v>
      </c>
      <c r="E101" s="1114">
        <f t="shared" si="28"/>
        <v>-68202423.346978724</v>
      </c>
      <c r="F101" s="1114">
        <f t="shared" si="28"/>
        <v>-71753200.105102673</v>
      </c>
      <c r="G101" s="1114">
        <f t="shared" si="28"/>
        <v>-72830778.350904122</v>
      </c>
      <c r="H101" s="1114">
        <f t="shared" si="28"/>
        <v>-73032430.904237285</v>
      </c>
      <c r="I101" s="1114">
        <f t="shared" si="28"/>
        <v>-74417353.913598895</v>
      </c>
      <c r="J101" s="1114">
        <f t="shared" si="28"/>
        <v>-75926065.794272617</v>
      </c>
      <c r="K101" s="1114">
        <f t="shared" si="28"/>
        <v>-77368445.073352471</v>
      </c>
      <c r="L101" s="1114">
        <f t="shared" si="28"/>
        <v>-77893341.990405992</v>
      </c>
      <c r="M101" s="1114">
        <f t="shared" si="28"/>
        <v>-79387884.453728676</v>
      </c>
      <c r="N101" s="1114">
        <f t="shared" si="28"/>
        <v>-80988538.546029598</v>
      </c>
      <c r="O101" s="369"/>
    </row>
    <row r="102" spans="1:32" hidden="1" outlineLevel="1" x14ac:dyDescent="0.2">
      <c r="A102" s="1166"/>
      <c r="C102" s="1178"/>
      <c r="D102" s="1168" t="str">
        <f t="shared" ref="D102:N102" si="29">hSystemsInducedTotalCostBCTotalGrand</f>
        <v>hSystems Best Case Total Induced Costs</v>
      </c>
      <c r="E102" s="1114">
        <f t="shared" si="29"/>
        <v>-68169523.346978724</v>
      </c>
      <c r="F102" s="1114">
        <f t="shared" si="29"/>
        <v>-71735554.105102658</v>
      </c>
      <c r="G102" s="1114">
        <f t="shared" si="29"/>
        <v>-72812779.430904105</v>
      </c>
      <c r="H102" s="1114">
        <f t="shared" si="29"/>
        <v>-73014072.005837291</v>
      </c>
      <c r="I102" s="1114">
        <f t="shared" si="29"/>
        <v>-74398627.837230891</v>
      </c>
      <c r="J102" s="1114">
        <f t="shared" si="29"/>
        <v>-75906965.196377248</v>
      </c>
      <c r="K102" s="1114">
        <f t="shared" si="29"/>
        <v>-77348962.463499203</v>
      </c>
      <c r="L102" s="1114">
        <f t="shared" si="29"/>
        <v>-77873469.728355661</v>
      </c>
      <c r="M102" s="1114">
        <f t="shared" si="29"/>
        <v>-79367614.746437326</v>
      </c>
      <c r="N102" s="1114">
        <f t="shared" si="29"/>
        <v>-80967863.444592431</v>
      </c>
      <c r="O102" s="369"/>
    </row>
    <row r="103" spans="1:32" hidden="1" outlineLevel="1" x14ac:dyDescent="0.2">
      <c r="A103" s="1166"/>
      <c r="C103" s="1178"/>
      <c r="D103" s="5"/>
      <c r="E103" s="5"/>
      <c r="F103" s="5"/>
      <c r="G103" s="5"/>
      <c r="H103" s="5"/>
      <c r="I103" s="5"/>
      <c r="J103" s="5"/>
      <c r="K103" s="5"/>
      <c r="L103" s="5"/>
      <c r="M103" s="5"/>
      <c r="N103" s="5"/>
      <c r="O103" s="369"/>
    </row>
    <row r="104" spans="1:32" hidden="1" outlineLevel="1" x14ac:dyDescent="0.2">
      <c r="A104" s="1166"/>
      <c r="C104" s="1178"/>
      <c r="D104" s="1168" t="str">
        <f t="shared" ref="D104:N104" si="30">eSystemsInducedTotalCostWCTotalGrand</f>
        <v>eSystems Worst Case Total Induced Costs</v>
      </c>
      <c r="E104" s="1114">
        <f t="shared" si="30"/>
        <v>-99308586.720483109</v>
      </c>
      <c r="F104" s="1114">
        <f t="shared" si="30"/>
        <v>-93636731.65630804</v>
      </c>
      <c r="G104" s="1114">
        <f t="shared" si="30"/>
        <v>-95171452.126761779</v>
      </c>
      <c r="H104" s="1114">
        <f t="shared" si="30"/>
        <v>-96592040.569198996</v>
      </c>
      <c r="I104" s="1114">
        <f t="shared" si="30"/>
        <v>-98264089.539373904</v>
      </c>
      <c r="J104" s="1114">
        <f t="shared" si="30"/>
        <v>-100131875.35527971</v>
      </c>
      <c r="K104" s="1114">
        <f t="shared" si="30"/>
        <v>-101878414.6533172</v>
      </c>
      <c r="L104" s="1114">
        <f t="shared" si="30"/>
        <v>-103373056.68864727</v>
      </c>
      <c r="M104" s="1114">
        <f t="shared" si="30"/>
        <v>-105186462.78767765</v>
      </c>
      <c r="N104" s="1114">
        <f t="shared" si="30"/>
        <v>-107209643.44997761</v>
      </c>
      <c r="O104" s="369"/>
    </row>
    <row r="105" spans="1:32" hidden="1" outlineLevel="1" x14ac:dyDescent="0.2">
      <c r="A105" s="1166"/>
      <c r="C105" s="1178"/>
      <c r="D105" s="1168" t="str">
        <f t="shared" ref="D105:N105" si="31">eSystemsInducedTotalCostMLTotalgrand</f>
        <v>eSystems Most Likely Total Induced Costs</v>
      </c>
      <c r="E105" s="1114">
        <f t="shared" si="31"/>
        <v>-98963336.720483109</v>
      </c>
      <c r="F105" s="1114">
        <f t="shared" si="31"/>
        <v>-93597485.116308033</v>
      </c>
      <c r="G105" s="1114">
        <f t="shared" si="31"/>
        <v>-95191791.946761787</v>
      </c>
      <c r="H105" s="1114">
        <f t="shared" si="31"/>
        <v>-96612787.185598999</v>
      </c>
      <c r="I105" s="1114">
        <f t="shared" si="31"/>
        <v>-98285251.088101894</v>
      </c>
      <c r="J105" s="1114">
        <f t="shared" si="31"/>
        <v>-100153460.13498227</v>
      </c>
      <c r="K105" s="1114">
        <f t="shared" si="31"/>
        <v>-101900431.12861381</v>
      </c>
      <c r="L105" s="1114">
        <f t="shared" si="31"/>
        <v>-103395513.49344982</v>
      </c>
      <c r="M105" s="1114">
        <f t="shared" si="31"/>
        <v>-105209368.72857623</v>
      </c>
      <c r="N105" s="1114">
        <f t="shared" si="31"/>
        <v>-107233007.50969416</v>
      </c>
      <c r="O105" s="369"/>
    </row>
    <row r="106" spans="1:32" hidden="1" outlineLevel="1" x14ac:dyDescent="0.2">
      <c r="A106" s="1166"/>
      <c r="C106" s="1178"/>
      <c r="D106" s="1168" t="str">
        <f t="shared" ref="D106:N106" si="32">eSystemsInducedTotalCostBCTotalGrand</f>
        <v>eSystems Best Case Total Induced Costs</v>
      </c>
      <c r="E106" s="1114">
        <f t="shared" si="32"/>
        <v>-98788186.720483109</v>
      </c>
      <c r="F106" s="1114">
        <f t="shared" si="32"/>
        <v>-93577544.116308033</v>
      </c>
      <c r="G106" s="1114">
        <f t="shared" si="32"/>
        <v>-95171452.126761779</v>
      </c>
      <c r="H106" s="1114">
        <f t="shared" si="32"/>
        <v>-96592040.569198996</v>
      </c>
      <c r="I106" s="1114">
        <f t="shared" si="32"/>
        <v>-98264089.539373904</v>
      </c>
      <c r="J106" s="1114">
        <f t="shared" si="32"/>
        <v>-100131875.35527971</v>
      </c>
      <c r="K106" s="1114">
        <f t="shared" si="32"/>
        <v>-101878414.6533172</v>
      </c>
      <c r="L106" s="1114">
        <f t="shared" si="32"/>
        <v>-103373056.68864727</v>
      </c>
      <c r="M106" s="1114">
        <f t="shared" si="32"/>
        <v>-105186462.78767765</v>
      </c>
      <c r="N106" s="1114">
        <f t="shared" si="32"/>
        <v>-107209643.44997761</v>
      </c>
      <c r="O106" s="369"/>
    </row>
    <row r="107" spans="1:32" ht="13.5" hidden="1" outlineLevel="1" thickBot="1" x14ac:dyDescent="0.25">
      <c r="A107" s="1166"/>
      <c r="C107" s="1177"/>
      <c r="D107" s="429"/>
      <c r="E107" s="429"/>
      <c r="F107" s="429"/>
      <c r="G107" s="429"/>
      <c r="H107" s="429"/>
      <c r="I107" s="429"/>
      <c r="J107" s="429"/>
      <c r="K107" s="429"/>
      <c r="L107" s="429"/>
      <c r="M107" s="429"/>
      <c r="N107" s="429"/>
      <c r="O107" s="430"/>
    </row>
    <row r="108" spans="1:32" hidden="1" outlineLevel="1" x14ac:dyDescent="0.2">
      <c r="A108" s="1166"/>
      <c r="C108" s="1179"/>
      <c r="D108" s="5"/>
      <c r="E108" s="5"/>
      <c r="F108" s="5"/>
      <c r="G108" s="5"/>
      <c r="H108" s="5"/>
      <c r="I108" s="5"/>
      <c r="J108" s="5"/>
      <c r="K108" s="5"/>
      <c r="L108" s="5"/>
      <c r="M108" s="5"/>
      <c r="N108" s="5"/>
      <c r="O108" s="5"/>
    </row>
    <row r="109" spans="1:32" ht="13.5" hidden="1" outlineLevel="1" thickBot="1" x14ac:dyDescent="0.25">
      <c r="A109" s="1166"/>
      <c r="C109" s="1179"/>
    </row>
    <row r="110" spans="1:32" s="98" customFormat="1" ht="14.1" hidden="1" customHeight="1" outlineLevel="1" x14ac:dyDescent="0.2">
      <c r="A110" s="7"/>
      <c r="C110" s="1174" t="s">
        <v>4365</v>
      </c>
      <c r="D110" s="1171" t="str">
        <f t="shared" ref="D110:N110" si="33">pSystemsInducedCostTotalCumGrand</f>
        <v>pSystems Induced Costs Cumulative Cash Flow</v>
      </c>
      <c r="E110" s="1172">
        <f t="shared" si="33"/>
        <v>-52632023.776876338</v>
      </c>
      <c r="F110" s="1172">
        <f t="shared" si="33"/>
        <v>-106671653.54460098</v>
      </c>
      <c r="G110" s="1172">
        <f t="shared" si="33"/>
        <v>-162072916.43907589</v>
      </c>
      <c r="H110" s="1172">
        <f t="shared" si="33"/>
        <v>-217102352.84151691</v>
      </c>
      <c r="I110" s="1172">
        <f t="shared" si="33"/>
        <v>-273545308.37993109</v>
      </c>
      <c r="J110" s="1172">
        <f t="shared" si="33"/>
        <v>-331516561.79801857</v>
      </c>
      <c r="K110" s="1172">
        <f t="shared" si="33"/>
        <v>-390979757.13545287</v>
      </c>
      <c r="L110" s="1172">
        <f t="shared" si="33"/>
        <v>-450030038.69207555</v>
      </c>
      <c r="M110" s="1172">
        <f t="shared" si="33"/>
        <v>-510614180.57882601</v>
      </c>
      <c r="N110" s="1172">
        <f t="shared" si="33"/>
        <v>-572856461.55535316</v>
      </c>
      <c r="O110" s="428"/>
      <c r="P110" s="1159"/>
      <c r="Q110" s="50"/>
      <c r="R110" s="50"/>
      <c r="S110" s="50"/>
      <c r="T110" s="50"/>
      <c r="U110" s="50"/>
      <c r="V110" s="50"/>
      <c r="W110" s="50"/>
      <c r="X110" s="50"/>
      <c r="Y110" s="50"/>
      <c r="Z110" s="50"/>
      <c r="AA110" s="50"/>
      <c r="AB110" s="50"/>
      <c r="AC110" s="50"/>
      <c r="AD110" s="50"/>
      <c r="AE110" s="50"/>
      <c r="AF110" s="50"/>
    </row>
    <row r="111" spans="1:32" s="8" customFormat="1" hidden="1" outlineLevel="1" x14ac:dyDescent="0.2">
      <c r="C111" s="441"/>
      <c r="D111" s="1180"/>
      <c r="E111" s="1133"/>
      <c r="F111" s="1133"/>
      <c r="G111" s="1133"/>
      <c r="H111" s="1133"/>
      <c r="I111" s="1133"/>
      <c r="J111" s="1133"/>
      <c r="K111" s="1133"/>
      <c r="L111" s="1133"/>
      <c r="M111" s="1133"/>
      <c r="N111" s="1133"/>
      <c r="O111" s="1181"/>
    </row>
    <row r="112" spans="1:32" hidden="1" outlineLevel="1" x14ac:dyDescent="0.2">
      <c r="C112" s="368"/>
      <c r="D112" s="1168" t="str">
        <f t="shared" ref="D112:N112" si="34">hSystemsInducedTotalCostWCTotalCumGrand</f>
        <v>hSystems Worst Case Induced Costs Cumulative Cash Flow</v>
      </c>
      <c r="E112" s="1114">
        <f t="shared" si="34"/>
        <v>-68246123.346978724</v>
      </c>
      <c r="F112" s="1114">
        <f t="shared" si="34"/>
        <v>-140018448.45208138</v>
      </c>
      <c r="G112" s="1114">
        <f t="shared" si="34"/>
        <v>-212868994.40298551</v>
      </c>
      <c r="H112" s="1114">
        <f t="shared" si="34"/>
        <v>-285921853.56122279</v>
      </c>
      <c r="I112" s="1114">
        <f t="shared" si="34"/>
        <v>-360360314.90194166</v>
      </c>
      <c r="J112" s="1114">
        <f t="shared" si="34"/>
        <v>-436308186.29207748</v>
      </c>
      <c r="K112" s="1114">
        <f t="shared" si="34"/>
        <v>-513699154.61381525</v>
      </c>
      <c r="L112" s="1114">
        <f t="shared" si="34"/>
        <v>-591615757.48899114</v>
      </c>
      <c r="M112" s="1114">
        <f t="shared" si="34"/>
        <v>-671027660.96003032</v>
      </c>
      <c r="N112" s="1114">
        <f t="shared" si="34"/>
        <v>-752040997.67685878</v>
      </c>
      <c r="O112" s="369"/>
    </row>
    <row r="113" spans="3:15" hidden="1" outlineLevel="1" x14ac:dyDescent="0.2">
      <c r="C113" s="368"/>
      <c r="D113" s="1168" t="str">
        <f t="shared" ref="D113:N113" si="35">hSystemsInducedTotalCostMLTotalCumgrand</f>
        <v>hSystems Most Likely Induced Costs Cumulative Cash Flow</v>
      </c>
      <c r="E113" s="1114">
        <f t="shared" si="35"/>
        <v>-68202423.346978724</v>
      </c>
      <c r="F113" s="1114">
        <f t="shared" si="35"/>
        <v>-139955623.45208138</v>
      </c>
      <c r="G113" s="1114">
        <f t="shared" si="35"/>
        <v>-212786401.80298549</v>
      </c>
      <c r="H113" s="1114">
        <f t="shared" si="35"/>
        <v>-285818832.70722276</v>
      </c>
      <c r="I113" s="1114">
        <f t="shared" si="35"/>
        <v>-360236186.62082165</v>
      </c>
      <c r="J113" s="1114">
        <f t="shared" si="35"/>
        <v>-436162252.41509426</v>
      </c>
      <c r="K113" s="1114">
        <f t="shared" si="35"/>
        <v>-513530697.48844671</v>
      </c>
      <c r="L113" s="1114">
        <f t="shared" si="35"/>
        <v>-591424039.47885275</v>
      </c>
      <c r="M113" s="1114">
        <f t="shared" si="35"/>
        <v>-670811923.93258142</v>
      </c>
      <c r="N113" s="1114">
        <f t="shared" si="35"/>
        <v>-751800462.47861099</v>
      </c>
      <c r="O113" s="369"/>
    </row>
    <row r="114" spans="3:15" hidden="1" outlineLevel="1" x14ac:dyDescent="0.2">
      <c r="C114" s="368"/>
      <c r="D114" s="1168" t="str">
        <f t="shared" ref="D114:N114" si="36">hSystemsInducedTotalCostBCTotalCumGrand</f>
        <v>hSystems Best Case Induced Costs Cumulative Cash Flow</v>
      </c>
      <c r="E114" s="1114">
        <f t="shared" si="36"/>
        <v>-68169523.346978724</v>
      </c>
      <c r="F114" s="1114">
        <f t="shared" si="36"/>
        <v>-139905077.45208138</v>
      </c>
      <c r="G114" s="1114">
        <f t="shared" si="36"/>
        <v>-212717856.88298547</v>
      </c>
      <c r="H114" s="1114">
        <f t="shared" si="36"/>
        <v>-285731928.88882279</v>
      </c>
      <c r="I114" s="1114">
        <f t="shared" si="36"/>
        <v>-360130556.72605371</v>
      </c>
      <c r="J114" s="1114">
        <f t="shared" si="36"/>
        <v>-436037521.92243099</v>
      </c>
      <c r="K114" s="1114">
        <f t="shared" si="36"/>
        <v>-513386484.38593018</v>
      </c>
      <c r="L114" s="1114">
        <f t="shared" si="36"/>
        <v>-591259954.11428583</v>
      </c>
      <c r="M114" s="1114">
        <f t="shared" si="36"/>
        <v>-670627568.86072314</v>
      </c>
      <c r="N114" s="1114">
        <f t="shared" si="36"/>
        <v>-751595432.30531561</v>
      </c>
      <c r="O114" s="369"/>
    </row>
    <row r="115" spans="3:15" s="8" customFormat="1" hidden="1" outlineLevel="1" x14ac:dyDescent="0.2">
      <c r="C115" s="441"/>
      <c r="D115" s="494"/>
      <c r="E115" s="127"/>
      <c r="F115" s="127"/>
      <c r="G115" s="127"/>
      <c r="H115" s="127"/>
      <c r="I115" s="127"/>
      <c r="J115" s="127"/>
      <c r="K115" s="127"/>
      <c r="L115" s="127"/>
      <c r="M115" s="127"/>
      <c r="N115" s="127"/>
      <c r="O115" s="1181"/>
    </row>
    <row r="116" spans="3:15" hidden="1" outlineLevel="1" x14ac:dyDescent="0.2">
      <c r="C116" s="368"/>
      <c r="D116" s="1168" t="str">
        <f t="shared" ref="D116:N116" si="37">eSystemsInducedTotalCostWCTotalCumGrand</f>
        <v>eSystems Worst Case Induced Costs Cumulative Cash Flow</v>
      </c>
      <c r="E116" s="1114">
        <f t="shared" si="37"/>
        <v>-99308586.720483109</v>
      </c>
      <c r="F116" s="1114">
        <f t="shared" si="37"/>
        <v>-192945318.37679115</v>
      </c>
      <c r="G116" s="1114">
        <f t="shared" si="37"/>
        <v>-288116770.50355291</v>
      </c>
      <c r="H116" s="1114">
        <f t="shared" si="37"/>
        <v>-384708811.07275188</v>
      </c>
      <c r="I116" s="1114">
        <f t="shared" si="37"/>
        <v>-482972900.61212575</v>
      </c>
      <c r="J116" s="1114">
        <f t="shared" si="37"/>
        <v>-583104775.96740544</v>
      </c>
      <c r="K116" s="1114">
        <f t="shared" si="37"/>
        <v>-684983190.62072265</v>
      </c>
      <c r="L116" s="1114">
        <f t="shared" si="37"/>
        <v>-788356247.30936992</v>
      </c>
      <c r="M116" s="1114">
        <f t="shared" si="37"/>
        <v>-893542710.09704757</v>
      </c>
      <c r="N116" s="1114">
        <f t="shared" si="37"/>
        <v>-1000752353.5470252</v>
      </c>
      <c r="O116" s="369"/>
    </row>
    <row r="117" spans="3:15" hidden="1" outlineLevel="1" x14ac:dyDescent="0.2">
      <c r="C117" s="368"/>
      <c r="D117" s="1168" t="str">
        <f t="shared" ref="D117:N117" si="38">eSystemsInducedTotalCostMLTotalCumgrand</f>
        <v>eSystems Most Likely Induced Costs Cumulative Cash Flow</v>
      </c>
      <c r="E117" s="1114">
        <f t="shared" si="38"/>
        <v>-98963336.720483109</v>
      </c>
      <c r="F117" s="1114">
        <f t="shared" si="38"/>
        <v>-192560821.83679116</v>
      </c>
      <c r="G117" s="1114">
        <f t="shared" si="38"/>
        <v>-287752613.78355294</v>
      </c>
      <c r="H117" s="1114">
        <f t="shared" si="38"/>
        <v>-384365400.96915197</v>
      </c>
      <c r="I117" s="1114">
        <f t="shared" si="38"/>
        <v>-482650652.05725384</v>
      </c>
      <c r="J117" s="1114">
        <f t="shared" si="38"/>
        <v>-582804112.19223607</v>
      </c>
      <c r="K117" s="1114">
        <f t="shared" si="38"/>
        <v>-684704543.3208499</v>
      </c>
      <c r="L117" s="1114">
        <f t="shared" si="38"/>
        <v>-788100056.8142997</v>
      </c>
      <c r="M117" s="1114">
        <f t="shared" si="38"/>
        <v>-893309425.54287589</v>
      </c>
      <c r="N117" s="1114">
        <f t="shared" si="38"/>
        <v>-1000542433.0525701</v>
      </c>
      <c r="O117" s="369"/>
    </row>
    <row r="118" spans="3:15" hidden="1" outlineLevel="1" x14ac:dyDescent="0.2">
      <c r="C118" s="368"/>
      <c r="D118" s="1168" t="str">
        <f t="shared" ref="D118:N118" si="39">eSystemsInducedTotalCostBCTotalCumGrand</f>
        <v>eSystems Best Case Induced Costs Cumulative Cash Flow</v>
      </c>
      <c r="E118" s="1114">
        <f t="shared" si="39"/>
        <v>-98788186.720483109</v>
      </c>
      <c r="F118" s="1114">
        <f t="shared" si="39"/>
        <v>-192365730.83679116</v>
      </c>
      <c r="G118" s="1114">
        <f t="shared" si="39"/>
        <v>-287537182.96355295</v>
      </c>
      <c r="H118" s="1114">
        <f t="shared" si="39"/>
        <v>-384129223.53275192</v>
      </c>
      <c r="I118" s="1114">
        <f t="shared" si="39"/>
        <v>-482393313.07212579</v>
      </c>
      <c r="J118" s="1114">
        <f t="shared" si="39"/>
        <v>-582525188.42740548</v>
      </c>
      <c r="K118" s="1114">
        <f t="shared" si="39"/>
        <v>-684403603.08072269</v>
      </c>
      <c r="L118" s="1114">
        <f t="shared" si="39"/>
        <v>-787776659.76936996</v>
      </c>
      <c r="M118" s="1114">
        <f t="shared" si="39"/>
        <v>-892963122.55704761</v>
      </c>
      <c r="N118" s="1114">
        <f t="shared" si="39"/>
        <v>-1000172766.0070252</v>
      </c>
      <c r="O118" s="369"/>
    </row>
    <row r="119" spans="3:15" ht="13.5" hidden="1" outlineLevel="1" thickBot="1" x14ac:dyDescent="0.25">
      <c r="C119" s="373"/>
      <c r="D119" s="429"/>
      <c r="E119" s="429"/>
      <c r="F119" s="429"/>
      <c r="G119" s="429"/>
      <c r="H119" s="429"/>
      <c r="I119" s="429"/>
      <c r="J119" s="429"/>
      <c r="K119" s="429"/>
      <c r="L119" s="429"/>
      <c r="M119" s="429"/>
      <c r="N119" s="429"/>
      <c r="O119" s="430"/>
    </row>
    <row r="120" spans="3:15" hidden="1" outlineLevel="1" x14ac:dyDescent="0.2"/>
    <row r="121" spans="3:15" hidden="1" outlineLevel="1" x14ac:dyDescent="0.2"/>
    <row r="122" spans="3:15" hidden="1" outlineLevel="1" x14ac:dyDescent="0.2"/>
    <row r="123" spans="3:15" hidden="1" outlineLevel="1" x14ac:dyDescent="0.2"/>
    <row r="124" spans="3:15" hidden="1" outlineLevel="1" x14ac:dyDescent="0.2"/>
    <row r="125" spans="3:15" hidden="1" outlineLevel="1" x14ac:dyDescent="0.2"/>
    <row r="126" spans="3:15" hidden="1" outlineLevel="1" x14ac:dyDescent="0.2"/>
    <row r="127" spans="3:15" hidden="1" outlineLevel="1" x14ac:dyDescent="0.2"/>
    <row r="128" spans="3:15" hidden="1" outlineLevel="1" x14ac:dyDescent="0.2"/>
    <row r="129" hidden="1" outlineLevel="1" x14ac:dyDescent="0.2"/>
    <row r="130" hidden="1" outlineLevel="1" x14ac:dyDescent="0.2"/>
    <row r="131" hidden="1" outlineLevel="1" x14ac:dyDescent="0.2"/>
    <row r="132" hidden="1" outlineLevel="1" x14ac:dyDescent="0.2"/>
    <row r="133" hidden="1" outlineLevel="1" x14ac:dyDescent="0.2"/>
    <row r="134" hidden="1" outlineLevel="1" x14ac:dyDescent="0.2"/>
    <row r="135" hidden="1" outlineLevel="1" x14ac:dyDescent="0.2"/>
    <row r="136" hidden="1" outlineLevel="1" x14ac:dyDescent="0.2"/>
    <row r="137" hidden="1" outlineLevel="1" x14ac:dyDescent="0.2"/>
    <row r="138" hidden="1" outlineLevel="1" x14ac:dyDescent="0.2"/>
    <row r="139" hidden="1" outlineLevel="1" x14ac:dyDescent="0.2"/>
    <row r="140" hidden="1" outlineLevel="1" x14ac:dyDescent="0.2"/>
    <row r="141" hidden="1" outlineLevel="1" x14ac:dyDescent="0.2"/>
    <row r="142" hidden="1" outlineLevel="1" x14ac:dyDescent="0.2"/>
    <row r="143" hidden="1" outlineLevel="1" x14ac:dyDescent="0.2"/>
    <row r="144" hidden="1" outlineLevel="1" x14ac:dyDescent="0.2"/>
    <row r="145" hidden="1" outlineLevel="1" x14ac:dyDescent="0.2"/>
    <row r="146" hidden="1" outlineLevel="1" x14ac:dyDescent="0.2"/>
    <row r="147" hidden="1" outlineLevel="1" x14ac:dyDescent="0.2"/>
    <row r="148" hidden="1" outlineLevel="1" x14ac:dyDescent="0.2"/>
    <row r="149" hidden="1" outlineLevel="1" x14ac:dyDescent="0.2"/>
    <row r="150" hidden="1" outlineLevel="1" x14ac:dyDescent="0.2"/>
    <row r="151" hidden="1" outlineLevel="1" x14ac:dyDescent="0.2"/>
    <row r="152" hidden="1" outlineLevel="1" x14ac:dyDescent="0.2"/>
    <row r="153" hidden="1" outlineLevel="1" x14ac:dyDescent="0.2"/>
    <row r="154" hidden="1" outlineLevel="1" x14ac:dyDescent="0.2"/>
    <row r="155" hidden="1" outlineLevel="1" x14ac:dyDescent="0.2"/>
    <row r="156" hidden="1" outlineLevel="1" x14ac:dyDescent="0.2"/>
    <row r="157" hidden="1" outlineLevel="1" x14ac:dyDescent="0.2"/>
    <row r="158" hidden="1" outlineLevel="1" x14ac:dyDescent="0.2"/>
    <row r="159" hidden="1" outlineLevel="1" x14ac:dyDescent="0.2"/>
    <row r="160" hidden="1" outlineLevel="1" x14ac:dyDescent="0.2"/>
    <row r="161" hidden="1" outlineLevel="1" x14ac:dyDescent="0.2"/>
    <row r="162" hidden="1" outlineLevel="1" x14ac:dyDescent="0.2"/>
    <row r="163" hidden="1" outlineLevel="1" x14ac:dyDescent="0.2"/>
    <row r="164" hidden="1" outlineLevel="1" x14ac:dyDescent="0.2"/>
    <row r="165" hidden="1" outlineLevel="1" x14ac:dyDescent="0.2"/>
    <row r="166" hidden="1" outlineLevel="1" x14ac:dyDescent="0.2"/>
    <row r="167" hidden="1" outlineLevel="1" x14ac:dyDescent="0.2"/>
    <row r="168" hidden="1" outlineLevel="1" x14ac:dyDescent="0.2"/>
    <row r="169" hidden="1" outlineLevel="1" x14ac:dyDescent="0.2"/>
    <row r="170" hidden="1" outlineLevel="1" x14ac:dyDescent="0.2"/>
    <row r="171" hidden="1" outlineLevel="1" x14ac:dyDescent="0.2"/>
    <row r="172" hidden="1" outlineLevel="1" x14ac:dyDescent="0.2"/>
    <row r="173" hidden="1" outlineLevel="1" x14ac:dyDescent="0.2"/>
    <row r="174" hidden="1" outlineLevel="1" x14ac:dyDescent="0.2"/>
    <row r="175" hidden="1" outlineLevel="1" x14ac:dyDescent="0.2"/>
    <row r="176" hidden="1" outlineLevel="1" x14ac:dyDescent="0.2"/>
    <row r="177" hidden="1" outlineLevel="1" x14ac:dyDescent="0.2"/>
    <row r="178" hidden="1" outlineLevel="1" x14ac:dyDescent="0.2"/>
    <row r="179" hidden="1" outlineLevel="1" x14ac:dyDescent="0.2"/>
    <row r="180" hidden="1" outlineLevel="1" x14ac:dyDescent="0.2"/>
    <row r="181" hidden="1" outlineLevel="1" x14ac:dyDescent="0.2"/>
    <row r="182" hidden="1" outlineLevel="1" x14ac:dyDescent="0.2"/>
    <row r="183" hidden="1" outlineLevel="1" x14ac:dyDescent="0.2"/>
    <row r="184" hidden="1" outlineLevel="1" x14ac:dyDescent="0.2"/>
    <row r="185" hidden="1" outlineLevel="1" x14ac:dyDescent="0.2"/>
    <row r="186" hidden="1" outlineLevel="1" x14ac:dyDescent="0.2"/>
    <row r="187" hidden="1" outlineLevel="1" x14ac:dyDescent="0.2"/>
    <row r="188" hidden="1" outlineLevel="1" x14ac:dyDescent="0.2"/>
    <row r="189" hidden="1" outlineLevel="1" x14ac:dyDescent="0.2"/>
    <row r="190" hidden="1" outlineLevel="1" x14ac:dyDescent="0.2"/>
    <row r="191" hidden="1" outlineLevel="1" x14ac:dyDescent="0.2"/>
    <row r="192" hidden="1" outlineLevel="1" x14ac:dyDescent="0.2"/>
    <row r="193" spans="1:32" collapsed="1" x14ac:dyDescent="0.2"/>
    <row r="194" spans="1:32" s="122" customFormat="1" ht="15.75" collapsed="1" x14ac:dyDescent="0.2">
      <c r="A194" s="1043" t="s">
        <v>4214</v>
      </c>
      <c r="B194" s="1039"/>
      <c r="C194" s="1039"/>
      <c r="D194" s="1039"/>
      <c r="E194" s="1039"/>
      <c r="F194" s="1039"/>
      <c r="G194" s="1039"/>
      <c r="H194" s="1039"/>
      <c r="I194" s="1039"/>
      <c r="J194" s="1039"/>
      <c r="K194" s="1039"/>
      <c r="L194" s="1039"/>
      <c r="M194" s="1039"/>
      <c r="N194" s="1039"/>
      <c r="O194" s="1039"/>
      <c r="P194" s="206"/>
      <c r="Q194" s="206"/>
      <c r="R194" s="206"/>
      <c r="S194" s="206"/>
      <c r="T194" s="206"/>
      <c r="U194" s="206"/>
      <c r="V194" s="206"/>
      <c r="W194" s="206"/>
      <c r="X194" s="206"/>
      <c r="Y194" s="206"/>
      <c r="Z194" s="206"/>
      <c r="AA194" s="206"/>
      <c r="AB194" s="206"/>
      <c r="AC194" s="206"/>
      <c r="AD194" s="206"/>
      <c r="AE194" s="206"/>
      <c r="AF194" s="206"/>
    </row>
  </sheetData>
  <protectedRanges>
    <protectedRange sqref="M3" name="SetupTab_1_1_1"/>
  </protectedRanges>
  <mergeCells count="8">
    <mergeCell ref="A14:A17"/>
    <mergeCell ref="A60:A63"/>
    <mergeCell ref="B2:L2"/>
    <mergeCell ref="M2:O2"/>
    <mergeCell ref="B3:L4"/>
    <mergeCell ref="M3:O4"/>
    <mergeCell ref="A2:A4"/>
    <mergeCell ref="A7:A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AG12"/>
  <sheetViews>
    <sheetView workbookViewId="0">
      <selection activeCell="A6" sqref="A6:A12"/>
    </sheetView>
  </sheetViews>
  <sheetFormatPr defaultRowHeight="12.75" x14ac:dyDescent="0.2"/>
  <cols>
    <col min="1" max="1" width="80.7109375" customWidth="1"/>
    <col min="7" max="7" width="9.42578125" customWidth="1"/>
    <col min="13" max="13" width="25.42578125" customWidth="1"/>
  </cols>
  <sheetData>
    <row r="1" spans="1:33" s="8" customFormat="1" ht="33" customHeight="1" x14ac:dyDescent="0.2">
      <c r="A1" s="1183" t="s">
        <v>66</v>
      </c>
      <c r="B1" s="155"/>
      <c r="C1" s="1182" t="s">
        <v>4379</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c r="Q2" s="1192"/>
      <c r="R2" s="1192"/>
      <c r="S2" s="1192"/>
      <c r="T2" s="1192"/>
      <c r="U2" s="1192"/>
      <c r="V2" s="1192"/>
      <c r="W2" s="1192"/>
      <c r="X2" s="1192"/>
      <c r="Y2" s="1192"/>
      <c r="Z2" s="1192"/>
      <c r="AA2" s="1192"/>
      <c r="AB2" s="1192"/>
      <c r="AC2" s="1192"/>
      <c r="AD2" s="1192"/>
      <c r="AE2" s="1192"/>
      <c r="AF2" s="1192"/>
      <c r="AG2" s="1192"/>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c r="Q3" s="12"/>
      <c r="R3" s="12"/>
      <c r="S3" s="12"/>
      <c r="T3" s="12"/>
      <c r="U3" s="12"/>
      <c r="V3" s="12"/>
      <c r="W3" s="12"/>
      <c r="X3" s="12"/>
      <c r="Y3" s="12"/>
      <c r="Z3" s="12"/>
      <c r="AA3" s="12"/>
      <c r="AB3" s="12"/>
      <c r="AC3" s="12"/>
      <c r="AD3" s="12"/>
      <c r="AE3" s="12"/>
      <c r="AF3" s="12"/>
      <c r="AG3" s="12"/>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19"/>
    </row>
    <row r="5" spans="1:33" s="5" customFormat="1" ht="12.95" customHeight="1" thickBot="1"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row>
    <row r="6" spans="1:33" ht="15.75" x14ac:dyDescent="0.2">
      <c r="A6" s="1375" t="s">
        <v>4380</v>
      </c>
      <c r="B6" s="18"/>
      <c r="C6" s="1361" t="s">
        <v>75</v>
      </c>
      <c r="D6" s="1362"/>
      <c r="E6" s="1362"/>
      <c r="F6" s="1362"/>
      <c r="G6" s="1362"/>
      <c r="H6" s="1362"/>
      <c r="I6" s="18"/>
      <c r="J6" s="18"/>
      <c r="K6" s="18"/>
      <c r="L6" s="18"/>
      <c r="M6" s="18"/>
      <c r="N6" s="18"/>
      <c r="O6" s="18"/>
      <c r="P6" s="18"/>
      <c r="Q6" s="18"/>
      <c r="R6" s="18"/>
      <c r="S6" s="18"/>
      <c r="T6" s="18"/>
      <c r="U6" s="18"/>
      <c r="V6" s="18"/>
      <c r="W6" s="18"/>
      <c r="X6" s="18"/>
      <c r="Y6" s="18"/>
      <c r="Z6" s="18"/>
      <c r="AA6" s="18"/>
      <c r="AB6" s="18"/>
      <c r="AC6" s="18"/>
      <c r="AD6" s="18"/>
      <c r="AE6" s="18"/>
      <c r="AF6" s="18"/>
      <c r="AG6" s="18"/>
    </row>
    <row r="7" spans="1:33" ht="20.100000000000001" customHeight="1" x14ac:dyDescent="0.2">
      <c r="A7" s="1375"/>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row>
    <row r="8" spans="1:33" x14ac:dyDescent="0.2">
      <c r="A8" s="1375"/>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row>
    <row r="9" spans="1:33" x14ac:dyDescent="0.2">
      <c r="A9" s="1375"/>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row>
    <row r="10" spans="1:33" x14ac:dyDescent="0.2">
      <c r="A10" s="1375"/>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row>
    <row r="11" spans="1:33" x14ac:dyDescent="0.2">
      <c r="A11" s="1375"/>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row>
    <row r="12" spans="1:33" x14ac:dyDescent="0.2">
      <c r="A12" s="1375"/>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row>
  </sheetData>
  <sheetProtection algorithmName="SHA-512" hashValue="b+n7JgFl6UYpem3qsPeOccvPUdjXh9CST0wFjDcevKrDlc3t50I4IvrFmw8ERg9+iMdNn2HXx/2RWrzWmOycRw==" saltValue="9UhzqKZvb0CP4jH5o9XCCQ==" spinCount="100000" sheet="1" objects="1" scenarios="1" sort="0" autoFilter="0" pivotTables="0"/>
  <mergeCells count="7">
    <mergeCell ref="C6:H6"/>
    <mergeCell ref="A2:A4"/>
    <mergeCell ref="B2:L2"/>
    <mergeCell ref="M2:O2"/>
    <mergeCell ref="B3:L4"/>
    <mergeCell ref="M3:O4"/>
    <mergeCell ref="A6:A1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eSystems " id="{F9CE36AA-5B27-4C74-9961-CBF6B420C529}">
            <xm:f>NOT(ISERROR(SEARCH("eSystems ",Inputs_Salaries!A1)))</xm:f>
            <x14:dxf>
              <font>
                <b/>
                <i val="0"/>
                <color rgb="FFC00000"/>
              </font>
            </x14:dxf>
          </x14:cfRule>
          <x14:cfRule type="containsText" priority="2" operator="containsText" text="hSystems " id="{A6074F30-1776-4906-86D1-73B41D3E3F7A}">
            <xm:f>NOT(ISERROR(SEARCH("hSystems ",Inputs_Salaries!A1)))</xm:f>
            <x14:dxf>
              <font>
                <b/>
                <i val="0"/>
                <color rgb="FF0070C0"/>
              </font>
            </x14:dxf>
          </x14:cfRule>
          <xm:sqref>A1:XFD5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39997558519241921"/>
  </sheetPr>
  <dimension ref="A1:AH116"/>
  <sheetViews>
    <sheetView workbookViewId="0"/>
  </sheetViews>
  <sheetFormatPr defaultColWidth="11" defaultRowHeight="12.75" outlineLevelRow="1" x14ac:dyDescent="0.2"/>
  <cols>
    <col min="1" max="1" width="80.7109375" customWidth="1"/>
    <col min="2" max="2" width="5.7109375" customWidth="1"/>
    <col min="3" max="3" width="50.7109375" customWidth="1"/>
    <col min="4" max="4" width="58.42578125" customWidth="1"/>
    <col min="5" max="15" width="20.7109375" customWidth="1"/>
    <col min="16" max="16" width="57.7109375" customWidth="1"/>
    <col min="20" max="20" width="31.7109375" customWidth="1"/>
  </cols>
  <sheetData>
    <row r="1" spans="1:34" s="1191" customFormat="1" ht="30" customHeight="1" x14ac:dyDescent="0.3">
      <c r="A1" s="1183" t="s">
        <v>66</v>
      </c>
      <c r="B1" s="1182"/>
      <c r="C1" s="1182" t="s">
        <v>4378</v>
      </c>
      <c r="D1" s="1182"/>
      <c r="E1" s="1182"/>
      <c r="F1" s="1182"/>
      <c r="G1" s="1182"/>
      <c r="H1" s="1182"/>
      <c r="I1" s="1182"/>
      <c r="J1" s="1182"/>
      <c r="K1" s="1182"/>
      <c r="L1" s="1182"/>
      <c r="M1" s="1182"/>
      <c r="N1" s="1182"/>
      <c r="O1" s="1182"/>
      <c r="P1" s="1182"/>
      <c r="Q1" s="1189"/>
      <c r="R1" s="1189"/>
      <c r="S1" s="1189"/>
      <c r="T1" s="1189"/>
      <c r="U1" s="1189"/>
      <c r="V1" s="1189"/>
      <c r="W1" s="1189"/>
      <c r="X1" s="1189"/>
      <c r="Y1" s="1189"/>
      <c r="Z1" s="1189"/>
      <c r="AA1" s="1189"/>
      <c r="AB1" s="1189"/>
      <c r="AC1" s="1189"/>
      <c r="AD1" s="1189"/>
      <c r="AE1" s="1189"/>
      <c r="AF1" s="1189"/>
      <c r="AG1" s="1189"/>
      <c r="AH1" s="1190"/>
    </row>
    <row r="2" spans="1:34" s="140" customFormat="1" ht="45" customHeight="1" x14ac:dyDescent="0.3">
      <c r="A2" s="1451" t="s">
        <v>4371</v>
      </c>
      <c r="B2" s="1352" t="str">
        <f>CompanyOrg</f>
        <v>IATA</v>
      </c>
      <c r="C2" s="1352"/>
      <c r="D2" s="1352"/>
      <c r="E2" s="1352"/>
      <c r="F2" s="1352"/>
      <c r="G2" s="1352"/>
      <c r="H2" s="1352"/>
      <c r="I2" s="1352"/>
      <c r="J2" s="1352"/>
      <c r="K2" s="1352"/>
      <c r="L2" s="1353"/>
      <c r="M2" s="1444" t="s">
        <v>16</v>
      </c>
      <c r="N2" s="1445"/>
      <c r="O2" s="1446"/>
      <c r="P2" s="226"/>
    </row>
    <row r="3" spans="1:34" s="139" customFormat="1" ht="20.25" customHeight="1" x14ac:dyDescent="0.25">
      <c r="A3" s="1452"/>
      <c r="B3" s="1355" t="str">
        <f>CaseSubject</f>
        <v>IATA PAO:TO Business Case Support Template</v>
      </c>
      <c r="C3" s="1355"/>
      <c r="D3" s="1355"/>
      <c r="E3" s="1355"/>
      <c r="F3" s="1355"/>
      <c r="G3" s="1355"/>
      <c r="H3" s="1355"/>
      <c r="I3" s="1355"/>
      <c r="J3" s="1355"/>
      <c r="K3" s="1355"/>
      <c r="L3" s="1356"/>
      <c r="M3" s="1369" t="str">
        <f>VersionNo</f>
        <v>Initial Release November 2018</v>
      </c>
      <c r="N3" s="1447"/>
      <c r="O3" s="1371"/>
      <c r="P3" s="227"/>
    </row>
    <row r="4" spans="1:34" s="3" customFormat="1" ht="14.1" customHeight="1" x14ac:dyDescent="0.25">
      <c r="A4" s="1453"/>
      <c r="B4" s="1357"/>
      <c r="C4" s="1357"/>
      <c r="D4" s="1357"/>
      <c r="E4" s="1357"/>
      <c r="F4" s="1357"/>
      <c r="G4" s="1357"/>
      <c r="H4" s="1357"/>
      <c r="I4" s="1357"/>
      <c r="J4" s="1357"/>
      <c r="K4" s="1357"/>
      <c r="L4" s="1358"/>
      <c r="M4" s="1448"/>
      <c r="N4" s="1449"/>
      <c r="O4" s="1450"/>
      <c r="P4" s="228"/>
      <c r="Q4" s="19"/>
      <c r="R4" s="19"/>
      <c r="S4" s="19"/>
      <c r="T4" s="19"/>
      <c r="U4" s="19"/>
      <c r="V4" s="19"/>
      <c r="W4" s="19"/>
      <c r="X4" s="19"/>
      <c r="Y4" s="19"/>
      <c r="Z4" s="19"/>
      <c r="AA4" s="19"/>
      <c r="AB4" s="19"/>
      <c r="AC4" s="19"/>
      <c r="AD4" s="19"/>
      <c r="AE4" s="19"/>
      <c r="AF4" s="19"/>
    </row>
    <row r="5" spans="1:34" s="3" customFormat="1" ht="14.1" customHeight="1" x14ac:dyDescent="0.2">
      <c r="A5" s="13"/>
      <c r="B5" s="13"/>
      <c r="C5" s="104"/>
      <c r="D5" s="13"/>
      <c r="E5" s="49"/>
      <c r="F5" s="49"/>
      <c r="G5" s="13"/>
      <c r="H5" s="13"/>
      <c r="I5" s="13"/>
      <c r="J5" s="13"/>
      <c r="K5" s="13"/>
      <c r="L5" s="13"/>
      <c r="M5" s="13"/>
      <c r="N5" s="13"/>
      <c r="O5" s="13"/>
      <c r="P5" s="132"/>
      <c r="Q5" s="19"/>
      <c r="R5" s="19"/>
      <c r="S5" s="19"/>
      <c r="T5" s="19"/>
      <c r="U5" s="19"/>
      <c r="V5" s="19"/>
      <c r="W5" s="19"/>
      <c r="X5" s="19"/>
      <c r="Y5" s="19"/>
      <c r="Z5" s="19"/>
      <c r="AA5" s="19"/>
      <c r="AB5" s="19"/>
      <c r="AC5" s="19"/>
      <c r="AD5" s="19"/>
      <c r="AE5" s="19"/>
      <c r="AF5" s="19"/>
    </row>
    <row r="6" spans="1:34" s="3" customFormat="1" ht="14.1" customHeight="1" x14ac:dyDescent="0.2">
      <c r="A6" s="13"/>
      <c r="B6" s="13"/>
      <c r="C6" s="49"/>
      <c r="D6" s="13"/>
      <c r="E6" s="439">
        <f>Yr1End</f>
        <v>43830</v>
      </c>
      <c r="F6" s="439">
        <f>Yr2End</f>
        <v>44196</v>
      </c>
      <c r="G6" s="439">
        <f>Yr3End</f>
        <v>44561</v>
      </c>
      <c r="H6" s="439">
        <f>Yr4end</f>
        <v>44926</v>
      </c>
      <c r="I6" s="439">
        <f>Yr5end</f>
        <v>45291</v>
      </c>
      <c r="J6" s="439">
        <f>Yr6end</f>
        <v>45657</v>
      </c>
      <c r="K6" s="439">
        <f>Yr7end</f>
        <v>46022</v>
      </c>
      <c r="L6" s="439">
        <f>Yr8end</f>
        <v>46387</v>
      </c>
      <c r="M6" s="439">
        <f>Yr9end</f>
        <v>46752</v>
      </c>
      <c r="N6" s="439">
        <f>Yr10end</f>
        <v>47118</v>
      </c>
      <c r="O6" s="133"/>
      <c r="P6" s="133"/>
      <c r="Q6" s="19"/>
      <c r="R6" s="19"/>
      <c r="S6" s="19"/>
      <c r="T6" s="19"/>
      <c r="U6" s="19"/>
      <c r="V6" s="19"/>
      <c r="W6" s="19"/>
      <c r="X6" s="19"/>
      <c r="Y6" s="19"/>
      <c r="Z6" s="19"/>
      <c r="AA6" s="19"/>
      <c r="AB6" s="19"/>
      <c r="AC6" s="19"/>
      <c r="AD6" s="19"/>
      <c r="AE6" s="19"/>
      <c r="AF6" s="19"/>
    </row>
    <row r="7" spans="1:34" s="3" customFormat="1" ht="14.1" customHeight="1" x14ac:dyDescent="0.2">
      <c r="A7" s="1404" t="s">
        <v>4211</v>
      </c>
      <c r="C7" s="104"/>
      <c r="D7" s="13"/>
      <c r="E7"/>
      <c r="F7"/>
      <c r="G7"/>
      <c r="H7"/>
      <c r="I7"/>
      <c r="J7"/>
      <c r="K7"/>
      <c r="L7"/>
      <c r="M7"/>
      <c r="N7"/>
      <c r="O7" s="131"/>
      <c r="P7" s="131"/>
      <c r="Q7" s="19"/>
      <c r="R7" s="19"/>
      <c r="S7" s="19"/>
      <c r="T7" s="19"/>
      <c r="U7" s="19"/>
      <c r="V7" s="19"/>
      <c r="W7" s="19"/>
      <c r="X7" s="19"/>
      <c r="Y7" s="19"/>
      <c r="Z7" s="19"/>
      <c r="AA7" s="19"/>
      <c r="AB7" s="19"/>
      <c r="AC7" s="19"/>
      <c r="AD7" s="19"/>
      <c r="AE7" s="19"/>
      <c r="AF7" s="19"/>
    </row>
    <row r="8" spans="1:34" s="3" customFormat="1" ht="14.1" customHeight="1" x14ac:dyDescent="0.2">
      <c r="A8" s="1405"/>
      <c r="C8" s="104"/>
      <c r="D8" s="13"/>
      <c r="E8"/>
      <c r="F8"/>
      <c r="G8"/>
      <c r="H8"/>
      <c r="I8"/>
      <c r="J8"/>
      <c r="K8"/>
      <c r="L8"/>
      <c r="M8"/>
      <c r="N8"/>
      <c r="O8" s="131"/>
      <c r="P8" s="131"/>
      <c r="Q8" s="19"/>
      <c r="R8" s="19"/>
      <c r="S8" s="19"/>
      <c r="T8" s="19"/>
      <c r="U8" s="19"/>
      <c r="V8" s="19"/>
      <c r="W8" s="19"/>
      <c r="X8" s="19"/>
      <c r="Y8" s="19"/>
      <c r="Z8" s="19"/>
      <c r="AA8" s="19"/>
      <c r="AB8" s="19"/>
      <c r="AC8" s="19"/>
      <c r="AD8" s="19"/>
      <c r="AE8" s="19"/>
      <c r="AF8" s="19"/>
    </row>
    <row r="9" spans="1:34" s="3" customFormat="1" ht="14.1" customHeight="1" x14ac:dyDescent="0.2">
      <c r="A9" s="1405"/>
      <c r="C9" s="104"/>
      <c r="D9" s="13"/>
      <c r="E9"/>
      <c r="F9"/>
      <c r="G9"/>
      <c r="H9"/>
      <c r="I9"/>
      <c r="J9"/>
      <c r="K9"/>
      <c r="L9"/>
      <c r="M9"/>
      <c r="N9"/>
      <c r="O9" s="131"/>
      <c r="P9" s="131"/>
      <c r="Q9" s="19"/>
      <c r="R9" s="19"/>
      <c r="S9" s="19"/>
      <c r="T9" s="19"/>
      <c r="U9" s="19"/>
      <c r="V9" s="19"/>
      <c r="W9" s="19"/>
      <c r="X9" s="19"/>
      <c r="Y9" s="19"/>
      <c r="Z9" s="19"/>
      <c r="AA9" s="19"/>
      <c r="AB9" s="19"/>
      <c r="AC9" s="19"/>
      <c r="AD9" s="19"/>
      <c r="AE9" s="19"/>
      <c r="AF9" s="19"/>
    </row>
    <row r="10" spans="1:34" s="3" customFormat="1" ht="14.1" customHeight="1" x14ac:dyDescent="0.2">
      <c r="A10" s="1406"/>
      <c r="C10" s="104"/>
      <c r="D10" s="13"/>
      <c r="E10"/>
      <c r="F10"/>
      <c r="G10"/>
      <c r="H10"/>
      <c r="I10"/>
      <c r="J10"/>
      <c r="K10"/>
      <c r="L10"/>
      <c r="M10"/>
      <c r="N10"/>
      <c r="O10" s="131"/>
      <c r="P10" s="131"/>
      <c r="Q10" s="19"/>
      <c r="R10" s="19"/>
      <c r="S10" s="19"/>
      <c r="T10" s="19"/>
      <c r="U10" s="19"/>
      <c r="V10" s="19"/>
      <c r="W10" s="19"/>
      <c r="X10" s="19"/>
      <c r="Y10" s="19"/>
      <c r="Z10" s="19"/>
      <c r="AA10" s="19"/>
      <c r="AB10" s="19"/>
      <c r="AC10" s="19"/>
      <c r="AD10" s="19"/>
      <c r="AE10" s="19"/>
      <c r="AF10" s="19"/>
    </row>
    <row r="11" spans="1:34" s="3" customFormat="1" ht="14.1" customHeight="1" x14ac:dyDescent="0.2">
      <c r="A11" s="1345"/>
      <c r="C11" s="104"/>
      <c r="D11" s="13"/>
      <c r="E11"/>
      <c r="F11"/>
      <c r="G11"/>
      <c r="H11"/>
      <c r="I11"/>
      <c r="J11"/>
      <c r="K11"/>
      <c r="L11"/>
      <c r="M11"/>
      <c r="N11"/>
      <c r="O11" s="131"/>
      <c r="P11" s="131"/>
      <c r="Q11" s="19"/>
      <c r="R11" s="19"/>
      <c r="S11" s="19"/>
      <c r="T11" s="19"/>
      <c r="U11" s="19"/>
      <c r="V11" s="19"/>
      <c r="W11" s="19"/>
      <c r="X11" s="19"/>
      <c r="Y11" s="19"/>
      <c r="Z11" s="19"/>
      <c r="AA11" s="19"/>
      <c r="AB11" s="19"/>
      <c r="AC11" s="19"/>
      <c r="AD11" s="19"/>
      <c r="AE11" s="19"/>
      <c r="AF11" s="19"/>
    </row>
    <row r="12" spans="1:34" s="122" customFormat="1" ht="15.75" x14ac:dyDescent="0.2">
      <c r="A12" s="1043">
        <v>1</v>
      </c>
      <c r="B12" s="1039"/>
      <c r="C12" s="1039"/>
      <c r="D12" s="1039"/>
      <c r="E12" s="1039"/>
      <c r="F12" s="1039"/>
      <c r="G12" s="1039"/>
      <c r="H12" s="1039"/>
      <c r="I12" s="1039"/>
      <c r="J12" s="1039"/>
      <c r="K12" s="1039"/>
      <c r="L12" s="1039"/>
      <c r="M12" s="1039"/>
      <c r="N12" s="1039"/>
      <c r="O12" s="1039"/>
      <c r="P12" s="206"/>
      <c r="Q12" s="206"/>
      <c r="R12" s="206"/>
      <c r="S12" s="206"/>
      <c r="T12" s="206"/>
      <c r="U12" s="206"/>
      <c r="V12" s="206"/>
      <c r="W12" s="206"/>
      <c r="X12" s="206"/>
      <c r="Y12" s="206"/>
      <c r="Z12" s="206"/>
      <c r="AA12" s="206"/>
      <c r="AB12" s="206"/>
      <c r="AC12" s="206"/>
      <c r="AD12" s="206"/>
      <c r="AE12" s="206"/>
      <c r="AF12" s="206"/>
    </row>
    <row r="13" spans="1:34" s="3" customFormat="1" ht="14.1" customHeight="1" x14ac:dyDescent="0.2">
      <c r="A13" s="13"/>
      <c r="C13" s="104"/>
      <c r="D13" s="13"/>
      <c r="E13"/>
      <c r="F13"/>
      <c r="G13"/>
      <c r="H13"/>
      <c r="I13"/>
      <c r="J13"/>
      <c r="K13"/>
      <c r="L13"/>
      <c r="M13"/>
      <c r="N13"/>
      <c r="O13" s="131"/>
      <c r="P13" s="131"/>
      <c r="Q13" s="19"/>
      <c r="R13" s="19"/>
      <c r="S13" s="19"/>
      <c r="T13" s="19"/>
      <c r="U13" s="19"/>
      <c r="V13" s="19"/>
      <c r="W13" s="19"/>
      <c r="X13" s="19"/>
      <c r="Y13" s="19"/>
      <c r="Z13" s="19"/>
      <c r="AA13" s="19"/>
      <c r="AB13" s="19"/>
      <c r="AC13" s="19"/>
      <c r="AD13" s="19"/>
      <c r="AE13" s="19"/>
      <c r="AF13" s="19"/>
    </row>
    <row r="14" spans="1:34" s="3" customFormat="1" ht="15.75" x14ac:dyDescent="0.2">
      <c r="A14" s="1400" t="s">
        <v>4368</v>
      </c>
      <c r="C14" s="1163" t="s">
        <v>4366</v>
      </c>
      <c r="D14" s="13"/>
      <c r="E14"/>
      <c r="F14"/>
      <c r="G14"/>
      <c r="H14"/>
      <c r="I14"/>
      <c r="J14"/>
      <c r="K14"/>
      <c r="L14"/>
      <c r="M14"/>
      <c r="N14"/>
      <c r="O14" s="131"/>
      <c r="P14" s="131"/>
      <c r="Q14" s="19"/>
      <c r="R14" s="19"/>
      <c r="S14" s="19"/>
      <c r="T14" s="19"/>
      <c r="U14" s="19"/>
      <c r="V14" s="19"/>
      <c r="W14" s="19"/>
      <c r="X14" s="19"/>
      <c r="Y14" s="19"/>
      <c r="Z14" s="19"/>
      <c r="AA14" s="19"/>
      <c r="AB14" s="19"/>
      <c r="AC14" s="19"/>
      <c r="AD14" s="19"/>
      <c r="AE14" s="19"/>
      <c r="AF14" s="19"/>
    </row>
    <row r="15" spans="1:34" s="98" customFormat="1" ht="14.1" customHeight="1" x14ac:dyDescent="0.2">
      <c r="A15" s="1407"/>
      <c r="C15" s="1158"/>
      <c r="D15" s="50"/>
      <c r="E15" s="488"/>
      <c r="F15" s="488"/>
      <c r="G15" s="488"/>
      <c r="H15" s="488"/>
      <c r="I15" s="488"/>
      <c r="J15" s="488"/>
      <c r="K15" s="488"/>
      <c r="L15" s="488"/>
      <c r="M15" s="488"/>
      <c r="N15" s="488"/>
      <c r="O15" s="1159"/>
      <c r="P15" s="1159"/>
      <c r="Q15" s="50"/>
      <c r="R15" s="50"/>
      <c r="S15" s="50"/>
      <c r="T15" s="50"/>
      <c r="U15" s="50"/>
      <c r="V15" s="50"/>
      <c r="W15" s="50"/>
      <c r="X15" s="50"/>
      <c r="Y15" s="50"/>
      <c r="Z15" s="50"/>
      <c r="AA15" s="50"/>
      <c r="AB15" s="50"/>
      <c r="AC15" s="50"/>
      <c r="AD15" s="50"/>
      <c r="AE15" s="50"/>
      <c r="AF15" s="50"/>
    </row>
    <row r="16" spans="1:34" s="98" customFormat="1" ht="14.1" customHeight="1" x14ac:dyDescent="0.2">
      <c r="A16" s="1407"/>
      <c r="C16" s="1158"/>
      <c r="D16" s="50"/>
      <c r="E16" s="488"/>
      <c r="F16" s="488"/>
      <c r="G16" s="488"/>
      <c r="H16" s="488"/>
      <c r="I16" s="488"/>
      <c r="J16" s="488"/>
      <c r="K16" s="488"/>
      <c r="L16" s="488"/>
      <c r="M16" s="488"/>
      <c r="N16" s="488"/>
      <c r="O16" s="1159"/>
      <c r="P16" s="1159"/>
      <c r="Q16" s="50"/>
      <c r="R16" s="50"/>
      <c r="S16" s="50"/>
      <c r="T16" s="50"/>
      <c r="U16" s="50"/>
      <c r="V16" s="50"/>
      <c r="W16" s="50"/>
      <c r="X16" s="50"/>
      <c r="Y16" s="50"/>
      <c r="Z16" s="50"/>
      <c r="AA16" s="50"/>
      <c r="AB16" s="50"/>
      <c r="AC16" s="50"/>
      <c r="AD16" s="50"/>
      <c r="AE16" s="50"/>
      <c r="AF16" s="50"/>
    </row>
    <row r="17" spans="1:32" s="98" customFormat="1" ht="14.1" customHeight="1" x14ac:dyDescent="0.2">
      <c r="A17" s="1408"/>
      <c r="C17" s="1158"/>
      <c r="D17" s="50"/>
      <c r="E17" s="488"/>
      <c r="F17" s="488"/>
      <c r="G17" s="488"/>
      <c r="H17" s="488"/>
      <c r="I17" s="488"/>
      <c r="J17" s="488"/>
      <c r="K17" s="488"/>
      <c r="L17" s="488"/>
      <c r="M17" s="488"/>
      <c r="N17" s="488"/>
      <c r="O17" s="1159"/>
      <c r="P17" s="1159"/>
      <c r="Q17" s="50"/>
      <c r="R17" s="50"/>
      <c r="S17" s="50"/>
      <c r="T17" s="50"/>
      <c r="U17" s="50"/>
      <c r="V17" s="50"/>
      <c r="W17" s="50"/>
      <c r="X17" s="50"/>
      <c r="Y17" s="50"/>
      <c r="Z17" s="50"/>
      <c r="AA17" s="50"/>
      <c r="AB17" s="50"/>
      <c r="AC17" s="50"/>
      <c r="AD17" s="50"/>
      <c r="AE17" s="50"/>
      <c r="AF17" s="50"/>
    </row>
    <row r="18" spans="1:32" s="98" customFormat="1" ht="14.1" customHeight="1" x14ac:dyDescent="0.2">
      <c r="A18" s="7"/>
      <c r="C18" s="1158"/>
      <c r="D18" s="50"/>
      <c r="E18" s="488"/>
      <c r="F18" s="488"/>
      <c r="G18" s="488"/>
      <c r="H18" s="488"/>
      <c r="I18" s="488"/>
      <c r="J18" s="488"/>
      <c r="K18" s="488"/>
      <c r="L18" s="488"/>
      <c r="M18" s="488"/>
      <c r="N18" s="488"/>
      <c r="O18" s="1159"/>
      <c r="P18" s="1159"/>
      <c r="Q18" s="50"/>
      <c r="R18" s="50"/>
      <c r="S18" s="50"/>
      <c r="T18" s="50"/>
      <c r="U18" s="50"/>
      <c r="V18" s="50"/>
      <c r="W18" s="50"/>
      <c r="X18" s="50"/>
      <c r="Y18" s="50"/>
      <c r="Z18" s="50"/>
      <c r="AA18" s="50"/>
      <c r="AB18" s="50"/>
      <c r="AC18" s="50"/>
      <c r="AD18" s="50"/>
      <c r="AE18" s="50"/>
      <c r="AF18" s="50"/>
    </row>
    <row r="19" spans="1:32" s="3" customFormat="1" ht="14.1" hidden="1" customHeight="1" outlineLevel="1" thickBot="1" x14ac:dyDescent="0.25">
      <c r="A19" s="13"/>
      <c r="C19" s="104"/>
      <c r="D19" s="13"/>
      <c r="E19"/>
      <c r="F19"/>
      <c r="G19"/>
      <c r="H19"/>
      <c r="I19"/>
      <c r="J19"/>
      <c r="K19"/>
      <c r="L19"/>
      <c r="M19"/>
      <c r="N19"/>
      <c r="O19" s="131"/>
      <c r="P19" s="131"/>
      <c r="Q19" s="19"/>
      <c r="R19" s="19"/>
      <c r="S19" s="19"/>
      <c r="T19" s="19"/>
      <c r="U19" s="19"/>
      <c r="V19" s="19"/>
      <c r="W19" s="19"/>
      <c r="X19" s="19"/>
      <c r="Y19" s="19"/>
      <c r="Z19" s="19"/>
      <c r="AA19" s="19"/>
      <c r="AB19" s="19"/>
      <c r="AC19" s="19"/>
      <c r="AD19" s="19"/>
      <c r="AE19" s="19"/>
      <c r="AF19" s="19"/>
    </row>
    <row r="20" spans="1:32" s="3" customFormat="1" ht="15.75" hidden="1" customHeight="1" outlineLevel="1" x14ac:dyDescent="0.2">
      <c r="A20" s="13"/>
      <c r="B20" s="13"/>
      <c r="C20" s="789"/>
      <c r="D20" s="239"/>
      <c r="E20" s="790"/>
      <c r="F20" s="790"/>
      <c r="G20" s="790"/>
      <c r="H20" s="790"/>
      <c r="I20" s="790"/>
      <c r="J20" s="790"/>
      <c r="K20" s="790"/>
      <c r="L20" s="790"/>
      <c r="M20" s="790"/>
      <c r="N20" s="645"/>
      <c r="O20" s="791"/>
      <c r="P20" s="791"/>
      <c r="Q20" s="19"/>
      <c r="R20" s="19"/>
      <c r="S20" s="19"/>
      <c r="T20" s="19"/>
      <c r="U20" s="19"/>
      <c r="V20" s="19"/>
      <c r="W20" s="19"/>
      <c r="X20" s="19"/>
      <c r="Y20" s="19"/>
      <c r="Z20" s="19"/>
      <c r="AA20" s="19"/>
      <c r="AB20" s="19"/>
      <c r="AC20" s="19"/>
      <c r="AD20" s="19"/>
      <c r="AE20" s="19"/>
      <c r="AF20" s="19"/>
    </row>
    <row r="21" spans="1:32" s="3" customFormat="1" ht="15.75" hidden="1" customHeight="1" outlineLevel="1" x14ac:dyDescent="0.2">
      <c r="A21" s="13"/>
      <c r="B21" s="13"/>
      <c r="C21" s="792" t="s">
        <v>4114</v>
      </c>
      <c r="D21" s="1146" t="str">
        <f t="shared" ref="D21:N21" si="0">pSystemsFTE_Total_CFS</f>
        <v>pSystems FTEs - Base Case</v>
      </c>
      <c r="E21" s="1147">
        <f t="shared" si="0"/>
        <v>3130</v>
      </c>
      <c r="F21" s="1147">
        <f t="shared" si="0"/>
        <v>3130</v>
      </c>
      <c r="G21" s="1147">
        <f t="shared" si="0"/>
        <v>3130</v>
      </c>
      <c r="H21" s="1147">
        <f t="shared" si="0"/>
        <v>3130</v>
      </c>
      <c r="I21" s="1147">
        <f t="shared" si="0"/>
        <v>3130</v>
      </c>
      <c r="J21" s="1147">
        <f t="shared" si="0"/>
        <v>3130</v>
      </c>
      <c r="K21" s="1147">
        <f t="shared" si="0"/>
        <v>3130</v>
      </c>
      <c r="L21" s="1147">
        <f t="shared" si="0"/>
        <v>3130</v>
      </c>
      <c r="M21" s="1147">
        <f t="shared" si="0"/>
        <v>3130</v>
      </c>
      <c r="N21" s="1155">
        <f t="shared" si="0"/>
        <v>3130</v>
      </c>
      <c r="O21" s="791"/>
      <c r="P21" s="791"/>
      <c r="Q21" s="19"/>
      <c r="R21" s="19"/>
      <c r="S21" s="19"/>
      <c r="T21" s="19"/>
      <c r="U21" s="19"/>
      <c r="V21" s="19"/>
      <c r="W21" s="19"/>
      <c r="X21" s="19"/>
      <c r="Y21" s="19"/>
      <c r="Z21" s="19"/>
      <c r="AA21" s="19"/>
      <c r="AB21" s="19"/>
      <c r="AC21" s="19"/>
      <c r="AD21" s="19"/>
      <c r="AE21" s="19"/>
      <c r="AF21" s="19"/>
    </row>
    <row r="22" spans="1:32" s="14" customFormat="1" ht="15.75" hidden="1" customHeight="1" outlineLevel="1" x14ac:dyDescent="0.2">
      <c r="A22" s="13"/>
      <c r="C22" s="795"/>
      <c r="D22" s="796"/>
      <c r="E22" s="796"/>
      <c r="F22" s="796"/>
      <c r="G22" s="796"/>
      <c r="H22" s="796"/>
      <c r="I22" s="796"/>
      <c r="J22" s="796"/>
      <c r="K22" s="796"/>
      <c r="L22" s="796"/>
      <c r="M22" s="796"/>
      <c r="N22" s="797"/>
    </row>
    <row r="23" spans="1:32" s="14" customFormat="1" ht="15.75" hidden="1" customHeight="1" outlineLevel="1" x14ac:dyDescent="0.2">
      <c r="A23" s="13"/>
      <c r="C23" s="816" t="s">
        <v>4115</v>
      </c>
      <c r="D23" s="1146" t="str">
        <f t="shared" ref="D23:N23" si="1">hSystemsFTEWorstCase_Total_CFS</f>
        <v>hSystems FTEs - Worst Case</v>
      </c>
      <c r="E23" s="1147">
        <f t="shared" si="1"/>
        <v>3130</v>
      </c>
      <c r="F23" s="1147">
        <f t="shared" si="1"/>
        <v>3130</v>
      </c>
      <c r="G23" s="1147">
        <f t="shared" si="1"/>
        <v>3130</v>
      </c>
      <c r="H23" s="1147">
        <f t="shared" si="1"/>
        <v>3130</v>
      </c>
      <c r="I23" s="1147">
        <f t="shared" si="1"/>
        <v>3130</v>
      </c>
      <c r="J23" s="1147">
        <f t="shared" si="1"/>
        <v>3130</v>
      </c>
      <c r="K23" s="1147">
        <f t="shared" si="1"/>
        <v>3130</v>
      </c>
      <c r="L23" s="1147">
        <f t="shared" si="1"/>
        <v>3130</v>
      </c>
      <c r="M23" s="1147">
        <f t="shared" si="1"/>
        <v>3130</v>
      </c>
      <c r="N23" s="1155">
        <f t="shared" si="1"/>
        <v>3130</v>
      </c>
    </row>
    <row r="24" spans="1:32" s="14" customFormat="1" ht="15.75" hidden="1" customHeight="1" outlineLevel="1" x14ac:dyDescent="0.2">
      <c r="A24" s="13"/>
      <c r="C24" s="795"/>
      <c r="D24" s="1146" t="str">
        <f t="shared" ref="D24:N24" si="2">hSystemsFTEMostLikely_Total_CFS</f>
        <v>hSystems FTEs - Most Likely</v>
      </c>
      <c r="E24" s="1147">
        <f t="shared" si="2"/>
        <v>2945</v>
      </c>
      <c r="F24" s="1147">
        <f t="shared" si="2"/>
        <v>2942.5</v>
      </c>
      <c r="G24" s="1147">
        <f t="shared" si="2"/>
        <v>2940</v>
      </c>
      <c r="H24" s="1147">
        <f t="shared" si="2"/>
        <v>2937.5</v>
      </c>
      <c r="I24" s="1147">
        <f t="shared" si="2"/>
        <v>2935</v>
      </c>
      <c r="J24" s="1147">
        <f t="shared" si="2"/>
        <v>2932.5</v>
      </c>
      <c r="K24" s="1147">
        <f t="shared" si="2"/>
        <v>2930</v>
      </c>
      <c r="L24" s="1147">
        <f t="shared" si="2"/>
        <v>2927.5</v>
      </c>
      <c r="M24" s="1147">
        <f t="shared" si="2"/>
        <v>2925</v>
      </c>
      <c r="N24" s="1155">
        <f t="shared" si="2"/>
        <v>2922.5</v>
      </c>
    </row>
    <row r="25" spans="1:32" s="14" customFormat="1" ht="15.75" hidden="1" customHeight="1" outlineLevel="1" x14ac:dyDescent="0.2">
      <c r="A25" s="13"/>
      <c r="C25" s="795"/>
      <c r="D25" s="1146" t="str">
        <f t="shared" ref="D25:N25" si="3">hSystemsFTEBestCase_Total_CFS</f>
        <v>hSystems FTEs - Best Case</v>
      </c>
      <c r="E25" s="1147">
        <f t="shared" si="3"/>
        <v>2772</v>
      </c>
      <c r="F25" s="1147">
        <f t="shared" si="3"/>
        <v>2769.5</v>
      </c>
      <c r="G25" s="1147">
        <f t="shared" si="3"/>
        <v>2767</v>
      </c>
      <c r="H25" s="1147">
        <f t="shared" si="3"/>
        <v>2764.5</v>
      </c>
      <c r="I25" s="1147">
        <f t="shared" si="3"/>
        <v>2762</v>
      </c>
      <c r="J25" s="1147">
        <f t="shared" si="3"/>
        <v>2759.5</v>
      </c>
      <c r="K25" s="1147">
        <f t="shared" si="3"/>
        <v>2757</v>
      </c>
      <c r="L25" s="1147">
        <f t="shared" si="3"/>
        <v>2754.5</v>
      </c>
      <c r="M25" s="1147">
        <f t="shared" si="3"/>
        <v>2752</v>
      </c>
      <c r="N25" s="1155">
        <f t="shared" si="3"/>
        <v>2749.5</v>
      </c>
    </row>
    <row r="26" spans="1:32" s="14" customFormat="1" ht="15.75" hidden="1" customHeight="1" outlineLevel="1" x14ac:dyDescent="0.2">
      <c r="A26" s="13"/>
      <c r="C26" s="795"/>
      <c r="D26" s="796"/>
      <c r="E26" s="796"/>
      <c r="F26" s="796"/>
      <c r="G26" s="796"/>
      <c r="H26" s="796"/>
      <c r="I26" s="796"/>
      <c r="J26" s="796"/>
      <c r="K26" s="796"/>
      <c r="L26" s="796"/>
      <c r="M26" s="796"/>
      <c r="N26" s="797"/>
    </row>
    <row r="27" spans="1:32" s="14" customFormat="1" ht="15.75" hidden="1" customHeight="1" outlineLevel="1" x14ac:dyDescent="0.2">
      <c r="A27" s="13"/>
      <c r="C27" s="818" t="s">
        <v>4116</v>
      </c>
      <c r="D27" s="1146" t="str">
        <f t="shared" ref="D27:N27" si="4">eSystemsFTEWorstCase_Total_CFS</f>
        <v>eSystems FTEs - Worst Case</v>
      </c>
      <c r="E27" s="1147">
        <f t="shared" si="4"/>
        <v>3130</v>
      </c>
      <c r="F27" s="1147">
        <f t="shared" si="4"/>
        <v>3130</v>
      </c>
      <c r="G27" s="1147">
        <f t="shared" si="4"/>
        <v>3130</v>
      </c>
      <c r="H27" s="1147">
        <f t="shared" si="4"/>
        <v>3130</v>
      </c>
      <c r="I27" s="1147">
        <f t="shared" si="4"/>
        <v>3130</v>
      </c>
      <c r="J27" s="1147">
        <f t="shared" si="4"/>
        <v>3130</v>
      </c>
      <c r="K27" s="1147">
        <f t="shared" si="4"/>
        <v>3130</v>
      </c>
      <c r="L27" s="1147">
        <f t="shared" si="4"/>
        <v>3130</v>
      </c>
      <c r="M27" s="1147">
        <f t="shared" si="4"/>
        <v>3130</v>
      </c>
      <c r="N27" s="1155">
        <f t="shared" si="4"/>
        <v>3130</v>
      </c>
    </row>
    <row r="28" spans="1:32" s="14" customFormat="1" ht="15.75" hidden="1" customHeight="1" outlineLevel="1" x14ac:dyDescent="0.2">
      <c r="A28" s="13"/>
      <c r="C28" s="795"/>
      <c r="D28" s="1146" t="str">
        <f t="shared" ref="D28:N28" si="5">eSystemsFTEMostLikely_Total_CFS</f>
        <v>eSystems FTEs - Most Likely</v>
      </c>
      <c r="E28" s="1147">
        <f t="shared" si="5"/>
        <v>2745.5</v>
      </c>
      <c r="F28" s="1147">
        <f t="shared" si="5"/>
        <v>2745.2299999999996</v>
      </c>
      <c r="G28" s="1147">
        <f t="shared" si="5"/>
        <v>2744.9600000000005</v>
      </c>
      <c r="H28" s="1147">
        <f t="shared" si="5"/>
        <v>2744.6899999999991</v>
      </c>
      <c r="I28" s="1147">
        <f t="shared" si="5"/>
        <v>2744.42</v>
      </c>
      <c r="J28" s="1147">
        <f t="shared" si="5"/>
        <v>2744.1499999999996</v>
      </c>
      <c r="K28" s="1147">
        <f t="shared" si="5"/>
        <v>2743.88</v>
      </c>
      <c r="L28" s="1147">
        <f t="shared" si="5"/>
        <v>2743.61</v>
      </c>
      <c r="M28" s="1147">
        <f t="shared" si="5"/>
        <v>2743.3399999999997</v>
      </c>
      <c r="N28" s="1155">
        <f t="shared" si="5"/>
        <v>2743.0699999999997</v>
      </c>
    </row>
    <row r="29" spans="1:32" s="14" customFormat="1" ht="15.75" hidden="1" customHeight="1" outlineLevel="1" x14ac:dyDescent="0.2">
      <c r="A29" s="13"/>
      <c r="C29" s="795"/>
      <c r="D29" s="1146" t="str">
        <f t="shared" ref="D29:N29" si="6">eSystemsFTEBestCase_Total_CFS</f>
        <v>eSystems FTEs - Best Case</v>
      </c>
      <c r="E29" s="1147">
        <f t="shared" si="6"/>
        <v>2550</v>
      </c>
      <c r="F29" s="1147">
        <f t="shared" si="6"/>
        <v>2549.7299999999996</v>
      </c>
      <c r="G29" s="1147">
        <f t="shared" si="6"/>
        <v>2549.4600000000005</v>
      </c>
      <c r="H29" s="1147">
        <f t="shared" si="6"/>
        <v>2549.1899999999991</v>
      </c>
      <c r="I29" s="1147">
        <f t="shared" si="6"/>
        <v>2548.92</v>
      </c>
      <c r="J29" s="1147">
        <f t="shared" si="6"/>
        <v>2548.6499999999996</v>
      </c>
      <c r="K29" s="1147">
        <f t="shared" si="6"/>
        <v>2548.38</v>
      </c>
      <c r="L29" s="1147">
        <f t="shared" si="6"/>
        <v>2548.11</v>
      </c>
      <c r="M29" s="1147">
        <f t="shared" si="6"/>
        <v>2547.8399999999997</v>
      </c>
      <c r="N29" s="1155">
        <f t="shared" si="6"/>
        <v>2547.5699999999997</v>
      </c>
    </row>
    <row r="30" spans="1:32" s="14" customFormat="1" ht="16.5" hidden="1" customHeight="1" outlineLevel="1" thickBot="1" x14ac:dyDescent="0.25">
      <c r="A30" s="13"/>
      <c r="C30" s="793"/>
      <c r="D30" s="794"/>
      <c r="E30" s="794"/>
      <c r="F30" s="794"/>
      <c r="G30" s="794"/>
      <c r="H30" s="794"/>
      <c r="I30" s="794"/>
      <c r="J30" s="794"/>
      <c r="K30" s="794"/>
      <c r="L30" s="794"/>
      <c r="M30" s="794"/>
      <c r="N30" s="646"/>
    </row>
    <row r="31" spans="1:32" s="14" customFormat="1" hidden="1" outlineLevel="1" x14ac:dyDescent="0.2">
      <c r="A31" s="13"/>
      <c r="C31" s="796"/>
      <c r="D31" s="796"/>
      <c r="E31" s="796"/>
      <c r="F31" s="796"/>
      <c r="G31" s="796"/>
      <c r="H31" s="796"/>
      <c r="I31" s="796"/>
      <c r="J31" s="796"/>
      <c r="K31" s="796"/>
      <c r="L31" s="796"/>
      <c r="M31" s="796"/>
      <c r="N31" s="796"/>
    </row>
    <row r="32" spans="1:32" s="14" customFormat="1" hidden="1" outlineLevel="1" x14ac:dyDescent="0.2">
      <c r="A32" s="13"/>
      <c r="C32" s="796"/>
      <c r="D32" s="796"/>
      <c r="E32" s="796"/>
      <c r="F32" s="796"/>
      <c r="G32" s="796"/>
      <c r="H32" s="796"/>
      <c r="I32" s="796"/>
      <c r="J32" s="796"/>
      <c r="K32" s="796"/>
      <c r="L32" s="796"/>
      <c r="M32" s="796"/>
      <c r="N32" s="796"/>
    </row>
    <row r="33" spans="1:14" s="14" customFormat="1" hidden="1" outlineLevel="1" x14ac:dyDescent="0.2">
      <c r="A33" s="13"/>
      <c r="C33" s="796"/>
      <c r="D33" s="796"/>
      <c r="E33" s="796"/>
      <c r="F33" s="796"/>
      <c r="G33" s="796"/>
      <c r="H33" s="796"/>
      <c r="I33" s="796"/>
      <c r="J33" s="796"/>
      <c r="K33" s="796"/>
      <c r="L33" s="796"/>
      <c r="M33" s="796"/>
      <c r="N33" s="796"/>
    </row>
    <row r="34" spans="1:14" s="14" customFormat="1" hidden="1" outlineLevel="1" x14ac:dyDescent="0.2">
      <c r="A34" s="13"/>
      <c r="C34" s="796"/>
      <c r="D34" s="796"/>
      <c r="E34" s="796"/>
      <c r="F34" s="796"/>
      <c r="G34" s="796"/>
      <c r="H34" s="796"/>
      <c r="I34" s="796"/>
      <c r="J34" s="796"/>
      <c r="K34" s="796"/>
      <c r="L34" s="796"/>
      <c r="M34" s="796"/>
      <c r="N34" s="796"/>
    </row>
    <row r="35" spans="1:14" s="14" customFormat="1" hidden="1" outlineLevel="1" x14ac:dyDescent="0.2">
      <c r="A35" s="13"/>
      <c r="C35" s="796"/>
      <c r="D35" s="796"/>
      <c r="E35" s="796"/>
      <c r="F35" s="796"/>
      <c r="G35" s="796"/>
      <c r="H35" s="796"/>
      <c r="I35" s="796"/>
      <c r="J35" s="796"/>
      <c r="K35" s="796"/>
      <c r="L35" s="796"/>
      <c r="M35" s="796"/>
      <c r="N35" s="796"/>
    </row>
    <row r="36" spans="1:14" s="14" customFormat="1" hidden="1" outlineLevel="1" x14ac:dyDescent="0.2">
      <c r="A36" s="13"/>
      <c r="C36" s="796"/>
      <c r="D36" s="796"/>
      <c r="E36" s="796"/>
      <c r="F36" s="796"/>
      <c r="G36" s="796"/>
      <c r="H36" s="796"/>
      <c r="I36" s="796"/>
      <c r="J36" s="796"/>
      <c r="K36" s="796"/>
      <c r="L36" s="796"/>
      <c r="M36" s="796"/>
      <c r="N36" s="796"/>
    </row>
    <row r="37" spans="1:14" s="14" customFormat="1" hidden="1" outlineLevel="1" x14ac:dyDescent="0.2">
      <c r="A37" s="13"/>
      <c r="C37" s="796"/>
      <c r="D37" s="796"/>
      <c r="E37" s="796"/>
      <c r="F37" s="796"/>
      <c r="G37" s="796"/>
      <c r="H37" s="796"/>
      <c r="I37" s="796"/>
      <c r="J37" s="796"/>
      <c r="K37" s="796"/>
      <c r="L37" s="796"/>
      <c r="M37" s="796"/>
      <c r="N37" s="796"/>
    </row>
    <row r="38" spans="1:14" s="14" customFormat="1" hidden="1" outlineLevel="1" x14ac:dyDescent="0.2">
      <c r="A38" s="13"/>
      <c r="C38" s="796"/>
      <c r="D38" s="796"/>
      <c r="E38" s="796"/>
      <c r="F38" s="796"/>
      <c r="G38" s="796"/>
      <c r="H38" s="796"/>
      <c r="I38" s="796"/>
      <c r="J38" s="796"/>
      <c r="K38" s="796"/>
      <c r="L38" s="796"/>
      <c r="M38" s="796"/>
      <c r="N38" s="796"/>
    </row>
    <row r="39" spans="1:14" s="14" customFormat="1" hidden="1" outlineLevel="1" x14ac:dyDescent="0.2">
      <c r="A39" s="13"/>
      <c r="C39" s="796"/>
      <c r="D39" s="796"/>
      <c r="E39" s="796"/>
      <c r="F39" s="796"/>
      <c r="G39" s="796"/>
      <c r="H39" s="796"/>
      <c r="I39" s="796"/>
      <c r="J39" s="796"/>
      <c r="K39" s="796"/>
      <c r="L39" s="796"/>
      <c r="M39" s="796"/>
      <c r="N39" s="796"/>
    </row>
    <row r="40" spans="1:14" s="14" customFormat="1" hidden="1" outlineLevel="1" x14ac:dyDescent="0.2">
      <c r="A40" s="13"/>
      <c r="C40" s="796"/>
      <c r="D40" s="796"/>
      <c r="E40" s="796"/>
      <c r="F40" s="796"/>
      <c r="G40" s="796"/>
      <c r="H40" s="796"/>
      <c r="I40" s="796"/>
      <c r="J40" s="796"/>
      <c r="K40" s="796"/>
      <c r="L40" s="796"/>
      <c r="M40" s="796"/>
      <c r="N40" s="796"/>
    </row>
    <row r="41" spans="1:14" s="14" customFormat="1" hidden="1" outlineLevel="1" x14ac:dyDescent="0.2">
      <c r="A41" s="13"/>
      <c r="C41" s="796"/>
      <c r="D41" s="796"/>
      <c r="E41" s="796"/>
      <c r="F41" s="796"/>
      <c r="G41" s="796"/>
      <c r="H41" s="796"/>
      <c r="I41" s="796"/>
      <c r="J41" s="796"/>
      <c r="K41" s="796"/>
      <c r="L41" s="796"/>
      <c r="M41" s="796"/>
      <c r="N41" s="796"/>
    </row>
    <row r="42" spans="1:14" s="14" customFormat="1" hidden="1" outlineLevel="1" x14ac:dyDescent="0.2">
      <c r="A42" s="13"/>
      <c r="C42" s="796"/>
      <c r="D42" s="796"/>
      <c r="E42" s="796"/>
      <c r="F42" s="796"/>
      <c r="G42" s="796"/>
      <c r="H42" s="796"/>
      <c r="I42" s="796"/>
      <c r="J42" s="796"/>
      <c r="K42" s="796"/>
      <c r="L42" s="796"/>
      <c r="M42" s="796"/>
      <c r="N42" s="796"/>
    </row>
    <row r="43" spans="1:14" s="14" customFormat="1" hidden="1" outlineLevel="1" x14ac:dyDescent="0.2">
      <c r="A43" s="13"/>
      <c r="C43" s="796"/>
      <c r="D43" s="796"/>
      <c r="E43" s="796"/>
      <c r="F43" s="796"/>
      <c r="G43" s="796"/>
      <c r="H43" s="796"/>
      <c r="I43" s="796"/>
      <c r="J43" s="796"/>
      <c r="K43" s="796"/>
      <c r="L43" s="796"/>
      <c r="M43" s="796"/>
      <c r="N43" s="796"/>
    </row>
    <row r="44" spans="1:14" s="14" customFormat="1" hidden="1" outlineLevel="1" x14ac:dyDescent="0.2">
      <c r="A44" s="13"/>
      <c r="C44" s="796"/>
      <c r="D44" s="796"/>
      <c r="E44" s="796"/>
      <c r="F44" s="796"/>
      <c r="G44" s="796"/>
      <c r="H44" s="796"/>
      <c r="I44" s="796"/>
      <c r="J44" s="796"/>
      <c r="K44" s="796"/>
      <c r="L44" s="796"/>
      <c r="M44" s="796"/>
      <c r="N44" s="796"/>
    </row>
    <row r="45" spans="1:14" s="14" customFormat="1" hidden="1" outlineLevel="1" x14ac:dyDescent="0.2">
      <c r="A45" s="13"/>
      <c r="C45" s="796"/>
      <c r="D45" s="796"/>
      <c r="E45" s="796"/>
      <c r="F45" s="796"/>
      <c r="G45" s="796"/>
      <c r="H45" s="796"/>
      <c r="I45" s="796"/>
      <c r="J45" s="796"/>
      <c r="K45" s="796"/>
      <c r="L45" s="796"/>
      <c r="M45" s="796"/>
      <c r="N45" s="796"/>
    </row>
    <row r="46" spans="1:14" s="14" customFormat="1" hidden="1" outlineLevel="1" x14ac:dyDescent="0.2">
      <c r="A46" s="13"/>
      <c r="C46" s="796"/>
      <c r="D46" s="796"/>
      <c r="E46" s="796"/>
      <c r="F46" s="796"/>
      <c r="G46" s="796"/>
      <c r="H46" s="796"/>
      <c r="I46" s="796"/>
      <c r="J46" s="796"/>
      <c r="K46" s="796"/>
      <c r="L46" s="796"/>
      <c r="M46" s="796"/>
      <c r="N46" s="796"/>
    </row>
    <row r="47" spans="1:14" s="14" customFormat="1" hidden="1" outlineLevel="1" x14ac:dyDescent="0.2">
      <c r="A47" s="13"/>
      <c r="C47" s="796"/>
      <c r="D47" s="796"/>
      <c r="E47" s="796"/>
      <c r="F47" s="796"/>
      <c r="G47" s="796"/>
      <c r="H47" s="796"/>
      <c r="I47" s="796"/>
      <c r="J47" s="796"/>
      <c r="K47" s="796"/>
      <c r="L47" s="796"/>
      <c r="M47" s="796"/>
      <c r="N47" s="796"/>
    </row>
    <row r="48" spans="1:14" s="14" customFormat="1" hidden="1" outlineLevel="1" x14ac:dyDescent="0.2">
      <c r="A48" s="13"/>
      <c r="C48" s="796"/>
      <c r="D48" s="796"/>
      <c r="E48" s="796"/>
      <c r="F48" s="796"/>
      <c r="G48" s="796"/>
      <c r="H48" s="796"/>
      <c r="I48" s="796"/>
      <c r="J48" s="796"/>
      <c r="K48" s="796"/>
      <c r="L48" s="796"/>
      <c r="M48" s="796"/>
      <c r="N48" s="796"/>
    </row>
    <row r="49" spans="1:32" s="14" customFormat="1" hidden="1" outlineLevel="1" x14ac:dyDescent="0.2">
      <c r="A49" s="13"/>
      <c r="C49" s="796"/>
      <c r="D49" s="796"/>
      <c r="E49" s="796"/>
      <c r="F49" s="796"/>
      <c r="G49" s="796"/>
      <c r="H49" s="796"/>
      <c r="I49" s="796"/>
      <c r="J49" s="796"/>
      <c r="K49" s="796"/>
      <c r="L49" s="796"/>
      <c r="M49" s="796"/>
      <c r="N49" s="796"/>
    </row>
    <row r="50" spans="1:32" s="14" customFormat="1" hidden="1" outlineLevel="1" x14ac:dyDescent="0.2">
      <c r="A50" s="13"/>
      <c r="C50" s="796"/>
      <c r="D50" s="796"/>
      <c r="E50" s="796"/>
      <c r="F50" s="796"/>
      <c r="G50" s="796"/>
      <c r="H50" s="796"/>
      <c r="I50" s="796"/>
      <c r="J50" s="796"/>
      <c r="K50" s="796"/>
      <c r="L50" s="796"/>
      <c r="M50" s="796"/>
      <c r="N50" s="796"/>
    </row>
    <row r="51" spans="1:32" s="14" customFormat="1" hidden="1" outlineLevel="1" x14ac:dyDescent="0.2">
      <c r="A51" s="13"/>
      <c r="C51" s="796"/>
      <c r="D51" s="796"/>
      <c r="E51" s="796"/>
      <c r="F51" s="796"/>
      <c r="G51" s="796"/>
      <c r="H51" s="796"/>
      <c r="I51" s="796"/>
      <c r="J51" s="796"/>
      <c r="K51" s="796"/>
      <c r="L51" s="796"/>
      <c r="M51" s="796"/>
      <c r="N51" s="796"/>
    </row>
    <row r="52" spans="1:32" s="14" customFormat="1" hidden="1" outlineLevel="1" x14ac:dyDescent="0.2">
      <c r="A52" s="13"/>
      <c r="C52" s="796"/>
      <c r="D52" s="796"/>
      <c r="E52" s="796"/>
      <c r="F52" s="796"/>
      <c r="G52" s="796"/>
      <c r="H52" s="796"/>
      <c r="I52" s="796"/>
      <c r="J52" s="796"/>
      <c r="K52" s="796"/>
      <c r="L52" s="796"/>
      <c r="M52" s="796"/>
      <c r="N52" s="796"/>
    </row>
    <row r="53" spans="1:32" s="14" customFormat="1" hidden="1" outlineLevel="1" x14ac:dyDescent="0.2">
      <c r="A53" s="13"/>
      <c r="C53" s="796"/>
      <c r="D53" s="796"/>
      <c r="E53" s="796"/>
      <c r="F53" s="796"/>
      <c r="G53" s="796"/>
      <c r="H53" s="796"/>
      <c r="I53" s="796"/>
      <c r="J53" s="796"/>
      <c r="K53" s="796"/>
      <c r="L53" s="796"/>
      <c r="M53" s="796"/>
      <c r="N53" s="796"/>
    </row>
    <row r="54" spans="1:32" s="14" customFormat="1" hidden="1" outlineLevel="1" x14ac:dyDescent="0.2">
      <c r="A54" s="13"/>
      <c r="C54" s="796"/>
      <c r="D54" s="796"/>
      <c r="E54" s="796"/>
      <c r="F54" s="796"/>
      <c r="G54" s="796"/>
      <c r="H54" s="796"/>
      <c r="I54" s="796"/>
      <c r="J54" s="796"/>
      <c r="K54" s="796"/>
      <c r="L54" s="796"/>
      <c r="M54" s="796"/>
      <c r="N54" s="796"/>
    </row>
    <row r="55" spans="1:32" s="14" customFormat="1" hidden="1" outlineLevel="1" x14ac:dyDescent="0.2">
      <c r="A55" s="13"/>
      <c r="C55" s="796"/>
      <c r="D55" s="796"/>
      <c r="E55" s="796"/>
      <c r="F55" s="796"/>
      <c r="G55" s="796"/>
      <c r="H55" s="796"/>
      <c r="I55" s="796"/>
      <c r="J55" s="796"/>
      <c r="K55" s="796"/>
      <c r="L55" s="796"/>
      <c r="M55" s="796"/>
      <c r="N55" s="796"/>
    </row>
    <row r="56" spans="1:32" s="14" customFormat="1" hidden="1" outlineLevel="1" x14ac:dyDescent="0.2">
      <c r="A56" s="13"/>
      <c r="C56" s="796"/>
      <c r="D56" s="796"/>
      <c r="E56" s="796"/>
      <c r="F56" s="796"/>
      <c r="G56" s="796"/>
      <c r="H56" s="796"/>
      <c r="I56" s="796"/>
      <c r="J56" s="796"/>
      <c r="K56" s="796"/>
      <c r="L56" s="796"/>
      <c r="M56" s="796"/>
      <c r="N56" s="796"/>
    </row>
    <row r="57" spans="1:32" s="14" customFormat="1" hidden="1" outlineLevel="1" x14ac:dyDescent="0.2">
      <c r="A57" s="13"/>
      <c r="C57" s="796"/>
      <c r="D57" s="796"/>
      <c r="E57" s="796"/>
      <c r="F57" s="796"/>
      <c r="G57" s="796"/>
      <c r="H57" s="796"/>
      <c r="I57" s="796"/>
      <c r="J57" s="796"/>
      <c r="K57" s="796"/>
      <c r="L57" s="796"/>
      <c r="M57" s="796"/>
      <c r="N57" s="796"/>
    </row>
    <row r="58" spans="1:32" s="14" customFormat="1" hidden="1" outlineLevel="1" x14ac:dyDescent="0.2">
      <c r="A58" s="13"/>
      <c r="C58" s="796"/>
      <c r="D58" s="796"/>
      <c r="E58" s="796"/>
      <c r="F58" s="796"/>
      <c r="G58" s="796"/>
      <c r="H58" s="796"/>
      <c r="I58" s="796"/>
      <c r="J58" s="796"/>
      <c r="K58" s="796"/>
      <c r="L58" s="796"/>
      <c r="M58" s="796"/>
      <c r="N58" s="796"/>
    </row>
    <row r="59" spans="1:32" s="14" customFormat="1" hidden="1" outlineLevel="1" x14ac:dyDescent="0.2">
      <c r="A59" s="13"/>
      <c r="C59" s="796"/>
      <c r="D59" s="796"/>
      <c r="E59" s="796"/>
      <c r="F59" s="796"/>
      <c r="G59" s="796"/>
      <c r="H59" s="796"/>
      <c r="I59" s="796"/>
      <c r="J59" s="796"/>
      <c r="K59" s="796"/>
      <c r="L59" s="796"/>
      <c r="M59" s="796"/>
      <c r="N59" s="796"/>
    </row>
    <row r="60" spans="1:32" s="14" customFormat="1" hidden="1" outlineLevel="1" x14ac:dyDescent="0.2"/>
    <row r="61" spans="1:32" s="122" customFormat="1" ht="15.75" collapsed="1" x14ac:dyDescent="0.2">
      <c r="A61" s="1043">
        <v>2</v>
      </c>
      <c r="B61" s="1039"/>
      <c r="C61" s="1039"/>
      <c r="D61" s="1039"/>
      <c r="E61" s="1039"/>
      <c r="F61" s="1039"/>
      <c r="G61" s="1039"/>
      <c r="H61" s="1039"/>
      <c r="I61" s="1039"/>
      <c r="J61" s="1039"/>
      <c r="K61" s="1039"/>
      <c r="L61" s="1039"/>
      <c r="M61" s="1039"/>
      <c r="N61" s="1039"/>
      <c r="O61" s="1039"/>
      <c r="P61" s="206"/>
      <c r="Q61" s="206"/>
      <c r="R61" s="206"/>
      <c r="S61" s="206"/>
      <c r="T61" s="206"/>
      <c r="U61" s="206"/>
      <c r="V61" s="206"/>
      <c r="W61" s="206"/>
      <c r="X61" s="206"/>
      <c r="Y61" s="206"/>
      <c r="Z61" s="206"/>
      <c r="AA61" s="206"/>
      <c r="AB61" s="206"/>
      <c r="AC61" s="206"/>
      <c r="AD61" s="206"/>
      <c r="AE61" s="206"/>
      <c r="AF61" s="206"/>
    </row>
    <row r="62" spans="1:32" s="3" customFormat="1" ht="14.1" customHeight="1" x14ac:dyDescent="0.2">
      <c r="A62" s="13"/>
      <c r="C62" s="104"/>
      <c r="D62" s="13"/>
      <c r="E62"/>
      <c r="F62"/>
      <c r="G62"/>
      <c r="H62"/>
      <c r="I62"/>
      <c r="J62"/>
      <c r="K62"/>
      <c r="L62"/>
      <c r="M62"/>
      <c r="N62"/>
      <c r="O62" s="131"/>
      <c r="P62" s="131"/>
      <c r="Q62" s="19"/>
      <c r="R62" s="19"/>
      <c r="S62" s="19"/>
      <c r="T62" s="19"/>
      <c r="U62" s="19"/>
      <c r="V62" s="19"/>
      <c r="W62" s="19"/>
      <c r="X62" s="19"/>
      <c r="Y62" s="19"/>
      <c r="Z62" s="19"/>
      <c r="AA62" s="19"/>
      <c r="AB62" s="19"/>
      <c r="AC62" s="19"/>
      <c r="AD62" s="19"/>
      <c r="AE62" s="19"/>
      <c r="AF62" s="19"/>
    </row>
    <row r="63" spans="1:32" s="3" customFormat="1" ht="15.75" x14ac:dyDescent="0.2">
      <c r="A63" s="1400" t="s">
        <v>4369</v>
      </c>
      <c r="C63" s="1163" t="s">
        <v>4367</v>
      </c>
      <c r="D63" s="13"/>
      <c r="E63"/>
      <c r="F63"/>
      <c r="G63"/>
      <c r="H63"/>
      <c r="I63"/>
      <c r="J63"/>
      <c r="K63"/>
      <c r="L63"/>
      <c r="M63"/>
      <c r="N63"/>
      <c r="O63" s="131"/>
      <c r="P63" s="131"/>
      <c r="Q63" s="19"/>
      <c r="R63" s="19"/>
      <c r="S63" s="19"/>
      <c r="T63" s="19"/>
      <c r="U63" s="19"/>
      <c r="V63" s="19"/>
      <c r="W63" s="19"/>
      <c r="X63" s="19"/>
      <c r="Y63" s="19"/>
      <c r="Z63" s="19"/>
      <c r="AA63" s="19"/>
      <c r="AB63" s="19"/>
      <c r="AC63" s="19"/>
      <c r="AD63" s="19"/>
      <c r="AE63" s="19"/>
      <c r="AF63" s="19"/>
    </row>
    <row r="64" spans="1:32" s="98" customFormat="1" ht="14.1" customHeight="1" x14ac:dyDescent="0.2">
      <c r="A64" s="1407"/>
      <c r="C64" s="1158"/>
      <c r="D64" s="50"/>
      <c r="E64" s="488"/>
      <c r="F64" s="488"/>
      <c r="G64" s="488"/>
      <c r="H64" s="488"/>
      <c r="I64" s="488"/>
      <c r="J64" s="488"/>
      <c r="K64" s="488"/>
      <c r="L64" s="488"/>
      <c r="M64" s="488"/>
      <c r="N64" s="488"/>
      <c r="O64" s="1159"/>
      <c r="P64" s="1159"/>
      <c r="Q64" s="50"/>
      <c r="R64" s="50"/>
      <c r="S64" s="50"/>
      <c r="T64" s="50"/>
      <c r="U64" s="50"/>
      <c r="V64" s="50"/>
      <c r="W64" s="50"/>
      <c r="X64" s="50"/>
      <c r="Y64" s="50"/>
      <c r="Z64" s="50"/>
      <c r="AA64" s="50"/>
      <c r="AB64" s="50"/>
      <c r="AC64" s="50"/>
      <c r="AD64" s="50"/>
      <c r="AE64" s="50"/>
      <c r="AF64" s="50"/>
    </row>
    <row r="65" spans="1:32" s="98" customFormat="1" ht="14.1" customHeight="1" x14ac:dyDescent="0.2">
      <c r="A65" s="1407"/>
      <c r="C65" s="1158"/>
      <c r="D65" s="50"/>
      <c r="E65" s="488"/>
      <c r="F65" s="488"/>
      <c r="G65" s="488"/>
      <c r="H65" s="488"/>
      <c r="I65" s="488"/>
      <c r="J65" s="488"/>
      <c r="K65" s="488"/>
      <c r="L65" s="488"/>
      <c r="M65" s="488"/>
      <c r="N65" s="488"/>
      <c r="O65" s="1159"/>
      <c r="P65" s="1159"/>
      <c r="Q65" s="50"/>
      <c r="R65" s="50"/>
      <c r="S65" s="50"/>
      <c r="T65" s="50"/>
      <c r="U65" s="50"/>
      <c r="V65" s="50"/>
      <c r="W65" s="50"/>
      <c r="X65" s="50"/>
      <c r="Y65" s="50"/>
      <c r="Z65" s="50"/>
      <c r="AA65" s="50"/>
      <c r="AB65" s="50"/>
      <c r="AC65" s="50"/>
      <c r="AD65" s="50"/>
      <c r="AE65" s="50"/>
      <c r="AF65" s="50"/>
    </row>
    <row r="66" spans="1:32" s="98" customFormat="1" ht="14.1" customHeight="1" x14ac:dyDescent="0.2">
      <c r="A66" s="1408"/>
      <c r="C66" s="1158"/>
      <c r="D66" s="50"/>
      <c r="E66" s="488"/>
      <c r="F66" s="488"/>
      <c r="G66" s="488"/>
      <c r="H66" s="488"/>
      <c r="I66" s="488"/>
      <c r="J66" s="488"/>
      <c r="K66" s="488"/>
      <c r="L66" s="488"/>
      <c r="M66" s="488"/>
      <c r="N66" s="488"/>
      <c r="O66" s="1159"/>
      <c r="P66" s="1159"/>
      <c r="Q66" s="50"/>
      <c r="R66" s="50"/>
      <c r="S66" s="50"/>
      <c r="T66" s="50"/>
      <c r="U66" s="50"/>
      <c r="V66" s="50"/>
      <c r="W66" s="50"/>
      <c r="X66" s="50"/>
      <c r="Y66" s="50"/>
      <c r="Z66" s="50"/>
      <c r="AA66" s="50"/>
      <c r="AB66" s="50"/>
      <c r="AC66" s="50"/>
      <c r="AD66" s="50"/>
      <c r="AE66" s="50"/>
      <c r="AF66" s="50"/>
    </row>
    <row r="67" spans="1:32" s="98" customFormat="1" ht="14.1" customHeight="1" x14ac:dyDescent="0.2">
      <c r="A67" s="7"/>
      <c r="C67" s="1158"/>
      <c r="D67" s="50"/>
      <c r="E67" s="488"/>
      <c r="F67" s="488"/>
      <c r="G67" s="488"/>
      <c r="H67" s="488"/>
      <c r="I67" s="488"/>
      <c r="J67" s="488"/>
      <c r="K67" s="488"/>
      <c r="L67" s="488"/>
      <c r="M67" s="488"/>
      <c r="N67" s="488"/>
      <c r="O67" s="1159"/>
      <c r="P67" s="1159"/>
      <c r="Q67" s="50"/>
      <c r="R67" s="50"/>
      <c r="S67" s="50"/>
      <c r="T67" s="50"/>
      <c r="U67" s="50"/>
      <c r="V67" s="50"/>
      <c r="W67" s="50"/>
      <c r="X67" s="50"/>
      <c r="Y67" s="50"/>
      <c r="Z67" s="50"/>
      <c r="AA67" s="50"/>
      <c r="AB67" s="50"/>
      <c r="AC67" s="50"/>
      <c r="AD67" s="50"/>
      <c r="AE67" s="50"/>
      <c r="AF67" s="50"/>
    </row>
    <row r="68" spans="1:32" s="14" customFormat="1" ht="13.5" hidden="1" outlineLevel="1" thickBot="1" x14ac:dyDescent="0.25"/>
    <row r="69" spans="1:32" s="14" customFormat="1" ht="12.75" hidden="1" customHeight="1" outlineLevel="1" x14ac:dyDescent="0.2">
      <c r="C69" s="815"/>
      <c r="D69" s="790"/>
      <c r="E69" s="790"/>
      <c r="F69" s="790"/>
      <c r="G69" s="790"/>
      <c r="H69" s="790"/>
      <c r="I69" s="790"/>
      <c r="J69" s="790"/>
      <c r="K69" s="790"/>
      <c r="L69" s="790"/>
      <c r="M69" s="790"/>
      <c r="N69" s="645"/>
    </row>
    <row r="70" spans="1:32" s="14" customFormat="1" hidden="1" outlineLevel="1" x14ac:dyDescent="0.2">
      <c r="C70" s="792" t="s">
        <v>4123</v>
      </c>
      <c r="D70" s="1148" t="str">
        <f t="shared" ref="D70:N70" si="7">pSystemsFTERework_OutputSummary</f>
        <v>pSystems (Paper) Rework FTEs</v>
      </c>
      <c r="E70" s="1149">
        <f t="shared" si="7"/>
        <v>40.571568870122299</v>
      </c>
      <c r="F70" s="1149">
        <f t="shared" si="7"/>
        <v>40.518911136912003</v>
      </c>
      <c r="G70" s="1149">
        <f t="shared" si="7"/>
        <v>40.479803800232958</v>
      </c>
      <c r="H70" s="1149">
        <f t="shared" si="7"/>
        <v>40.575153026938111</v>
      </c>
      <c r="I70" s="1149">
        <f t="shared" si="7"/>
        <v>40.60404307762709</v>
      </c>
      <c r="J70" s="1149">
        <f t="shared" si="7"/>
        <v>40.633309135535399</v>
      </c>
      <c r="K70" s="1149">
        <f t="shared" si="7"/>
        <v>40.662880699309419</v>
      </c>
      <c r="L70" s="1149">
        <f t="shared" si="7"/>
        <v>40.692703856149329</v>
      </c>
      <c r="M70" s="1149">
        <f t="shared" si="7"/>
        <v>40.722736673877471</v>
      </c>
      <c r="N70" s="1154">
        <f t="shared" si="7"/>
        <v>40.752946048143073</v>
      </c>
    </row>
    <row r="71" spans="1:32" s="14" customFormat="1" hidden="1" outlineLevel="1" x14ac:dyDescent="0.2">
      <c r="C71" s="795"/>
      <c r="D71" s="1148" t="str">
        <f t="shared" ref="D71:N71" si="8">pSystemsLeaseRelatedTotalFTEs_OutputSummary</f>
        <v>pSystems Lease Related FTEs TOTAL</v>
      </c>
      <c r="E71" s="1149">
        <f t="shared" si="8"/>
        <v>35.255290234905836</v>
      </c>
      <c r="F71" s="1149">
        <f t="shared" si="8"/>
        <v>39.332168510968742</v>
      </c>
      <c r="G71" s="1149">
        <f t="shared" si="8"/>
        <v>43.21490972626674</v>
      </c>
      <c r="H71" s="1149">
        <f t="shared" si="8"/>
        <v>31.372549019607838</v>
      </c>
      <c r="I71" s="1149">
        <f t="shared" si="8"/>
        <v>35.255290234905836</v>
      </c>
      <c r="J71" s="1149">
        <f t="shared" si="8"/>
        <v>39.332168510968742</v>
      </c>
      <c r="K71" s="1149">
        <f t="shared" si="8"/>
        <v>43.21490972626674</v>
      </c>
      <c r="L71" s="1149">
        <f t="shared" si="8"/>
        <v>31.372549019607838</v>
      </c>
      <c r="M71" s="1149">
        <f t="shared" si="8"/>
        <v>35.255290234905836</v>
      </c>
      <c r="N71" s="1154">
        <f t="shared" si="8"/>
        <v>39.332168510968742</v>
      </c>
    </row>
    <row r="72" spans="1:32" s="14" customFormat="1" hidden="1" outlineLevel="1" x14ac:dyDescent="0.2">
      <c r="C72" s="795"/>
      <c r="D72" s="1148" t="str">
        <f t="shared" ref="D72:N72" si="9">pSystemsFTEWarranty_OutputSummary</f>
        <v>pSystems (Paper) Warranty SCL FTEs</v>
      </c>
      <c r="E72" s="1147">
        <f t="shared" si="9"/>
        <v>7.2684915550378566</v>
      </c>
      <c r="F72" s="1147">
        <f t="shared" si="9"/>
        <v>7.2684915550378566</v>
      </c>
      <c r="G72" s="1147">
        <f t="shared" si="9"/>
        <v>7.2684915550378566</v>
      </c>
      <c r="H72" s="1147">
        <f t="shared" si="9"/>
        <v>7.2684915550378566</v>
      </c>
      <c r="I72" s="1147">
        <f t="shared" si="9"/>
        <v>7.2684915550378566</v>
      </c>
      <c r="J72" s="1147">
        <f t="shared" si="9"/>
        <v>7.2684915550378566</v>
      </c>
      <c r="K72" s="1147">
        <f t="shared" si="9"/>
        <v>7.2684915550378566</v>
      </c>
      <c r="L72" s="1147">
        <f t="shared" si="9"/>
        <v>7.2684915550378566</v>
      </c>
      <c r="M72" s="1147">
        <f t="shared" si="9"/>
        <v>7.2684915550378566</v>
      </c>
      <c r="N72" s="1155">
        <f t="shared" si="9"/>
        <v>7.2684915550378566</v>
      </c>
    </row>
    <row r="73" spans="1:32" s="4" customFormat="1" hidden="1" outlineLevel="1" x14ac:dyDescent="0.2">
      <c r="A73" s="14"/>
      <c r="C73" s="792"/>
      <c r="D73" s="1150" t="s">
        <v>4128</v>
      </c>
      <c r="E73" s="1151">
        <f>SUM(E70:E72)</f>
        <v>83.095350660065989</v>
      </c>
      <c r="F73" s="1151">
        <f t="shared" ref="F73:N73" si="10">SUM(F70:F72)</f>
        <v>87.119571202918593</v>
      </c>
      <c r="G73" s="1151">
        <f t="shared" si="10"/>
        <v>90.963205081537552</v>
      </c>
      <c r="H73" s="1151">
        <f t="shared" si="10"/>
        <v>79.216193601583797</v>
      </c>
      <c r="I73" s="1151">
        <f t="shared" si="10"/>
        <v>83.12782486757078</v>
      </c>
      <c r="J73" s="1151">
        <f t="shared" si="10"/>
        <v>87.233969201541996</v>
      </c>
      <c r="K73" s="1151">
        <f t="shared" si="10"/>
        <v>91.14628198061402</v>
      </c>
      <c r="L73" s="1151">
        <f t="shared" si="10"/>
        <v>79.333744430795022</v>
      </c>
      <c r="M73" s="1151">
        <f t="shared" si="10"/>
        <v>83.246518463821161</v>
      </c>
      <c r="N73" s="1156">
        <f t="shared" si="10"/>
        <v>87.35360611414967</v>
      </c>
    </row>
    <row r="74" spans="1:32" s="14" customFormat="1" hidden="1" outlineLevel="1" x14ac:dyDescent="0.2">
      <c r="C74" s="795"/>
      <c r="D74" s="225"/>
      <c r="E74" s="799"/>
      <c r="F74" s="799"/>
      <c r="G74" s="799"/>
      <c r="H74" s="799"/>
      <c r="I74" s="799"/>
      <c r="J74" s="799"/>
      <c r="K74" s="799"/>
      <c r="L74" s="799"/>
      <c r="M74" s="799"/>
      <c r="N74" s="798"/>
    </row>
    <row r="75" spans="1:32" s="14" customFormat="1" hidden="1" outlineLevel="1" x14ac:dyDescent="0.2">
      <c r="C75" s="816" t="s">
        <v>4124</v>
      </c>
      <c r="D75" s="1148" t="str">
        <f t="shared" ref="D75:N75" si="11">hSystemsFTERework_OutputSummary</f>
        <v>hSystems (Hybrid) Rework FTEs</v>
      </c>
      <c r="E75" s="1147">
        <f t="shared" si="11"/>
        <v>15.455835760046595</v>
      </c>
      <c r="F75" s="1147">
        <f t="shared" si="11"/>
        <v>7.7178878356022871</v>
      </c>
      <c r="G75" s="1147">
        <f t="shared" si="11"/>
        <v>6.9393949371827954</v>
      </c>
      <c r="H75" s="1147">
        <f t="shared" si="11"/>
        <v>6.1828804612477155</v>
      </c>
      <c r="I75" s="1147">
        <f t="shared" si="11"/>
        <v>6.1872827546860343</v>
      </c>
      <c r="J75" s="1147">
        <f t="shared" si="11"/>
        <v>6.1917423444625399</v>
      </c>
      <c r="K75" s="1147">
        <f t="shared" si="11"/>
        <v>6.1962484875138193</v>
      </c>
      <c r="L75" s="1147">
        <f t="shared" si="11"/>
        <v>6.2007929685560903</v>
      </c>
      <c r="M75" s="1147">
        <f t="shared" si="11"/>
        <v>6.2053693979241888</v>
      </c>
      <c r="N75" s="1155">
        <f t="shared" si="11"/>
        <v>6.2099727311456121</v>
      </c>
    </row>
    <row r="76" spans="1:32" s="14" customFormat="1" hidden="1" outlineLevel="1" x14ac:dyDescent="0.2">
      <c r="C76" s="795"/>
      <c r="D76" s="1148" t="str">
        <f t="shared" ref="D76:N76" si="12">hSystemsLeaseRelatedTotalFTEs_OutputSummary</f>
        <v>hSystems Lease Related FTEs TOTAL</v>
      </c>
      <c r="E76" s="1147">
        <f t="shared" si="12"/>
        <v>19.627256843331391</v>
      </c>
      <c r="F76" s="1147">
        <f t="shared" si="12"/>
        <v>19.631416923204934</v>
      </c>
      <c r="G76" s="1147">
        <f t="shared" si="12"/>
        <v>21.216407355021222</v>
      </c>
      <c r="H76" s="1147">
        <f t="shared" si="12"/>
        <v>14.772443630917715</v>
      </c>
      <c r="I76" s="1147">
        <f t="shared" si="12"/>
        <v>16.440635660204677</v>
      </c>
      <c r="J76" s="1147">
        <f t="shared" si="12"/>
        <v>18.483234878109666</v>
      </c>
      <c r="K76" s="1147">
        <f t="shared" si="12"/>
        <v>20.068225309925953</v>
      </c>
      <c r="L76" s="1147">
        <f t="shared" si="12"/>
        <v>13.957067975705135</v>
      </c>
      <c r="M76" s="1147">
        <f t="shared" si="12"/>
        <v>15.625260004992098</v>
      </c>
      <c r="N76" s="1155">
        <f t="shared" si="12"/>
        <v>17.335052833014402</v>
      </c>
    </row>
    <row r="77" spans="1:32" s="14" customFormat="1" hidden="1" outlineLevel="1" x14ac:dyDescent="0.2">
      <c r="C77" s="795"/>
      <c r="D77" s="1148" t="str">
        <f t="shared" ref="D77:N77" si="13">hSystemsFTEWarranty_OutputSummary</f>
        <v>hSystems (Hybrid) Warranty SCL FTEs</v>
      </c>
      <c r="E77" s="1147">
        <f t="shared" si="13"/>
        <v>4.1534237457359184</v>
      </c>
      <c r="F77" s="1147">
        <f t="shared" si="13"/>
        <v>4.1534237457359184</v>
      </c>
      <c r="G77" s="1147">
        <f t="shared" si="13"/>
        <v>4.1534237457359184</v>
      </c>
      <c r="H77" s="1147">
        <f t="shared" si="13"/>
        <v>4.1534237457359184</v>
      </c>
      <c r="I77" s="1147">
        <f t="shared" si="13"/>
        <v>4.1534237457359184</v>
      </c>
      <c r="J77" s="1147">
        <f t="shared" si="13"/>
        <v>4.1534237457359184</v>
      </c>
      <c r="K77" s="1147">
        <f t="shared" si="13"/>
        <v>4.1534237457359184</v>
      </c>
      <c r="L77" s="1147">
        <f t="shared" si="13"/>
        <v>4.1534237457359184</v>
      </c>
      <c r="M77" s="1147">
        <f t="shared" si="13"/>
        <v>4.1534237457359184</v>
      </c>
      <c r="N77" s="1155">
        <f t="shared" si="13"/>
        <v>4.1534237457359184</v>
      </c>
    </row>
    <row r="78" spans="1:32" s="14" customFormat="1" hidden="1" outlineLevel="1" x14ac:dyDescent="0.2">
      <c r="C78" s="795"/>
      <c r="D78" s="1152" t="s">
        <v>4126</v>
      </c>
      <c r="E78" s="1151">
        <f>SUM(E75:E77)</f>
        <v>39.236516349113906</v>
      </c>
      <c r="F78" s="1151">
        <f t="shared" ref="F78:N78" si="14">SUM(F75:F77)</f>
        <v>31.502728504543139</v>
      </c>
      <c r="G78" s="1151">
        <f t="shared" si="14"/>
        <v>32.309226037939936</v>
      </c>
      <c r="H78" s="1151">
        <f t="shared" si="14"/>
        <v>25.108747837901348</v>
      </c>
      <c r="I78" s="1151">
        <f t="shared" si="14"/>
        <v>26.781342160626629</v>
      </c>
      <c r="J78" s="1151">
        <f t="shared" si="14"/>
        <v>28.828400968308124</v>
      </c>
      <c r="K78" s="1151">
        <f t="shared" si="14"/>
        <v>30.417897543175691</v>
      </c>
      <c r="L78" s="1151">
        <f t="shared" si="14"/>
        <v>24.311284689997141</v>
      </c>
      <c r="M78" s="1151">
        <f t="shared" si="14"/>
        <v>25.984053148652205</v>
      </c>
      <c r="N78" s="1156">
        <f t="shared" si="14"/>
        <v>27.698449309895931</v>
      </c>
    </row>
    <row r="79" spans="1:32" s="14" customFormat="1" hidden="1" outlineLevel="1" x14ac:dyDescent="0.2">
      <c r="B79" s="49"/>
      <c r="C79" s="795"/>
      <c r="D79" s="225"/>
      <c r="E79" s="432"/>
      <c r="F79" s="432"/>
      <c r="G79" s="432"/>
      <c r="H79" s="432"/>
      <c r="I79" s="432"/>
      <c r="J79" s="432"/>
      <c r="K79" s="432"/>
      <c r="L79" s="432"/>
      <c r="M79" s="432"/>
      <c r="N79" s="445"/>
    </row>
    <row r="80" spans="1:32" s="14" customFormat="1" hidden="1" outlineLevel="1" x14ac:dyDescent="0.2">
      <c r="C80" s="817" t="s">
        <v>4125</v>
      </c>
      <c r="D80" s="1148" t="str">
        <f t="shared" ref="D80:N80" si="15">eSystemsFTERework_OutputSummary</f>
        <v>eSystems (Paperless) Rework FTEs</v>
      </c>
      <c r="E80" s="1147">
        <f t="shared" si="15"/>
        <v>3.3809640725101917</v>
      </c>
      <c r="F80" s="1147">
        <f t="shared" si="15"/>
        <v>0.13506303712304002</v>
      </c>
      <c r="G80" s="1147">
        <f t="shared" si="15"/>
        <v>0.10119950950058242</v>
      </c>
      <c r="H80" s="1147">
        <f t="shared" si="15"/>
        <v>0.11834419632856952</v>
      </c>
      <c r="I80" s="1147">
        <f t="shared" si="15"/>
        <v>0.10151010769406771</v>
      </c>
      <c r="J80" s="1147">
        <f t="shared" si="15"/>
        <v>8.4652727365698774E-2</v>
      </c>
      <c r="K80" s="1147">
        <f t="shared" si="15"/>
        <v>6.777146783218238E-2</v>
      </c>
      <c r="L80" s="1147">
        <f t="shared" si="15"/>
        <v>5.0865879820186657E-2</v>
      </c>
      <c r="M80" s="1147">
        <f t="shared" si="15"/>
        <v>3.3935613894897895E-2</v>
      </c>
      <c r="N80" s="1155">
        <f t="shared" si="15"/>
        <v>1.698039418672628E-2</v>
      </c>
    </row>
    <row r="81" spans="1:14" s="14" customFormat="1" hidden="1" outlineLevel="1" x14ac:dyDescent="0.2">
      <c r="C81" s="795"/>
      <c r="D81" s="1148" t="str">
        <f t="shared" ref="D81:N81" si="16">eSystemsLeaseRelatedTotalFTEs_OutputSummary</f>
        <v>eSystems Lease Related FTEs TOTAL</v>
      </c>
      <c r="E81" s="1147">
        <f t="shared" si="16"/>
        <v>10.963890506697727</v>
      </c>
      <c r="F81" s="1147">
        <f t="shared" si="16"/>
        <v>6.4174432149097251</v>
      </c>
      <c r="G81" s="1147">
        <f t="shared" si="16"/>
        <v>6.6322073383808959</v>
      </c>
      <c r="H81" s="1147">
        <f t="shared" si="16"/>
        <v>4.706610366919044</v>
      </c>
      <c r="I81" s="1147">
        <f t="shared" si="16"/>
        <v>4.9286546301688983</v>
      </c>
      <c r="J81" s="1147">
        <f t="shared" si="16"/>
        <v>6.2864006988934173</v>
      </c>
      <c r="K81" s="1147">
        <f t="shared" si="16"/>
        <v>6.5011648223645881</v>
      </c>
      <c r="L81" s="1147">
        <f t="shared" si="16"/>
        <v>4.604688410017471</v>
      </c>
      <c r="M81" s="1147">
        <f t="shared" si="16"/>
        <v>4.8267326732673261</v>
      </c>
      <c r="N81" s="1155">
        <f t="shared" si="16"/>
        <v>6.1553581828771096</v>
      </c>
    </row>
    <row r="82" spans="1:14" hidden="1" outlineLevel="1" x14ac:dyDescent="0.2">
      <c r="A82" s="14"/>
      <c r="C82" s="368"/>
      <c r="D82" s="1148" t="str">
        <f t="shared" ref="D82:N82" si="17">eSystemsFTEWarranty_OutputSummary</f>
        <v>eSystems (Paperless) Warranty SCL FTEs</v>
      </c>
      <c r="E82" s="1147">
        <f t="shared" si="17"/>
        <v>1.8171228887594639</v>
      </c>
      <c r="F82" s="1147">
        <f t="shared" si="17"/>
        <v>1.8171228887594639</v>
      </c>
      <c r="G82" s="1147">
        <f t="shared" si="17"/>
        <v>1.8171228887594639</v>
      </c>
      <c r="H82" s="1147">
        <f t="shared" si="17"/>
        <v>1.8171228887594639</v>
      </c>
      <c r="I82" s="1147">
        <f t="shared" si="17"/>
        <v>1.8171228887594639</v>
      </c>
      <c r="J82" s="1147">
        <f t="shared" si="17"/>
        <v>1.8171228887594639</v>
      </c>
      <c r="K82" s="1147">
        <f t="shared" si="17"/>
        <v>1.8171228887594639</v>
      </c>
      <c r="L82" s="1147">
        <f t="shared" si="17"/>
        <v>1.8171228887594639</v>
      </c>
      <c r="M82" s="1147">
        <f t="shared" si="17"/>
        <v>1.8171228887594639</v>
      </c>
      <c r="N82" s="1155">
        <f t="shared" si="17"/>
        <v>1.8171228887594639</v>
      </c>
    </row>
    <row r="83" spans="1:14" hidden="1" outlineLevel="1" x14ac:dyDescent="0.2">
      <c r="A83" s="14"/>
      <c r="C83" s="368"/>
      <c r="D83" s="1153" t="s">
        <v>4127</v>
      </c>
      <c r="E83" s="1151">
        <f>SUM(E80:E82)</f>
        <v>16.161977467967382</v>
      </c>
      <c r="F83" s="1151">
        <f t="shared" ref="F83" si="18">SUM(F80:F82)</f>
        <v>8.3696291407922292</v>
      </c>
      <c r="G83" s="1151">
        <f t="shared" ref="G83" si="19">SUM(G80:G82)</f>
        <v>8.550529736640943</v>
      </c>
      <c r="H83" s="1151">
        <f t="shared" ref="H83" si="20">SUM(H80:H82)</f>
        <v>6.6420774520070776</v>
      </c>
      <c r="I83" s="1151">
        <f t="shared" ref="I83" si="21">SUM(I80:I82)</f>
        <v>6.8472876266224301</v>
      </c>
      <c r="J83" s="1151">
        <f t="shared" ref="J83" si="22">SUM(J80:J82)</f>
        <v>8.1881763150185805</v>
      </c>
      <c r="K83" s="1151">
        <f t="shared" ref="K83" si="23">SUM(K80:K82)</f>
        <v>8.3860591789562342</v>
      </c>
      <c r="L83" s="1151">
        <f t="shared" ref="L83" si="24">SUM(L80:L82)</f>
        <v>6.4726771785971211</v>
      </c>
      <c r="M83" s="1151">
        <f t="shared" ref="M83" si="25">SUM(M80:M82)</f>
        <v>6.6777911759216879</v>
      </c>
      <c r="N83" s="1156">
        <f t="shared" ref="N83" si="26">SUM(N80:N82)</f>
        <v>7.9894614658232994</v>
      </c>
    </row>
    <row r="84" spans="1:14" ht="13.5" hidden="1" outlineLevel="1" thickBot="1" x14ac:dyDescent="0.25">
      <c r="A84" s="14"/>
      <c r="C84" s="373"/>
      <c r="D84" s="429"/>
      <c r="E84" s="429"/>
      <c r="F84" s="429"/>
      <c r="G84" s="429"/>
      <c r="H84" s="429"/>
      <c r="I84" s="429"/>
      <c r="J84" s="429"/>
      <c r="K84" s="429"/>
      <c r="L84" s="429"/>
      <c r="M84" s="429"/>
      <c r="N84" s="430"/>
    </row>
    <row r="85" spans="1:14" hidden="1" outlineLevel="1" x14ac:dyDescent="0.2"/>
    <row r="86" spans="1:14" hidden="1" outlineLevel="1" x14ac:dyDescent="0.2"/>
    <row r="87" spans="1:14" hidden="1" outlineLevel="1" x14ac:dyDescent="0.2"/>
    <row r="88" spans="1:14" hidden="1" outlineLevel="1" x14ac:dyDescent="0.2"/>
    <row r="89" spans="1:14" hidden="1" outlineLevel="1" x14ac:dyDescent="0.2"/>
    <row r="90" spans="1:14" hidden="1" outlineLevel="1" x14ac:dyDescent="0.2"/>
    <row r="91" spans="1:14" hidden="1" outlineLevel="1" x14ac:dyDescent="0.2"/>
    <row r="92" spans="1:14" hidden="1" outlineLevel="1" x14ac:dyDescent="0.2"/>
    <row r="93" spans="1:14" hidden="1" outlineLevel="1" x14ac:dyDescent="0.2"/>
    <row r="94" spans="1:14" hidden="1" outlineLevel="1" x14ac:dyDescent="0.2"/>
    <row r="95" spans="1:14" hidden="1" outlineLevel="1" x14ac:dyDescent="0.2"/>
    <row r="96" spans="1:14" hidden="1" outlineLevel="1" x14ac:dyDescent="0.2"/>
    <row r="97" hidden="1" outlineLevel="1" x14ac:dyDescent="0.2"/>
    <row r="98" hidden="1" outlineLevel="1" x14ac:dyDescent="0.2"/>
    <row r="99" hidden="1" outlineLevel="1" x14ac:dyDescent="0.2"/>
    <row r="100" hidden="1" outlineLevel="1" x14ac:dyDescent="0.2"/>
    <row r="101" hidden="1" outlineLevel="1" x14ac:dyDescent="0.2"/>
    <row r="102" hidden="1" outlineLevel="1" x14ac:dyDescent="0.2"/>
    <row r="103" hidden="1" outlineLevel="1" x14ac:dyDescent="0.2"/>
    <row r="104" hidden="1" outlineLevel="1" x14ac:dyDescent="0.2"/>
    <row r="105" hidden="1" outlineLevel="1" x14ac:dyDescent="0.2"/>
    <row r="106" hidden="1" outlineLevel="1" x14ac:dyDescent="0.2"/>
    <row r="107" hidden="1" outlineLevel="1" x14ac:dyDescent="0.2"/>
    <row r="108" hidden="1" outlineLevel="1" x14ac:dyDescent="0.2"/>
    <row r="109" hidden="1" outlineLevel="1" x14ac:dyDescent="0.2"/>
    <row r="110" hidden="1" outlineLevel="1" x14ac:dyDescent="0.2"/>
    <row r="111" hidden="1" outlineLevel="1" x14ac:dyDescent="0.2"/>
    <row r="112" hidden="1" outlineLevel="1" x14ac:dyDescent="0.2"/>
    <row r="113" spans="1:32" hidden="1" outlineLevel="1" x14ac:dyDescent="0.2"/>
    <row r="114" spans="1:32" hidden="1" outlineLevel="1" x14ac:dyDescent="0.2"/>
    <row r="115" spans="1:32" hidden="1" outlineLevel="1" x14ac:dyDescent="0.2"/>
    <row r="116" spans="1:32" s="122" customFormat="1" ht="15.75" collapsed="1" x14ac:dyDescent="0.2">
      <c r="A116" s="1043" t="s">
        <v>4214</v>
      </c>
      <c r="B116" s="1039"/>
      <c r="C116" s="1039"/>
      <c r="D116" s="1039"/>
      <c r="E116" s="1039"/>
      <c r="F116" s="1039"/>
      <c r="G116" s="1039"/>
      <c r="H116" s="1039"/>
      <c r="I116" s="1039"/>
      <c r="J116" s="1039"/>
      <c r="K116" s="1039"/>
      <c r="L116" s="1039"/>
      <c r="M116" s="1039"/>
      <c r="N116" s="1039"/>
      <c r="O116" s="1039"/>
      <c r="P116" s="206"/>
      <c r="Q116" s="206"/>
      <c r="R116" s="206"/>
      <c r="S116" s="206"/>
      <c r="T116" s="206"/>
      <c r="U116" s="206"/>
      <c r="V116" s="206"/>
      <c r="W116" s="206"/>
      <c r="X116" s="206"/>
      <c r="Y116" s="206"/>
      <c r="Z116" s="206"/>
      <c r="AA116" s="206"/>
      <c r="AB116" s="206"/>
      <c r="AC116" s="206"/>
      <c r="AD116" s="206"/>
      <c r="AE116" s="206"/>
      <c r="AF116" s="206"/>
    </row>
  </sheetData>
  <mergeCells count="9">
    <mergeCell ref="A14:A17"/>
    <mergeCell ref="A63:A66"/>
    <mergeCell ref="B2:L2"/>
    <mergeCell ref="M2:O2"/>
    <mergeCell ref="B3:L4"/>
    <mergeCell ref="M3:O3"/>
    <mergeCell ref="M4:O4"/>
    <mergeCell ref="A2:A4"/>
    <mergeCell ref="A7:A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CC"/>
    <pageSetUpPr fitToPage="1"/>
  </sheetPr>
  <dimension ref="A1:AW1117"/>
  <sheetViews>
    <sheetView workbookViewId="0">
      <selection activeCell="D12" sqref="D12"/>
    </sheetView>
  </sheetViews>
  <sheetFormatPr defaultColWidth="8.85546875" defaultRowHeight="12.75" x14ac:dyDescent="0.2"/>
  <cols>
    <col min="1" max="1" width="50.7109375" style="142" customWidth="1"/>
    <col min="2" max="2" width="5.7109375" style="145" customWidth="1"/>
    <col min="3" max="3" width="50.7109375" style="146" customWidth="1"/>
    <col min="4" max="4" width="35.7109375" style="146" customWidth="1"/>
    <col min="5" max="14" width="15.7109375" style="142" customWidth="1"/>
    <col min="15" max="15" width="35.7109375" style="151" customWidth="1"/>
    <col min="16" max="16384" width="8.85546875" style="142"/>
  </cols>
  <sheetData>
    <row r="1" spans="1:49" s="8" customFormat="1" ht="30" customHeight="1" x14ac:dyDescent="0.2">
      <c r="A1" s="1183"/>
      <c r="B1" s="155"/>
      <c r="C1" s="1182" t="s">
        <v>4148</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49" s="140" customFormat="1" ht="45" customHeight="1" x14ac:dyDescent="0.3">
      <c r="A2" s="1346"/>
      <c r="B2" s="1352" t="str">
        <f>CompanyOrg</f>
        <v>IATA</v>
      </c>
      <c r="C2" s="1352"/>
      <c r="D2" s="1352"/>
      <c r="E2" s="1352"/>
      <c r="F2" s="1352"/>
      <c r="G2" s="1352"/>
      <c r="H2" s="1352"/>
      <c r="I2" s="1352"/>
      <c r="J2" s="1352"/>
      <c r="K2" s="1352"/>
      <c r="L2" s="1353"/>
      <c r="M2" s="1366" t="s">
        <v>16</v>
      </c>
      <c r="N2" s="1367"/>
      <c r="O2" s="1368"/>
      <c r="P2" s="23"/>
    </row>
    <row r="3" spans="1:49" s="139" customFormat="1" ht="20.25" customHeight="1" x14ac:dyDescent="0.2">
      <c r="A3" s="1347"/>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49" s="3" customFormat="1" ht="14.1" customHeight="1" x14ac:dyDescent="0.2">
      <c r="A4" s="1348"/>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49" s="139" customFormat="1" ht="15.75" thickBot="1" x14ac:dyDescent="0.3">
      <c r="A5" s="1108"/>
      <c r="B5" s="12"/>
      <c r="C5" s="12"/>
      <c r="D5" s="30"/>
      <c r="E5" s="12"/>
      <c r="F5" s="12"/>
      <c r="G5" s="12"/>
      <c r="H5" s="12"/>
      <c r="I5" s="12"/>
      <c r="J5" s="12"/>
      <c r="K5" s="12"/>
      <c r="L5" s="12"/>
      <c r="M5" s="12"/>
      <c r="N5" s="12"/>
      <c r="O5" s="819"/>
      <c r="P5" s="819"/>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6" spans="1:49" ht="20.100000000000001" customHeight="1" x14ac:dyDescent="0.2">
      <c r="A6" s="975" t="s">
        <v>4149</v>
      </c>
      <c r="B6" s="139"/>
      <c r="C6" s="139"/>
      <c r="D6" s="139"/>
      <c r="E6" s="139"/>
      <c r="F6" s="139"/>
      <c r="G6" s="139"/>
      <c r="H6" s="139"/>
    </row>
    <row r="7" spans="1:49" x14ac:dyDescent="0.2">
      <c r="B7" s="139"/>
      <c r="C7" s="139"/>
      <c r="D7" s="139"/>
      <c r="E7" s="139"/>
      <c r="F7" s="139"/>
      <c r="G7" s="139"/>
      <c r="H7" s="139"/>
    </row>
    <row r="8" spans="1:49" ht="147.75" customHeight="1" x14ac:dyDescent="0.2">
      <c r="A8" s="1454" t="s">
        <v>440</v>
      </c>
      <c r="B8" s="1454"/>
      <c r="C8" s="1454"/>
      <c r="D8" s="1454"/>
      <c r="E8" s="1454"/>
      <c r="F8" s="1454"/>
      <c r="G8" s="1454"/>
      <c r="H8" s="1454"/>
      <c r="I8" s="1454"/>
      <c r="J8" s="1454"/>
      <c r="K8" s="1454"/>
      <c r="L8" s="1454"/>
      <c r="M8" s="1454"/>
      <c r="N8" s="1454"/>
    </row>
    <row r="9" spans="1:49" ht="15.75" thickBot="1" x14ac:dyDescent="0.25">
      <c r="A9" s="496"/>
      <c r="B9" s="139"/>
      <c r="C9" s="142"/>
      <c r="D9" s="139"/>
      <c r="F9" s="139"/>
      <c r="G9" s="139"/>
      <c r="H9" s="139"/>
    </row>
    <row r="10" spans="1:49" ht="15.75" x14ac:dyDescent="0.2">
      <c r="A10" s="975" t="s">
        <v>4150</v>
      </c>
      <c r="B10" s="139"/>
      <c r="C10" s="142"/>
      <c r="D10" s="139"/>
      <c r="F10" s="139"/>
      <c r="G10" s="139"/>
      <c r="H10" s="139"/>
    </row>
    <row r="11" spans="1:49" ht="203.25" customHeight="1" x14ac:dyDescent="0.2">
      <c r="A11" s="1455" t="s">
        <v>4153</v>
      </c>
      <c r="B11" s="1456"/>
      <c r="C11" s="1456"/>
      <c r="D11" s="1456"/>
      <c r="E11" s="1456"/>
      <c r="F11" s="1456"/>
      <c r="G11" s="1456"/>
      <c r="H11" s="1456"/>
      <c r="I11" s="1456"/>
      <c r="J11" s="1456"/>
      <c r="K11" s="1456"/>
      <c r="L11" s="1456"/>
      <c r="M11" s="1456"/>
      <c r="N11" s="1456"/>
    </row>
    <row r="12" spans="1:49" ht="15.75" thickBot="1" x14ac:dyDescent="0.25">
      <c r="A12" s="496"/>
      <c r="B12" s="139"/>
      <c r="C12" s="142"/>
      <c r="D12" s="139"/>
      <c r="F12" s="139"/>
      <c r="G12" s="139"/>
      <c r="H12" s="139"/>
    </row>
    <row r="13" spans="1:49" ht="15.75" x14ac:dyDescent="0.2">
      <c r="A13" s="975" t="s">
        <v>4151</v>
      </c>
      <c r="B13" s="497"/>
      <c r="C13" s="497"/>
      <c r="D13" s="497"/>
      <c r="E13" s="497"/>
      <c r="F13" s="497"/>
      <c r="G13" s="497"/>
      <c r="H13" s="497"/>
      <c r="I13" s="497"/>
      <c r="J13" s="497"/>
      <c r="K13" s="497"/>
      <c r="L13" s="497"/>
      <c r="M13" s="497"/>
      <c r="N13" s="497"/>
    </row>
    <row r="14" spans="1:49" ht="15" x14ac:dyDescent="0.2">
      <c r="A14" s="496"/>
      <c r="B14" s="139"/>
      <c r="C14" s="142"/>
      <c r="D14" s="139"/>
      <c r="F14" s="139"/>
      <c r="G14" s="139"/>
      <c r="H14" s="139"/>
    </row>
    <row r="15" spans="1:49" ht="12.95" customHeight="1" x14ac:dyDescent="0.2">
      <c r="A15" s="139"/>
      <c r="B15" s="139"/>
      <c r="C15" s="139"/>
      <c r="D15" s="139"/>
      <c r="E15" s="139"/>
      <c r="F15" s="139"/>
      <c r="G15" s="139"/>
      <c r="H15" s="139"/>
    </row>
    <row r="16" spans="1:49" ht="12.75" customHeight="1" x14ac:dyDescent="0.2">
      <c r="A16" s="193" t="s">
        <v>376</v>
      </c>
      <c r="B16" s="142"/>
      <c r="C16" s="142"/>
      <c r="D16" s="142"/>
    </row>
    <row r="17" spans="1:4" ht="12.75" customHeight="1" x14ac:dyDescent="0.2">
      <c r="B17" s="142"/>
      <c r="C17" s="142"/>
      <c r="D17" s="142"/>
    </row>
    <row r="18" spans="1:4" ht="12.75" customHeight="1" x14ac:dyDescent="0.2">
      <c r="A18" s="193" t="s">
        <v>377</v>
      </c>
      <c r="B18" s="142"/>
      <c r="C18" s="142"/>
      <c r="D18" s="142"/>
    </row>
    <row r="19" spans="1:4" ht="12.75" customHeight="1" x14ac:dyDescent="0.2">
      <c r="B19" s="142"/>
      <c r="C19" s="142"/>
      <c r="D19" s="142"/>
    </row>
    <row r="20" spans="1:4" ht="12.75" customHeight="1" x14ac:dyDescent="0.2">
      <c r="B20" s="142"/>
      <c r="C20" s="142"/>
      <c r="D20" s="142"/>
    </row>
    <row r="21" spans="1:4" ht="12.75" customHeight="1" x14ac:dyDescent="0.2">
      <c r="B21" s="142"/>
      <c r="C21" s="142"/>
      <c r="D21" s="142"/>
    </row>
    <row r="22" spans="1:4" ht="12.75" customHeight="1" x14ac:dyDescent="0.2">
      <c r="B22" s="142"/>
      <c r="C22" s="142"/>
      <c r="D22" s="142"/>
    </row>
    <row r="23" spans="1:4" ht="12.75" customHeight="1" x14ac:dyDescent="0.2">
      <c r="B23" s="142"/>
      <c r="C23" s="142"/>
      <c r="D23" s="142"/>
    </row>
    <row r="24" spans="1:4" ht="12.75" customHeight="1" x14ac:dyDescent="0.2">
      <c r="B24" s="142"/>
      <c r="C24" s="142"/>
      <c r="D24" s="142"/>
    </row>
    <row r="25" spans="1:4" ht="12.75" customHeight="1" x14ac:dyDescent="0.2">
      <c r="A25" s="193" t="s">
        <v>378</v>
      </c>
      <c r="B25" s="142"/>
      <c r="C25" s="142"/>
      <c r="D25" s="142"/>
    </row>
    <row r="26" spans="1:4" ht="12.75" customHeight="1" x14ac:dyDescent="0.2">
      <c r="B26" s="142"/>
      <c r="C26" s="142"/>
      <c r="D26" s="142"/>
    </row>
    <row r="27" spans="1:4" ht="12.75" customHeight="1" x14ac:dyDescent="0.2">
      <c r="B27" s="142"/>
      <c r="C27" s="142"/>
      <c r="D27" s="142"/>
    </row>
    <row r="28" spans="1:4" ht="12.75" customHeight="1" x14ac:dyDescent="0.2">
      <c r="B28" s="142"/>
      <c r="C28" s="142"/>
      <c r="D28" s="142"/>
    </row>
    <row r="29" spans="1:4" ht="12.75" customHeight="1" x14ac:dyDescent="0.2">
      <c r="B29" s="142"/>
      <c r="C29" s="142"/>
      <c r="D29" s="142"/>
    </row>
    <row r="30" spans="1:4" ht="12.75" customHeight="1" x14ac:dyDescent="0.2">
      <c r="B30" s="142"/>
      <c r="C30" s="142"/>
      <c r="D30" s="142"/>
    </row>
    <row r="31" spans="1:4" ht="12.75" customHeight="1" x14ac:dyDescent="0.2">
      <c r="B31" s="142"/>
      <c r="C31" s="142"/>
      <c r="D31" s="142"/>
    </row>
    <row r="32" spans="1:4" ht="12.75" customHeight="1" x14ac:dyDescent="0.2">
      <c r="B32" s="142"/>
      <c r="C32" s="142"/>
      <c r="D32" s="142"/>
    </row>
    <row r="33" spans="2:4" ht="12.75" customHeight="1" x14ac:dyDescent="0.2">
      <c r="B33" s="142"/>
      <c r="C33" s="142"/>
      <c r="D33" s="142"/>
    </row>
    <row r="34" spans="2:4" ht="12.75" customHeight="1" x14ac:dyDescent="0.2">
      <c r="B34" s="142"/>
      <c r="C34" s="142"/>
      <c r="D34" s="142"/>
    </row>
    <row r="35" spans="2:4" ht="12.75" customHeight="1" x14ac:dyDescent="0.2">
      <c r="B35" s="142"/>
      <c r="C35" s="142"/>
      <c r="D35" s="142"/>
    </row>
    <row r="36" spans="2:4" ht="12.75" customHeight="1" x14ac:dyDescent="0.2">
      <c r="B36" s="142"/>
      <c r="C36" s="142"/>
      <c r="D36" s="142"/>
    </row>
    <row r="37" spans="2:4" ht="12.75" customHeight="1" x14ac:dyDescent="0.2">
      <c r="B37" s="142"/>
      <c r="C37" s="142"/>
      <c r="D37" s="142"/>
    </row>
    <row r="38" spans="2:4" ht="12.75" customHeight="1" x14ac:dyDescent="0.2">
      <c r="B38" s="142"/>
      <c r="C38" s="142"/>
      <c r="D38" s="142"/>
    </row>
    <row r="39" spans="2:4" ht="12.75" customHeight="1" x14ac:dyDescent="0.2">
      <c r="B39" s="142"/>
      <c r="C39" s="142"/>
      <c r="D39" s="142"/>
    </row>
    <row r="40" spans="2:4" ht="12.75" customHeight="1" x14ac:dyDescent="0.2">
      <c r="B40" s="142"/>
      <c r="C40" s="142"/>
      <c r="D40" s="142"/>
    </row>
    <row r="41" spans="2:4" ht="12.75" customHeight="1" x14ac:dyDescent="0.2">
      <c r="B41" s="142"/>
      <c r="C41" s="142"/>
      <c r="D41" s="142"/>
    </row>
    <row r="42" spans="2:4" ht="12.75" customHeight="1" x14ac:dyDescent="0.2">
      <c r="B42" s="142"/>
      <c r="C42" s="142"/>
      <c r="D42" s="142"/>
    </row>
    <row r="43" spans="2:4" ht="12.75" customHeight="1" x14ac:dyDescent="0.2">
      <c r="B43" s="142"/>
      <c r="C43" s="142"/>
      <c r="D43" s="142"/>
    </row>
    <row r="44" spans="2:4" ht="12.75" customHeight="1" x14ac:dyDescent="0.2">
      <c r="B44" s="142"/>
      <c r="C44" s="142"/>
      <c r="D44" s="142"/>
    </row>
    <row r="45" spans="2:4" ht="12.75" customHeight="1" x14ac:dyDescent="0.2">
      <c r="B45" s="142"/>
      <c r="C45" s="142"/>
      <c r="D45" s="142"/>
    </row>
    <row r="46" spans="2:4" ht="12.75" customHeight="1" x14ac:dyDescent="0.2">
      <c r="B46" s="142"/>
      <c r="C46" s="142"/>
      <c r="D46" s="142"/>
    </row>
    <row r="47" spans="2:4" ht="12.75" customHeight="1" x14ac:dyDescent="0.2">
      <c r="B47" s="142"/>
      <c r="C47" s="142"/>
      <c r="D47" s="142"/>
    </row>
    <row r="48" spans="2:4" ht="12.75" customHeight="1" x14ac:dyDescent="0.2">
      <c r="B48" s="142"/>
      <c r="C48" s="142"/>
      <c r="D48" s="142"/>
    </row>
    <row r="49" spans="1:4" ht="12.75" customHeight="1" x14ac:dyDescent="0.2">
      <c r="B49" s="142"/>
      <c r="C49" s="142"/>
      <c r="D49" s="142"/>
    </row>
    <row r="50" spans="1:4" ht="12.75" customHeight="1" x14ac:dyDescent="0.2">
      <c r="B50" s="142"/>
      <c r="C50" s="142"/>
      <c r="D50" s="142"/>
    </row>
    <row r="51" spans="1:4" ht="12.75" customHeight="1" x14ac:dyDescent="0.2">
      <c r="B51" s="142"/>
      <c r="C51" s="142"/>
      <c r="D51" s="142"/>
    </row>
    <row r="52" spans="1:4" ht="12.75" customHeight="1" x14ac:dyDescent="0.2">
      <c r="B52" s="142"/>
      <c r="C52" s="142"/>
      <c r="D52" s="142"/>
    </row>
    <row r="53" spans="1:4" ht="12.75" customHeight="1" x14ac:dyDescent="0.2">
      <c r="B53" s="142"/>
      <c r="C53" s="142"/>
      <c r="D53" s="142"/>
    </row>
    <row r="54" spans="1:4" ht="12.75" customHeight="1" x14ac:dyDescent="0.2">
      <c r="B54" s="142"/>
      <c r="C54" s="142"/>
      <c r="D54" s="142"/>
    </row>
    <row r="55" spans="1:4" ht="12.75" customHeight="1" x14ac:dyDescent="0.2">
      <c r="B55" s="142"/>
      <c r="C55" s="142"/>
      <c r="D55" s="142"/>
    </row>
    <row r="56" spans="1:4" ht="12.75" customHeight="1" x14ac:dyDescent="0.2">
      <c r="B56" s="142"/>
      <c r="C56" s="142"/>
      <c r="D56" s="142"/>
    </row>
    <row r="57" spans="1:4" ht="12.75" customHeight="1" x14ac:dyDescent="0.2">
      <c r="B57" s="142"/>
      <c r="C57" s="142"/>
      <c r="D57" s="142"/>
    </row>
    <row r="58" spans="1:4" ht="12.75" customHeight="1" x14ac:dyDescent="0.2">
      <c r="B58" s="142"/>
      <c r="C58" s="142"/>
      <c r="D58" s="142"/>
    </row>
    <row r="59" spans="1:4" ht="12.75" customHeight="1" x14ac:dyDescent="0.2">
      <c r="B59" s="142"/>
      <c r="C59" s="142"/>
      <c r="D59" s="142"/>
    </row>
    <row r="60" spans="1:4" ht="159" customHeight="1" x14ac:dyDescent="0.2">
      <c r="A60" s="498" t="s">
        <v>441</v>
      </c>
      <c r="B60" s="142"/>
      <c r="C60" s="142"/>
      <c r="D60" s="142"/>
    </row>
    <row r="61" spans="1:4" ht="12.75" customHeight="1" x14ac:dyDescent="0.2">
      <c r="A61" s="499"/>
      <c r="B61" s="142"/>
      <c r="C61" s="142"/>
      <c r="D61" s="142"/>
    </row>
    <row r="62" spans="1:4" ht="12.75" customHeight="1" x14ac:dyDescent="0.2">
      <c r="A62" s="499"/>
      <c r="B62" s="142"/>
      <c r="C62" s="142"/>
      <c r="D62" s="142"/>
    </row>
    <row r="63" spans="1:4" ht="12.75" customHeight="1" x14ac:dyDescent="0.2">
      <c r="A63" s="500" t="s">
        <v>379</v>
      </c>
      <c r="B63" s="142"/>
      <c r="C63" s="142"/>
      <c r="D63" s="142"/>
    </row>
    <row r="64" spans="1:4" ht="12.75" customHeight="1" x14ac:dyDescent="0.2">
      <c r="A64" s="499"/>
      <c r="B64" s="142"/>
      <c r="C64" s="142"/>
      <c r="D64" s="142"/>
    </row>
    <row r="65" spans="1:4" ht="43.5" customHeight="1" x14ac:dyDescent="0.2">
      <c r="A65" s="498" t="s">
        <v>442</v>
      </c>
      <c r="B65" s="142"/>
      <c r="C65" s="142"/>
      <c r="D65" s="142"/>
    </row>
    <row r="66" spans="1:4" ht="12.75" customHeight="1" x14ac:dyDescent="0.2">
      <c r="A66" s="499"/>
      <c r="B66" s="142"/>
      <c r="C66" s="142"/>
      <c r="D66" s="142"/>
    </row>
    <row r="67" spans="1:4" ht="12.75" customHeight="1" x14ac:dyDescent="0.2">
      <c r="A67" s="500" t="s">
        <v>380</v>
      </c>
      <c r="B67" s="142"/>
      <c r="C67" s="142"/>
      <c r="D67" s="142"/>
    </row>
    <row r="68" spans="1:4" ht="12.75" customHeight="1" x14ac:dyDescent="0.2">
      <c r="A68" s="499"/>
      <c r="B68" s="142"/>
      <c r="C68" s="142"/>
      <c r="D68" s="142"/>
    </row>
    <row r="69" spans="1:4" ht="12.75" customHeight="1" x14ac:dyDescent="0.2">
      <c r="A69" s="499"/>
      <c r="B69" s="142"/>
      <c r="C69" s="142"/>
      <c r="D69" s="142"/>
    </row>
    <row r="70" spans="1:4" ht="12.75" customHeight="1" x14ac:dyDescent="0.2">
      <c r="A70" s="499"/>
      <c r="B70" s="142"/>
      <c r="C70" s="142"/>
      <c r="D70" s="142"/>
    </row>
    <row r="71" spans="1:4" ht="12.75" customHeight="1" x14ac:dyDescent="0.2">
      <c r="A71" s="499"/>
      <c r="B71" s="142"/>
      <c r="C71" s="142"/>
      <c r="D71" s="142"/>
    </row>
    <row r="72" spans="1:4" ht="12.75" customHeight="1" x14ac:dyDescent="0.2">
      <c r="A72" s="499"/>
      <c r="B72" s="142"/>
      <c r="C72" s="142"/>
      <c r="D72" s="142"/>
    </row>
    <row r="73" spans="1:4" ht="12.75" customHeight="1" x14ac:dyDescent="0.2">
      <c r="A73" s="499"/>
      <c r="B73" s="142"/>
      <c r="C73" s="142"/>
      <c r="D73" s="142"/>
    </row>
    <row r="74" spans="1:4" ht="12.75" customHeight="1" x14ac:dyDescent="0.2">
      <c r="A74" s="499"/>
      <c r="B74" s="142"/>
      <c r="C74" s="142"/>
      <c r="D74" s="142"/>
    </row>
    <row r="75" spans="1:4" ht="12.75" customHeight="1" x14ac:dyDescent="0.2">
      <c r="A75" s="499"/>
      <c r="B75" s="142"/>
      <c r="C75" s="142"/>
      <c r="D75" s="142"/>
    </row>
    <row r="76" spans="1:4" ht="12.75" customHeight="1" x14ac:dyDescent="0.2">
      <c r="A76" s="500" t="s">
        <v>443</v>
      </c>
      <c r="B76" s="142"/>
      <c r="C76" s="142"/>
      <c r="D76" s="142"/>
    </row>
    <row r="77" spans="1:4" ht="12.75" customHeight="1" x14ac:dyDescent="0.2">
      <c r="A77" s="499"/>
      <c r="B77" s="142"/>
      <c r="C77" s="142"/>
      <c r="D77" s="142"/>
    </row>
    <row r="78" spans="1:4" ht="12.75" customHeight="1" x14ac:dyDescent="0.2">
      <c r="A78" s="499"/>
      <c r="B78" s="142"/>
      <c r="C78" s="142"/>
      <c r="D78" s="142"/>
    </row>
    <row r="79" spans="1:4" ht="12.75" customHeight="1" x14ac:dyDescent="0.2">
      <c r="B79" s="142"/>
      <c r="C79" s="142"/>
      <c r="D79" s="142"/>
    </row>
    <row r="80" spans="1:4" ht="12.75" customHeight="1" x14ac:dyDescent="0.2">
      <c r="B80" s="142"/>
      <c r="C80" s="142"/>
      <c r="D80" s="142"/>
    </row>
    <row r="81" spans="1:4" x14ac:dyDescent="0.2">
      <c r="A81" s="193" t="s">
        <v>4152</v>
      </c>
      <c r="B81" s="142"/>
      <c r="C81" s="142"/>
      <c r="D81" s="142"/>
    </row>
    <row r="82" spans="1:4" x14ac:dyDescent="0.2">
      <c r="B82" s="142"/>
      <c r="C82" s="142"/>
      <c r="D82" s="142"/>
    </row>
    <row r="83" spans="1:4" x14ac:dyDescent="0.2">
      <c r="B83" s="142"/>
      <c r="C83" s="142"/>
      <c r="D83" s="142"/>
    </row>
    <row r="84" spans="1:4" x14ac:dyDescent="0.2">
      <c r="B84" s="142"/>
      <c r="C84" s="142"/>
      <c r="D84" s="142"/>
    </row>
    <row r="85" spans="1:4" x14ac:dyDescent="0.2">
      <c r="B85" s="142"/>
      <c r="C85" s="142"/>
      <c r="D85" s="142"/>
    </row>
    <row r="86" spans="1:4" x14ac:dyDescent="0.2">
      <c r="B86" s="142"/>
      <c r="C86" s="142"/>
      <c r="D86" s="142"/>
    </row>
    <row r="87" spans="1:4" x14ac:dyDescent="0.2">
      <c r="B87" s="142"/>
      <c r="C87" s="142"/>
      <c r="D87" s="142"/>
    </row>
    <row r="88" spans="1:4" x14ac:dyDescent="0.2">
      <c r="B88" s="142"/>
      <c r="C88" s="142"/>
      <c r="D88" s="142"/>
    </row>
    <row r="89" spans="1:4" x14ac:dyDescent="0.2">
      <c r="B89" s="142"/>
      <c r="C89" s="142"/>
      <c r="D89" s="142"/>
    </row>
    <row r="90" spans="1:4" x14ac:dyDescent="0.2">
      <c r="B90" s="142"/>
      <c r="C90" s="142"/>
      <c r="D90" s="142"/>
    </row>
    <row r="91" spans="1:4" x14ac:dyDescent="0.2">
      <c r="B91" s="142"/>
      <c r="C91" s="142"/>
      <c r="D91" s="142"/>
    </row>
    <row r="92" spans="1:4" x14ac:dyDescent="0.2">
      <c r="B92" s="142"/>
      <c r="C92" s="142"/>
      <c r="D92" s="142"/>
    </row>
    <row r="93" spans="1:4" x14ac:dyDescent="0.2">
      <c r="B93" s="142"/>
      <c r="C93" s="142"/>
      <c r="D93" s="142"/>
    </row>
    <row r="94" spans="1:4" x14ac:dyDescent="0.2">
      <c r="B94" s="142"/>
      <c r="C94" s="142"/>
      <c r="D94" s="142"/>
    </row>
    <row r="95" spans="1:4" x14ac:dyDescent="0.2">
      <c r="B95" s="142"/>
      <c r="C95" s="142"/>
      <c r="D95" s="142"/>
    </row>
    <row r="96" spans="1:4" x14ac:dyDescent="0.2">
      <c r="B96" s="142"/>
      <c r="C96" s="142"/>
      <c r="D96" s="142"/>
    </row>
    <row r="97" spans="2:4" x14ac:dyDescent="0.2">
      <c r="B97" s="142"/>
      <c r="C97" s="142"/>
      <c r="D97" s="142"/>
    </row>
    <row r="98" spans="2:4" x14ac:dyDescent="0.2">
      <c r="B98" s="142"/>
      <c r="C98" s="142"/>
      <c r="D98" s="142"/>
    </row>
    <row r="99" spans="2:4" x14ac:dyDescent="0.2">
      <c r="B99" s="142"/>
      <c r="C99" s="142"/>
      <c r="D99" s="142"/>
    </row>
    <row r="100" spans="2:4" x14ac:dyDescent="0.2">
      <c r="B100" s="142"/>
      <c r="C100" s="142"/>
      <c r="D100" s="142"/>
    </row>
    <row r="101" spans="2:4" x14ac:dyDescent="0.2">
      <c r="B101" s="142"/>
      <c r="C101" s="142"/>
      <c r="D101" s="142"/>
    </row>
    <row r="102" spans="2:4" x14ac:dyDescent="0.2">
      <c r="B102" s="142"/>
      <c r="C102" s="142"/>
      <c r="D102" s="142"/>
    </row>
    <row r="103" spans="2:4" x14ac:dyDescent="0.2">
      <c r="B103" s="142"/>
      <c r="C103" s="142"/>
      <c r="D103" s="142"/>
    </row>
    <row r="104" spans="2:4" x14ac:dyDescent="0.2">
      <c r="B104" s="142"/>
      <c r="C104" s="142"/>
      <c r="D104" s="142"/>
    </row>
    <row r="105" spans="2:4" x14ac:dyDescent="0.2">
      <c r="B105" s="142"/>
      <c r="C105" s="142"/>
      <c r="D105" s="142"/>
    </row>
    <row r="106" spans="2:4" x14ac:dyDescent="0.2">
      <c r="B106" s="142"/>
      <c r="C106" s="142"/>
      <c r="D106" s="142"/>
    </row>
    <row r="107" spans="2:4" x14ac:dyDescent="0.2">
      <c r="B107" s="142"/>
      <c r="C107" s="142"/>
      <c r="D107" s="142"/>
    </row>
    <row r="108" spans="2:4" x14ac:dyDescent="0.2">
      <c r="B108" s="142"/>
      <c r="C108" s="142"/>
      <c r="D108" s="142"/>
    </row>
    <row r="109" spans="2:4" x14ac:dyDescent="0.2">
      <c r="B109" s="142"/>
      <c r="C109" s="142"/>
      <c r="D109" s="142"/>
    </row>
    <row r="110" spans="2:4" x14ac:dyDescent="0.2">
      <c r="B110" s="142"/>
      <c r="C110" s="142"/>
      <c r="D110" s="142"/>
    </row>
    <row r="111" spans="2:4" x14ac:dyDescent="0.2">
      <c r="B111" s="142"/>
      <c r="C111" s="142"/>
      <c r="D111" s="142"/>
    </row>
    <row r="112" spans="2:4" x14ac:dyDescent="0.2">
      <c r="B112" s="142"/>
      <c r="C112" s="142"/>
      <c r="D112" s="142"/>
    </row>
    <row r="113" spans="2:4" x14ac:dyDescent="0.2">
      <c r="B113" s="142"/>
      <c r="C113" s="142"/>
      <c r="D113" s="142"/>
    </row>
    <row r="114" spans="2:4" x14ac:dyDescent="0.2">
      <c r="B114" s="142"/>
      <c r="C114" s="142"/>
      <c r="D114" s="142"/>
    </row>
    <row r="115" spans="2:4" x14ac:dyDescent="0.2">
      <c r="B115" s="142"/>
      <c r="C115" s="142"/>
      <c r="D115" s="142"/>
    </row>
    <row r="116" spans="2:4" x14ac:dyDescent="0.2">
      <c r="B116" s="142"/>
      <c r="C116" s="142"/>
      <c r="D116" s="142"/>
    </row>
    <row r="117" spans="2:4" x14ac:dyDescent="0.2">
      <c r="B117" s="142"/>
      <c r="C117" s="142"/>
      <c r="D117" s="142"/>
    </row>
    <row r="118" spans="2:4" x14ac:dyDescent="0.2">
      <c r="B118" s="142"/>
      <c r="C118" s="142"/>
      <c r="D118" s="142"/>
    </row>
    <row r="119" spans="2:4" x14ac:dyDescent="0.2">
      <c r="B119" s="142"/>
      <c r="C119" s="142"/>
      <c r="D119" s="142"/>
    </row>
    <row r="120" spans="2:4" x14ac:dyDescent="0.2">
      <c r="B120" s="142"/>
      <c r="C120" s="142"/>
      <c r="D120" s="142"/>
    </row>
    <row r="121" spans="2:4" x14ac:dyDescent="0.2">
      <c r="B121" s="142"/>
      <c r="C121" s="142"/>
      <c r="D121" s="142"/>
    </row>
    <row r="122" spans="2:4" x14ac:dyDescent="0.2">
      <c r="B122" s="142"/>
      <c r="C122" s="142"/>
      <c r="D122" s="142"/>
    </row>
    <row r="123" spans="2:4" x14ac:dyDescent="0.2">
      <c r="B123" s="142"/>
      <c r="C123" s="142"/>
      <c r="D123" s="142"/>
    </row>
    <row r="124" spans="2:4" x14ac:dyDescent="0.2">
      <c r="B124" s="142"/>
      <c r="C124" s="142"/>
      <c r="D124" s="142"/>
    </row>
    <row r="125" spans="2:4" x14ac:dyDescent="0.2">
      <c r="B125" s="142"/>
      <c r="C125" s="142"/>
      <c r="D125" s="142"/>
    </row>
    <row r="126" spans="2:4" x14ac:dyDescent="0.2">
      <c r="B126" s="142"/>
      <c r="C126" s="142"/>
      <c r="D126" s="142"/>
    </row>
    <row r="127" spans="2:4" x14ac:dyDescent="0.2">
      <c r="B127" s="142"/>
      <c r="C127" s="142"/>
      <c r="D127" s="142"/>
    </row>
    <row r="128" spans="2:4" x14ac:dyDescent="0.2">
      <c r="B128" s="142"/>
      <c r="C128" s="142"/>
      <c r="D128" s="142"/>
    </row>
    <row r="129" spans="2:4" x14ac:dyDescent="0.2">
      <c r="B129" s="142"/>
      <c r="C129" s="142"/>
      <c r="D129" s="142"/>
    </row>
    <row r="130" spans="2:4" x14ac:dyDescent="0.2">
      <c r="B130" s="142"/>
      <c r="C130" s="142"/>
      <c r="D130" s="142"/>
    </row>
    <row r="131" spans="2:4" x14ac:dyDescent="0.2">
      <c r="B131" s="142"/>
      <c r="C131" s="142"/>
      <c r="D131" s="142"/>
    </row>
    <row r="132" spans="2:4" x14ac:dyDescent="0.2">
      <c r="B132" s="142"/>
      <c r="C132" s="142"/>
      <c r="D132" s="142"/>
    </row>
    <row r="133" spans="2:4" x14ac:dyDescent="0.2">
      <c r="B133" s="142"/>
      <c r="C133" s="142"/>
      <c r="D133" s="142"/>
    </row>
    <row r="134" spans="2:4" x14ac:dyDescent="0.2">
      <c r="B134" s="142"/>
      <c r="C134" s="142"/>
      <c r="D134" s="142"/>
    </row>
    <row r="135" spans="2:4" x14ac:dyDescent="0.2">
      <c r="B135" s="142"/>
      <c r="C135" s="142"/>
      <c r="D135" s="142"/>
    </row>
    <row r="136" spans="2:4" x14ac:dyDescent="0.2">
      <c r="B136" s="142"/>
      <c r="C136" s="142"/>
      <c r="D136" s="142"/>
    </row>
    <row r="137" spans="2:4" x14ac:dyDescent="0.2">
      <c r="B137" s="142"/>
      <c r="C137" s="142"/>
      <c r="D137" s="142"/>
    </row>
    <row r="138" spans="2:4" x14ac:dyDescent="0.2">
      <c r="B138" s="142"/>
      <c r="C138" s="142"/>
      <c r="D138" s="142"/>
    </row>
    <row r="139" spans="2:4" x14ac:dyDescent="0.2">
      <c r="B139" s="142"/>
      <c r="C139" s="142"/>
      <c r="D139" s="142"/>
    </row>
    <row r="140" spans="2:4" x14ac:dyDescent="0.2">
      <c r="B140" s="142"/>
      <c r="C140" s="142"/>
      <c r="D140" s="142"/>
    </row>
    <row r="141" spans="2:4" x14ac:dyDescent="0.2">
      <c r="B141" s="142"/>
      <c r="C141" s="142"/>
      <c r="D141" s="142"/>
    </row>
    <row r="142" spans="2:4" x14ac:dyDescent="0.2">
      <c r="B142" s="142"/>
      <c r="C142" s="142"/>
      <c r="D142" s="142"/>
    </row>
    <row r="143" spans="2:4" x14ac:dyDescent="0.2">
      <c r="B143" s="142"/>
      <c r="C143" s="142"/>
      <c r="D143" s="142"/>
    </row>
    <row r="144" spans="2:4" x14ac:dyDescent="0.2">
      <c r="B144" s="142"/>
      <c r="C144" s="142"/>
      <c r="D144" s="142"/>
    </row>
    <row r="145" spans="2:4" x14ac:dyDescent="0.2">
      <c r="B145" s="142"/>
      <c r="C145" s="142"/>
      <c r="D145" s="142"/>
    </row>
    <row r="146" spans="2:4" x14ac:dyDescent="0.2">
      <c r="B146" s="142"/>
      <c r="C146" s="142"/>
      <c r="D146" s="142"/>
    </row>
    <row r="147" spans="2:4" x14ac:dyDescent="0.2">
      <c r="B147" s="142"/>
      <c r="C147" s="142"/>
      <c r="D147" s="142"/>
    </row>
    <row r="148" spans="2:4" x14ac:dyDescent="0.2">
      <c r="B148" s="142"/>
      <c r="C148" s="142"/>
      <c r="D148" s="142"/>
    </row>
    <row r="149" spans="2:4" x14ac:dyDescent="0.2">
      <c r="B149" s="142"/>
      <c r="C149" s="142"/>
      <c r="D149" s="142"/>
    </row>
    <row r="150" spans="2:4" x14ac:dyDescent="0.2">
      <c r="B150" s="142"/>
      <c r="C150" s="142"/>
      <c r="D150" s="142"/>
    </row>
    <row r="151" spans="2:4" x14ac:dyDescent="0.2">
      <c r="B151" s="142"/>
      <c r="C151" s="142"/>
      <c r="D151" s="142"/>
    </row>
    <row r="152" spans="2:4" x14ac:dyDescent="0.2">
      <c r="B152" s="142"/>
      <c r="C152" s="142"/>
      <c r="D152" s="142"/>
    </row>
    <row r="153" spans="2:4" x14ac:dyDescent="0.2">
      <c r="B153" s="142"/>
      <c r="C153" s="142"/>
      <c r="D153" s="142"/>
    </row>
    <row r="154" spans="2:4" x14ac:dyDescent="0.2">
      <c r="B154" s="142"/>
      <c r="C154" s="142"/>
      <c r="D154" s="142"/>
    </row>
    <row r="155" spans="2:4" x14ac:dyDescent="0.2">
      <c r="B155" s="142"/>
      <c r="C155" s="142"/>
      <c r="D155" s="142"/>
    </row>
    <row r="156" spans="2:4" x14ac:dyDescent="0.2">
      <c r="B156" s="142"/>
      <c r="C156" s="142"/>
      <c r="D156" s="142"/>
    </row>
    <row r="157" spans="2:4" x14ac:dyDescent="0.2">
      <c r="B157" s="142"/>
      <c r="C157" s="142"/>
      <c r="D157" s="142"/>
    </row>
    <row r="158" spans="2:4" x14ac:dyDescent="0.2">
      <c r="B158" s="142"/>
      <c r="C158" s="142"/>
      <c r="D158" s="142"/>
    </row>
    <row r="159" spans="2:4" x14ac:dyDescent="0.2">
      <c r="B159" s="142"/>
      <c r="C159" s="142"/>
      <c r="D159" s="142"/>
    </row>
    <row r="160" spans="2:4" x14ac:dyDescent="0.2">
      <c r="B160" s="142"/>
      <c r="C160" s="142"/>
      <c r="D160" s="142"/>
    </row>
    <row r="161" spans="2:4" x14ac:dyDescent="0.2">
      <c r="B161" s="142"/>
      <c r="C161" s="142"/>
      <c r="D161" s="142"/>
    </row>
    <row r="162" spans="2:4" x14ac:dyDescent="0.2">
      <c r="B162" s="142"/>
      <c r="C162" s="142"/>
      <c r="D162" s="142"/>
    </row>
    <row r="163" spans="2:4" x14ac:dyDescent="0.2">
      <c r="B163" s="142"/>
      <c r="C163" s="142"/>
      <c r="D163" s="142"/>
    </row>
    <row r="164" spans="2:4" x14ac:dyDescent="0.2">
      <c r="B164" s="142"/>
      <c r="C164" s="142"/>
      <c r="D164" s="142"/>
    </row>
    <row r="165" spans="2:4" x14ac:dyDescent="0.2">
      <c r="B165" s="142"/>
      <c r="C165" s="142"/>
      <c r="D165" s="142"/>
    </row>
    <row r="166" spans="2:4" x14ac:dyDescent="0.2">
      <c r="B166" s="142"/>
      <c r="C166" s="142"/>
      <c r="D166" s="142"/>
    </row>
    <row r="167" spans="2:4" x14ac:dyDescent="0.2">
      <c r="B167" s="142"/>
      <c r="C167" s="142"/>
      <c r="D167" s="142"/>
    </row>
    <row r="168" spans="2:4" x14ac:dyDescent="0.2">
      <c r="B168" s="142"/>
      <c r="C168" s="142"/>
      <c r="D168" s="142"/>
    </row>
    <row r="169" spans="2:4" x14ac:dyDescent="0.2">
      <c r="B169" s="142"/>
      <c r="C169" s="142"/>
      <c r="D169" s="142"/>
    </row>
    <row r="170" spans="2:4" x14ac:dyDescent="0.2">
      <c r="B170" s="142"/>
      <c r="C170" s="142"/>
      <c r="D170" s="142"/>
    </row>
    <row r="171" spans="2:4" x14ac:dyDescent="0.2">
      <c r="B171" s="142"/>
      <c r="C171" s="142"/>
      <c r="D171" s="142"/>
    </row>
    <row r="172" spans="2:4" x14ac:dyDescent="0.2">
      <c r="B172" s="142"/>
      <c r="C172" s="142"/>
      <c r="D172" s="142"/>
    </row>
    <row r="173" spans="2:4" x14ac:dyDescent="0.2">
      <c r="B173" s="142"/>
      <c r="C173" s="142"/>
      <c r="D173" s="142"/>
    </row>
    <row r="174" spans="2:4" x14ac:dyDescent="0.2">
      <c r="B174" s="142"/>
      <c r="C174" s="142"/>
      <c r="D174" s="142"/>
    </row>
    <row r="175" spans="2:4" x14ac:dyDescent="0.2">
      <c r="B175" s="142"/>
      <c r="C175" s="142"/>
      <c r="D175" s="142"/>
    </row>
    <row r="176" spans="2:4" x14ac:dyDescent="0.2">
      <c r="B176" s="142"/>
      <c r="C176" s="142"/>
      <c r="D176" s="142"/>
    </row>
    <row r="177" spans="2:4" x14ac:dyDescent="0.2">
      <c r="B177" s="142"/>
      <c r="C177" s="142"/>
      <c r="D177" s="142"/>
    </row>
    <row r="178" spans="2:4" x14ac:dyDescent="0.2">
      <c r="B178" s="142"/>
      <c r="C178" s="142"/>
      <c r="D178" s="142"/>
    </row>
    <row r="179" spans="2:4" x14ac:dyDescent="0.2">
      <c r="B179" s="142"/>
      <c r="C179" s="142"/>
      <c r="D179" s="142"/>
    </row>
    <row r="180" spans="2:4" x14ac:dyDescent="0.2">
      <c r="B180" s="142"/>
      <c r="C180" s="142"/>
      <c r="D180" s="142"/>
    </row>
    <row r="181" spans="2:4" x14ac:dyDescent="0.2">
      <c r="B181" s="142"/>
      <c r="C181" s="142"/>
      <c r="D181" s="142"/>
    </row>
    <row r="182" spans="2:4" x14ac:dyDescent="0.2">
      <c r="B182" s="142"/>
      <c r="C182" s="142"/>
      <c r="D182" s="142"/>
    </row>
    <row r="183" spans="2:4" x14ac:dyDescent="0.2">
      <c r="B183" s="142"/>
      <c r="C183" s="142"/>
      <c r="D183" s="142"/>
    </row>
    <row r="184" spans="2:4" x14ac:dyDescent="0.2">
      <c r="B184" s="142"/>
      <c r="C184" s="142"/>
      <c r="D184" s="142"/>
    </row>
    <row r="185" spans="2:4" x14ac:dyDescent="0.2">
      <c r="B185" s="142"/>
      <c r="C185" s="142"/>
      <c r="D185" s="142"/>
    </row>
    <row r="186" spans="2:4" x14ac:dyDescent="0.2">
      <c r="B186" s="142"/>
      <c r="C186" s="142"/>
      <c r="D186" s="142"/>
    </row>
    <row r="187" spans="2:4" x14ac:dyDescent="0.2">
      <c r="B187" s="142"/>
      <c r="C187" s="142"/>
      <c r="D187" s="142"/>
    </row>
    <row r="188" spans="2:4" x14ac:dyDescent="0.2">
      <c r="B188" s="142"/>
      <c r="C188" s="142"/>
      <c r="D188" s="142"/>
    </row>
    <row r="189" spans="2:4" x14ac:dyDescent="0.2">
      <c r="B189" s="142"/>
      <c r="C189" s="142"/>
      <c r="D189" s="142"/>
    </row>
    <row r="190" spans="2:4" x14ac:dyDescent="0.2">
      <c r="B190" s="142"/>
      <c r="C190" s="142"/>
      <c r="D190" s="142"/>
    </row>
    <row r="191" spans="2:4" x14ac:dyDescent="0.2">
      <c r="B191" s="142"/>
      <c r="C191" s="142"/>
      <c r="D191" s="142"/>
    </row>
    <row r="192" spans="2:4" x14ac:dyDescent="0.2">
      <c r="B192" s="142"/>
      <c r="C192" s="142"/>
      <c r="D192" s="142"/>
    </row>
    <row r="193" spans="2:4" x14ac:dyDescent="0.2">
      <c r="B193" s="142"/>
      <c r="C193" s="142"/>
      <c r="D193" s="142"/>
    </row>
    <row r="194" spans="2:4" x14ac:dyDescent="0.2">
      <c r="B194" s="142"/>
      <c r="C194" s="142"/>
      <c r="D194" s="142"/>
    </row>
    <row r="195" spans="2:4" x14ac:dyDescent="0.2">
      <c r="B195" s="142"/>
      <c r="C195" s="142"/>
      <c r="D195" s="142"/>
    </row>
    <row r="196" spans="2:4" x14ac:dyDescent="0.2">
      <c r="B196" s="142"/>
      <c r="C196" s="142"/>
      <c r="D196" s="142"/>
    </row>
    <row r="197" spans="2:4" x14ac:dyDescent="0.2">
      <c r="B197" s="142"/>
      <c r="C197" s="142"/>
      <c r="D197" s="142"/>
    </row>
    <row r="198" spans="2:4" x14ac:dyDescent="0.2">
      <c r="B198" s="142"/>
      <c r="C198" s="142"/>
      <c r="D198" s="142"/>
    </row>
    <row r="199" spans="2:4" x14ac:dyDescent="0.2">
      <c r="B199" s="142"/>
      <c r="C199" s="142"/>
      <c r="D199" s="142"/>
    </row>
    <row r="200" spans="2:4" x14ac:dyDescent="0.2">
      <c r="B200" s="142"/>
      <c r="C200" s="142"/>
      <c r="D200" s="142"/>
    </row>
    <row r="201" spans="2:4" x14ac:dyDescent="0.2">
      <c r="B201" s="142"/>
      <c r="C201" s="142"/>
      <c r="D201" s="142"/>
    </row>
    <row r="202" spans="2:4" x14ac:dyDescent="0.2">
      <c r="B202" s="142"/>
      <c r="C202" s="142"/>
      <c r="D202" s="142"/>
    </row>
    <row r="203" spans="2:4" x14ac:dyDescent="0.2">
      <c r="B203" s="142"/>
      <c r="C203" s="142"/>
      <c r="D203" s="142"/>
    </row>
    <row r="204" spans="2:4" x14ac:dyDescent="0.2">
      <c r="B204" s="142"/>
      <c r="C204" s="142"/>
      <c r="D204" s="142"/>
    </row>
    <row r="205" spans="2:4" x14ac:dyDescent="0.2">
      <c r="B205" s="142"/>
      <c r="C205" s="142"/>
      <c r="D205" s="142"/>
    </row>
    <row r="206" spans="2:4" x14ac:dyDescent="0.2">
      <c r="B206" s="142"/>
      <c r="C206" s="142"/>
      <c r="D206" s="142"/>
    </row>
    <row r="207" spans="2:4" x14ac:dyDescent="0.2">
      <c r="B207" s="142"/>
      <c r="C207" s="142"/>
      <c r="D207" s="142"/>
    </row>
    <row r="208" spans="2:4" x14ac:dyDescent="0.2">
      <c r="B208" s="142"/>
      <c r="C208" s="142"/>
      <c r="D208" s="142"/>
    </row>
    <row r="209" spans="2:4" x14ac:dyDescent="0.2">
      <c r="B209" s="142"/>
      <c r="C209" s="142"/>
      <c r="D209" s="142"/>
    </row>
    <row r="210" spans="2:4" x14ac:dyDescent="0.2">
      <c r="B210" s="142"/>
      <c r="C210" s="142"/>
      <c r="D210" s="142"/>
    </row>
    <row r="211" spans="2:4" x14ac:dyDescent="0.2">
      <c r="B211" s="142"/>
      <c r="C211" s="142"/>
      <c r="D211" s="142"/>
    </row>
    <row r="212" spans="2:4" x14ac:dyDescent="0.2">
      <c r="B212" s="142"/>
      <c r="C212" s="142"/>
      <c r="D212" s="142"/>
    </row>
    <row r="213" spans="2:4" x14ac:dyDescent="0.2">
      <c r="B213" s="142"/>
      <c r="C213" s="142"/>
      <c r="D213" s="142"/>
    </row>
    <row r="214" spans="2:4" x14ac:dyDescent="0.2">
      <c r="B214" s="142"/>
      <c r="C214" s="142"/>
      <c r="D214" s="142"/>
    </row>
    <row r="215" spans="2:4" x14ac:dyDescent="0.2">
      <c r="B215" s="142"/>
      <c r="C215" s="142"/>
      <c r="D215" s="142"/>
    </row>
    <row r="216" spans="2:4" x14ac:dyDescent="0.2">
      <c r="B216" s="142"/>
      <c r="C216" s="142"/>
      <c r="D216" s="142"/>
    </row>
    <row r="217" spans="2:4" x14ac:dyDescent="0.2">
      <c r="B217" s="142"/>
      <c r="C217" s="142"/>
      <c r="D217" s="142"/>
    </row>
    <row r="218" spans="2:4" x14ac:dyDescent="0.2">
      <c r="B218" s="142"/>
      <c r="C218" s="142"/>
      <c r="D218" s="142"/>
    </row>
    <row r="219" spans="2:4" x14ac:dyDescent="0.2">
      <c r="B219" s="142"/>
      <c r="C219" s="142"/>
      <c r="D219" s="142"/>
    </row>
    <row r="220" spans="2:4" x14ac:dyDescent="0.2">
      <c r="B220" s="142"/>
      <c r="C220" s="142"/>
      <c r="D220" s="142"/>
    </row>
    <row r="221" spans="2:4" x14ac:dyDescent="0.2">
      <c r="B221" s="142"/>
      <c r="C221" s="142"/>
      <c r="D221" s="142"/>
    </row>
    <row r="222" spans="2:4" x14ac:dyDescent="0.2">
      <c r="B222" s="142"/>
      <c r="C222" s="142"/>
      <c r="D222" s="142"/>
    </row>
    <row r="223" spans="2:4" x14ac:dyDescent="0.2">
      <c r="B223" s="142"/>
      <c r="C223" s="142"/>
      <c r="D223" s="142"/>
    </row>
    <row r="224" spans="2:4" x14ac:dyDescent="0.2">
      <c r="B224" s="142"/>
      <c r="C224" s="142"/>
      <c r="D224" s="142"/>
    </row>
    <row r="225" spans="2:4" x14ac:dyDescent="0.2">
      <c r="B225" s="142"/>
      <c r="C225" s="142"/>
      <c r="D225" s="142"/>
    </row>
    <row r="226" spans="2:4" x14ac:dyDescent="0.2">
      <c r="B226" s="142"/>
      <c r="C226" s="142"/>
      <c r="D226" s="142"/>
    </row>
    <row r="227" spans="2:4" x14ac:dyDescent="0.2">
      <c r="B227" s="142"/>
      <c r="C227" s="142"/>
      <c r="D227" s="142"/>
    </row>
    <row r="228" spans="2:4" x14ac:dyDescent="0.2">
      <c r="B228" s="142"/>
      <c r="C228" s="142"/>
      <c r="D228" s="142"/>
    </row>
    <row r="229" spans="2:4" x14ac:dyDescent="0.2">
      <c r="B229" s="142"/>
      <c r="C229" s="142"/>
      <c r="D229" s="142"/>
    </row>
    <row r="230" spans="2:4" x14ac:dyDescent="0.2">
      <c r="B230" s="142"/>
      <c r="C230" s="142"/>
      <c r="D230" s="142"/>
    </row>
    <row r="231" spans="2:4" x14ac:dyDescent="0.2">
      <c r="B231" s="142"/>
      <c r="C231" s="142"/>
      <c r="D231" s="142"/>
    </row>
    <row r="232" spans="2:4" x14ac:dyDescent="0.2">
      <c r="B232" s="142"/>
      <c r="C232" s="142"/>
      <c r="D232" s="142"/>
    </row>
    <row r="233" spans="2:4" x14ac:dyDescent="0.2">
      <c r="B233" s="142"/>
      <c r="C233" s="142"/>
      <c r="D233" s="142"/>
    </row>
    <row r="234" spans="2:4" x14ac:dyDescent="0.2">
      <c r="B234" s="142"/>
      <c r="C234" s="142"/>
      <c r="D234" s="142"/>
    </row>
    <row r="235" spans="2:4" x14ac:dyDescent="0.2">
      <c r="B235" s="142"/>
      <c r="C235" s="142"/>
      <c r="D235" s="142"/>
    </row>
    <row r="236" spans="2:4" x14ac:dyDescent="0.2">
      <c r="B236" s="142"/>
      <c r="C236" s="142"/>
      <c r="D236" s="142"/>
    </row>
    <row r="237" spans="2:4" x14ac:dyDescent="0.2">
      <c r="B237" s="142"/>
      <c r="C237" s="142"/>
      <c r="D237" s="142"/>
    </row>
    <row r="238" spans="2:4" x14ac:dyDescent="0.2">
      <c r="B238" s="142"/>
      <c r="C238" s="142"/>
      <c r="D238" s="142"/>
    </row>
    <row r="239" spans="2:4" x14ac:dyDescent="0.2">
      <c r="B239" s="142"/>
      <c r="C239" s="142"/>
      <c r="D239" s="142"/>
    </row>
    <row r="240" spans="2:4" x14ac:dyDescent="0.2">
      <c r="B240" s="142"/>
      <c r="C240" s="142"/>
      <c r="D240" s="142"/>
    </row>
    <row r="241" spans="2:4" x14ac:dyDescent="0.2">
      <c r="B241" s="142"/>
      <c r="C241" s="142"/>
      <c r="D241" s="142"/>
    </row>
    <row r="242" spans="2:4" x14ac:dyDescent="0.2">
      <c r="B242" s="142"/>
      <c r="C242" s="142"/>
      <c r="D242" s="142"/>
    </row>
    <row r="243" spans="2:4" x14ac:dyDescent="0.2">
      <c r="B243" s="142"/>
      <c r="C243" s="142"/>
      <c r="D243" s="142"/>
    </row>
    <row r="244" spans="2:4" x14ac:dyDescent="0.2">
      <c r="B244" s="142"/>
      <c r="C244" s="142"/>
      <c r="D244" s="142"/>
    </row>
    <row r="245" spans="2:4" x14ac:dyDescent="0.2">
      <c r="B245" s="142"/>
      <c r="C245" s="142"/>
      <c r="D245" s="142"/>
    </row>
    <row r="246" spans="2:4" x14ac:dyDescent="0.2">
      <c r="B246" s="142"/>
      <c r="C246" s="142"/>
      <c r="D246" s="142"/>
    </row>
    <row r="247" spans="2:4" x14ac:dyDescent="0.2">
      <c r="B247" s="142"/>
      <c r="C247" s="142"/>
      <c r="D247" s="142"/>
    </row>
    <row r="248" spans="2:4" x14ac:dyDescent="0.2">
      <c r="B248" s="142"/>
      <c r="C248" s="142"/>
      <c r="D248" s="142"/>
    </row>
    <row r="249" spans="2:4" x14ac:dyDescent="0.2">
      <c r="B249" s="142"/>
      <c r="C249" s="142"/>
      <c r="D249" s="142"/>
    </row>
    <row r="250" spans="2:4" x14ac:dyDescent="0.2">
      <c r="B250" s="142"/>
      <c r="C250" s="142"/>
      <c r="D250" s="142"/>
    </row>
    <row r="251" spans="2:4" x14ac:dyDescent="0.2">
      <c r="B251" s="142"/>
      <c r="C251" s="142"/>
      <c r="D251" s="142"/>
    </row>
    <row r="252" spans="2:4" x14ac:dyDescent="0.2">
      <c r="B252" s="142"/>
      <c r="C252" s="142"/>
      <c r="D252" s="142"/>
    </row>
    <row r="253" spans="2:4" x14ac:dyDescent="0.2">
      <c r="B253" s="142"/>
      <c r="C253" s="142"/>
      <c r="D253" s="142"/>
    </row>
    <row r="254" spans="2:4" x14ac:dyDescent="0.2">
      <c r="B254" s="142"/>
      <c r="C254" s="142"/>
      <c r="D254" s="142"/>
    </row>
    <row r="255" spans="2:4" x14ac:dyDescent="0.2">
      <c r="B255" s="142"/>
      <c r="C255" s="142"/>
      <c r="D255" s="142"/>
    </row>
    <row r="256" spans="2:4" x14ac:dyDescent="0.2">
      <c r="B256" s="142"/>
      <c r="C256" s="142"/>
      <c r="D256" s="142"/>
    </row>
    <row r="257" spans="2:4" x14ac:dyDescent="0.2">
      <c r="B257" s="142"/>
      <c r="C257" s="142"/>
      <c r="D257" s="142"/>
    </row>
    <row r="258" spans="2:4" x14ac:dyDescent="0.2">
      <c r="B258" s="142"/>
      <c r="C258" s="142"/>
      <c r="D258" s="142"/>
    </row>
    <row r="259" spans="2:4" x14ac:dyDescent="0.2">
      <c r="B259" s="142"/>
      <c r="C259" s="142"/>
      <c r="D259" s="142"/>
    </row>
    <row r="260" spans="2:4" x14ac:dyDescent="0.2">
      <c r="B260" s="142"/>
      <c r="C260" s="142"/>
      <c r="D260" s="142"/>
    </row>
    <row r="261" spans="2:4" x14ac:dyDescent="0.2">
      <c r="B261" s="142"/>
      <c r="C261" s="142"/>
      <c r="D261" s="142"/>
    </row>
    <row r="262" spans="2:4" x14ac:dyDescent="0.2">
      <c r="B262" s="142"/>
      <c r="C262" s="142"/>
      <c r="D262" s="142"/>
    </row>
    <row r="263" spans="2:4" x14ac:dyDescent="0.2">
      <c r="B263" s="142"/>
      <c r="C263" s="142"/>
      <c r="D263" s="142"/>
    </row>
    <row r="264" spans="2:4" x14ac:dyDescent="0.2">
      <c r="B264" s="142"/>
      <c r="C264" s="142"/>
      <c r="D264" s="142"/>
    </row>
    <row r="265" spans="2:4" x14ac:dyDescent="0.2">
      <c r="B265" s="142"/>
      <c r="C265" s="142"/>
      <c r="D265" s="142"/>
    </row>
    <row r="266" spans="2:4" x14ac:dyDescent="0.2">
      <c r="B266" s="142"/>
      <c r="C266" s="142"/>
      <c r="D266" s="142"/>
    </row>
    <row r="267" spans="2:4" x14ac:dyDescent="0.2">
      <c r="B267" s="142"/>
      <c r="C267" s="142"/>
      <c r="D267" s="142"/>
    </row>
    <row r="268" spans="2:4" x14ac:dyDescent="0.2">
      <c r="B268" s="142"/>
      <c r="C268" s="142"/>
      <c r="D268" s="142"/>
    </row>
    <row r="269" spans="2:4" x14ac:dyDescent="0.2">
      <c r="B269" s="142"/>
      <c r="C269" s="142"/>
      <c r="D269" s="142"/>
    </row>
    <row r="270" spans="2:4" x14ac:dyDescent="0.2">
      <c r="B270" s="142"/>
      <c r="C270" s="142"/>
      <c r="D270" s="142"/>
    </row>
    <row r="271" spans="2:4" x14ac:dyDescent="0.2">
      <c r="B271" s="142"/>
      <c r="C271" s="142"/>
      <c r="D271" s="142"/>
    </row>
    <row r="272" spans="2:4" x14ac:dyDescent="0.2">
      <c r="B272" s="142"/>
      <c r="C272" s="142"/>
      <c r="D272" s="142"/>
    </row>
    <row r="273" spans="2:4" x14ac:dyDescent="0.2">
      <c r="B273" s="142"/>
      <c r="C273" s="142"/>
      <c r="D273" s="142"/>
    </row>
    <row r="274" spans="2:4" x14ac:dyDescent="0.2">
      <c r="B274" s="142"/>
      <c r="C274" s="142"/>
      <c r="D274" s="142"/>
    </row>
    <row r="275" spans="2:4" x14ac:dyDescent="0.2">
      <c r="B275" s="142"/>
      <c r="C275" s="142"/>
      <c r="D275" s="142"/>
    </row>
    <row r="276" spans="2:4" x14ac:dyDescent="0.2">
      <c r="B276" s="142"/>
      <c r="C276" s="142"/>
      <c r="D276" s="142"/>
    </row>
    <row r="277" spans="2:4" x14ac:dyDescent="0.2">
      <c r="B277" s="142"/>
      <c r="C277" s="142"/>
      <c r="D277" s="142"/>
    </row>
    <row r="278" spans="2:4" x14ac:dyDescent="0.2">
      <c r="B278" s="142"/>
      <c r="C278" s="142"/>
      <c r="D278" s="142"/>
    </row>
    <row r="279" spans="2:4" x14ac:dyDescent="0.2">
      <c r="B279" s="142"/>
      <c r="C279" s="142"/>
      <c r="D279" s="142"/>
    </row>
    <row r="280" spans="2:4" x14ac:dyDescent="0.2">
      <c r="B280" s="142"/>
      <c r="C280" s="142"/>
      <c r="D280" s="142"/>
    </row>
    <row r="281" spans="2:4" x14ac:dyDescent="0.2">
      <c r="B281" s="142"/>
      <c r="C281" s="142"/>
      <c r="D281" s="142"/>
    </row>
    <row r="282" spans="2:4" x14ac:dyDescent="0.2">
      <c r="B282" s="142"/>
      <c r="C282" s="142"/>
      <c r="D282" s="142"/>
    </row>
    <row r="283" spans="2:4" x14ac:dyDescent="0.2">
      <c r="B283" s="142"/>
      <c r="C283" s="142"/>
      <c r="D283" s="142"/>
    </row>
    <row r="284" spans="2:4" x14ac:dyDescent="0.2">
      <c r="B284" s="142"/>
      <c r="C284" s="142"/>
      <c r="D284" s="142"/>
    </row>
    <row r="285" spans="2:4" x14ac:dyDescent="0.2">
      <c r="B285" s="142"/>
      <c r="C285" s="142"/>
      <c r="D285" s="142"/>
    </row>
    <row r="286" spans="2:4" x14ac:dyDescent="0.2">
      <c r="B286" s="142"/>
      <c r="C286" s="142"/>
      <c r="D286" s="142"/>
    </row>
    <row r="287" spans="2:4" x14ac:dyDescent="0.2">
      <c r="B287" s="142"/>
      <c r="C287" s="142"/>
      <c r="D287" s="142"/>
    </row>
    <row r="288" spans="2:4" x14ac:dyDescent="0.2">
      <c r="B288" s="142"/>
      <c r="C288" s="142"/>
      <c r="D288" s="142"/>
    </row>
    <row r="289" spans="2:4" x14ac:dyDescent="0.2">
      <c r="B289" s="142"/>
      <c r="C289" s="142"/>
      <c r="D289" s="142"/>
    </row>
    <row r="290" spans="2:4" x14ac:dyDescent="0.2">
      <c r="B290" s="142"/>
      <c r="C290" s="142"/>
      <c r="D290" s="142"/>
    </row>
    <row r="291" spans="2:4" x14ac:dyDescent="0.2">
      <c r="B291" s="142"/>
      <c r="C291" s="142"/>
      <c r="D291" s="142"/>
    </row>
    <row r="292" spans="2:4" x14ac:dyDescent="0.2">
      <c r="B292" s="142"/>
      <c r="C292" s="142"/>
      <c r="D292" s="142"/>
    </row>
    <row r="293" spans="2:4" x14ac:dyDescent="0.2">
      <c r="B293" s="142"/>
      <c r="C293" s="142"/>
      <c r="D293" s="142"/>
    </row>
    <row r="294" spans="2:4" x14ac:dyDescent="0.2">
      <c r="B294" s="142"/>
      <c r="C294" s="142"/>
      <c r="D294" s="142"/>
    </row>
    <row r="295" spans="2:4" x14ac:dyDescent="0.2">
      <c r="B295" s="142"/>
      <c r="C295" s="142"/>
      <c r="D295" s="142"/>
    </row>
    <row r="296" spans="2:4" x14ac:dyDescent="0.2">
      <c r="B296" s="142"/>
      <c r="C296" s="142"/>
      <c r="D296" s="142"/>
    </row>
    <row r="297" spans="2:4" x14ac:dyDescent="0.2">
      <c r="B297" s="142"/>
      <c r="C297" s="142"/>
      <c r="D297" s="142"/>
    </row>
    <row r="298" spans="2:4" x14ac:dyDescent="0.2">
      <c r="B298" s="142"/>
      <c r="C298" s="142"/>
      <c r="D298" s="142"/>
    </row>
    <row r="299" spans="2:4" x14ac:dyDescent="0.2">
      <c r="B299" s="142"/>
      <c r="C299" s="142"/>
      <c r="D299" s="142"/>
    </row>
    <row r="300" spans="2:4" x14ac:dyDescent="0.2">
      <c r="B300" s="142"/>
      <c r="C300" s="142"/>
      <c r="D300" s="142"/>
    </row>
    <row r="301" spans="2:4" x14ac:dyDescent="0.2">
      <c r="B301" s="142"/>
      <c r="C301" s="142"/>
      <c r="D301" s="142"/>
    </row>
    <row r="302" spans="2:4" x14ac:dyDescent="0.2">
      <c r="B302" s="142"/>
      <c r="C302" s="142"/>
      <c r="D302" s="142"/>
    </row>
    <row r="303" spans="2:4" x14ac:dyDescent="0.2">
      <c r="B303" s="142"/>
      <c r="C303" s="142"/>
      <c r="D303" s="142"/>
    </row>
    <row r="304" spans="2:4" x14ac:dyDescent="0.2">
      <c r="B304" s="142"/>
      <c r="C304" s="142"/>
      <c r="D304" s="142"/>
    </row>
    <row r="305" spans="2:4" x14ac:dyDescent="0.2">
      <c r="B305" s="142"/>
      <c r="C305" s="142"/>
      <c r="D305" s="142"/>
    </row>
    <row r="306" spans="2:4" x14ac:dyDescent="0.2">
      <c r="B306" s="142"/>
      <c r="C306" s="142"/>
      <c r="D306" s="142"/>
    </row>
    <row r="307" spans="2:4" x14ac:dyDescent="0.2">
      <c r="B307" s="142"/>
      <c r="C307" s="142"/>
      <c r="D307" s="142"/>
    </row>
    <row r="308" spans="2:4" x14ac:dyDescent="0.2">
      <c r="B308" s="142"/>
      <c r="C308" s="142"/>
      <c r="D308" s="142"/>
    </row>
    <row r="309" spans="2:4" x14ac:dyDescent="0.2">
      <c r="B309" s="142"/>
      <c r="C309" s="142"/>
      <c r="D309" s="142"/>
    </row>
    <row r="310" spans="2:4" x14ac:dyDescent="0.2">
      <c r="B310" s="142"/>
      <c r="C310" s="142"/>
      <c r="D310" s="142"/>
    </row>
    <row r="311" spans="2:4" x14ac:dyDescent="0.2">
      <c r="B311" s="142"/>
      <c r="C311" s="142"/>
      <c r="D311" s="142"/>
    </row>
    <row r="312" spans="2:4" x14ac:dyDescent="0.2">
      <c r="B312" s="142"/>
      <c r="C312" s="142"/>
      <c r="D312" s="142"/>
    </row>
    <row r="313" spans="2:4" x14ac:dyDescent="0.2">
      <c r="B313" s="142"/>
      <c r="C313" s="142"/>
      <c r="D313" s="142"/>
    </row>
    <row r="314" spans="2:4" x14ac:dyDescent="0.2">
      <c r="B314" s="142"/>
      <c r="C314" s="142"/>
      <c r="D314" s="142"/>
    </row>
    <row r="315" spans="2:4" x14ac:dyDescent="0.2">
      <c r="B315" s="142"/>
      <c r="C315" s="142"/>
      <c r="D315" s="142"/>
    </row>
    <row r="316" spans="2:4" x14ac:dyDescent="0.2">
      <c r="B316" s="142"/>
      <c r="C316" s="142"/>
      <c r="D316" s="142"/>
    </row>
    <row r="317" spans="2:4" x14ac:dyDescent="0.2">
      <c r="B317" s="142"/>
      <c r="C317" s="142"/>
      <c r="D317" s="142"/>
    </row>
    <row r="318" spans="2:4" x14ac:dyDescent="0.2">
      <c r="B318" s="142"/>
      <c r="C318" s="142"/>
      <c r="D318" s="142"/>
    </row>
    <row r="319" spans="2:4" x14ac:dyDescent="0.2">
      <c r="B319" s="142"/>
      <c r="C319" s="142"/>
      <c r="D319" s="142"/>
    </row>
    <row r="320" spans="2:4" x14ac:dyDescent="0.2">
      <c r="B320" s="142"/>
      <c r="C320" s="142"/>
      <c r="D320" s="142"/>
    </row>
    <row r="321" spans="2:4" x14ac:dyDescent="0.2">
      <c r="B321" s="142"/>
      <c r="C321" s="142"/>
      <c r="D321" s="142"/>
    </row>
    <row r="322" spans="2:4" x14ac:dyDescent="0.2">
      <c r="B322" s="142"/>
      <c r="C322" s="142"/>
      <c r="D322" s="142"/>
    </row>
    <row r="323" spans="2:4" x14ac:dyDescent="0.2">
      <c r="B323" s="142"/>
      <c r="C323" s="142"/>
      <c r="D323" s="142"/>
    </row>
    <row r="324" spans="2:4" x14ac:dyDescent="0.2">
      <c r="B324" s="142"/>
      <c r="C324" s="142"/>
      <c r="D324" s="142"/>
    </row>
    <row r="325" spans="2:4" x14ac:dyDescent="0.2">
      <c r="B325" s="142"/>
      <c r="C325" s="142"/>
      <c r="D325" s="142"/>
    </row>
    <row r="326" spans="2:4" x14ac:dyDescent="0.2">
      <c r="B326" s="142"/>
      <c r="C326" s="142"/>
      <c r="D326" s="142"/>
    </row>
    <row r="327" spans="2:4" x14ac:dyDescent="0.2">
      <c r="B327" s="142"/>
      <c r="C327" s="142"/>
      <c r="D327" s="142"/>
    </row>
    <row r="328" spans="2:4" x14ac:dyDescent="0.2">
      <c r="B328" s="142"/>
      <c r="C328" s="142"/>
      <c r="D328" s="142"/>
    </row>
    <row r="329" spans="2:4" x14ac:dyDescent="0.2">
      <c r="B329" s="142"/>
      <c r="C329" s="142"/>
      <c r="D329" s="142"/>
    </row>
    <row r="330" spans="2:4" x14ac:dyDescent="0.2">
      <c r="B330" s="142"/>
      <c r="C330" s="142"/>
      <c r="D330" s="142"/>
    </row>
    <row r="331" spans="2:4" x14ac:dyDescent="0.2">
      <c r="B331" s="142"/>
      <c r="C331" s="142"/>
      <c r="D331" s="142"/>
    </row>
    <row r="332" spans="2:4" x14ac:dyDescent="0.2">
      <c r="B332" s="142"/>
      <c r="C332" s="142"/>
      <c r="D332" s="142"/>
    </row>
    <row r="333" spans="2:4" x14ac:dyDescent="0.2">
      <c r="B333" s="142"/>
      <c r="C333" s="142"/>
      <c r="D333" s="142"/>
    </row>
    <row r="334" spans="2:4" x14ac:dyDescent="0.2">
      <c r="B334" s="142"/>
      <c r="C334" s="142"/>
      <c r="D334" s="142"/>
    </row>
    <row r="335" spans="2:4" x14ac:dyDescent="0.2">
      <c r="B335" s="142"/>
      <c r="C335" s="142"/>
      <c r="D335" s="142"/>
    </row>
    <row r="336" spans="2:4" x14ac:dyDescent="0.2">
      <c r="B336" s="142"/>
      <c r="C336" s="142"/>
      <c r="D336" s="142"/>
    </row>
    <row r="337" spans="2:4" x14ac:dyDescent="0.2">
      <c r="B337" s="142"/>
      <c r="C337" s="142"/>
      <c r="D337" s="142"/>
    </row>
    <row r="338" spans="2:4" x14ac:dyDescent="0.2">
      <c r="B338" s="142"/>
      <c r="C338" s="142"/>
      <c r="D338" s="142"/>
    </row>
    <row r="339" spans="2:4" x14ac:dyDescent="0.2">
      <c r="B339" s="142"/>
      <c r="C339" s="142"/>
      <c r="D339" s="142"/>
    </row>
    <row r="340" spans="2:4" x14ac:dyDescent="0.2">
      <c r="B340" s="142"/>
      <c r="C340" s="142"/>
      <c r="D340" s="142"/>
    </row>
    <row r="341" spans="2:4" x14ac:dyDescent="0.2">
      <c r="B341" s="142"/>
      <c r="C341" s="142"/>
      <c r="D341" s="142"/>
    </row>
    <row r="342" spans="2:4" x14ac:dyDescent="0.2">
      <c r="B342" s="142"/>
      <c r="C342" s="142"/>
      <c r="D342" s="142"/>
    </row>
    <row r="343" spans="2:4" x14ac:dyDescent="0.2">
      <c r="B343" s="142"/>
      <c r="C343" s="142"/>
      <c r="D343" s="142"/>
    </row>
    <row r="344" spans="2:4" x14ac:dyDescent="0.2">
      <c r="B344" s="142"/>
      <c r="C344" s="142"/>
      <c r="D344" s="142"/>
    </row>
    <row r="345" spans="2:4" x14ac:dyDescent="0.2">
      <c r="B345" s="142"/>
      <c r="C345" s="142"/>
      <c r="D345" s="142"/>
    </row>
    <row r="346" spans="2:4" x14ac:dyDescent="0.2">
      <c r="B346" s="142"/>
      <c r="C346" s="142"/>
      <c r="D346" s="142"/>
    </row>
    <row r="347" spans="2:4" x14ac:dyDescent="0.2">
      <c r="B347" s="142"/>
      <c r="C347" s="142"/>
      <c r="D347" s="142"/>
    </row>
    <row r="348" spans="2:4" x14ac:dyDescent="0.2">
      <c r="B348" s="142"/>
      <c r="C348" s="142"/>
      <c r="D348" s="142"/>
    </row>
    <row r="349" spans="2:4" x14ac:dyDescent="0.2">
      <c r="B349" s="142"/>
      <c r="C349" s="142"/>
      <c r="D349" s="142"/>
    </row>
    <row r="350" spans="2:4" x14ac:dyDescent="0.2">
      <c r="B350" s="142"/>
      <c r="C350" s="142"/>
      <c r="D350" s="142"/>
    </row>
    <row r="351" spans="2:4" x14ac:dyDescent="0.2">
      <c r="B351" s="142"/>
      <c r="C351" s="142"/>
      <c r="D351" s="142"/>
    </row>
    <row r="352" spans="2:4" x14ac:dyDescent="0.2">
      <c r="B352" s="142"/>
      <c r="C352" s="142"/>
      <c r="D352" s="142"/>
    </row>
    <row r="353" spans="2:4" x14ac:dyDescent="0.2">
      <c r="B353" s="142"/>
      <c r="C353" s="142"/>
      <c r="D353" s="142"/>
    </row>
    <row r="354" spans="2:4" x14ac:dyDescent="0.2">
      <c r="B354" s="142"/>
      <c r="C354" s="142"/>
      <c r="D354" s="142"/>
    </row>
    <row r="355" spans="2:4" x14ac:dyDescent="0.2">
      <c r="B355" s="142"/>
      <c r="C355" s="142"/>
      <c r="D355" s="142"/>
    </row>
    <row r="356" spans="2:4" x14ac:dyDescent="0.2">
      <c r="B356" s="142"/>
      <c r="C356" s="142"/>
      <c r="D356" s="142"/>
    </row>
    <row r="357" spans="2:4" x14ac:dyDescent="0.2">
      <c r="B357" s="142"/>
      <c r="C357" s="142"/>
      <c r="D357" s="142"/>
    </row>
    <row r="358" spans="2:4" x14ac:dyDescent="0.2">
      <c r="B358" s="142"/>
      <c r="C358" s="142"/>
      <c r="D358" s="142"/>
    </row>
    <row r="359" spans="2:4" x14ac:dyDescent="0.2">
      <c r="B359" s="142"/>
      <c r="C359" s="142"/>
      <c r="D359" s="142"/>
    </row>
    <row r="360" spans="2:4" x14ac:dyDescent="0.2">
      <c r="B360" s="142"/>
      <c r="C360" s="142"/>
      <c r="D360" s="142"/>
    </row>
    <row r="361" spans="2:4" x14ac:dyDescent="0.2">
      <c r="B361" s="142"/>
      <c r="C361" s="142"/>
      <c r="D361" s="142"/>
    </row>
    <row r="362" spans="2:4" x14ac:dyDescent="0.2">
      <c r="B362" s="142"/>
      <c r="C362" s="142"/>
      <c r="D362" s="142"/>
    </row>
    <row r="363" spans="2:4" x14ac:dyDescent="0.2">
      <c r="B363" s="142"/>
      <c r="C363" s="142"/>
      <c r="D363" s="142"/>
    </row>
    <row r="364" spans="2:4" x14ac:dyDescent="0.2">
      <c r="B364" s="142"/>
      <c r="C364" s="142"/>
      <c r="D364" s="142"/>
    </row>
    <row r="365" spans="2:4" x14ac:dyDescent="0.2">
      <c r="B365" s="142"/>
      <c r="C365" s="142"/>
      <c r="D365" s="142"/>
    </row>
    <row r="366" spans="2:4" x14ac:dyDescent="0.2">
      <c r="B366" s="142"/>
      <c r="C366" s="142"/>
      <c r="D366" s="142"/>
    </row>
    <row r="367" spans="2:4" x14ac:dyDescent="0.2">
      <c r="B367" s="142"/>
      <c r="C367" s="142"/>
      <c r="D367" s="142"/>
    </row>
    <row r="368" spans="2:4" x14ac:dyDescent="0.2">
      <c r="B368" s="142"/>
      <c r="C368" s="142"/>
      <c r="D368" s="142"/>
    </row>
    <row r="369" spans="2:4" x14ac:dyDescent="0.2">
      <c r="B369" s="142"/>
      <c r="C369" s="142"/>
      <c r="D369" s="142"/>
    </row>
    <row r="370" spans="2:4" x14ac:dyDescent="0.2">
      <c r="B370" s="142"/>
      <c r="C370" s="142"/>
      <c r="D370" s="142"/>
    </row>
    <row r="371" spans="2:4" x14ac:dyDescent="0.2">
      <c r="B371" s="142"/>
      <c r="C371" s="142"/>
      <c r="D371" s="142"/>
    </row>
    <row r="372" spans="2:4" x14ac:dyDescent="0.2">
      <c r="B372" s="142"/>
      <c r="C372" s="142"/>
      <c r="D372" s="142"/>
    </row>
    <row r="373" spans="2:4" x14ac:dyDescent="0.2">
      <c r="B373" s="142"/>
      <c r="C373" s="142"/>
      <c r="D373" s="142"/>
    </row>
    <row r="374" spans="2:4" x14ac:dyDescent="0.2">
      <c r="B374" s="142"/>
      <c r="C374" s="142"/>
      <c r="D374" s="142"/>
    </row>
    <row r="375" spans="2:4" x14ac:dyDescent="0.2">
      <c r="B375" s="142"/>
      <c r="C375" s="142"/>
      <c r="D375" s="142"/>
    </row>
    <row r="376" spans="2:4" x14ac:dyDescent="0.2">
      <c r="B376" s="142"/>
      <c r="C376" s="142"/>
      <c r="D376" s="142"/>
    </row>
    <row r="377" spans="2:4" x14ac:dyDescent="0.2">
      <c r="B377" s="142"/>
      <c r="C377" s="142"/>
      <c r="D377" s="142"/>
    </row>
    <row r="378" spans="2:4" x14ac:dyDescent="0.2">
      <c r="B378" s="142"/>
      <c r="C378" s="142"/>
      <c r="D378" s="142"/>
    </row>
    <row r="379" spans="2:4" x14ac:dyDescent="0.2">
      <c r="B379" s="142"/>
      <c r="C379" s="142"/>
      <c r="D379" s="142"/>
    </row>
    <row r="380" spans="2:4" x14ac:dyDescent="0.2">
      <c r="B380" s="142"/>
      <c r="C380" s="142"/>
      <c r="D380" s="142"/>
    </row>
    <row r="381" spans="2:4" x14ac:dyDescent="0.2">
      <c r="B381" s="142"/>
      <c r="C381" s="142"/>
      <c r="D381" s="142"/>
    </row>
    <row r="382" spans="2:4" x14ac:dyDescent="0.2">
      <c r="B382" s="142"/>
      <c r="C382" s="142"/>
      <c r="D382" s="142"/>
    </row>
    <row r="383" spans="2:4" x14ac:dyDescent="0.2">
      <c r="B383" s="142"/>
      <c r="C383" s="142"/>
      <c r="D383" s="142"/>
    </row>
    <row r="384" spans="2:4" x14ac:dyDescent="0.2">
      <c r="B384" s="142"/>
      <c r="C384" s="142"/>
      <c r="D384" s="142"/>
    </row>
    <row r="385" spans="2:4" x14ac:dyDescent="0.2">
      <c r="B385" s="142"/>
      <c r="C385" s="142"/>
      <c r="D385" s="142"/>
    </row>
    <row r="386" spans="2:4" x14ac:dyDescent="0.2">
      <c r="B386" s="142"/>
      <c r="C386" s="142"/>
      <c r="D386" s="142"/>
    </row>
    <row r="387" spans="2:4" x14ac:dyDescent="0.2">
      <c r="B387" s="142"/>
      <c r="C387" s="142"/>
      <c r="D387" s="142"/>
    </row>
    <row r="388" spans="2:4" x14ac:dyDescent="0.2">
      <c r="B388" s="142"/>
      <c r="C388" s="142"/>
      <c r="D388" s="142"/>
    </row>
    <row r="389" spans="2:4" x14ac:dyDescent="0.2">
      <c r="B389" s="142"/>
      <c r="C389" s="142"/>
      <c r="D389" s="142"/>
    </row>
    <row r="390" spans="2:4" x14ac:dyDescent="0.2">
      <c r="B390" s="142"/>
      <c r="C390" s="142"/>
      <c r="D390" s="142"/>
    </row>
    <row r="391" spans="2:4" x14ac:dyDescent="0.2">
      <c r="B391" s="142"/>
      <c r="C391" s="142"/>
      <c r="D391" s="142"/>
    </row>
    <row r="392" spans="2:4" x14ac:dyDescent="0.2">
      <c r="B392" s="142"/>
      <c r="C392" s="142"/>
      <c r="D392" s="142"/>
    </row>
    <row r="393" spans="2:4" x14ac:dyDescent="0.2">
      <c r="B393" s="142"/>
      <c r="C393" s="142"/>
      <c r="D393" s="142"/>
    </row>
    <row r="394" spans="2:4" x14ac:dyDescent="0.2">
      <c r="B394" s="142"/>
      <c r="C394" s="142"/>
      <c r="D394" s="142"/>
    </row>
    <row r="395" spans="2:4" x14ac:dyDescent="0.2">
      <c r="B395" s="142"/>
      <c r="C395" s="142"/>
      <c r="D395" s="142"/>
    </row>
    <row r="396" spans="2:4" x14ac:dyDescent="0.2">
      <c r="B396" s="142"/>
      <c r="C396" s="142"/>
      <c r="D396" s="142"/>
    </row>
    <row r="397" spans="2:4" x14ac:dyDescent="0.2">
      <c r="B397" s="142"/>
      <c r="C397" s="142"/>
      <c r="D397" s="142"/>
    </row>
    <row r="398" spans="2:4" x14ac:dyDescent="0.2">
      <c r="B398" s="142"/>
      <c r="C398" s="142"/>
      <c r="D398" s="142"/>
    </row>
    <row r="399" spans="2:4" x14ac:dyDescent="0.2">
      <c r="B399" s="142"/>
      <c r="C399" s="142"/>
      <c r="D399" s="142"/>
    </row>
    <row r="400" spans="2:4" x14ac:dyDescent="0.2">
      <c r="B400" s="142"/>
      <c r="C400" s="142"/>
      <c r="D400" s="142"/>
    </row>
    <row r="401" spans="2:4" x14ac:dyDescent="0.2">
      <c r="B401" s="142"/>
      <c r="C401" s="142"/>
      <c r="D401" s="142"/>
    </row>
    <row r="402" spans="2:4" x14ac:dyDescent="0.2">
      <c r="B402" s="142"/>
      <c r="C402" s="142"/>
      <c r="D402" s="142"/>
    </row>
    <row r="403" spans="2:4" x14ac:dyDescent="0.2">
      <c r="B403" s="142"/>
      <c r="C403" s="142"/>
      <c r="D403" s="142"/>
    </row>
    <row r="404" spans="2:4" x14ac:dyDescent="0.2">
      <c r="B404" s="142"/>
      <c r="C404" s="142"/>
      <c r="D404" s="142"/>
    </row>
    <row r="405" spans="2:4" x14ac:dyDescent="0.2">
      <c r="B405" s="142"/>
      <c r="C405" s="142"/>
      <c r="D405" s="142"/>
    </row>
    <row r="406" spans="2:4" x14ac:dyDescent="0.2">
      <c r="B406" s="142"/>
      <c r="C406" s="142"/>
      <c r="D406" s="142"/>
    </row>
    <row r="407" spans="2:4" x14ac:dyDescent="0.2">
      <c r="B407" s="142"/>
      <c r="C407" s="142"/>
      <c r="D407" s="142"/>
    </row>
    <row r="408" spans="2:4" x14ac:dyDescent="0.2">
      <c r="B408" s="142"/>
      <c r="C408" s="142"/>
      <c r="D408" s="142"/>
    </row>
    <row r="409" spans="2:4" x14ac:dyDescent="0.2">
      <c r="B409" s="142"/>
      <c r="C409" s="142"/>
      <c r="D409" s="142"/>
    </row>
    <row r="410" spans="2:4" x14ac:dyDescent="0.2">
      <c r="B410" s="142"/>
      <c r="C410" s="142"/>
      <c r="D410" s="142"/>
    </row>
    <row r="411" spans="2:4" x14ac:dyDescent="0.2">
      <c r="B411" s="142"/>
      <c r="C411" s="142"/>
      <c r="D411" s="142"/>
    </row>
    <row r="412" spans="2:4" x14ac:dyDescent="0.2">
      <c r="B412" s="142"/>
      <c r="C412" s="142"/>
      <c r="D412" s="142"/>
    </row>
    <row r="413" spans="2:4" x14ac:dyDescent="0.2">
      <c r="B413" s="142"/>
      <c r="C413" s="142"/>
      <c r="D413" s="142"/>
    </row>
    <row r="414" spans="2:4" x14ac:dyDescent="0.2">
      <c r="B414" s="142"/>
      <c r="C414" s="142"/>
      <c r="D414" s="142"/>
    </row>
    <row r="415" spans="2:4" x14ac:dyDescent="0.2">
      <c r="B415" s="142"/>
      <c r="C415" s="142"/>
      <c r="D415" s="142"/>
    </row>
    <row r="416" spans="2:4" x14ac:dyDescent="0.2">
      <c r="B416" s="142"/>
      <c r="C416" s="142"/>
      <c r="D416" s="142"/>
    </row>
    <row r="417" spans="2:4" x14ac:dyDescent="0.2">
      <c r="B417" s="142"/>
      <c r="C417" s="142"/>
      <c r="D417" s="142"/>
    </row>
    <row r="418" spans="2:4" x14ac:dyDescent="0.2">
      <c r="B418" s="142"/>
      <c r="C418" s="142"/>
      <c r="D418" s="142"/>
    </row>
    <row r="419" spans="2:4" x14ac:dyDescent="0.2">
      <c r="B419" s="142"/>
      <c r="C419" s="142"/>
      <c r="D419" s="142"/>
    </row>
    <row r="420" spans="2:4" x14ac:dyDescent="0.2">
      <c r="B420" s="142"/>
      <c r="C420" s="142"/>
      <c r="D420" s="142"/>
    </row>
    <row r="421" spans="2:4" x14ac:dyDescent="0.2">
      <c r="B421" s="142"/>
      <c r="C421" s="142"/>
      <c r="D421" s="142"/>
    </row>
    <row r="422" spans="2:4" x14ac:dyDescent="0.2">
      <c r="B422" s="142"/>
      <c r="C422" s="142"/>
      <c r="D422" s="142"/>
    </row>
    <row r="423" spans="2:4" x14ac:dyDescent="0.2">
      <c r="B423" s="142"/>
      <c r="C423" s="142"/>
      <c r="D423" s="142"/>
    </row>
    <row r="424" spans="2:4" x14ac:dyDescent="0.2">
      <c r="B424" s="142"/>
      <c r="C424" s="142"/>
      <c r="D424" s="142"/>
    </row>
    <row r="425" spans="2:4" x14ac:dyDescent="0.2">
      <c r="B425" s="142"/>
      <c r="C425" s="142"/>
      <c r="D425" s="142"/>
    </row>
    <row r="426" spans="2:4" x14ac:dyDescent="0.2">
      <c r="B426" s="142"/>
      <c r="C426" s="142"/>
      <c r="D426" s="142"/>
    </row>
    <row r="427" spans="2:4" x14ac:dyDescent="0.2">
      <c r="B427" s="142"/>
      <c r="C427" s="142"/>
      <c r="D427" s="142"/>
    </row>
    <row r="428" spans="2:4" x14ac:dyDescent="0.2">
      <c r="B428" s="142"/>
      <c r="C428" s="142"/>
      <c r="D428" s="142"/>
    </row>
    <row r="429" spans="2:4" x14ac:dyDescent="0.2">
      <c r="B429" s="142"/>
      <c r="C429" s="142"/>
      <c r="D429" s="142"/>
    </row>
    <row r="430" spans="2:4" x14ac:dyDescent="0.2">
      <c r="B430" s="142"/>
      <c r="C430" s="142"/>
      <c r="D430" s="142"/>
    </row>
    <row r="431" spans="2:4" x14ac:dyDescent="0.2">
      <c r="B431" s="142"/>
      <c r="C431" s="142"/>
      <c r="D431" s="142"/>
    </row>
    <row r="432" spans="2:4" x14ac:dyDescent="0.2">
      <c r="B432" s="142"/>
      <c r="C432" s="142"/>
      <c r="D432" s="142"/>
    </row>
    <row r="433" spans="2:4" x14ac:dyDescent="0.2">
      <c r="B433" s="142"/>
      <c r="C433" s="142"/>
      <c r="D433" s="142"/>
    </row>
    <row r="434" spans="2:4" x14ac:dyDescent="0.2">
      <c r="B434" s="142"/>
      <c r="C434" s="142"/>
      <c r="D434" s="142"/>
    </row>
    <row r="435" spans="2:4" x14ac:dyDescent="0.2">
      <c r="B435" s="142"/>
      <c r="C435" s="142"/>
      <c r="D435" s="142"/>
    </row>
    <row r="436" spans="2:4" x14ac:dyDescent="0.2">
      <c r="B436" s="142"/>
      <c r="C436" s="142"/>
      <c r="D436" s="142"/>
    </row>
    <row r="437" spans="2:4" x14ac:dyDescent="0.2">
      <c r="B437" s="142"/>
      <c r="C437" s="142"/>
      <c r="D437" s="142"/>
    </row>
    <row r="438" spans="2:4" x14ac:dyDescent="0.2">
      <c r="B438" s="142"/>
      <c r="C438" s="142"/>
      <c r="D438" s="142"/>
    </row>
    <row r="439" spans="2:4" x14ac:dyDescent="0.2">
      <c r="B439" s="142"/>
      <c r="C439" s="142"/>
      <c r="D439" s="142"/>
    </row>
    <row r="440" spans="2:4" x14ac:dyDescent="0.2">
      <c r="B440" s="142"/>
      <c r="C440" s="142"/>
      <c r="D440" s="142"/>
    </row>
    <row r="441" spans="2:4" x14ac:dyDescent="0.2">
      <c r="B441" s="142"/>
      <c r="C441" s="142"/>
      <c r="D441" s="142"/>
    </row>
    <row r="442" spans="2:4" x14ac:dyDescent="0.2">
      <c r="B442" s="142"/>
      <c r="C442" s="142"/>
      <c r="D442" s="142"/>
    </row>
    <row r="443" spans="2:4" x14ac:dyDescent="0.2">
      <c r="B443" s="142"/>
      <c r="C443" s="142"/>
      <c r="D443" s="142"/>
    </row>
    <row r="444" spans="2:4" x14ac:dyDescent="0.2">
      <c r="B444" s="142"/>
      <c r="C444" s="142"/>
      <c r="D444" s="142"/>
    </row>
    <row r="445" spans="2:4" x14ac:dyDescent="0.2">
      <c r="B445" s="142"/>
      <c r="C445" s="142"/>
      <c r="D445" s="142"/>
    </row>
    <row r="446" spans="2:4" x14ac:dyDescent="0.2">
      <c r="B446" s="142"/>
      <c r="C446" s="142"/>
      <c r="D446" s="142"/>
    </row>
    <row r="447" spans="2:4" x14ac:dyDescent="0.2">
      <c r="B447" s="142"/>
      <c r="C447" s="142"/>
      <c r="D447" s="142"/>
    </row>
    <row r="448" spans="2:4" x14ac:dyDescent="0.2">
      <c r="B448" s="142"/>
      <c r="C448" s="142"/>
      <c r="D448" s="142"/>
    </row>
    <row r="449" spans="2:4" x14ac:dyDescent="0.2">
      <c r="B449" s="142"/>
      <c r="C449" s="142"/>
      <c r="D449" s="142"/>
    </row>
    <row r="450" spans="2:4" x14ac:dyDescent="0.2">
      <c r="B450" s="142"/>
      <c r="C450" s="142"/>
      <c r="D450" s="142"/>
    </row>
    <row r="451" spans="2:4" x14ac:dyDescent="0.2">
      <c r="B451" s="142"/>
      <c r="C451" s="142"/>
      <c r="D451" s="142"/>
    </row>
    <row r="452" spans="2:4" x14ac:dyDescent="0.2">
      <c r="B452" s="142"/>
      <c r="C452" s="142"/>
      <c r="D452" s="142"/>
    </row>
    <row r="453" spans="2:4" x14ac:dyDescent="0.2">
      <c r="B453" s="142"/>
      <c r="C453" s="142"/>
      <c r="D453" s="142"/>
    </row>
    <row r="454" spans="2:4" x14ac:dyDescent="0.2">
      <c r="B454" s="142"/>
      <c r="C454" s="142"/>
      <c r="D454" s="142"/>
    </row>
    <row r="455" spans="2:4" x14ac:dyDescent="0.2">
      <c r="B455" s="142"/>
      <c r="C455" s="142"/>
      <c r="D455" s="142"/>
    </row>
    <row r="456" spans="2:4" x14ac:dyDescent="0.2">
      <c r="B456" s="142"/>
      <c r="C456" s="142"/>
      <c r="D456" s="142"/>
    </row>
    <row r="457" spans="2:4" x14ac:dyDescent="0.2">
      <c r="B457" s="142"/>
      <c r="C457" s="142"/>
      <c r="D457" s="142"/>
    </row>
    <row r="458" spans="2:4" x14ac:dyDescent="0.2">
      <c r="B458" s="142"/>
      <c r="C458" s="142"/>
      <c r="D458" s="142"/>
    </row>
    <row r="459" spans="2:4" x14ac:dyDescent="0.2">
      <c r="B459" s="142"/>
      <c r="C459" s="142"/>
      <c r="D459" s="142"/>
    </row>
    <row r="460" spans="2:4" x14ac:dyDescent="0.2">
      <c r="B460" s="142"/>
      <c r="C460" s="142"/>
      <c r="D460" s="142"/>
    </row>
    <row r="461" spans="2:4" x14ac:dyDescent="0.2">
      <c r="B461" s="142"/>
      <c r="C461" s="142"/>
      <c r="D461" s="142"/>
    </row>
    <row r="462" spans="2:4" x14ac:dyDescent="0.2">
      <c r="B462" s="142"/>
      <c r="C462" s="142"/>
      <c r="D462" s="142"/>
    </row>
    <row r="463" spans="2:4" x14ac:dyDescent="0.2">
      <c r="B463" s="142"/>
      <c r="C463" s="142"/>
      <c r="D463" s="142"/>
    </row>
    <row r="464" spans="2:4" x14ac:dyDescent="0.2">
      <c r="B464" s="142"/>
      <c r="C464" s="142"/>
      <c r="D464" s="142"/>
    </row>
    <row r="465" spans="2:4" x14ac:dyDescent="0.2">
      <c r="B465" s="142"/>
      <c r="C465" s="142"/>
      <c r="D465" s="142"/>
    </row>
    <row r="466" spans="2:4" x14ac:dyDescent="0.2">
      <c r="B466" s="142"/>
      <c r="C466" s="142"/>
      <c r="D466" s="142"/>
    </row>
    <row r="467" spans="2:4" x14ac:dyDescent="0.2">
      <c r="B467" s="142"/>
      <c r="C467" s="142"/>
      <c r="D467" s="142"/>
    </row>
    <row r="468" spans="2:4" x14ac:dyDescent="0.2">
      <c r="B468" s="142"/>
      <c r="C468" s="142"/>
      <c r="D468" s="142"/>
    </row>
    <row r="469" spans="2:4" x14ac:dyDescent="0.2">
      <c r="B469" s="142"/>
      <c r="C469" s="142"/>
      <c r="D469" s="142"/>
    </row>
    <row r="470" spans="2:4" x14ac:dyDescent="0.2">
      <c r="B470" s="142"/>
      <c r="C470" s="142"/>
      <c r="D470" s="142"/>
    </row>
    <row r="471" spans="2:4" x14ac:dyDescent="0.2">
      <c r="B471" s="142"/>
      <c r="C471" s="142"/>
      <c r="D471" s="142"/>
    </row>
    <row r="472" spans="2:4" x14ac:dyDescent="0.2">
      <c r="B472" s="142"/>
      <c r="C472" s="142"/>
      <c r="D472" s="142"/>
    </row>
    <row r="473" spans="2:4" x14ac:dyDescent="0.2">
      <c r="B473" s="142"/>
      <c r="C473" s="142"/>
      <c r="D473" s="142"/>
    </row>
    <row r="474" spans="2:4" x14ac:dyDescent="0.2">
      <c r="B474" s="142"/>
      <c r="C474" s="142"/>
      <c r="D474" s="142"/>
    </row>
    <row r="475" spans="2:4" x14ac:dyDescent="0.2">
      <c r="B475" s="142"/>
      <c r="C475" s="142"/>
      <c r="D475" s="142"/>
    </row>
    <row r="476" spans="2:4" x14ac:dyDescent="0.2">
      <c r="B476" s="142"/>
      <c r="C476" s="142"/>
      <c r="D476" s="142"/>
    </row>
    <row r="477" spans="2:4" x14ac:dyDescent="0.2">
      <c r="B477" s="142"/>
      <c r="C477" s="142"/>
      <c r="D477" s="142"/>
    </row>
    <row r="478" spans="2:4" x14ac:dyDescent="0.2">
      <c r="B478" s="142"/>
      <c r="C478" s="142"/>
      <c r="D478" s="142"/>
    </row>
    <row r="479" spans="2:4" x14ac:dyDescent="0.2">
      <c r="B479" s="142"/>
      <c r="C479" s="142"/>
      <c r="D479" s="142"/>
    </row>
    <row r="480" spans="2:4" x14ac:dyDescent="0.2">
      <c r="B480" s="142"/>
      <c r="C480" s="142"/>
      <c r="D480" s="142"/>
    </row>
    <row r="481" spans="2:4" x14ac:dyDescent="0.2">
      <c r="B481" s="142"/>
      <c r="C481" s="142"/>
      <c r="D481" s="142"/>
    </row>
    <row r="482" spans="2:4" x14ac:dyDescent="0.2">
      <c r="B482" s="142"/>
      <c r="C482" s="142"/>
      <c r="D482" s="142"/>
    </row>
    <row r="483" spans="2:4" x14ac:dyDescent="0.2">
      <c r="B483" s="142"/>
      <c r="C483" s="142"/>
      <c r="D483" s="142"/>
    </row>
    <row r="484" spans="2:4" x14ac:dyDescent="0.2">
      <c r="B484" s="142"/>
      <c r="C484" s="142"/>
      <c r="D484" s="142"/>
    </row>
    <row r="485" spans="2:4" x14ac:dyDescent="0.2">
      <c r="B485" s="142"/>
      <c r="C485" s="142"/>
      <c r="D485" s="142"/>
    </row>
    <row r="486" spans="2:4" x14ac:dyDescent="0.2">
      <c r="B486" s="142"/>
      <c r="C486" s="142"/>
      <c r="D486" s="142"/>
    </row>
    <row r="487" spans="2:4" x14ac:dyDescent="0.2">
      <c r="B487" s="142"/>
      <c r="C487" s="142"/>
      <c r="D487" s="142"/>
    </row>
    <row r="488" spans="2:4" x14ac:dyDescent="0.2">
      <c r="B488" s="142"/>
      <c r="C488" s="142"/>
      <c r="D488" s="142"/>
    </row>
    <row r="489" spans="2:4" x14ac:dyDescent="0.2">
      <c r="B489" s="142"/>
      <c r="C489" s="142"/>
      <c r="D489" s="142"/>
    </row>
    <row r="490" spans="2:4" x14ac:dyDescent="0.2">
      <c r="B490" s="142"/>
      <c r="C490" s="142"/>
      <c r="D490" s="142"/>
    </row>
    <row r="491" spans="2:4" x14ac:dyDescent="0.2">
      <c r="B491" s="142"/>
      <c r="C491" s="142"/>
      <c r="D491" s="142"/>
    </row>
    <row r="492" spans="2:4" x14ac:dyDescent="0.2">
      <c r="B492" s="142"/>
      <c r="C492" s="142"/>
      <c r="D492" s="142"/>
    </row>
    <row r="493" spans="2:4" x14ac:dyDescent="0.2">
      <c r="B493" s="142"/>
      <c r="C493" s="142"/>
      <c r="D493" s="142"/>
    </row>
    <row r="494" spans="2:4" x14ac:dyDescent="0.2">
      <c r="B494" s="142"/>
      <c r="C494" s="142"/>
      <c r="D494" s="142"/>
    </row>
    <row r="495" spans="2:4" x14ac:dyDescent="0.2">
      <c r="B495" s="142"/>
      <c r="C495" s="142"/>
      <c r="D495" s="142"/>
    </row>
    <row r="496" spans="2:4" x14ac:dyDescent="0.2">
      <c r="B496" s="142"/>
      <c r="C496" s="142"/>
      <c r="D496" s="142"/>
    </row>
    <row r="497" spans="2:4" x14ac:dyDescent="0.2">
      <c r="B497" s="142"/>
      <c r="C497" s="142"/>
      <c r="D497" s="142"/>
    </row>
    <row r="498" spans="2:4" x14ac:dyDescent="0.2">
      <c r="B498" s="142"/>
      <c r="C498" s="142"/>
      <c r="D498" s="142"/>
    </row>
    <row r="499" spans="2:4" x14ac:dyDescent="0.2">
      <c r="B499" s="142"/>
      <c r="C499" s="142"/>
      <c r="D499" s="142"/>
    </row>
    <row r="500" spans="2:4" x14ac:dyDescent="0.2">
      <c r="B500" s="142"/>
      <c r="C500" s="142"/>
      <c r="D500" s="142"/>
    </row>
    <row r="501" spans="2:4" x14ac:dyDescent="0.2">
      <c r="B501" s="142"/>
      <c r="C501" s="142"/>
      <c r="D501" s="142"/>
    </row>
    <row r="502" spans="2:4" x14ac:dyDescent="0.2">
      <c r="B502" s="142"/>
      <c r="C502" s="142"/>
      <c r="D502" s="142"/>
    </row>
    <row r="503" spans="2:4" x14ac:dyDescent="0.2">
      <c r="B503" s="142"/>
      <c r="C503" s="142"/>
      <c r="D503" s="142"/>
    </row>
    <row r="504" spans="2:4" x14ac:dyDescent="0.2">
      <c r="B504" s="142"/>
      <c r="C504" s="142"/>
      <c r="D504" s="142"/>
    </row>
    <row r="505" spans="2:4" x14ac:dyDescent="0.2">
      <c r="B505" s="142"/>
      <c r="C505" s="142"/>
      <c r="D505" s="142"/>
    </row>
    <row r="506" spans="2:4" x14ac:dyDescent="0.2">
      <c r="B506" s="142"/>
      <c r="C506" s="142"/>
      <c r="D506" s="142"/>
    </row>
    <row r="507" spans="2:4" x14ac:dyDescent="0.2">
      <c r="B507" s="142"/>
      <c r="C507" s="142"/>
      <c r="D507" s="142"/>
    </row>
    <row r="508" spans="2:4" x14ac:dyDescent="0.2">
      <c r="B508" s="142"/>
      <c r="C508" s="142"/>
      <c r="D508" s="142"/>
    </row>
    <row r="509" spans="2:4" x14ac:dyDescent="0.2">
      <c r="B509" s="142"/>
      <c r="C509" s="142"/>
      <c r="D509" s="142"/>
    </row>
    <row r="510" spans="2:4" x14ac:dyDescent="0.2">
      <c r="B510" s="142"/>
      <c r="C510" s="142"/>
      <c r="D510" s="142"/>
    </row>
    <row r="511" spans="2:4" x14ac:dyDescent="0.2">
      <c r="B511" s="142"/>
      <c r="C511" s="142"/>
      <c r="D511" s="142"/>
    </row>
    <row r="512" spans="2:4" x14ac:dyDescent="0.2">
      <c r="B512" s="142"/>
      <c r="C512" s="142"/>
      <c r="D512" s="142"/>
    </row>
    <row r="513" spans="2:4" x14ac:dyDescent="0.2">
      <c r="B513" s="142"/>
      <c r="C513" s="142"/>
      <c r="D513" s="142"/>
    </row>
    <row r="514" spans="2:4" x14ac:dyDescent="0.2">
      <c r="B514" s="142"/>
      <c r="C514" s="142"/>
      <c r="D514" s="142"/>
    </row>
    <row r="515" spans="2:4" x14ac:dyDescent="0.2">
      <c r="B515" s="142"/>
      <c r="C515" s="142"/>
      <c r="D515" s="142"/>
    </row>
    <row r="516" spans="2:4" x14ac:dyDescent="0.2">
      <c r="B516" s="142"/>
      <c r="C516" s="142"/>
      <c r="D516" s="142"/>
    </row>
    <row r="517" spans="2:4" x14ac:dyDescent="0.2">
      <c r="B517" s="142"/>
      <c r="C517" s="142"/>
      <c r="D517" s="142"/>
    </row>
    <row r="518" spans="2:4" x14ac:dyDescent="0.2">
      <c r="B518" s="142"/>
      <c r="C518" s="142"/>
      <c r="D518" s="142"/>
    </row>
    <row r="519" spans="2:4" x14ac:dyDescent="0.2">
      <c r="B519" s="142"/>
      <c r="C519" s="142"/>
      <c r="D519" s="142"/>
    </row>
    <row r="520" spans="2:4" x14ac:dyDescent="0.2">
      <c r="B520" s="142"/>
      <c r="C520" s="142"/>
      <c r="D520" s="142"/>
    </row>
    <row r="521" spans="2:4" x14ac:dyDescent="0.2">
      <c r="B521" s="142"/>
      <c r="C521" s="142"/>
      <c r="D521" s="142"/>
    </row>
    <row r="522" spans="2:4" x14ac:dyDescent="0.2">
      <c r="B522" s="142"/>
      <c r="C522" s="142"/>
      <c r="D522" s="142"/>
    </row>
    <row r="523" spans="2:4" x14ac:dyDescent="0.2">
      <c r="B523" s="142"/>
      <c r="C523" s="142"/>
      <c r="D523" s="142"/>
    </row>
    <row r="524" spans="2:4" x14ac:dyDescent="0.2">
      <c r="B524" s="142"/>
      <c r="C524" s="142"/>
      <c r="D524" s="142"/>
    </row>
    <row r="525" spans="2:4" x14ac:dyDescent="0.2">
      <c r="B525" s="142"/>
      <c r="C525" s="142"/>
      <c r="D525" s="142"/>
    </row>
    <row r="526" spans="2:4" x14ac:dyDescent="0.2">
      <c r="B526" s="142"/>
      <c r="C526" s="142"/>
      <c r="D526" s="142"/>
    </row>
    <row r="527" spans="2:4" x14ac:dyDescent="0.2">
      <c r="B527" s="142"/>
      <c r="C527" s="142"/>
      <c r="D527" s="142"/>
    </row>
    <row r="528" spans="2:4" x14ac:dyDescent="0.2">
      <c r="B528" s="142"/>
      <c r="C528" s="142"/>
      <c r="D528" s="142"/>
    </row>
    <row r="529" spans="2:4" x14ac:dyDescent="0.2">
      <c r="B529" s="142"/>
      <c r="C529" s="142"/>
      <c r="D529" s="142"/>
    </row>
    <row r="530" spans="2:4" x14ac:dyDescent="0.2">
      <c r="B530" s="142"/>
      <c r="C530" s="142"/>
      <c r="D530" s="142"/>
    </row>
    <row r="531" spans="2:4" x14ac:dyDescent="0.2">
      <c r="B531" s="142"/>
      <c r="C531" s="142"/>
      <c r="D531" s="142"/>
    </row>
    <row r="532" spans="2:4" x14ac:dyDescent="0.2">
      <c r="B532" s="142"/>
      <c r="C532" s="142"/>
      <c r="D532" s="142"/>
    </row>
    <row r="533" spans="2:4" x14ac:dyDescent="0.2">
      <c r="B533" s="142"/>
      <c r="C533" s="142"/>
      <c r="D533" s="142"/>
    </row>
    <row r="534" spans="2:4" x14ac:dyDescent="0.2">
      <c r="B534" s="142"/>
      <c r="C534" s="142"/>
      <c r="D534" s="142"/>
    </row>
    <row r="535" spans="2:4" x14ac:dyDescent="0.2">
      <c r="B535" s="142"/>
      <c r="C535" s="142"/>
      <c r="D535" s="142"/>
    </row>
    <row r="536" spans="2:4" x14ac:dyDescent="0.2">
      <c r="B536" s="142"/>
      <c r="C536" s="142"/>
      <c r="D536" s="142"/>
    </row>
    <row r="537" spans="2:4" x14ac:dyDescent="0.2">
      <c r="B537" s="142"/>
      <c r="C537" s="142"/>
      <c r="D537" s="142"/>
    </row>
    <row r="538" spans="2:4" x14ac:dyDescent="0.2">
      <c r="B538" s="142"/>
      <c r="C538" s="142"/>
      <c r="D538" s="142"/>
    </row>
    <row r="539" spans="2:4" x14ac:dyDescent="0.2">
      <c r="B539" s="142"/>
      <c r="C539" s="142"/>
      <c r="D539" s="142"/>
    </row>
    <row r="540" spans="2:4" x14ac:dyDescent="0.2">
      <c r="B540" s="142"/>
      <c r="C540" s="142"/>
      <c r="D540" s="142"/>
    </row>
    <row r="541" spans="2:4" x14ac:dyDescent="0.2">
      <c r="B541" s="142"/>
      <c r="C541" s="142"/>
      <c r="D541" s="142"/>
    </row>
    <row r="542" spans="2:4" x14ac:dyDescent="0.2">
      <c r="B542" s="142"/>
      <c r="C542" s="142"/>
      <c r="D542" s="142"/>
    </row>
    <row r="543" spans="2:4" x14ac:dyDescent="0.2">
      <c r="B543" s="142"/>
      <c r="C543" s="142"/>
      <c r="D543" s="142"/>
    </row>
    <row r="544" spans="2:4" x14ac:dyDescent="0.2">
      <c r="B544" s="142"/>
      <c r="C544" s="142"/>
      <c r="D544" s="142"/>
    </row>
    <row r="545" spans="2:4" x14ac:dyDescent="0.2">
      <c r="B545" s="142"/>
      <c r="C545" s="142"/>
      <c r="D545" s="142"/>
    </row>
    <row r="546" spans="2:4" x14ac:dyDescent="0.2">
      <c r="B546" s="142"/>
      <c r="C546" s="142"/>
      <c r="D546" s="142"/>
    </row>
    <row r="547" spans="2:4" x14ac:dyDescent="0.2">
      <c r="B547" s="142"/>
      <c r="C547" s="142"/>
      <c r="D547" s="142"/>
    </row>
    <row r="548" spans="2:4" x14ac:dyDescent="0.2">
      <c r="B548" s="142"/>
      <c r="C548" s="142"/>
      <c r="D548" s="142"/>
    </row>
    <row r="549" spans="2:4" x14ac:dyDescent="0.2">
      <c r="B549" s="142"/>
      <c r="C549" s="142"/>
      <c r="D549" s="142"/>
    </row>
    <row r="550" spans="2:4" x14ac:dyDescent="0.2">
      <c r="B550" s="142"/>
      <c r="C550" s="142"/>
      <c r="D550" s="142"/>
    </row>
    <row r="551" spans="2:4" x14ac:dyDescent="0.2">
      <c r="B551" s="142"/>
      <c r="C551" s="142"/>
      <c r="D551" s="142"/>
    </row>
    <row r="552" spans="2:4" x14ac:dyDescent="0.2">
      <c r="B552" s="142"/>
      <c r="C552" s="142"/>
      <c r="D552" s="142"/>
    </row>
    <row r="553" spans="2:4" x14ac:dyDescent="0.2">
      <c r="B553" s="142"/>
      <c r="C553" s="142"/>
      <c r="D553" s="142"/>
    </row>
    <row r="554" spans="2:4" x14ac:dyDescent="0.2">
      <c r="B554" s="142"/>
      <c r="C554" s="142"/>
      <c r="D554" s="142"/>
    </row>
    <row r="555" spans="2:4" x14ac:dyDescent="0.2">
      <c r="B555" s="142"/>
      <c r="C555" s="142"/>
      <c r="D555" s="142"/>
    </row>
    <row r="556" spans="2:4" x14ac:dyDescent="0.2">
      <c r="B556" s="142"/>
      <c r="C556" s="142"/>
      <c r="D556" s="142"/>
    </row>
    <row r="557" spans="2:4" x14ac:dyDescent="0.2">
      <c r="B557" s="142"/>
      <c r="C557" s="142"/>
      <c r="D557" s="142"/>
    </row>
    <row r="558" spans="2:4" x14ac:dyDescent="0.2">
      <c r="B558" s="142"/>
      <c r="C558" s="142"/>
      <c r="D558" s="142"/>
    </row>
    <row r="559" spans="2:4" x14ac:dyDescent="0.2">
      <c r="B559" s="142"/>
      <c r="C559" s="142"/>
      <c r="D559" s="142"/>
    </row>
    <row r="560" spans="2:4" x14ac:dyDescent="0.2">
      <c r="B560" s="142"/>
      <c r="C560" s="142"/>
      <c r="D560" s="142"/>
    </row>
    <row r="561" spans="2:4" x14ac:dyDescent="0.2">
      <c r="B561" s="142"/>
      <c r="C561" s="142"/>
      <c r="D561" s="142"/>
    </row>
    <row r="562" spans="2:4" x14ac:dyDescent="0.2">
      <c r="B562" s="142"/>
      <c r="C562" s="142"/>
      <c r="D562" s="142"/>
    </row>
    <row r="563" spans="2:4" x14ac:dyDescent="0.2">
      <c r="B563" s="142"/>
      <c r="C563" s="142"/>
      <c r="D563" s="142"/>
    </row>
    <row r="564" spans="2:4" x14ac:dyDescent="0.2">
      <c r="B564" s="142"/>
      <c r="C564" s="142"/>
      <c r="D564" s="142"/>
    </row>
    <row r="565" spans="2:4" x14ac:dyDescent="0.2">
      <c r="B565" s="142"/>
      <c r="C565" s="142"/>
      <c r="D565" s="142"/>
    </row>
    <row r="566" spans="2:4" x14ac:dyDescent="0.2">
      <c r="B566" s="142"/>
      <c r="C566" s="142"/>
      <c r="D566" s="142"/>
    </row>
    <row r="567" spans="2:4" x14ac:dyDescent="0.2">
      <c r="B567" s="142"/>
      <c r="C567" s="142"/>
      <c r="D567" s="142"/>
    </row>
    <row r="568" spans="2:4" x14ac:dyDescent="0.2">
      <c r="B568" s="142"/>
      <c r="C568" s="142"/>
      <c r="D568" s="142"/>
    </row>
    <row r="569" spans="2:4" x14ac:dyDescent="0.2">
      <c r="B569" s="142"/>
      <c r="C569" s="142"/>
      <c r="D569" s="142"/>
    </row>
    <row r="570" spans="2:4" x14ac:dyDescent="0.2">
      <c r="B570" s="142"/>
      <c r="C570" s="142"/>
      <c r="D570" s="142"/>
    </row>
    <row r="571" spans="2:4" x14ac:dyDescent="0.2">
      <c r="B571" s="142"/>
      <c r="C571" s="142"/>
      <c r="D571" s="142"/>
    </row>
    <row r="572" spans="2:4" x14ac:dyDescent="0.2">
      <c r="B572" s="142"/>
      <c r="C572" s="142"/>
      <c r="D572" s="142"/>
    </row>
    <row r="573" spans="2:4" x14ac:dyDescent="0.2">
      <c r="B573" s="142"/>
      <c r="C573" s="142"/>
      <c r="D573" s="142"/>
    </row>
    <row r="574" spans="2:4" x14ac:dyDescent="0.2">
      <c r="B574" s="142"/>
      <c r="C574" s="142"/>
      <c r="D574" s="142"/>
    </row>
    <row r="575" spans="2:4" x14ac:dyDescent="0.2">
      <c r="B575" s="142"/>
      <c r="C575" s="142"/>
      <c r="D575" s="142"/>
    </row>
    <row r="576" spans="2:4" x14ac:dyDescent="0.2">
      <c r="B576" s="142"/>
      <c r="C576" s="142"/>
      <c r="D576" s="142"/>
    </row>
    <row r="577" spans="2:4" x14ac:dyDescent="0.2">
      <c r="B577" s="142"/>
      <c r="C577" s="142"/>
      <c r="D577" s="142"/>
    </row>
    <row r="578" spans="2:4" x14ac:dyDescent="0.2">
      <c r="B578" s="142"/>
      <c r="C578" s="142"/>
      <c r="D578" s="142"/>
    </row>
    <row r="579" spans="2:4" x14ac:dyDescent="0.2">
      <c r="B579" s="142"/>
      <c r="C579" s="142"/>
      <c r="D579" s="142"/>
    </row>
    <row r="580" spans="2:4" x14ac:dyDescent="0.2">
      <c r="B580" s="142"/>
      <c r="C580" s="142"/>
      <c r="D580" s="142"/>
    </row>
    <row r="581" spans="2:4" x14ac:dyDescent="0.2">
      <c r="B581" s="142"/>
      <c r="C581" s="142"/>
      <c r="D581" s="142"/>
    </row>
    <row r="582" spans="2:4" x14ac:dyDescent="0.2">
      <c r="B582" s="142"/>
      <c r="C582" s="142"/>
      <c r="D582" s="142"/>
    </row>
    <row r="583" spans="2:4" x14ac:dyDescent="0.2">
      <c r="B583" s="142"/>
      <c r="C583" s="142"/>
      <c r="D583" s="142"/>
    </row>
    <row r="584" spans="2:4" x14ac:dyDescent="0.2">
      <c r="B584" s="142"/>
      <c r="C584" s="142"/>
      <c r="D584" s="142"/>
    </row>
    <row r="585" spans="2:4" x14ac:dyDescent="0.2">
      <c r="B585" s="142"/>
      <c r="C585" s="142"/>
      <c r="D585" s="142"/>
    </row>
    <row r="586" spans="2:4" x14ac:dyDescent="0.2">
      <c r="B586" s="142"/>
      <c r="C586" s="142"/>
      <c r="D586" s="142"/>
    </row>
    <row r="587" spans="2:4" x14ac:dyDescent="0.2">
      <c r="B587" s="142"/>
      <c r="C587" s="142"/>
      <c r="D587" s="142"/>
    </row>
    <row r="588" spans="2:4" x14ac:dyDescent="0.2">
      <c r="B588" s="142"/>
      <c r="C588" s="142"/>
      <c r="D588" s="142"/>
    </row>
    <row r="589" spans="2:4" x14ac:dyDescent="0.2">
      <c r="B589" s="142"/>
      <c r="C589" s="142"/>
      <c r="D589" s="142"/>
    </row>
    <row r="590" spans="2:4" x14ac:dyDescent="0.2">
      <c r="B590" s="142"/>
      <c r="C590" s="142"/>
      <c r="D590" s="142"/>
    </row>
    <row r="591" spans="2:4" x14ac:dyDescent="0.2">
      <c r="B591" s="142"/>
      <c r="C591" s="142"/>
      <c r="D591" s="142"/>
    </row>
    <row r="592" spans="2:4" x14ac:dyDescent="0.2">
      <c r="B592" s="142"/>
      <c r="C592" s="142"/>
      <c r="D592" s="142"/>
    </row>
    <row r="593" spans="2:4" x14ac:dyDescent="0.2">
      <c r="B593" s="142"/>
      <c r="C593" s="142"/>
      <c r="D593" s="142"/>
    </row>
    <row r="594" spans="2:4" x14ac:dyDescent="0.2">
      <c r="B594" s="142"/>
      <c r="C594" s="142"/>
      <c r="D594" s="142"/>
    </row>
    <row r="595" spans="2:4" x14ac:dyDescent="0.2">
      <c r="B595" s="142"/>
      <c r="C595" s="142"/>
      <c r="D595" s="142"/>
    </row>
    <row r="596" spans="2:4" x14ac:dyDescent="0.2">
      <c r="B596" s="142"/>
      <c r="C596" s="142"/>
      <c r="D596" s="142"/>
    </row>
    <row r="597" spans="2:4" x14ac:dyDescent="0.2">
      <c r="B597" s="142"/>
      <c r="C597" s="142"/>
      <c r="D597" s="142"/>
    </row>
    <row r="598" spans="2:4" x14ac:dyDescent="0.2">
      <c r="B598" s="142"/>
      <c r="C598" s="142"/>
      <c r="D598" s="142"/>
    </row>
    <row r="599" spans="2:4" x14ac:dyDescent="0.2">
      <c r="B599" s="142"/>
      <c r="C599" s="142"/>
      <c r="D599" s="142"/>
    </row>
    <row r="600" spans="2:4" x14ac:dyDescent="0.2">
      <c r="B600" s="142"/>
      <c r="C600" s="142"/>
      <c r="D600" s="142"/>
    </row>
    <row r="601" spans="2:4" x14ac:dyDescent="0.2">
      <c r="B601" s="142"/>
      <c r="C601" s="142"/>
      <c r="D601" s="142"/>
    </row>
    <row r="602" spans="2:4" x14ac:dyDescent="0.2">
      <c r="B602" s="142"/>
      <c r="C602" s="142"/>
      <c r="D602" s="142"/>
    </row>
    <row r="603" spans="2:4" x14ac:dyDescent="0.2">
      <c r="B603" s="142"/>
      <c r="C603" s="142"/>
      <c r="D603" s="142"/>
    </row>
    <row r="604" spans="2:4" x14ac:dyDescent="0.2">
      <c r="B604" s="142"/>
      <c r="C604" s="142"/>
      <c r="D604" s="142"/>
    </row>
    <row r="605" spans="2:4" x14ac:dyDescent="0.2">
      <c r="B605" s="142"/>
      <c r="C605" s="142"/>
      <c r="D605" s="142"/>
    </row>
    <row r="606" spans="2:4" x14ac:dyDescent="0.2">
      <c r="B606" s="142"/>
      <c r="C606" s="142"/>
      <c r="D606" s="142"/>
    </row>
    <row r="607" spans="2:4" x14ac:dyDescent="0.2">
      <c r="B607" s="142"/>
      <c r="C607" s="142"/>
      <c r="D607" s="142"/>
    </row>
    <row r="608" spans="2:4" x14ac:dyDescent="0.2">
      <c r="B608" s="142"/>
      <c r="C608" s="142"/>
      <c r="D608" s="142"/>
    </row>
    <row r="609" spans="2:4" x14ac:dyDescent="0.2">
      <c r="B609" s="142"/>
      <c r="C609" s="142"/>
      <c r="D609" s="142"/>
    </row>
    <row r="610" spans="2:4" x14ac:dyDescent="0.2">
      <c r="B610" s="142"/>
      <c r="C610" s="142"/>
      <c r="D610" s="142"/>
    </row>
    <row r="611" spans="2:4" x14ac:dyDescent="0.2">
      <c r="B611" s="142"/>
      <c r="C611" s="142"/>
      <c r="D611" s="142"/>
    </row>
    <row r="612" spans="2:4" x14ac:dyDescent="0.2">
      <c r="B612" s="142"/>
      <c r="C612" s="142"/>
      <c r="D612" s="142"/>
    </row>
    <row r="613" spans="2:4" x14ac:dyDescent="0.2">
      <c r="B613" s="142"/>
      <c r="C613" s="142"/>
      <c r="D613" s="142"/>
    </row>
    <row r="614" spans="2:4" x14ac:dyDescent="0.2">
      <c r="B614" s="142"/>
      <c r="C614" s="142"/>
      <c r="D614" s="142"/>
    </row>
    <row r="615" spans="2:4" x14ac:dyDescent="0.2">
      <c r="B615" s="142"/>
      <c r="C615" s="142"/>
      <c r="D615" s="142"/>
    </row>
    <row r="616" spans="2:4" x14ac:dyDescent="0.2">
      <c r="B616" s="142"/>
      <c r="C616" s="142"/>
      <c r="D616" s="142"/>
    </row>
    <row r="617" spans="2:4" x14ac:dyDescent="0.2">
      <c r="B617" s="142"/>
      <c r="C617" s="142"/>
      <c r="D617" s="142"/>
    </row>
    <row r="618" spans="2:4" x14ac:dyDescent="0.2">
      <c r="B618" s="142"/>
      <c r="C618" s="142"/>
      <c r="D618" s="142"/>
    </row>
    <row r="619" spans="2:4" x14ac:dyDescent="0.2">
      <c r="B619" s="142"/>
      <c r="C619" s="142"/>
      <c r="D619" s="142"/>
    </row>
    <row r="620" spans="2:4" x14ac:dyDescent="0.2">
      <c r="B620" s="142"/>
      <c r="C620" s="142"/>
      <c r="D620" s="142"/>
    </row>
    <row r="621" spans="2:4" x14ac:dyDescent="0.2">
      <c r="B621" s="142"/>
      <c r="C621" s="142"/>
      <c r="D621" s="142"/>
    </row>
    <row r="622" spans="2:4" x14ac:dyDescent="0.2">
      <c r="B622" s="142"/>
      <c r="C622" s="142"/>
      <c r="D622" s="142"/>
    </row>
    <row r="623" spans="2:4" x14ac:dyDescent="0.2">
      <c r="B623" s="142"/>
      <c r="C623" s="142"/>
      <c r="D623" s="142"/>
    </row>
    <row r="624" spans="2:4" x14ac:dyDescent="0.2">
      <c r="B624" s="142"/>
      <c r="C624" s="142"/>
      <c r="D624" s="142"/>
    </row>
    <row r="625" spans="2:4" x14ac:dyDescent="0.2">
      <c r="B625" s="142"/>
      <c r="C625" s="142"/>
      <c r="D625" s="142"/>
    </row>
    <row r="626" spans="2:4" x14ac:dyDescent="0.2">
      <c r="B626" s="142"/>
      <c r="C626" s="142"/>
      <c r="D626" s="142"/>
    </row>
    <row r="627" spans="2:4" x14ac:dyDescent="0.2">
      <c r="B627" s="142"/>
      <c r="C627" s="142"/>
      <c r="D627" s="142"/>
    </row>
    <row r="628" spans="2:4" x14ac:dyDescent="0.2">
      <c r="B628" s="142"/>
      <c r="C628" s="142"/>
      <c r="D628" s="142"/>
    </row>
    <row r="629" spans="2:4" x14ac:dyDescent="0.2">
      <c r="B629" s="142"/>
      <c r="C629" s="142"/>
      <c r="D629" s="142"/>
    </row>
    <row r="630" spans="2:4" x14ac:dyDescent="0.2">
      <c r="B630" s="142"/>
      <c r="C630" s="142"/>
      <c r="D630" s="142"/>
    </row>
    <row r="631" spans="2:4" x14ac:dyDescent="0.2">
      <c r="B631" s="142"/>
      <c r="C631" s="142"/>
      <c r="D631" s="142"/>
    </row>
    <row r="632" spans="2:4" x14ac:dyDescent="0.2">
      <c r="B632" s="142"/>
      <c r="C632" s="142"/>
      <c r="D632" s="142"/>
    </row>
    <row r="633" spans="2:4" x14ac:dyDescent="0.2">
      <c r="B633" s="142"/>
      <c r="C633" s="142"/>
      <c r="D633" s="142"/>
    </row>
    <row r="634" spans="2:4" x14ac:dyDescent="0.2">
      <c r="B634" s="142"/>
      <c r="C634" s="142"/>
      <c r="D634" s="142"/>
    </row>
    <row r="635" spans="2:4" x14ac:dyDescent="0.2">
      <c r="B635" s="142"/>
      <c r="C635" s="142"/>
      <c r="D635" s="142"/>
    </row>
    <row r="636" spans="2:4" x14ac:dyDescent="0.2">
      <c r="B636" s="142"/>
      <c r="C636" s="142"/>
      <c r="D636" s="142"/>
    </row>
    <row r="637" spans="2:4" x14ac:dyDescent="0.2">
      <c r="B637" s="142"/>
      <c r="C637" s="142"/>
      <c r="D637" s="142"/>
    </row>
    <row r="638" spans="2:4" x14ac:dyDescent="0.2">
      <c r="B638" s="142"/>
      <c r="C638" s="142"/>
      <c r="D638" s="142"/>
    </row>
    <row r="639" spans="2:4" x14ac:dyDescent="0.2">
      <c r="B639" s="142"/>
      <c r="C639" s="142"/>
      <c r="D639" s="142"/>
    </row>
    <row r="640" spans="2:4" x14ac:dyDescent="0.2">
      <c r="B640" s="142"/>
      <c r="C640" s="142"/>
      <c r="D640" s="142"/>
    </row>
    <row r="641" spans="2:4" x14ac:dyDescent="0.2">
      <c r="B641" s="142"/>
      <c r="C641" s="142"/>
      <c r="D641" s="142"/>
    </row>
    <row r="642" spans="2:4" x14ac:dyDescent="0.2">
      <c r="B642" s="142"/>
      <c r="C642" s="142"/>
      <c r="D642" s="142"/>
    </row>
    <row r="643" spans="2:4" x14ac:dyDescent="0.2">
      <c r="B643" s="142"/>
      <c r="C643" s="142"/>
      <c r="D643" s="142"/>
    </row>
    <row r="644" spans="2:4" x14ac:dyDescent="0.2">
      <c r="B644" s="142"/>
      <c r="C644" s="142"/>
      <c r="D644" s="142"/>
    </row>
    <row r="645" spans="2:4" x14ac:dyDescent="0.2">
      <c r="B645" s="142"/>
      <c r="C645" s="142"/>
      <c r="D645" s="142"/>
    </row>
    <row r="646" spans="2:4" x14ac:dyDescent="0.2">
      <c r="B646" s="142"/>
      <c r="C646" s="142"/>
      <c r="D646" s="142"/>
    </row>
    <row r="647" spans="2:4" x14ac:dyDescent="0.2">
      <c r="B647" s="142"/>
      <c r="C647" s="142"/>
      <c r="D647" s="142"/>
    </row>
    <row r="648" spans="2:4" x14ac:dyDescent="0.2">
      <c r="B648" s="142"/>
      <c r="C648" s="142"/>
      <c r="D648" s="142"/>
    </row>
    <row r="649" spans="2:4" x14ac:dyDescent="0.2">
      <c r="B649" s="142"/>
      <c r="C649" s="142"/>
      <c r="D649" s="142"/>
    </row>
    <row r="650" spans="2:4" x14ac:dyDescent="0.2">
      <c r="B650" s="142"/>
      <c r="C650" s="142"/>
      <c r="D650" s="142"/>
    </row>
    <row r="651" spans="2:4" x14ac:dyDescent="0.2">
      <c r="B651" s="142"/>
      <c r="C651" s="142"/>
      <c r="D651" s="142"/>
    </row>
    <row r="652" spans="2:4" x14ac:dyDescent="0.2">
      <c r="B652" s="142"/>
      <c r="C652" s="142"/>
      <c r="D652" s="142"/>
    </row>
    <row r="653" spans="2:4" x14ac:dyDescent="0.2">
      <c r="B653" s="142"/>
      <c r="C653" s="142"/>
      <c r="D653" s="142"/>
    </row>
    <row r="654" spans="2:4" x14ac:dyDescent="0.2">
      <c r="B654" s="142"/>
      <c r="C654" s="142"/>
      <c r="D654" s="142"/>
    </row>
    <row r="655" spans="2:4" x14ac:dyDescent="0.2">
      <c r="B655" s="142"/>
      <c r="C655" s="142"/>
      <c r="D655" s="142"/>
    </row>
    <row r="656" spans="2:4" x14ac:dyDescent="0.2">
      <c r="B656" s="142"/>
      <c r="C656" s="142"/>
      <c r="D656" s="142"/>
    </row>
    <row r="657" spans="2:4" x14ac:dyDescent="0.2">
      <c r="B657" s="142"/>
      <c r="C657" s="142"/>
      <c r="D657" s="142"/>
    </row>
    <row r="658" spans="2:4" x14ac:dyDescent="0.2">
      <c r="B658" s="142"/>
      <c r="C658" s="142"/>
      <c r="D658" s="142"/>
    </row>
    <row r="659" spans="2:4" x14ac:dyDescent="0.2">
      <c r="B659" s="142"/>
      <c r="C659" s="142"/>
      <c r="D659" s="142"/>
    </row>
    <row r="660" spans="2:4" x14ac:dyDescent="0.2">
      <c r="B660" s="142"/>
      <c r="C660" s="142"/>
      <c r="D660" s="142"/>
    </row>
    <row r="661" spans="2:4" x14ac:dyDescent="0.2">
      <c r="B661" s="142"/>
      <c r="C661" s="142"/>
      <c r="D661" s="142"/>
    </row>
    <row r="662" spans="2:4" x14ac:dyDescent="0.2">
      <c r="B662" s="142"/>
      <c r="C662" s="142"/>
      <c r="D662" s="142"/>
    </row>
    <row r="663" spans="2:4" x14ac:dyDescent="0.2">
      <c r="B663" s="142"/>
      <c r="C663" s="142"/>
      <c r="D663" s="142"/>
    </row>
    <row r="664" spans="2:4" x14ac:dyDescent="0.2">
      <c r="B664" s="142"/>
      <c r="C664" s="142"/>
      <c r="D664" s="142"/>
    </row>
    <row r="665" spans="2:4" x14ac:dyDescent="0.2">
      <c r="B665" s="142"/>
      <c r="C665" s="142"/>
      <c r="D665" s="142"/>
    </row>
    <row r="666" spans="2:4" x14ac:dyDescent="0.2">
      <c r="B666" s="142"/>
      <c r="C666" s="142"/>
      <c r="D666" s="142"/>
    </row>
    <row r="667" spans="2:4" x14ac:dyDescent="0.2">
      <c r="B667" s="142"/>
      <c r="C667" s="142"/>
      <c r="D667" s="142"/>
    </row>
    <row r="668" spans="2:4" x14ac:dyDescent="0.2">
      <c r="B668" s="142"/>
      <c r="C668" s="142"/>
      <c r="D668" s="142"/>
    </row>
    <row r="669" spans="2:4" x14ac:dyDescent="0.2">
      <c r="B669" s="142"/>
      <c r="C669" s="142"/>
      <c r="D669" s="142"/>
    </row>
    <row r="670" spans="2:4" x14ac:dyDescent="0.2">
      <c r="B670" s="142"/>
      <c r="C670" s="142"/>
      <c r="D670" s="142"/>
    </row>
    <row r="671" spans="2:4" x14ac:dyDescent="0.2">
      <c r="B671" s="142"/>
      <c r="C671" s="142"/>
      <c r="D671" s="142"/>
    </row>
    <row r="672" spans="2:4" x14ac:dyDescent="0.2">
      <c r="B672" s="142"/>
      <c r="C672" s="142"/>
      <c r="D672" s="142"/>
    </row>
    <row r="673" spans="2:4" x14ac:dyDescent="0.2">
      <c r="B673" s="142"/>
      <c r="C673" s="142"/>
      <c r="D673" s="142"/>
    </row>
    <row r="674" spans="2:4" x14ac:dyDescent="0.2">
      <c r="B674" s="142"/>
      <c r="C674" s="142"/>
      <c r="D674" s="142"/>
    </row>
    <row r="675" spans="2:4" x14ac:dyDescent="0.2">
      <c r="B675" s="142"/>
      <c r="C675" s="142"/>
      <c r="D675" s="142"/>
    </row>
    <row r="676" spans="2:4" x14ac:dyDescent="0.2">
      <c r="B676" s="142"/>
      <c r="C676" s="142"/>
      <c r="D676" s="142"/>
    </row>
    <row r="677" spans="2:4" x14ac:dyDescent="0.2">
      <c r="B677" s="142"/>
      <c r="C677" s="142"/>
      <c r="D677" s="142"/>
    </row>
    <row r="678" spans="2:4" x14ac:dyDescent="0.2">
      <c r="B678" s="142"/>
      <c r="C678" s="142"/>
      <c r="D678" s="142"/>
    </row>
    <row r="679" spans="2:4" x14ac:dyDescent="0.2">
      <c r="B679" s="142"/>
      <c r="C679" s="142"/>
      <c r="D679" s="142"/>
    </row>
    <row r="680" spans="2:4" x14ac:dyDescent="0.2">
      <c r="B680" s="142"/>
      <c r="C680" s="142"/>
      <c r="D680" s="142"/>
    </row>
    <row r="681" spans="2:4" x14ac:dyDescent="0.2">
      <c r="B681" s="142"/>
      <c r="C681" s="142"/>
      <c r="D681" s="142"/>
    </row>
    <row r="682" spans="2:4" x14ac:dyDescent="0.2">
      <c r="B682" s="142"/>
      <c r="C682" s="142"/>
      <c r="D682" s="142"/>
    </row>
    <row r="683" spans="2:4" x14ac:dyDescent="0.2">
      <c r="B683" s="142"/>
      <c r="C683" s="142"/>
      <c r="D683" s="142"/>
    </row>
    <row r="684" spans="2:4" x14ac:dyDescent="0.2">
      <c r="B684" s="142"/>
      <c r="C684" s="142"/>
      <c r="D684" s="142"/>
    </row>
    <row r="685" spans="2:4" x14ac:dyDescent="0.2">
      <c r="B685" s="142"/>
      <c r="C685" s="142"/>
      <c r="D685" s="142"/>
    </row>
    <row r="686" spans="2:4" x14ac:dyDescent="0.2">
      <c r="B686" s="142"/>
      <c r="C686" s="142"/>
      <c r="D686" s="142"/>
    </row>
    <row r="687" spans="2:4" x14ac:dyDescent="0.2">
      <c r="B687" s="142"/>
      <c r="C687" s="142"/>
      <c r="D687" s="142"/>
    </row>
    <row r="688" spans="2:4" x14ac:dyDescent="0.2">
      <c r="B688" s="142"/>
      <c r="C688" s="142"/>
      <c r="D688" s="142"/>
    </row>
    <row r="689" spans="2:4" x14ac:dyDescent="0.2">
      <c r="B689" s="142"/>
      <c r="C689" s="142"/>
      <c r="D689" s="142"/>
    </row>
    <row r="690" spans="2:4" x14ac:dyDescent="0.2">
      <c r="B690" s="142"/>
      <c r="C690" s="142"/>
      <c r="D690" s="142"/>
    </row>
    <row r="691" spans="2:4" x14ac:dyDescent="0.2">
      <c r="B691" s="142"/>
      <c r="C691" s="142"/>
      <c r="D691" s="142"/>
    </row>
    <row r="692" spans="2:4" x14ac:dyDescent="0.2">
      <c r="B692" s="142"/>
      <c r="C692" s="142"/>
      <c r="D692" s="142"/>
    </row>
    <row r="693" spans="2:4" x14ac:dyDescent="0.2">
      <c r="B693" s="142"/>
      <c r="C693" s="142"/>
      <c r="D693" s="142"/>
    </row>
    <row r="694" spans="2:4" x14ac:dyDescent="0.2">
      <c r="B694" s="142"/>
      <c r="C694" s="142"/>
      <c r="D694" s="142"/>
    </row>
    <row r="695" spans="2:4" x14ac:dyDescent="0.2">
      <c r="B695" s="142"/>
      <c r="C695" s="142"/>
      <c r="D695" s="142"/>
    </row>
    <row r="696" spans="2:4" x14ac:dyDescent="0.2">
      <c r="B696" s="142"/>
      <c r="C696" s="142"/>
      <c r="D696" s="142"/>
    </row>
    <row r="697" spans="2:4" x14ac:dyDescent="0.2">
      <c r="B697" s="142"/>
      <c r="C697" s="142"/>
      <c r="D697" s="142"/>
    </row>
    <row r="698" spans="2:4" x14ac:dyDescent="0.2">
      <c r="B698" s="142"/>
      <c r="C698" s="142"/>
      <c r="D698" s="142"/>
    </row>
    <row r="699" spans="2:4" x14ac:dyDescent="0.2">
      <c r="B699" s="142"/>
      <c r="C699" s="142"/>
      <c r="D699" s="142"/>
    </row>
    <row r="700" spans="2:4" x14ac:dyDescent="0.2">
      <c r="B700" s="142"/>
      <c r="C700" s="142"/>
      <c r="D700" s="142"/>
    </row>
    <row r="701" spans="2:4" x14ac:dyDescent="0.2">
      <c r="B701" s="142"/>
      <c r="C701" s="142"/>
      <c r="D701" s="142"/>
    </row>
    <row r="702" spans="2:4" x14ac:dyDescent="0.2">
      <c r="B702" s="142"/>
      <c r="C702" s="142"/>
      <c r="D702" s="142"/>
    </row>
    <row r="703" spans="2:4" x14ac:dyDescent="0.2">
      <c r="B703" s="142"/>
      <c r="C703" s="142"/>
      <c r="D703" s="142"/>
    </row>
    <row r="704" spans="2:4" x14ac:dyDescent="0.2">
      <c r="B704" s="142"/>
      <c r="C704" s="142"/>
      <c r="D704" s="142"/>
    </row>
    <row r="705" spans="2:4" x14ac:dyDescent="0.2">
      <c r="B705" s="142"/>
      <c r="C705" s="142"/>
      <c r="D705" s="142"/>
    </row>
    <row r="706" spans="2:4" x14ac:dyDescent="0.2">
      <c r="B706" s="142"/>
      <c r="C706" s="142"/>
      <c r="D706" s="142"/>
    </row>
    <row r="707" spans="2:4" x14ac:dyDescent="0.2">
      <c r="B707" s="142"/>
      <c r="C707" s="142"/>
      <c r="D707" s="142"/>
    </row>
    <row r="708" spans="2:4" x14ac:dyDescent="0.2">
      <c r="B708" s="142"/>
      <c r="C708" s="142"/>
      <c r="D708" s="142"/>
    </row>
    <row r="709" spans="2:4" x14ac:dyDescent="0.2">
      <c r="B709" s="142"/>
      <c r="C709" s="142"/>
      <c r="D709" s="142"/>
    </row>
    <row r="710" spans="2:4" x14ac:dyDescent="0.2">
      <c r="B710" s="142"/>
      <c r="C710" s="142"/>
      <c r="D710" s="142"/>
    </row>
    <row r="711" spans="2:4" x14ac:dyDescent="0.2">
      <c r="B711" s="142"/>
      <c r="C711" s="142"/>
      <c r="D711" s="142"/>
    </row>
    <row r="712" spans="2:4" x14ac:dyDescent="0.2">
      <c r="B712" s="142"/>
      <c r="C712" s="142"/>
      <c r="D712" s="142"/>
    </row>
    <row r="713" spans="2:4" x14ac:dyDescent="0.2">
      <c r="B713" s="142"/>
      <c r="C713" s="142"/>
      <c r="D713" s="142"/>
    </row>
    <row r="714" spans="2:4" x14ac:dyDescent="0.2">
      <c r="B714" s="142"/>
      <c r="C714" s="142"/>
      <c r="D714" s="142"/>
    </row>
    <row r="715" spans="2:4" x14ac:dyDescent="0.2">
      <c r="B715" s="142"/>
      <c r="C715" s="142"/>
      <c r="D715" s="142"/>
    </row>
    <row r="716" spans="2:4" x14ac:dyDescent="0.2">
      <c r="B716" s="142"/>
      <c r="C716" s="142"/>
      <c r="D716" s="142"/>
    </row>
    <row r="717" spans="2:4" x14ac:dyDescent="0.2">
      <c r="B717" s="142"/>
      <c r="C717" s="142"/>
      <c r="D717" s="142"/>
    </row>
    <row r="718" spans="2:4" x14ac:dyDescent="0.2">
      <c r="B718" s="142"/>
      <c r="C718" s="142"/>
      <c r="D718" s="142"/>
    </row>
    <row r="719" spans="2:4" x14ac:dyDescent="0.2">
      <c r="B719" s="142"/>
      <c r="C719" s="142"/>
      <c r="D719" s="142"/>
    </row>
    <row r="720" spans="2:4" x14ac:dyDescent="0.2">
      <c r="B720" s="142"/>
      <c r="C720" s="142"/>
      <c r="D720" s="142"/>
    </row>
    <row r="721" spans="2:4" x14ac:dyDescent="0.2">
      <c r="B721" s="142"/>
      <c r="C721" s="142"/>
      <c r="D721" s="142"/>
    </row>
    <row r="722" spans="2:4" x14ac:dyDescent="0.2">
      <c r="B722" s="142"/>
      <c r="C722" s="142"/>
      <c r="D722" s="142"/>
    </row>
    <row r="723" spans="2:4" x14ac:dyDescent="0.2">
      <c r="B723" s="142"/>
      <c r="C723" s="142"/>
      <c r="D723" s="142"/>
    </row>
    <row r="724" spans="2:4" x14ac:dyDescent="0.2">
      <c r="B724" s="142"/>
      <c r="C724" s="142"/>
      <c r="D724" s="142"/>
    </row>
    <row r="725" spans="2:4" x14ac:dyDescent="0.2">
      <c r="B725" s="142"/>
      <c r="C725" s="142"/>
      <c r="D725" s="142"/>
    </row>
    <row r="726" spans="2:4" x14ac:dyDescent="0.2">
      <c r="B726" s="142"/>
      <c r="C726" s="142"/>
      <c r="D726" s="142"/>
    </row>
    <row r="727" spans="2:4" x14ac:dyDescent="0.2">
      <c r="B727" s="142"/>
      <c r="C727" s="142"/>
      <c r="D727" s="142"/>
    </row>
    <row r="728" spans="2:4" x14ac:dyDescent="0.2">
      <c r="B728" s="142"/>
      <c r="C728" s="142"/>
      <c r="D728" s="142"/>
    </row>
    <row r="729" spans="2:4" x14ac:dyDescent="0.2">
      <c r="B729" s="142"/>
      <c r="C729" s="142"/>
      <c r="D729" s="142"/>
    </row>
    <row r="730" spans="2:4" x14ac:dyDescent="0.2">
      <c r="B730" s="142"/>
      <c r="C730" s="142"/>
      <c r="D730" s="142"/>
    </row>
    <row r="731" spans="2:4" x14ac:dyDescent="0.2">
      <c r="B731" s="142"/>
      <c r="C731" s="142"/>
      <c r="D731" s="142"/>
    </row>
    <row r="732" spans="2:4" x14ac:dyDescent="0.2">
      <c r="B732" s="142"/>
      <c r="C732" s="142"/>
      <c r="D732" s="142"/>
    </row>
    <row r="733" spans="2:4" x14ac:dyDescent="0.2">
      <c r="B733" s="142"/>
      <c r="C733" s="142"/>
      <c r="D733" s="142"/>
    </row>
    <row r="734" spans="2:4" x14ac:dyDescent="0.2">
      <c r="B734" s="142"/>
      <c r="C734" s="142"/>
      <c r="D734" s="142"/>
    </row>
    <row r="735" spans="2:4" x14ac:dyDescent="0.2">
      <c r="B735" s="142"/>
      <c r="C735" s="142"/>
      <c r="D735" s="142"/>
    </row>
    <row r="736" spans="2:4" x14ac:dyDescent="0.2">
      <c r="B736" s="142"/>
      <c r="C736" s="142"/>
      <c r="D736" s="142"/>
    </row>
    <row r="737" spans="2:4" x14ac:dyDescent="0.2">
      <c r="B737" s="142"/>
      <c r="C737" s="142"/>
      <c r="D737" s="142"/>
    </row>
    <row r="738" spans="2:4" x14ac:dyDescent="0.2">
      <c r="B738" s="142"/>
      <c r="C738" s="142"/>
      <c r="D738" s="142"/>
    </row>
    <row r="739" spans="2:4" x14ac:dyDescent="0.2">
      <c r="B739" s="142"/>
      <c r="C739" s="142"/>
      <c r="D739" s="142"/>
    </row>
    <row r="740" spans="2:4" x14ac:dyDescent="0.2">
      <c r="B740" s="142"/>
      <c r="C740" s="142"/>
      <c r="D740" s="142"/>
    </row>
    <row r="741" spans="2:4" x14ac:dyDescent="0.2">
      <c r="B741" s="142"/>
      <c r="C741" s="142"/>
      <c r="D741" s="142"/>
    </row>
    <row r="742" spans="2:4" x14ac:dyDescent="0.2">
      <c r="B742" s="142"/>
      <c r="C742" s="142"/>
      <c r="D742" s="142"/>
    </row>
    <row r="743" spans="2:4" x14ac:dyDescent="0.2">
      <c r="B743" s="142"/>
      <c r="C743" s="142"/>
      <c r="D743" s="142"/>
    </row>
    <row r="744" spans="2:4" x14ac:dyDescent="0.2">
      <c r="B744" s="142"/>
      <c r="C744" s="142"/>
      <c r="D744" s="142"/>
    </row>
    <row r="745" spans="2:4" x14ac:dyDescent="0.2">
      <c r="B745" s="142"/>
      <c r="C745" s="142"/>
      <c r="D745" s="142"/>
    </row>
    <row r="746" spans="2:4" x14ac:dyDescent="0.2">
      <c r="B746" s="142"/>
      <c r="C746" s="142"/>
      <c r="D746" s="142"/>
    </row>
    <row r="747" spans="2:4" x14ac:dyDescent="0.2">
      <c r="B747" s="142"/>
      <c r="C747" s="142"/>
      <c r="D747" s="142"/>
    </row>
    <row r="748" spans="2:4" x14ac:dyDescent="0.2">
      <c r="B748" s="142"/>
      <c r="C748" s="142"/>
      <c r="D748" s="142"/>
    </row>
    <row r="749" spans="2:4" x14ac:dyDescent="0.2">
      <c r="B749" s="142"/>
      <c r="C749" s="142"/>
      <c r="D749" s="142"/>
    </row>
    <row r="750" spans="2:4" x14ac:dyDescent="0.2">
      <c r="B750" s="142"/>
      <c r="C750" s="142"/>
      <c r="D750" s="142"/>
    </row>
    <row r="751" spans="2:4" x14ac:dyDescent="0.2">
      <c r="B751" s="142"/>
      <c r="C751" s="142"/>
      <c r="D751" s="142"/>
    </row>
    <row r="752" spans="2:4" x14ac:dyDescent="0.2">
      <c r="B752" s="142"/>
      <c r="C752" s="142"/>
      <c r="D752" s="142"/>
    </row>
    <row r="753" spans="2:4" x14ac:dyDescent="0.2">
      <c r="B753" s="142"/>
      <c r="C753" s="142"/>
      <c r="D753" s="142"/>
    </row>
    <row r="754" spans="2:4" x14ac:dyDescent="0.2">
      <c r="B754" s="142"/>
      <c r="C754" s="142"/>
      <c r="D754" s="142"/>
    </row>
    <row r="755" spans="2:4" x14ac:dyDescent="0.2">
      <c r="B755" s="142"/>
      <c r="C755" s="142"/>
      <c r="D755" s="142"/>
    </row>
    <row r="756" spans="2:4" x14ac:dyDescent="0.2">
      <c r="B756" s="142"/>
      <c r="C756" s="142"/>
      <c r="D756" s="142"/>
    </row>
    <row r="757" spans="2:4" x14ac:dyDescent="0.2">
      <c r="B757" s="142"/>
      <c r="C757" s="142"/>
      <c r="D757" s="142"/>
    </row>
    <row r="758" spans="2:4" x14ac:dyDescent="0.2">
      <c r="B758" s="142"/>
      <c r="C758" s="142"/>
      <c r="D758" s="142"/>
    </row>
    <row r="759" spans="2:4" x14ac:dyDescent="0.2">
      <c r="B759" s="142"/>
      <c r="C759" s="142"/>
      <c r="D759" s="142"/>
    </row>
    <row r="760" spans="2:4" x14ac:dyDescent="0.2">
      <c r="B760" s="142"/>
      <c r="C760" s="142"/>
      <c r="D760" s="142"/>
    </row>
    <row r="761" spans="2:4" x14ac:dyDescent="0.2">
      <c r="B761" s="142"/>
      <c r="C761" s="142"/>
      <c r="D761" s="142"/>
    </row>
    <row r="762" spans="2:4" x14ac:dyDescent="0.2">
      <c r="B762" s="142"/>
      <c r="C762" s="142"/>
      <c r="D762" s="142"/>
    </row>
    <row r="763" spans="2:4" x14ac:dyDescent="0.2">
      <c r="B763" s="142"/>
      <c r="C763" s="142"/>
      <c r="D763" s="142"/>
    </row>
    <row r="764" spans="2:4" x14ac:dyDescent="0.2">
      <c r="B764" s="142"/>
      <c r="C764" s="142"/>
      <c r="D764" s="142"/>
    </row>
    <row r="765" spans="2:4" x14ac:dyDescent="0.2">
      <c r="B765" s="142"/>
      <c r="C765" s="142"/>
      <c r="D765" s="142"/>
    </row>
    <row r="766" spans="2:4" x14ac:dyDescent="0.2">
      <c r="B766" s="142"/>
      <c r="C766" s="142"/>
      <c r="D766" s="142"/>
    </row>
    <row r="767" spans="2:4" x14ac:dyDescent="0.2">
      <c r="B767" s="142"/>
      <c r="C767" s="142"/>
      <c r="D767" s="142"/>
    </row>
    <row r="768" spans="2:4" x14ac:dyDescent="0.2">
      <c r="B768" s="142"/>
      <c r="C768" s="142"/>
      <c r="D768" s="142"/>
    </row>
    <row r="769" spans="2:4" x14ac:dyDescent="0.2">
      <c r="B769" s="142"/>
      <c r="C769" s="142"/>
      <c r="D769" s="142"/>
    </row>
    <row r="770" spans="2:4" x14ac:dyDescent="0.2">
      <c r="B770" s="142"/>
      <c r="C770" s="142"/>
      <c r="D770" s="142"/>
    </row>
    <row r="771" spans="2:4" x14ac:dyDescent="0.2">
      <c r="B771" s="142"/>
      <c r="C771" s="142"/>
      <c r="D771" s="142"/>
    </row>
    <row r="772" spans="2:4" x14ac:dyDescent="0.2">
      <c r="B772" s="142"/>
      <c r="C772" s="142"/>
      <c r="D772" s="142"/>
    </row>
    <row r="773" spans="2:4" x14ac:dyDescent="0.2">
      <c r="B773" s="142"/>
      <c r="C773" s="142"/>
      <c r="D773" s="142"/>
    </row>
    <row r="774" spans="2:4" x14ac:dyDescent="0.2">
      <c r="B774" s="142"/>
      <c r="C774" s="142"/>
      <c r="D774" s="142"/>
    </row>
    <row r="775" spans="2:4" x14ac:dyDescent="0.2">
      <c r="B775" s="142"/>
      <c r="C775" s="142"/>
      <c r="D775" s="142"/>
    </row>
    <row r="776" spans="2:4" x14ac:dyDescent="0.2">
      <c r="B776" s="142"/>
      <c r="C776" s="142"/>
      <c r="D776" s="142"/>
    </row>
    <row r="777" spans="2:4" x14ac:dyDescent="0.2">
      <c r="B777" s="142"/>
      <c r="C777" s="142"/>
      <c r="D777" s="142"/>
    </row>
    <row r="778" spans="2:4" x14ac:dyDescent="0.2">
      <c r="B778" s="142"/>
      <c r="C778" s="142"/>
      <c r="D778" s="142"/>
    </row>
    <row r="779" spans="2:4" x14ac:dyDescent="0.2">
      <c r="B779" s="142"/>
      <c r="C779" s="142"/>
      <c r="D779" s="142"/>
    </row>
    <row r="780" spans="2:4" x14ac:dyDescent="0.2">
      <c r="B780" s="142"/>
      <c r="C780" s="142"/>
      <c r="D780" s="142"/>
    </row>
    <row r="781" spans="2:4" x14ac:dyDescent="0.2">
      <c r="B781" s="142"/>
      <c r="C781" s="142"/>
      <c r="D781" s="142"/>
    </row>
    <row r="782" spans="2:4" x14ac:dyDescent="0.2">
      <c r="B782" s="142"/>
      <c r="C782" s="142"/>
      <c r="D782" s="142"/>
    </row>
    <row r="783" spans="2:4" x14ac:dyDescent="0.2">
      <c r="B783" s="142"/>
      <c r="C783" s="142"/>
      <c r="D783" s="142"/>
    </row>
    <row r="784" spans="2:4" x14ac:dyDescent="0.2">
      <c r="B784" s="142"/>
      <c r="C784" s="142"/>
      <c r="D784" s="142"/>
    </row>
    <row r="785" spans="2:4" x14ac:dyDescent="0.2">
      <c r="B785" s="142"/>
      <c r="C785" s="142"/>
      <c r="D785" s="142"/>
    </row>
    <row r="786" spans="2:4" x14ac:dyDescent="0.2">
      <c r="B786" s="142"/>
      <c r="C786" s="142"/>
      <c r="D786" s="142"/>
    </row>
    <row r="787" spans="2:4" x14ac:dyDescent="0.2">
      <c r="B787" s="142"/>
      <c r="C787" s="142"/>
      <c r="D787" s="142"/>
    </row>
    <row r="788" spans="2:4" x14ac:dyDescent="0.2">
      <c r="B788" s="142"/>
      <c r="C788" s="142"/>
      <c r="D788" s="142"/>
    </row>
    <row r="789" spans="2:4" x14ac:dyDescent="0.2">
      <c r="B789" s="142"/>
      <c r="C789" s="142"/>
      <c r="D789" s="142"/>
    </row>
    <row r="790" spans="2:4" x14ac:dyDescent="0.2">
      <c r="B790" s="142"/>
      <c r="C790" s="142"/>
      <c r="D790" s="142"/>
    </row>
    <row r="791" spans="2:4" x14ac:dyDescent="0.2">
      <c r="B791" s="142"/>
      <c r="C791" s="142"/>
      <c r="D791" s="142"/>
    </row>
    <row r="792" spans="2:4" x14ac:dyDescent="0.2">
      <c r="B792" s="142"/>
      <c r="C792" s="142"/>
      <c r="D792" s="142"/>
    </row>
    <row r="793" spans="2:4" x14ac:dyDescent="0.2">
      <c r="B793" s="142"/>
      <c r="C793" s="142"/>
      <c r="D793" s="142"/>
    </row>
    <row r="794" spans="2:4" x14ac:dyDescent="0.2">
      <c r="B794" s="142"/>
      <c r="C794" s="142"/>
      <c r="D794" s="142"/>
    </row>
    <row r="795" spans="2:4" x14ac:dyDescent="0.2">
      <c r="B795" s="142"/>
      <c r="C795" s="142"/>
      <c r="D795" s="142"/>
    </row>
    <row r="796" spans="2:4" x14ac:dyDescent="0.2">
      <c r="B796" s="142"/>
      <c r="C796" s="142"/>
      <c r="D796" s="142"/>
    </row>
    <row r="797" spans="2:4" x14ac:dyDescent="0.2">
      <c r="B797" s="142"/>
      <c r="C797" s="142"/>
      <c r="D797" s="142"/>
    </row>
    <row r="798" spans="2:4" x14ac:dyDescent="0.2">
      <c r="B798" s="142"/>
      <c r="C798" s="142"/>
      <c r="D798" s="142"/>
    </row>
    <row r="799" spans="2:4" x14ac:dyDescent="0.2">
      <c r="B799" s="142"/>
      <c r="C799" s="142"/>
      <c r="D799" s="142"/>
    </row>
    <row r="800" spans="2:4" x14ac:dyDescent="0.2">
      <c r="B800" s="142"/>
      <c r="C800" s="142"/>
      <c r="D800" s="142"/>
    </row>
    <row r="801" spans="2:4" x14ac:dyDescent="0.2">
      <c r="B801" s="142"/>
      <c r="C801" s="142"/>
      <c r="D801" s="142"/>
    </row>
    <row r="802" spans="2:4" x14ac:dyDescent="0.2">
      <c r="B802" s="142"/>
      <c r="C802" s="142"/>
      <c r="D802" s="142"/>
    </row>
    <row r="803" spans="2:4" x14ac:dyDescent="0.2">
      <c r="B803" s="142"/>
      <c r="C803" s="142"/>
      <c r="D803" s="142"/>
    </row>
    <row r="804" spans="2:4" x14ac:dyDescent="0.2">
      <c r="B804" s="142"/>
      <c r="C804" s="142"/>
      <c r="D804" s="142"/>
    </row>
    <row r="805" spans="2:4" x14ac:dyDescent="0.2">
      <c r="B805" s="142"/>
      <c r="C805" s="142"/>
      <c r="D805" s="142"/>
    </row>
    <row r="806" spans="2:4" x14ac:dyDescent="0.2">
      <c r="B806" s="142"/>
      <c r="C806" s="142"/>
      <c r="D806" s="142"/>
    </row>
    <row r="807" spans="2:4" x14ac:dyDescent="0.2">
      <c r="B807" s="142"/>
      <c r="C807" s="142"/>
      <c r="D807" s="142"/>
    </row>
    <row r="808" spans="2:4" x14ac:dyDescent="0.2">
      <c r="B808" s="142"/>
      <c r="C808" s="142"/>
      <c r="D808" s="142"/>
    </row>
    <row r="809" spans="2:4" x14ac:dyDescent="0.2">
      <c r="B809" s="142"/>
      <c r="C809" s="142"/>
      <c r="D809" s="142"/>
    </row>
    <row r="810" spans="2:4" x14ac:dyDescent="0.2">
      <c r="B810" s="142"/>
      <c r="C810" s="142"/>
      <c r="D810" s="142"/>
    </row>
    <row r="811" spans="2:4" x14ac:dyDescent="0.2">
      <c r="B811" s="142"/>
      <c r="C811" s="142"/>
      <c r="D811" s="142"/>
    </row>
    <row r="812" spans="2:4" x14ac:dyDescent="0.2">
      <c r="B812" s="142"/>
      <c r="C812" s="142"/>
      <c r="D812" s="142"/>
    </row>
    <row r="813" spans="2:4" x14ac:dyDescent="0.2">
      <c r="B813" s="142"/>
      <c r="C813" s="142"/>
      <c r="D813" s="142"/>
    </row>
    <row r="814" spans="2:4" x14ac:dyDescent="0.2">
      <c r="B814" s="142"/>
      <c r="C814" s="142"/>
      <c r="D814" s="142"/>
    </row>
    <row r="815" spans="2:4" x14ac:dyDescent="0.2">
      <c r="B815" s="142"/>
      <c r="C815" s="142"/>
      <c r="D815" s="142"/>
    </row>
    <row r="816" spans="2:4" x14ac:dyDescent="0.2">
      <c r="B816" s="142"/>
      <c r="C816" s="142"/>
      <c r="D816" s="142"/>
    </row>
    <row r="817" spans="2:4" x14ac:dyDescent="0.2">
      <c r="B817" s="142"/>
      <c r="C817" s="142"/>
      <c r="D817" s="142"/>
    </row>
    <row r="818" spans="2:4" x14ac:dyDescent="0.2">
      <c r="B818" s="142"/>
      <c r="C818" s="142"/>
      <c r="D818" s="142"/>
    </row>
    <row r="819" spans="2:4" x14ac:dyDescent="0.2">
      <c r="B819" s="142"/>
      <c r="C819" s="142"/>
      <c r="D819" s="142"/>
    </row>
    <row r="820" spans="2:4" x14ac:dyDescent="0.2">
      <c r="B820" s="142"/>
      <c r="C820" s="142"/>
      <c r="D820" s="142"/>
    </row>
    <row r="821" spans="2:4" x14ac:dyDescent="0.2">
      <c r="B821" s="142"/>
      <c r="C821" s="142"/>
      <c r="D821" s="142"/>
    </row>
    <row r="822" spans="2:4" x14ac:dyDescent="0.2">
      <c r="B822" s="142"/>
      <c r="C822" s="142"/>
      <c r="D822" s="142"/>
    </row>
    <row r="823" spans="2:4" x14ac:dyDescent="0.2">
      <c r="B823" s="142"/>
      <c r="C823" s="142"/>
      <c r="D823" s="142"/>
    </row>
    <row r="824" spans="2:4" x14ac:dyDescent="0.2">
      <c r="B824" s="142"/>
      <c r="C824" s="142"/>
      <c r="D824" s="142"/>
    </row>
    <row r="825" spans="2:4" x14ac:dyDescent="0.2">
      <c r="B825" s="142"/>
      <c r="C825" s="142"/>
      <c r="D825" s="142"/>
    </row>
    <row r="826" spans="2:4" x14ac:dyDescent="0.2">
      <c r="B826" s="142"/>
      <c r="C826" s="142"/>
      <c r="D826" s="142"/>
    </row>
    <row r="827" spans="2:4" x14ac:dyDescent="0.2">
      <c r="B827" s="142"/>
      <c r="C827" s="142"/>
      <c r="D827" s="142"/>
    </row>
    <row r="828" spans="2:4" x14ac:dyDescent="0.2">
      <c r="B828" s="142"/>
      <c r="C828" s="142"/>
      <c r="D828" s="142"/>
    </row>
    <row r="829" spans="2:4" x14ac:dyDescent="0.2">
      <c r="B829" s="142"/>
      <c r="C829" s="142"/>
      <c r="D829" s="142"/>
    </row>
    <row r="830" spans="2:4" x14ac:dyDescent="0.2">
      <c r="B830" s="142"/>
      <c r="C830" s="142"/>
      <c r="D830" s="142"/>
    </row>
    <row r="831" spans="2:4" x14ac:dyDescent="0.2">
      <c r="B831" s="142"/>
      <c r="C831" s="142"/>
      <c r="D831" s="142"/>
    </row>
    <row r="832" spans="2:4" x14ac:dyDescent="0.2">
      <c r="B832" s="142"/>
      <c r="C832" s="142"/>
      <c r="D832" s="142"/>
    </row>
    <row r="833" spans="2:4" x14ac:dyDescent="0.2">
      <c r="B833" s="142"/>
      <c r="C833" s="142"/>
      <c r="D833" s="142"/>
    </row>
    <row r="834" spans="2:4" x14ac:dyDescent="0.2">
      <c r="B834" s="142"/>
      <c r="C834" s="142"/>
      <c r="D834" s="142"/>
    </row>
    <row r="835" spans="2:4" x14ac:dyDescent="0.2">
      <c r="B835" s="142"/>
      <c r="C835" s="142"/>
      <c r="D835" s="142"/>
    </row>
    <row r="836" spans="2:4" x14ac:dyDescent="0.2">
      <c r="B836" s="142"/>
      <c r="C836" s="142"/>
      <c r="D836" s="142"/>
    </row>
    <row r="837" spans="2:4" x14ac:dyDescent="0.2">
      <c r="B837" s="142"/>
      <c r="C837" s="142"/>
      <c r="D837" s="142"/>
    </row>
    <row r="838" spans="2:4" x14ac:dyDescent="0.2">
      <c r="B838" s="142"/>
      <c r="C838" s="142"/>
      <c r="D838" s="142"/>
    </row>
    <row r="839" spans="2:4" x14ac:dyDescent="0.2">
      <c r="B839" s="142"/>
      <c r="C839" s="142"/>
      <c r="D839" s="142"/>
    </row>
    <row r="840" spans="2:4" x14ac:dyDescent="0.2">
      <c r="B840" s="142"/>
      <c r="C840" s="142"/>
      <c r="D840" s="142"/>
    </row>
    <row r="841" spans="2:4" x14ac:dyDescent="0.2">
      <c r="B841" s="142"/>
      <c r="C841" s="142"/>
      <c r="D841" s="142"/>
    </row>
    <row r="842" spans="2:4" x14ac:dyDescent="0.2">
      <c r="B842" s="142"/>
      <c r="C842" s="142"/>
      <c r="D842" s="142"/>
    </row>
    <row r="843" spans="2:4" x14ac:dyDescent="0.2">
      <c r="B843" s="142"/>
      <c r="C843" s="142"/>
      <c r="D843" s="142"/>
    </row>
    <row r="844" spans="2:4" x14ac:dyDescent="0.2">
      <c r="B844" s="142"/>
      <c r="C844" s="142"/>
      <c r="D844" s="142"/>
    </row>
    <row r="845" spans="2:4" x14ac:dyDescent="0.2">
      <c r="B845" s="142"/>
      <c r="C845" s="142"/>
      <c r="D845" s="142"/>
    </row>
    <row r="846" spans="2:4" x14ac:dyDescent="0.2">
      <c r="B846" s="142"/>
      <c r="C846" s="142"/>
      <c r="D846" s="142"/>
    </row>
    <row r="847" spans="2:4" x14ac:dyDescent="0.2">
      <c r="B847" s="142"/>
      <c r="C847" s="142"/>
      <c r="D847" s="142"/>
    </row>
    <row r="848" spans="2:4" x14ac:dyDescent="0.2">
      <c r="B848" s="142"/>
      <c r="C848" s="142"/>
      <c r="D848" s="142"/>
    </row>
    <row r="849" spans="2:4" x14ac:dyDescent="0.2">
      <c r="B849" s="142"/>
      <c r="C849" s="142"/>
      <c r="D849" s="142"/>
    </row>
    <row r="850" spans="2:4" x14ac:dyDescent="0.2">
      <c r="B850" s="142"/>
      <c r="C850" s="142"/>
      <c r="D850" s="142"/>
    </row>
    <row r="851" spans="2:4" x14ac:dyDescent="0.2">
      <c r="B851" s="142"/>
      <c r="C851" s="142"/>
      <c r="D851" s="142"/>
    </row>
    <row r="852" spans="2:4" x14ac:dyDescent="0.2">
      <c r="B852" s="142"/>
      <c r="C852" s="142"/>
      <c r="D852" s="142"/>
    </row>
    <row r="853" spans="2:4" x14ac:dyDescent="0.2">
      <c r="B853" s="142"/>
      <c r="C853" s="142"/>
      <c r="D853" s="142"/>
    </row>
    <row r="854" spans="2:4" x14ac:dyDescent="0.2">
      <c r="B854" s="142"/>
      <c r="C854" s="142"/>
      <c r="D854" s="142"/>
    </row>
    <row r="855" spans="2:4" x14ac:dyDescent="0.2">
      <c r="B855" s="142"/>
      <c r="C855" s="142"/>
      <c r="D855" s="142"/>
    </row>
    <row r="856" spans="2:4" x14ac:dyDescent="0.2">
      <c r="B856" s="142"/>
      <c r="C856" s="142"/>
      <c r="D856" s="142"/>
    </row>
    <row r="857" spans="2:4" x14ac:dyDescent="0.2">
      <c r="B857" s="142"/>
      <c r="C857" s="142"/>
      <c r="D857" s="142"/>
    </row>
    <row r="858" spans="2:4" x14ac:dyDescent="0.2">
      <c r="B858" s="142"/>
      <c r="C858" s="142"/>
      <c r="D858" s="142"/>
    </row>
    <row r="859" spans="2:4" x14ac:dyDescent="0.2">
      <c r="B859" s="142"/>
      <c r="C859" s="142"/>
      <c r="D859" s="142"/>
    </row>
    <row r="860" spans="2:4" x14ac:dyDescent="0.2">
      <c r="B860" s="142"/>
      <c r="C860" s="142"/>
      <c r="D860" s="142"/>
    </row>
    <row r="861" spans="2:4" x14ac:dyDescent="0.2">
      <c r="B861" s="142"/>
      <c r="C861" s="142"/>
      <c r="D861" s="142"/>
    </row>
    <row r="862" spans="2:4" x14ac:dyDescent="0.2">
      <c r="B862" s="142"/>
      <c r="C862" s="142"/>
      <c r="D862" s="142"/>
    </row>
    <row r="863" spans="2:4" x14ac:dyDescent="0.2">
      <c r="B863" s="142"/>
      <c r="C863" s="142"/>
      <c r="D863" s="142"/>
    </row>
    <row r="864" spans="2:4" x14ac:dyDescent="0.2">
      <c r="B864" s="142"/>
      <c r="C864" s="142"/>
      <c r="D864" s="142"/>
    </row>
    <row r="865" spans="2:4" x14ac:dyDescent="0.2">
      <c r="B865" s="142"/>
      <c r="C865" s="142"/>
      <c r="D865" s="142"/>
    </row>
    <row r="866" spans="2:4" x14ac:dyDescent="0.2">
      <c r="B866" s="142"/>
      <c r="C866" s="142"/>
      <c r="D866" s="142"/>
    </row>
    <row r="867" spans="2:4" x14ac:dyDescent="0.2">
      <c r="B867" s="142"/>
      <c r="C867" s="142"/>
      <c r="D867" s="142"/>
    </row>
    <row r="868" spans="2:4" x14ac:dyDescent="0.2">
      <c r="B868" s="142"/>
      <c r="C868" s="142"/>
      <c r="D868" s="142"/>
    </row>
    <row r="869" spans="2:4" x14ac:dyDescent="0.2">
      <c r="B869" s="142"/>
      <c r="C869" s="142"/>
      <c r="D869" s="142"/>
    </row>
    <row r="870" spans="2:4" x14ac:dyDescent="0.2">
      <c r="B870" s="142"/>
      <c r="C870" s="142"/>
      <c r="D870" s="142"/>
    </row>
    <row r="871" spans="2:4" x14ac:dyDescent="0.2">
      <c r="B871" s="142"/>
      <c r="C871" s="142"/>
      <c r="D871" s="142"/>
    </row>
    <row r="872" spans="2:4" x14ac:dyDescent="0.2">
      <c r="B872" s="142"/>
      <c r="C872" s="142"/>
      <c r="D872" s="142"/>
    </row>
    <row r="873" spans="2:4" x14ac:dyDescent="0.2">
      <c r="B873" s="142"/>
      <c r="C873" s="142"/>
      <c r="D873" s="142"/>
    </row>
    <row r="874" spans="2:4" x14ac:dyDescent="0.2">
      <c r="B874" s="142"/>
      <c r="C874" s="142"/>
      <c r="D874" s="142"/>
    </row>
    <row r="875" spans="2:4" x14ac:dyDescent="0.2">
      <c r="B875" s="142"/>
      <c r="C875" s="142"/>
      <c r="D875" s="142"/>
    </row>
    <row r="876" spans="2:4" x14ac:dyDescent="0.2">
      <c r="B876" s="142"/>
      <c r="C876" s="142"/>
      <c r="D876" s="142"/>
    </row>
    <row r="877" spans="2:4" x14ac:dyDescent="0.2">
      <c r="B877" s="142"/>
      <c r="C877" s="142"/>
      <c r="D877" s="142"/>
    </row>
    <row r="878" spans="2:4" x14ac:dyDescent="0.2">
      <c r="B878" s="142"/>
      <c r="C878" s="142"/>
      <c r="D878" s="142"/>
    </row>
    <row r="879" spans="2:4" x14ac:dyDescent="0.2">
      <c r="B879" s="142"/>
      <c r="C879" s="142"/>
      <c r="D879" s="142"/>
    </row>
    <row r="880" spans="2:4" x14ac:dyDescent="0.2">
      <c r="B880" s="142"/>
      <c r="C880" s="142"/>
      <c r="D880" s="142"/>
    </row>
    <row r="881" spans="2:4" x14ac:dyDescent="0.2">
      <c r="B881" s="142"/>
      <c r="C881" s="142"/>
      <c r="D881" s="142"/>
    </row>
    <row r="882" spans="2:4" x14ac:dyDescent="0.2">
      <c r="B882" s="142"/>
      <c r="C882" s="142"/>
      <c r="D882" s="142"/>
    </row>
    <row r="883" spans="2:4" x14ac:dyDescent="0.2">
      <c r="B883" s="142"/>
      <c r="C883" s="142"/>
      <c r="D883" s="142"/>
    </row>
    <row r="884" spans="2:4" x14ac:dyDescent="0.2">
      <c r="B884" s="142"/>
      <c r="C884" s="142"/>
      <c r="D884" s="142"/>
    </row>
    <row r="885" spans="2:4" x14ac:dyDescent="0.2">
      <c r="B885" s="142"/>
      <c r="C885" s="142"/>
      <c r="D885" s="142"/>
    </row>
    <row r="886" spans="2:4" x14ac:dyDescent="0.2">
      <c r="B886" s="142"/>
      <c r="C886" s="142"/>
      <c r="D886" s="142"/>
    </row>
    <row r="887" spans="2:4" x14ac:dyDescent="0.2">
      <c r="B887" s="142"/>
      <c r="C887" s="142"/>
      <c r="D887" s="142"/>
    </row>
    <row r="888" spans="2:4" x14ac:dyDescent="0.2">
      <c r="B888" s="142"/>
      <c r="C888" s="142"/>
      <c r="D888" s="142"/>
    </row>
    <row r="889" spans="2:4" x14ac:dyDescent="0.2">
      <c r="B889" s="142"/>
      <c r="C889" s="142"/>
      <c r="D889" s="142"/>
    </row>
    <row r="890" spans="2:4" x14ac:dyDescent="0.2">
      <c r="B890" s="142"/>
      <c r="C890" s="142"/>
      <c r="D890" s="142"/>
    </row>
    <row r="891" spans="2:4" x14ac:dyDescent="0.2">
      <c r="B891" s="142"/>
      <c r="C891" s="142"/>
      <c r="D891" s="142"/>
    </row>
    <row r="892" spans="2:4" x14ac:dyDescent="0.2">
      <c r="B892" s="142"/>
      <c r="C892" s="142"/>
      <c r="D892" s="142"/>
    </row>
    <row r="893" spans="2:4" x14ac:dyDescent="0.2">
      <c r="B893" s="142"/>
      <c r="C893" s="142"/>
      <c r="D893" s="142"/>
    </row>
    <row r="894" spans="2:4" x14ac:dyDescent="0.2">
      <c r="B894" s="142"/>
      <c r="C894" s="142"/>
      <c r="D894" s="142"/>
    </row>
    <row r="895" spans="2:4" x14ac:dyDescent="0.2">
      <c r="B895" s="142"/>
      <c r="C895" s="142"/>
      <c r="D895" s="142"/>
    </row>
    <row r="896" spans="2:4" x14ac:dyDescent="0.2">
      <c r="B896" s="142"/>
      <c r="C896" s="142"/>
      <c r="D896" s="142"/>
    </row>
    <row r="897" spans="2:4" x14ac:dyDescent="0.2">
      <c r="B897" s="142"/>
      <c r="C897" s="142"/>
      <c r="D897" s="142"/>
    </row>
    <row r="898" spans="2:4" x14ac:dyDescent="0.2">
      <c r="B898" s="142"/>
      <c r="C898" s="142"/>
      <c r="D898" s="142"/>
    </row>
    <row r="899" spans="2:4" x14ac:dyDescent="0.2">
      <c r="B899" s="142"/>
      <c r="C899" s="142"/>
      <c r="D899" s="142"/>
    </row>
    <row r="900" spans="2:4" x14ac:dyDescent="0.2">
      <c r="B900" s="142"/>
      <c r="C900" s="142"/>
      <c r="D900" s="142"/>
    </row>
    <row r="901" spans="2:4" x14ac:dyDescent="0.2">
      <c r="B901" s="142"/>
      <c r="C901" s="142"/>
      <c r="D901" s="142"/>
    </row>
    <row r="902" spans="2:4" x14ac:dyDescent="0.2">
      <c r="B902" s="142"/>
      <c r="C902" s="142"/>
      <c r="D902" s="142"/>
    </row>
    <row r="903" spans="2:4" x14ac:dyDescent="0.2">
      <c r="B903" s="142"/>
      <c r="C903" s="142"/>
      <c r="D903" s="142"/>
    </row>
    <row r="904" spans="2:4" x14ac:dyDescent="0.2">
      <c r="B904" s="142"/>
      <c r="C904" s="142"/>
      <c r="D904" s="142"/>
    </row>
    <row r="905" spans="2:4" x14ac:dyDescent="0.2">
      <c r="B905" s="142"/>
      <c r="C905" s="142"/>
      <c r="D905" s="142"/>
    </row>
    <row r="906" spans="2:4" x14ac:dyDescent="0.2">
      <c r="B906" s="142"/>
      <c r="C906" s="142"/>
      <c r="D906" s="142"/>
    </row>
    <row r="907" spans="2:4" x14ac:dyDescent="0.2">
      <c r="B907" s="142"/>
      <c r="C907" s="142"/>
      <c r="D907" s="142"/>
    </row>
    <row r="908" spans="2:4" x14ac:dyDescent="0.2">
      <c r="B908" s="142"/>
      <c r="C908" s="142"/>
      <c r="D908" s="142"/>
    </row>
    <row r="909" spans="2:4" x14ac:dyDescent="0.2">
      <c r="B909" s="142"/>
      <c r="C909" s="142"/>
      <c r="D909" s="142"/>
    </row>
    <row r="910" spans="2:4" x14ac:dyDescent="0.2">
      <c r="B910" s="142"/>
      <c r="C910" s="142"/>
      <c r="D910" s="142"/>
    </row>
    <row r="911" spans="2:4" x14ac:dyDescent="0.2">
      <c r="B911" s="142"/>
      <c r="C911" s="142"/>
      <c r="D911" s="142"/>
    </row>
    <row r="912" spans="2:4" x14ac:dyDescent="0.2">
      <c r="B912" s="142"/>
      <c r="C912" s="142"/>
      <c r="D912" s="142"/>
    </row>
    <row r="913" spans="2:4" x14ac:dyDescent="0.2">
      <c r="B913" s="142"/>
      <c r="C913" s="142"/>
      <c r="D913" s="142"/>
    </row>
    <row r="914" spans="2:4" x14ac:dyDescent="0.2">
      <c r="B914" s="142"/>
      <c r="C914" s="142"/>
      <c r="D914" s="142"/>
    </row>
    <row r="915" spans="2:4" x14ac:dyDescent="0.2">
      <c r="B915" s="142"/>
      <c r="C915" s="142"/>
      <c r="D915" s="142"/>
    </row>
    <row r="916" spans="2:4" x14ac:dyDescent="0.2">
      <c r="B916" s="142"/>
      <c r="C916" s="142"/>
      <c r="D916" s="142"/>
    </row>
    <row r="917" spans="2:4" x14ac:dyDescent="0.2">
      <c r="B917" s="142"/>
      <c r="C917" s="142"/>
      <c r="D917" s="142"/>
    </row>
    <row r="918" spans="2:4" x14ac:dyDescent="0.2">
      <c r="B918" s="142"/>
      <c r="C918" s="142"/>
      <c r="D918" s="142"/>
    </row>
    <row r="919" spans="2:4" x14ac:dyDescent="0.2">
      <c r="B919" s="142"/>
      <c r="C919" s="142"/>
      <c r="D919" s="142"/>
    </row>
    <row r="920" spans="2:4" x14ac:dyDescent="0.2">
      <c r="B920" s="142"/>
      <c r="C920" s="142"/>
      <c r="D920" s="142"/>
    </row>
    <row r="921" spans="2:4" x14ac:dyDescent="0.2">
      <c r="B921" s="142"/>
      <c r="C921" s="142"/>
      <c r="D921" s="142"/>
    </row>
    <row r="922" spans="2:4" x14ac:dyDescent="0.2">
      <c r="B922" s="142"/>
      <c r="C922" s="142"/>
      <c r="D922" s="142"/>
    </row>
    <row r="923" spans="2:4" x14ac:dyDescent="0.2">
      <c r="B923" s="142"/>
      <c r="C923" s="142"/>
      <c r="D923" s="142"/>
    </row>
    <row r="924" spans="2:4" x14ac:dyDescent="0.2">
      <c r="B924" s="142"/>
      <c r="C924" s="142"/>
      <c r="D924" s="142"/>
    </row>
    <row r="925" spans="2:4" x14ac:dyDescent="0.2">
      <c r="B925" s="142"/>
      <c r="C925" s="142"/>
      <c r="D925" s="142"/>
    </row>
    <row r="926" spans="2:4" x14ac:dyDescent="0.2">
      <c r="B926" s="142"/>
      <c r="C926" s="142"/>
      <c r="D926" s="142"/>
    </row>
    <row r="927" spans="2:4" x14ac:dyDescent="0.2">
      <c r="B927" s="142"/>
      <c r="C927" s="142"/>
      <c r="D927" s="142"/>
    </row>
    <row r="928" spans="2:4" x14ac:dyDescent="0.2">
      <c r="B928" s="142"/>
      <c r="C928" s="142"/>
      <c r="D928" s="142"/>
    </row>
    <row r="929" spans="2:4" x14ac:dyDescent="0.2">
      <c r="B929" s="142"/>
      <c r="C929" s="142"/>
      <c r="D929" s="142"/>
    </row>
    <row r="930" spans="2:4" x14ac:dyDescent="0.2">
      <c r="B930" s="142"/>
      <c r="C930" s="142"/>
      <c r="D930" s="142"/>
    </row>
    <row r="931" spans="2:4" x14ac:dyDescent="0.2">
      <c r="B931" s="142"/>
      <c r="C931" s="142"/>
      <c r="D931" s="142"/>
    </row>
    <row r="932" spans="2:4" x14ac:dyDescent="0.2">
      <c r="B932" s="142"/>
      <c r="C932" s="142"/>
      <c r="D932" s="142"/>
    </row>
    <row r="933" spans="2:4" x14ac:dyDescent="0.2">
      <c r="B933" s="142"/>
      <c r="C933" s="142"/>
      <c r="D933" s="142"/>
    </row>
    <row r="934" spans="2:4" x14ac:dyDescent="0.2">
      <c r="B934" s="142"/>
      <c r="C934" s="142"/>
      <c r="D934" s="142"/>
    </row>
    <row r="935" spans="2:4" x14ac:dyDescent="0.2">
      <c r="B935" s="142"/>
      <c r="C935" s="142"/>
      <c r="D935" s="142"/>
    </row>
    <row r="936" spans="2:4" x14ac:dyDescent="0.2">
      <c r="B936" s="142"/>
      <c r="C936" s="142"/>
      <c r="D936" s="142"/>
    </row>
    <row r="937" spans="2:4" x14ac:dyDescent="0.2">
      <c r="B937" s="142"/>
      <c r="C937" s="142"/>
      <c r="D937" s="142"/>
    </row>
    <row r="938" spans="2:4" x14ac:dyDescent="0.2">
      <c r="B938" s="142"/>
      <c r="C938" s="142"/>
      <c r="D938" s="142"/>
    </row>
    <row r="939" spans="2:4" x14ac:dyDescent="0.2">
      <c r="B939" s="142"/>
      <c r="C939" s="142"/>
      <c r="D939" s="142"/>
    </row>
    <row r="940" spans="2:4" x14ac:dyDescent="0.2">
      <c r="B940" s="142"/>
      <c r="C940" s="142"/>
      <c r="D940" s="142"/>
    </row>
    <row r="941" spans="2:4" x14ac:dyDescent="0.2">
      <c r="B941" s="142"/>
      <c r="C941" s="142"/>
      <c r="D941" s="142"/>
    </row>
    <row r="942" spans="2:4" x14ac:dyDescent="0.2">
      <c r="B942" s="142"/>
      <c r="C942" s="142"/>
      <c r="D942" s="142"/>
    </row>
    <row r="943" spans="2:4" x14ac:dyDescent="0.2">
      <c r="B943" s="142"/>
      <c r="C943" s="142"/>
      <c r="D943" s="142"/>
    </row>
    <row r="944" spans="2:4" x14ac:dyDescent="0.2">
      <c r="B944" s="142"/>
      <c r="C944" s="142"/>
      <c r="D944" s="142"/>
    </row>
    <row r="945" spans="2:4" x14ac:dyDescent="0.2">
      <c r="B945" s="142"/>
      <c r="C945" s="142"/>
      <c r="D945" s="142"/>
    </row>
    <row r="946" spans="2:4" x14ac:dyDescent="0.2">
      <c r="B946" s="142"/>
      <c r="C946" s="142"/>
      <c r="D946" s="142"/>
    </row>
    <row r="947" spans="2:4" x14ac:dyDescent="0.2">
      <c r="B947" s="142"/>
      <c r="C947" s="142"/>
      <c r="D947" s="142"/>
    </row>
    <row r="948" spans="2:4" x14ac:dyDescent="0.2">
      <c r="B948" s="142"/>
      <c r="C948" s="142"/>
      <c r="D948" s="142"/>
    </row>
    <row r="949" spans="2:4" x14ac:dyDescent="0.2">
      <c r="B949" s="142"/>
      <c r="C949" s="142"/>
      <c r="D949" s="142"/>
    </row>
    <row r="950" spans="2:4" x14ac:dyDescent="0.2">
      <c r="B950" s="142"/>
      <c r="C950" s="142"/>
      <c r="D950" s="142"/>
    </row>
    <row r="951" spans="2:4" x14ac:dyDescent="0.2">
      <c r="B951" s="142"/>
      <c r="C951" s="142"/>
      <c r="D951" s="142"/>
    </row>
    <row r="952" spans="2:4" x14ac:dyDescent="0.2">
      <c r="B952" s="142"/>
      <c r="C952" s="142"/>
      <c r="D952" s="142"/>
    </row>
    <row r="953" spans="2:4" x14ac:dyDescent="0.2">
      <c r="B953" s="142"/>
      <c r="C953" s="142"/>
      <c r="D953" s="142"/>
    </row>
    <row r="954" spans="2:4" x14ac:dyDescent="0.2">
      <c r="B954" s="142"/>
      <c r="C954" s="142"/>
      <c r="D954" s="142"/>
    </row>
    <row r="955" spans="2:4" x14ac:dyDescent="0.2">
      <c r="B955" s="142"/>
      <c r="C955" s="142"/>
      <c r="D955" s="142"/>
    </row>
    <row r="956" spans="2:4" x14ac:dyDescent="0.2">
      <c r="B956" s="142"/>
      <c r="C956" s="142"/>
      <c r="D956" s="142"/>
    </row>
    <row r="957" spans="2:4" x14ac:dyDescent="0.2">
      <c r="B957" s="142"/>
      <c r="C957" s="142"/>
      <c r="D957" s="142"/>
    </row>
    <row r="958" spans="2:4" x14ac:dyDescent="0.2">
      <c r="B958" s="142"/>
      <c r="C958" s="142"/>
      <c r="D958" s="142"/>
    </row>
    <row r="959" spans="2:4" x14ac:dyDescent="0.2">
      <c r="B959" s="142"/>
      <c r="C959" s="142"/>
      <c r="D959" s="142"/>
    </row>
    <row r="960" spans="2:4" x14ac:dyDescent="0.2">
      <c r="B960" s="142"/>
      <c r="C960" s="142"/>
      <c r="D960" s="142"/>
    </row>
    <row r="961" spans="2:4" x14ac:dyDescent="0.2">
      <c r="B961" s="142"/>
      <c r="C961" s="142"/>
      <c r="D961" s="142"/>
    </row>
    <row r="962" spans="2:4" x14ac:dyDescent="0.2">
      <c r="B962" s="142"/>
      <c r="C962" s="142"/>
      <c r="D962" s="142"/>
    </row>
    <row r="963" spans="2:4" x14ac:dyDescent="0.2">
      <c r="B963" s="142"/>
      <c r="C963" s="142"/>
      <c r="D963" s="142"/>
    </row>
    <row r="964" spans="2:4" x14ac:dyDescent="0.2">
      <c r="B964" s="142"/>
      <c r="C964" s="142"/>
      <c r="D964" s="142"/>
    </row>
    <row r="965" spans="2:4" x14ac:dyDescent="0.2">
      <c r="B965" s="142"/>
      <c r="C965" s="142"/>
      <c r="D965" s="142"/>
    </row>
    <row r="966" spans="2:4" x14ac:dyDescent="0.2">
      <c r="B966" s="142"/>
      <c r="C966" s="142"/>
      <c r="D966" s="142"/>
    </row>
    <row r="967" spans="2:4" x14ac:dyDescent="0.2">
      <c r="B967" s="142"/>
      <c r="C967" s="142"/>
      <c r="D967" s="142"/>
    </row>
    <row r="968" spans="2:4" x14ac:dyDescent="0.2">
      <c r="B968" s="142"/>
      <c r="C968" s="142"/>
      <c r="D968" s="142"/>
    </row>
    <row r="969" spans="2:4" x14ac:dyDescent="0.2">
      <c r="B969" s="142"/>
      <c r="C969" s="142"/>
      <c r="D969" s="142"/>
    </row>
    <row r="970" spans="2:4" x14ac:dyDescent="0.2">
      <c r="B970" s="142"/>
      <c r="C970" s="142"/>
      <c r="D970" s="142"/>
    </row>
    <row r="971" spans="2:4" x14ac:dyDescent="0.2">
      <c r="B971" s="142"/>
      <c r="C971" s="142"/>
      <c r="D971" s="142"/>
    </row>
    <row r="972" spans="2:4" x14ac:dyDescent="0.2">
      <c r="B972" s="142"/>
      <c r="C972" s="142"/>
      <c r="D972" s="142"/>
    </row>
    <row r="973" spans="2:4" x14ac:dyDescent="0.2">
      <c r="B973" s="142"/>
      <c r="C973" s="142"/>
      <c r="D973" s="142"/>
    </row>
    <row r="974" spans="2:4" x14ac:dyDescent="0.2">
      <c r="B974" s="142"/>
      <c r="C974" s="142"/>
      <c r="D974" s="142"/>
    </row>
    <row r="975" spans="2:4" x14ac:dyDescent="0.2">
      <c r="B975" s="142"/>
      <c r="C975" s="142"/>
      <c r="D975" s="142"/>
    </row>
    <row r="976" spans="2:4" x14ac:dyDescent="0.2">
      <c r="B976" s="142"/>
      <c r="C976" s="142"/>
      <c r="D976" s="142"/>
    </row>
    <row r="977" spans="2:4" x14ac:dyDescent="0.2">
      <c r="B977" s="142"/>
      <c r="C977" s="142"/>
      <c r="D977" s="142"/>
    </row>
    <row r="978" spans="2:4" x14ac:dyDescent="0.2">
      <c r="B978" s="142"/>
      <c r="C978" s="142"/>
      <c r="D978" s="142"/>
    </row>
    <row r="979" spans="2:4" x14ac:dyDescent="0.2">
      <c r="B979" s="142"/>
      <c r="C979" s="142"/>
      <c r="D979" s="142"/>
    </row>
    <row r="980" spans="2:4" x14ac:dyDescent="0.2">
      <c r="B980" s="142"/>
      <c r="C980" s="142"/>
      <c r="D980" s="142"/>
    </row>
    <row r="981" spans="2:4" x14ac:dyDescent="0.2">
      <c r="B981" s="142"/>
      <c r="C981" s="142"/>
      <c r="D981" s="142"/>
    </row>
    <row r="982" spans="2:4" x14ac:dyDescent="0.2">
      <c r="B982" s="142"/>
      <c r="C982" s="142"/>
      <c r="D982" s="142"/>
    </row>
    <row r="983" spans="2:4" x14ac:dyDescent="0.2">
      <c r="B983" s="142"/>
      <c r="C983" s="142"/>
      <c r="D983" s="142"/>
    </row>
    <row r="984" spans="2:4" x14ac:dyDescent="0.2">
      <c r="B984" s="142"/>
      <c r="C984" s="142"/>
      <c r="D984" s="142"/>
    </row>
    <row r="985" spans="2:4" x14ac:dyDescent="0.2">
      <c r="B985" s="142"/>
      <c r="C985" s="142"/>
      <c r="D985" s="142"/>
    </row>
    <row r="986" spans="2:4" x14ac:dyDescent="0.2">
      <c r="B986" s="142"/>
      <c r="C986" s="142"/>
      <c r="D986" s="142"/>
    </row>
    <row r="987" spans="2:4" x14ac:dyDescent="0.2">
      <c r="B987" s="142"/>
      <c r="C987" s="142"/>
      <c r="D987" s="142"/>
    </row>
    <row r="988" spans="2:4" x14ac:dyDescent="0.2">
      <c r="B988" s="142"/>
      <c r="C988" s="142"/>
      <c r="D988" s="142"/>
    </row>
    <row r="989" spans="2:4" x14ac:dyDescent="0.2">
      <c r="B989" s="142"/>
      <c r="C989" s="142"/>
      <c r="D989" s="142"/>
    </row>
    <row r="990" spans="2:4" x14ac:dyDescent="0.2">
      <c r="B990" s="142"/>
      <c r="C990" s="142"/>
      <c r="D990" s="142"/>
    </row>
    <row r="991" spans="2:4" x14ac:dyDescent="0.2">
      <c r="B991" s="142"/>
      <c r="C991" s="142"/>
      <c r="D991" s="142"/>
    </row>
    <row r="992" spans="2:4" x14ac:dyDescent="0.2">
      <c r="B992" s="142"/>
      <c r="C992" s="142"/>
      <c r="D992" s="142"/>
    </row>
    <row r="993" spans="2:4" x14ac:dyDescent="0.2">
      <c r="B993" s="142"/>
      <c r="C993" s="142"/>
      <c r="D993" s="142"/>
    </row>
    <row r="994" spans="2:4" x14ac:dyDescent="0.2">
      <c r="B994" s="142"/>
      <c r="C994" s="142"/>
      <c r="D994" s="142"/>
    </row>
    <row r="995" spans="2:4" x14ac:dyDescent="0.2">
      <c r="B995" s="142"/>
      <c r="C995" s="142"/>
      <c r="D995" s="142"/>
    </row>
    <row r="996" spans="2:4" x14ac:dyDescent="0.2">
      <c r="B996" s="142"/>
      <c r="C996" s="142"/>
      <c r="D996" s="142"/>
    </row>
    <row r="997" spans="2:4" x14ac:dyDescent="0.2">
      <c r="B997" s="142"/>
      <c r="C997" s="142"/>
      <c r="D997" s="142"/>
    </row>
    <row r="998" spans="2:4" x14ac:dyDescent="0.2">
      <c r="B998" s="142"/>
      <c r="C998" s="142"/>
      <c r="D998" s="142"/>
    </row>
    <row r="999" spans="2:4" x14ac:dyDescent="0.2">
      <c r="B999" s="142"/>
      <c r="C999" s="142"/>
      <c r="D999" s="142"/>
    </row>
    <row r="1000" spans="2:4" x14ac:dyDescent="0.2">
      <c r="B1000" s="142"/>
      <c r="C1000" s="142"/>
      <c r="D1000" s="142"/>
    </row>
    <row r="1001" spans="2:4" x14ac:dyDescent="0.2">
      <c r="B1001" s="142"/>
      <c r="C1001" s="142"/>
      <c r="D1001" s="142"/>
    </row>
    <row r="1002" spans="2:4" x14ac:dyDescent="0.2">
      <c r="B1002" s="142"/>
      <c r="C1002" s="142"/>
      <c r="D1002" s="142"/>
    </row>
    <row r="1003" spans="2:4" x14ac:dyDescent="0.2">
      <c r="B1003" s="142"/>
      <c r="C1003" s="142"/>
      <c r="D1003" s="142"/>
    </row>
    <row r="1004" spans="2:4" x14ac:dyDescent="0.2">
      <c r="B1004" s="142"/>
      <c r="C1004" s="142"/>
      <c r="D1004" s="142"/>
    </row>
    <row r="1005" spans="2:4" x14ac:dyDescent="0.2">
      <c r="B1005" s="142"/>
      <c r="C1005" s="142"/>
      <c r="D1005" s="142"/>
    </row>
    <row r="1006" spans="2:4" x14ac:dyDescent="0.2">
      <c r="B1006" s="142"/>
      <c r="C1006" s="142"/>
      <c r="D1006" s="142"/>
    </row>
    <row r="1007" spans="2:4" x14ac:dyDescent="0.2">
      <c r="B1007" s="142"/>
      <c r="C1007" s="142"/>
      <c r="D1007" s="142"/>
    </row>
    <row r="1008" spans="2:4" x14ac:dyDescent="0.2">
      <c r="B1008" s="142"/>
      <c r="C1008" s="142"/>
      <c r="D1008" s="142"/>
    </row>
    <row r="1009" spans="2:4" x14ac:dyDescent="0.2">
      <c r="B1009" s="142"/>
      <c r="C1009" s="142"/>
      <c r="D1009" s="142"/>
    </row>
    <row r="1010" spans="2:4" x14ac:dyDescent="0.2">
      <c r="B1010" s="142"/>
      <c r="C1010" s="142"/>
      <c r="D1010" s="142"/>
    </row>
    <row r="1011" spans="2:4" x14ac:dyDescent="0.2">
      <c r="B1011" s="142"/>
      <c r="C1011" s="142"/>
      <c r="D1011" s="142"/>
    </row>
    <row r="1012" spans="2:4" x14ac:dyDescent="0.2">
      <c r="B1012" s="142"/>
      <c r="C1012" s="142"/>
      <c r="D1012" s="142"/>
    </row>
    <row r="1013" spans="2:4" x14ac:dyDescent="0.2">
      <c r="B1013" s="142"/>
      <c r="C1013" s="142"/>
      <c r="D1013" s="142"/>
    </row>
    <row r="1014" spans="2:4" x14ac:dyDescent="0.2">
      <c r="B1014" s="142"/>
      <c r="C1014" s="142"/>
      <c r="D1014" s="142"/>
    </row>
    <row r="1015" spans="2:4" x14ac:dyDescent="0.2">
      <c r="B1015" s="142"/>
      <c r="C1015" s="142"/>
      <c r="D1015" s="142"/>
    </row>
    <row r="1016" spans="2:4" x14ac:dyDescent="0.2">
      <c r="B1016" s="142"/>
      <c r="C1016" s="142"/>
      <c r="D1016" s="142"/>
    </row>
    <row r="1017" spans="2:4" x14ac:dyDescent="0.2">
      <c r="B1017" s="142"/>
      <c r="C1017" s="142"/>
      <c r="D1017" s="142"/>
    </row>
    <row r="1018" spans="2:4" x14ac:dyDescent="0.2">
      <c r="B1018" s="142"/>
      <c r="C1018" s="142"/>
      <c r="D1018" s="142"/>
    </row>
    <row r="1019" spans="2:4" x14ac:dyDescent="0.2">
      <c r="B1019" s="142"/>
      <c r="C1019" s="142"/>
      <c r="D1019" s="142"/>
    </row>
    <row r="1020" spans="2:4" x14ac:dyDescent="0.2">
      <c r="B1020" s="142"/>
      <c r="C1020" s="142"/>
      <c r="D1020" s="142"/>
    </row>
    <row r="1021" spans="2:4" x14ac:dyDescent="0.2">
      <c r="B1021" s="142"/>
      <c r="C1021" s="142"/>
      <c r="D1021" s="142"/>
    </row>
    <row r="1022" spans="2:4" x14ac:dyDescent="0.2">
      <c r="B1022" s="142"/>
      <c r="C1022" s="142"/>
      <c r="D1022" s="142"/>
    </row>
    <row r="1023" spans="2:4" x14ac:dyDescent="0.2">
      <c r="B1023" s="142"/>
      <c r="C1023" s="142"/>
      <c r="D1023" s="142"/>
    </row>
    <row r="1024" spans="2:4" x14ac:dyDescent="0.2">
      <c r="B1024" s="142"/>
      <c r="C1024" s="142"/>
      <c r="D1024" s="142"/>
    </row>
    <row r="1025" spans="2:4" x14ac:dyDescent="0.2">
      <c r="B1025" s="142"/>
      <c r="C1025" s="142"/>
      <c r="D1025" s="142"/>
    </row>
    <row r="1026" spans="2:4" x14ac:dyDescent="0.2">
      <c r="B1026" s="142"/>
      <c r="C1026" s="142"/>
      <c r="D1026" s="142"/>
    </row>
    <row r="1027" spans="2:4" x14ac:dyDescent="0.2">
      <c r="B1027" s="142"/>
      <c r="C1027" s="142"/>
      <c r="D1027" s="142"/>
    </row>
    <row r="1028" spans="2:4" x14ac:dyDescent="0.2">
      <c r="B1028" s="142"/>
      <c r="C1028" s="142"/>
      <c r="D1028" s="142"/>
    </row>
    <row r="1029" spans="2:4" x14ac:dyDescent="0.2">
      <c r="B1029" s="142"/>
      <c r="C1029" s="142"/>
      <c r="D1029" s="142"/>
    </row>
    <row r="1030" spans="2:4" x14ac:dyDescent="0.2">
      <c r="B1030" s="142"/>
      <c r="C1030" s="142"/>
      <c r="D1030" s="142"/>
    </row>
    <row r="1031" spans="2:4" x14ac:dyDescent="0.2">
      <c r="B1031" s="142"/>
      <c r="C1031" s="142"/>
      <c r="D1031" s="142"/>
    </row>
    <row r="1032" spans="2:4" x14ac:dyDescent="0.2">
      <c r="B1032" s="142"/>
      <c r="C1032" s="142"/>
      <c r="D1032" s="142"/>
    </row>
    <row r="1033" spans="2:4" x14ac:dyDescent="0.2">
      <c r="B1033" s="142"/>
      <c r="C1033" s="142"/>
      <c r="D1033" s="142"/>
    </row>
    <row r="1034" spans="2:4" x14ac:dyDescent="0.2">
      <c r="B1034" s="142"/>
      <c r="C1034" s="142"/>
      <c r="D1034" s="142"/>
    </row>
    <row r="1035" spans="2:4" x14ac:dyDescent="0.2">
      <c r="B1035" s="142"/>
      <c r="C1035" s="142"/>
      <c r="D1035" s="142"/>
    </row>
    <row r="1036" spans="2:4" x14ac:dyDescent="0.2">
      <c r="B1036" s="142"/>
      <c r="C1036" s="142"/>
      <c r="D1036" s="142"/>
    </row>
    <row r="1037" spans="2:4" x14ac:dyDescent="0.2">
      <c r="B1037" s="142"/>
      <c r="C1037" s="142"/>
      <c r="D1037" s="142"/>
    </row>
    <row r="1038" spans="2:4" x14ac:dyDescent="0.2">
      <c r="B1038" s="142"/>
      <c r="C1038" s="142"/>
      <c r="D1038" s="142"/>
    </row>
    <row r="1039" spans="2:4" x14ac:dyDescent="0.2">
      <c r="B1039" s="142"/>
      <c r="C1039" s="142"/>
      <c r="D1039" s="142"/>
    </row>
    <row r="1040" spans="2:4" x14ac:dyDescent="0.2">
      <c r="B1040" s="142"/>
      <c r="C1040" s="142"/>
      <c r="D1040" s="142"/>
    </row>
    <row r="1041" spans="2:4" x14ac:dyDescent="0.2">
      <c r="B1041" s="142"/>
      <c r="C1041" s="142"/>
      <c r="D1041" s="142"/>
    </row>
    <row r="1042" spans="2:4" x14ac:dyDescent="0.2">
      <c r="B1042" s="142"/>
      <c r="C1042" s="142"/>
      <c r="D1042" s="142"/>
    </row>
    <row r="1043" spans="2:4" x14ac:dyDescent="0.2">
      <c r="B1043" s="142"/>
      <c r="C1043" s="142"/>
      <c r="D1043" s="142"/>
    </row>
    <row r="1044" spans="2:4" x14ac:dyDescent="0.2">
      <c r="B1044" s="142"/>
      <c r="C1044" s="142"/>
      <c r="D1044" s="142"/>
    </row>
    <row r="1045" spans="2:4" x14ac:dyDescent="0.2">
      <c r="B1045" s="142"/>
      <c r="C1045" s="142"/>
      <c r="D1045" s="142"/>
    </row>
    <row r="1046" spans="2:4" x14ac:dyDescent="0.2">
      <c r="B1046" s="142"/>
      <c r="C1046" s="142"/>
      <c r="D1046" s="142"/>
    </row>
    <row r="1047" spans="2:4" x14ac:dyDescent="0.2">
      <c r="B1047" s="142"/>
      <c r="C1047" s="142"/>
      <c r="D1047" s="142"/>
    </row>
    <row r="1048" spans="2:4" x14ac:dyDescent="0.2">
      <c r="B1048" s="142"/>
      <c r="C1048" s="142"/>
      <c r="D1048" s="142"/>
    </row>
    <row r="1049" spans="2:4" x14ac:dyDescent="0.2">
      <c r="B1049" s="142"/>
      <c r="C1049" s="142"/>
      <c r="D1049" s="142"/>
    </row>
    <row r="1050" spans="2:4" x14ac:dyDescent="0.2">
      <c r="B1050" s="142"/>
      <c r="C1050" s="142"/>
      <c r="D1050" s="142"/>
    </row>
    <row r="1051" spans="2:4" x14ac:dyDescent="0.2">
      <c r="B1051" s="142"/>
      <c r="C1051" s="142"/>
      <c r="D1051" s="142"/>
    </row>
    <row r="1052" spans="2:4" x14ac:dyDescent="0.2">
      <c r="B1052" s="142"/>
      <c r="C1052" s="142"/>
      <c r="D1052" s="142"/>
    </row>
    <row r="1053" spans="2:4" x14ac:dyDescent="0.2">
      <c r="B1053" s="142"/>
      <c r="C1053" s="142"/>
      <c r="D1053" s="142"/>
    </row>
    <row r="1054" spans="2:4" x14ac:dyDescent="0.2">
      <c r="B1054" s="142"/>
      <c r="C1054" s="142"/>
      <c r="D1054" s="142"/>
    </row>
    <row r="1055" spans="2:4" x14ac:dyDescent="0.2">
      <c r="B1055" s="142"/>
      <c r="C1055" s="142"/>
      <c r="D1055" s="142"/>
    </row>
    <row r="1056" spans="2:4" x14ac:dyDescent="0.2">
      <c r="B1056" s="142"/>
      <c r="C1056" s="142"/>
      <c r="D1056" s="142"/>
    </row>
    <row r="1057" spans="2:4" x14ac:dyDescent="0.2">
      <c r="B1057" s="142"/>
      <c r="C1057" s="142"/>
      <c r="D1057" s="142"/>
    </row>
    <row r="1058" spans="2:4" x14ac:dyDescent="0.2">
      <c r="B1058" s="142"/>
      <c r="C1058" s="142"/>
      <c r="D1058" s="142"/>
    </row>
    <row r="1059" spans="2:4" x14ac:dyDescent="0.2">
      <c r="B1059" s="142"/>
      <c r="C1059" s="142"/>
      <c r="D1059" s="142"/>
    </row>
    <row r="1060" spans="2:4" x14ac:dyDescent="0.2">
      <c r="B1060" s="142"/>
      <c r="C1060" s="142"/>
      <c r="D1060" s="142"/>
    </row>
    <row r="1061" spans="2:4" x14ac:dyDescent="0.2">
      <c r="B1061" s="142"/>
      <c r="C1061" s="142"/>
      <c r="D1061" s="142"/>
    </row>
    <row r="1062" spans="2:4" x14ac:dyDescent="0.2">
      <c r="B1062" s="142"/>
      <c r="C1062" s="142"/>
      <c r="D1062" s="142"/>
    </row>
    <row r="1063" spans="2:4" x14ac:dyDescent="0.2">
      <c r="B1063" s="142"/>
      <c r="C1063" s="142"/>
      <c r="D1063" s="142"/>
    </row>
    <row r="1064" spans="2:4" x14ac:dyDescent="0.2">
      <c r="B1064" s="142"/>
      <c r="C1064" s="142"/>
      <c r="D1064" s="142"/>
    </row>
    <row r="1065" spans="2:4" x14ac:dyDescent="0.2">
      <c r="B1065" s="142"/>
      <c r="C1065" s="142"/>
      <c r="D1065" s="142"/>
    </row>
    <row r="1066" spans="2:4" x14ac:dyDescent="0.2">
      <c r="B1066" s="142"/>
      <c r="C1066" s="142"/>
      <c r="D1066" s="142"/>
    </row>
    <row r="1067" spans="2:4" x14ac:dyDescent="0.2">
      <c r="B1067" s="142"/>
      <c r="C1067" s="142"/>
      <c r="D1067" s="142"/>
    </row>
    <row r="1068" spans="2:4" x14ac:dyDescent="0.2">
      <c r="B1068" s="142"/>
      <c r="C1068" s="142"/>
      <c r="D1068" s="142"/>
    </row>
    <row r="1069" spans="2:4" x14ac:dyDescent="0.2">
      <c r="B1069" s="142"/>
      <c r="C1069" s="142"/>
      <c r="D1069" s="142"/>
    </row>
    <row r="1070" spans="2:4" x14ac:dyDescent="0.2">
      <c r="B1070" s="142"/>
      <c r="C1070" s="142"/>
      <c r="D1070" s="142"/>
    </row>
    <row r="1071" spans="2:4" x14ac:dyDescent="0.2">
      <c r="B1071" s="142"/>
      <c r="C1071" s="142"/>
      <c r="D1071" s="142"/>
    </row>
    <row r="1072" spans="2:4" x14ac:dyDescent="0.2">
      <c r="B1072" s="142"/>
      <c r="C1072" s="142"/>
      <c r="D1072" s="142"/>
    </row>
    <row r="1073" spans="2:4" x14ac:dyDescent="0.2">
      <c r="B1073" s="142"/>
      <c r="C1073" s="142"/>
      <c r="D1073" s="142"/>
    </row>
    <row r="1074" spans="2:4" x14ac:dyDescent="0.2">
      <c r="B1074" s="142"/>
      <c r="C1074" s="142"/>
      <c r="D1074" s="142"/>
    </row>
    <row r="1075" spans="2:4" x14ac:dyDescent="0.2">
      <c r="B1075" s="142"/>
      <c r="C1075" s="142"/>
      <c r="D1075" s="142"/>
    </row>
    <row r="1076" spans="2:4" x14ac:dyDescent="0.2">
      <c r="B1076" s="142"/>
      <c r="C1076" s="142"/>
      <c r="D1076" s="142"/>
    </row>
    <row r="1077" spans="2:4" x14ac:dyDescent="0.2">
      <c r="B1077" s="142"/>
      <c r="C1077" s="142"/>
      <c r="D1077" s="142"/>
    </row>
    <row r="1078" spans="2:4" x14ac:dyDescent="0.2">
      <c r="B1078" s="142"/>
      <c r="C1078" s="142"/>
      <c r="D1078" s="142"/>
    </row>
    <row r="1079" spans="2:4" x14ac:dyDescent="0.2">
      <c r="B1079" s="142"/>
      <c r="C1079" s="142"/>
      <c r="D1079" s="142"/>
    </row>
    <row r="1080" spans="2:4" x14ac:dyDescent="0.2">
      <c r="B1080" s="142"/>
      <c r="C1080" s="142"/>
      <c r="D1080" s="142"/>
    </row>
    <row r="1081" spans="2:4" x14ac:dyDescent="0.2">
      <c r="B1081" s="142"/>
      <c r="C1081" s="142"/>
      <c r="D1081" s="142"/>
    </row>
    <row r="1082" spans="2:4" x14ac:dyDescent="0.2">
      <c r="B1082" s="142"/>
      <c r="C1082" s="142"/>
      <c r="D1082" s="142"/>
    </row>
    <row r="1083" spans="2:4" x14ac:dyDescent="0.2">
      <c r="B1083" s="142"/>
      <c r="C1083" s="142"/>
      <c r="D1083" s="142"/>
    </row>
    <row r="1084" spans="2:4" x14ac:dyDescent="0.2">
      <c r="B1084" s="142"/>
      <c r="C1084" s="142"/>
      <c r="D1084" s="142"/>
    </row>
    <row r="1085" spans="2:4" x14ac:dyDescent="0.2">
      <c r="B1085" s="142"/>
      <c r="C1085" s="142"/>
      <c r="D1085" s="142"/>
    </row>
    <row r="1086" spans="2:4" x14ac:dyDescent="0.2">
      <c r="B1086" s="142"/>
      <c r="C1086" s="142"/>
      <c r="D1086" s="142"/>
    </row>
    <row r="1087" spans="2:4" x14ac:dyDescent="0.2">
      <c r="B1087" s="142"/>
      <c r="C1087" s="142"/>
      <c r="D1087" s="142"/>
    </row>
    <row r="1088" spans="2:4" x14ac:dyDescent="0.2">
      <c r="B1088" s="142"/>
      <c r="C1088" s="142"/>
      <c r="D1088" s="142"/>
    </row>
    <row r="1089" spans="2:4" x14ac:dyDescent="0.2">
      <c r="B1089" s="142"/>
      <c r="C1089" s="142"/>
      <c r="D1089" s="142"/>
    </row>
    <row r="1090" spans="2:4" x14ac:dyDescent="0.2">
      <c r="B1090" s="142"/>
      <c r="C1090" s="142"/>
      <c r="D1090" s="142"/>
    </row>
    <row r="1091" spans="2:4" x14ac:dyDescent="0.2">
      <c r="B1091" s="142"/>
      <c r="C1091" s="142"/>
      <c r="D1091" s="142"/>
    </row>
    <row r="1092" spans="2:4" x14ac:dyDescent="0.2">
      <c r="B1092" s="142"/>
      <c r="C1092" s="142"/>
      <c r="D1092" s="142"/>
    </row>
    <row r="1093" spans="2:4" x14ac:dyDescent="0.2">
      <c r="B1093" s="142"/>
      <c r="C1093" s="142"/>
      <c r="D1093" s="142"/>
    </row>
    <row r="1094" spans="2:4" x14ac:dyDescent="0.2">
      <c r="B1094" s="142"/>
      <c r="C1094" s="142"/>
      <c r="D1094" s="142"/>
    </row>
    <row r="1095" spans="2:4" x14ac:dyDescent="0.2">
      <c r="B1095" s="142"/>
      <c r="C1095" s="142"/>
      <c r="D1095" s="142"/>
    </row>
    <row r="1096" spans="2:4" x14ac:dyDescent="0.2">
      <c r="B1096" s="142"/>
      <c r="C1096" s="142"/>
      <c r="D1096" s="142"/>
    </row>
    <row r="1097" spans="2:4" x14ac:dyDescent="0.2">
      <c r="B1097" s="142"/>
      <c r="C1097" s="142"/>
      <c r="D1097" s="142"/>
    </row>
    <row r="1098" spans="2:4" x14ac:dyDescent="0.2">
      <c r="B1098" s="142"/>
      <c r="C1098" s="142"/>
      <c r="D1098" s="142"/>
    </row>
    <row r="1099" spans="2:4" x14ac:dyDescent="0.2">
      <c r="B1099" s="142"/>
      <c r="C1099" s="142"/>
      <c r="D1099" s="142"/>
    </row>
    <row r="1100" spans="2:4" x14ac:dyDescent="0.2">
      <c r="B1100" s="142"/>
      <c r="C1100" s="142"/>
      <c r="D1100" s="142"/>
    </row>
    <row r="1101" spans="2:4" x14ac:dyDescent="0.2">
      <c r="B1101" s="142"/>
      <c r="C1101" s="142"/>
      <c r="D1101" s="142"/>
    </row>
    <row r="1102" spans="2:4" x14ac:dyDescent="0.2">
      <c r="B1102" s="142"/>
      <c r="C1102" s="142"/>
      <c r="D1102" s="142"/>
    </row>
    <row r="1103" spans="2:4" x14ac:dyDescent="0.2">
      <c r="B1103" s="142"/>
      <c r="C1103" s="142"/>
      <c r="D1103" s="142"/>
    </row>
    <row r="1104" spans="2:4" x14ac:dyDescent="0.2">
      <c r="B1104" s="142"/>
      <c r="C1104" s="142"/>
      <c r="D1104" s="142"/>
    </row>
    <row r="1105" spans="2:4" x14ac:dyDescent="0.2">
      <c r="B1105" s="142"/>
      <c r="C1105" s="142"/>
      <c r="D1105" s="142"/>
    </row>
    <row r="1106" spans="2:4" x14ac:dyDescent="0.2">
      <c r="B1106" s="142"/>
      <c r="C1106" s="142"/>
      <c r="D1106" s="142"/>
    </row>
    <row r="1107" spans="2:4" x14ac:dyDescent="0.2">
      <c r="B1107" s="142"/>
      <c r="C1107" s="142"/>
      <c r="D1107" s="142"/>
    </row>
    <row r="1108" spans="2:4" x14ac:dyDescent="0.2">
      <c r="B1108" s="142"/>
      <c r="C1108" s="142"/>
      <c r="D1108" s="142"/>
    </row>
    <row r="1109" spans="2:4" x14ac:dyDescent="0.2">
      <c r="B1109" s="142"/>
      <c r="C1109" s="142"/>
      <c r="D1109" s="142"/>
    </row>
    <row r="1110" spans="2:4" x14ac:dyDescent="0.2">
      <c r="B1110" s="142"/>
      <c r="C1110" s="142"/>
      <c r="D1110" s="142"/>
    </row>
    <row r="1111" spans="2:4" x14ac:dyDescent="0.2">
      <c r="B1111" s="142"/>
      <c r="C1111" s="142"/>
      <c r="D1111" s="142"/>
    </row>
    <row r="1112" spans="2:4" x14ac:dyDescent="0.2">
      <c r="B1112" s="142"/>
      <c r="C1112" s="142"/>
      <c r="D1112" s="142"/>
    </row>
    <row r="1113" spans="2:4" x14ac:dyDescent="0.2">
      <c r="B1113" s="142"/>
      <c r="C1113" s="142"/>
      <c r="D1113" s="142"/>
    </row>
    <row r="1114" spans="2:4" x14ac:dyDescent="0.2">
      <c r="B1114" s="142"/>
      <c r="C1114" s="142"/>
      <c r="D1114" s="142"/>
    </row>
    <row r="1115" spans="2:4" x14ac:dyDescent="0.2">
      <c r="B1115" s="142"/>
      <c r="C1115" s="142"/>
      <c r="D1115" s="142"/>
    </row>
    <row r="1116" spans="2:4" x14ac:dyDescent="0.2">
      <c r="B1116" s="142"/>
      <c r="C1116" s="142"/>
      <c r="D1116" s="142"/>
    </row>
    <row r="1117" spans="2:4" x14ac:dyDescent="0.2">
      <c r="B1117" s="142"/>
      <c r="C1117" s="142"/>
      <c r="D1117" s="142"/>
    </row>
  </sheetData>
  <mergeCells count="6">
    <mergeCell ref="A8:N8"/>
    <mergeCell ref="A11:N11"/>
    <mergeCell ref="B2:L2"/>
    <mergeCell ref="M2:O2"/>
    <mergeCell ref="B3:L4"/>
    <mergeCell ref="M3:O4"/>
  </mergeCells>
  <pageMargins left="0.75" right="0.75" top="1" bottom="1" header="0.5" footer="0.5"/>
  <pageSetup scale="91"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eSystems " id="{4F72737D-908B-49B0-9BDD-D4B5B4468667}">
            <xm:f>NOT(ISERROR(SEARCH("eSystems ",Inputs_RecordsGeneration!B9)))</xm:f>
            <x14:dxf>
              <font>
                <b/>
                <i val="0"/>
                <color rgb="FFC00000"/>
              </font>
            </x14:dxf>
          </x14:cfRule>
          <x14:cfRule type="containsText" priority="2" operator="containsText" text="hSystems " id="{E2719E73-2C3E-4A31-8450-4E37254A625D}">
            <xm:f>NOT(ISERROR(SEARCH("hSystems ",Inputs_RecordsGeneration!B9)))</xm:f>
            <x14:dxf>
              <font>
                <b/>
                <i val="0"/>
                <color rgb="FF0070C0"/>
              </font>
            </x14:dxf>
          </x14:cfRule>
          <x14:cfRule type="containsText" priority="3" operator="containsText" text="pSystems " id="{967D192F-131D-4F95-86C4-436B7D3FB083}">
            <xm:f>NOT(ISERROR(SEARCH("pSystems ",Inputs_RecordsGeneration!B9)))</xm:f>
            <x14:dxf>
              <font>
                <b/>
                <i val="0"/>
                <color theme="1" tint="0.34998626667073579"/>
              </font>
            </x14:dxf>
          </x14:cfRule>
          <xm:sqref>D5:XFD5 B5</xm:sqref>
        </x14:conditionalFormatting>
        <x14:conditionalFormatting xmlns:xm="http://schemas.microsoft.com/office/excel/2006/main">
          <x14:cfRule type="containsText" priority="99238" operator="containsText" text="eSystems " id="{4F72737D-908B-49B0-9BDD-D4B5B4468667}">
            <xm:f>NOT(ISERROR(SEARCH("eSystems ",Inputs_RecordsGeneration!A9)))</xm:f>
            <x14:dxf>
              <font>
                <b/>
                <i val="0"/>
                <color rgb="FFC00000"/>
              </font>
            </x14:dxf>
          </x14:cfRule>
          <x14:cfRule type="containsText" priority="99239" operator="containsText" text="hSystems " id="{E2719E73-2C3E-4A31-8450-4E37254A625D}">
            <xm:f>NOT(ISERROR(SEARCH("hSystems ",Inputs_RecordsGeneration!A9)))</xm:f>
            <x14:dxf>
              <font>
                <b/>
                <i val="0"/>
                <color rgb="FF0070C0"/>
              </font>
            </x14:dxf>
          </x14:cfRule>
          <x14:cfRule type="containsText" priority="99240" operator="containsText" text="pSystems " id="{967D192F-131D-4F95-86C4-436B7D3FB083}">
            <xm:f>NOT(ISERROR(SEARCH("pSystems ",Inputs_RecordsGeneration!A9)))</xm:f>
            <x14:dxf>
              <font>
                <b/>
                <i val="0"/>
                <color theme="1" tint="0.34998626667073579"/>
              </font>
            </x14:dxf>
          </x14:cfRule>
          <xm:sqref>C5</xm:sqref>
        </x14:conditionalFormatting>
        <x14:conditionalFormatting xmlns:xm="http://schemas.microsoft.com/office/excel/2006/main">
          <x14:cfRule type="containsText" priority="99241" operator="containsText" text="eSystems " id="{4F72737D-908B-49B0-9BDD-D4B5B4468667}">
            <xm:f>NOT(ISERROR(SEARCH("eSystems ",Inputs_RecordsGeneration!#REF!)))</xm:f>
            <x14:dxf>
              <font>
                <b/>
                <i val="0"/>
                <color rgb="FFC00000"/>
              </font>
            </x14:dxf>
          </x14:cfRule>
          <x14:cfRule type="containsText" priority="99242" operator="containsText" text="hSystems " id="{E2719E73-2C3E-4A31-8450-4E37254A625D}">
            <xm:f>NOT(ISERROR(SEARCH("hSystems ",Inputs_RecordsGeneration!#REF!)))</xm:f>
            <x14:dxf>
              <font>
                <b/>
                <i val="0"/>
                <color rgb="FF0070C0"/>
              </font>
            </x14:dxf>
          </x14:cfRule>
          <x14:cfRule type="containsText" priority="99243" operator="containsText" text="pSystems " id="{967D192F-131D-4F95-86C4-436B7D3FB083}">
            <xm:f>NOT(ISERROR(SEARCH("pSystems ",Inputs_RecordsGeneration!#REF!)))</xm:f>
            <x14:dxf>
              <font>
                <b/>
                <i val="0"/>
                <color theme="1" tint="0.34998626667073579"/>
              </font>
            </x14:dxf>
          </x14:cfRule>
          <xm:sqref>A5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59999389629810485"/>
  </sheetPr>
  <dimension ref="A1:AG1162"/>
  <sheetViews>
    <sheetView tabSelected="1" workbookViewId="0">
      <selection activeCell="B5" sqref="B5"/>
    </sheetView>
  </sheetViews>
  <sheetFormatPr defaultColWidth="8.85546875" defaultRowHeight="12.75" x14ac:dyDescent="0.2"/>
  <cols>
    <col min="1" max="1" width="75.7109375" style="143" customWidth="1"/>
    <col min="2" max="2" width="5.7109375" style="144" customWidth="1"/>
    <col min="3" max="4" width="50.7109375" style="142" customWidth="1"/>
    <col min="5" max="6" width="15.7109375" style="145" customWidth="1"/>
    <col min="7" max="8" width="15.7109375" style="146" customWidth="1"/>
    <col min="9" max="11" width="15.7109375" style="142" customWidth="1"/>
    <col min="12" max="12" width="15.7109375" style="139" customWidth="1"/>
    <col min="13" max="15" width="15.7109375" style="142" customWidth="1"/>
    <col min="16" max="16" width="55.7109375" style="142" customWidth="1"/>
    <col min="17" max="16384" width="8.85546875" style="142"/>
  </cols>
  <sheetData>
    <row r="1" spans="1:33" s="8" customFormat="1" ht="30" customHeight="1" x14ac:dyDescent="0.2">
      <c r="A1" s="1183" t="s">
        <v>66</v>
      </c>
      <c r="B1" s="155"/>
      <c r="C1" s="1182" t="s">
        <v>17</v>
      </c>
      <c r="D1" s="155"/>
      <c r="E1" s="155"/>
      <c r="F1" s="155"/>
      <c r="G1" s="155"/>
      <c r="H1" s="155"/>
      <c r="I1" s="155"/>
      <c r="J1" s="155"/>
      <c r="K1" s="155"/>
      <c r="L1" s="155"/>
      <c r="M1" s="155"/>
      <c r="N1" s="155"/>
      <c r="O1" s="639"/>
      <c r="P1" s="1184"/>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7"/>
      <c r="P2" s="1185"/>
      <c r="Q2" s="1192"/>
      <c r="R2" s="1192"/>
      <c r="S2" s="1192"/>
      <c r="T2" s="1192"/>
      <c r="U2" s="1192"/>
      <c r="V2" s="1192"/>
      <c r="W2" s="1192"/>
      <c r="X2" s="1192"/>
      <c r="Y2" s="1192"/>
      <c r="Z2" s="1192"/>
      <c r="AA2" s="1192"/>
      <c r="AB2" s="1192"/>
      <c r="AC2" s="1192"/>
      <c r="AD2" s="1192"/>
      <c r="AE2" s="1192"/>
      <c r="AF2" s="1192"/>
      <c r="AG2" s="1192"/>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0"/>
      <c r="P3" s="1185"/>
      <c r="Q3" s="12"/>
      <c r="R3" s="12"/>
      <c r="S3" s="12"/>
      <c r="T3" s="12"/>
      <c r="U3" s="12"/>
      <c r="V3" s="12"/>
      <c r="W3" s="12"/>
      <c r="X3" s="12"/>
      <c r="Y3" s="12"/>
      <c r="Z3" s="12"/>
      <c r="AA3" s="12"/>
      <c r="AB3" s="12"/>
      <c r="AC3" s="12"/>
      <c r="AD3" s="12"/>
      <c r="AE3" s="12"/>
      <c r="AF3" s="12"/>
      <c r="AG3" s="12"/>
    </row>
    <row r="4" spans="1:33" s="3" customFormat="1" ht="14.1" customHeight="1" thickBot="1" x14ac:dyDescent="0.25">
      <c r="A4" s="1365"/>
      <c r="B4" s="1357"/>
      <c r="C4" s="1357"/>
      <c r="D4" s="1357"/>
      <c r="E4" s="1357"/>
      <c r="F4" s="1357"/>
      <c r="G4" s="1357"/>
      <c r="H4" s="1357"/>
      <c r="I4" s="1357"/>
      <c r="J4" s="1357"/>
      <c r="K4" s="1357"/>
      <c r="L4" s="1358"/>
      <c r="M4" s="1372"/>
      <c r="N4" s="1373"/>
      <c r="O4" s="1373"/>
      <c r="P4" s="1186"/>
      <c r="Q4" s="19"/>
      <c r="R4" s="19"/>
      <c r="S4" s="19"/>
      <c r="T4" s="19"/>
      <c r="U4" s="19"/>
      <c r="V4" s="19"/>
      <c r="W4" s="19"/>
      <c r="X4" s="19"/>
      <c r="Y4" s="19"/>
      <c r="Z4" s="19"/>
      <c r="AA4" s="19"/>
      <c r="AB4" s="19"/>
      <c r="AC4" s="19"/>
      <c r="AD4" s="19"/>
      <c r="AE4" s="19"/>
      <c r="AF4" s="19"/>
      <c r="AG4" s="19"/>
    </row>
    <row r="5" spans="1:33" s="7" customFormat="1" ht="14.1" customHeight="1" x14ac:dyDescent="0.2">
      <c r="A5" s="1193"/>
      <c r="B5" s="1194"/>
      <c r="C5" s="1195"/>
      <c r="D5" s="1194"/>
      <c r="E5" s="1194"/>
      <c r="F5" s="1194"/>
      <c r="G5" s="1194"/>
      <c r="H5" s="1194"/>
      <c r="I5" s="1194"/>
      <c r="J5" s="1194"/>
      <c r="K5" s="1194"/>
      <c r="L5" s="1194"/>
      <c r="M5" s="1196"/>
      <c r="N5" s="1196"/>
      <c r="O5" s="1196"/>
      <c r="P5" s="1187"/>
      <c r="Q5" s="24"/>
      <c r="R5" s="24"/>
      <c r="S5" s="24"/>
      <c r="T5" s="24"/>
      <c r="U5" s="24"/>
      <c r="V5" s="24"/>
      <c r="W5" s="24"/>
      <c r="X5" s="24"/>
      <c r="Y5" s="24"/>
      <c r="Z5" s="24"/>
      <c r="AA5" s="24"/>
      <c r="AB5" s="24"/>
      <c r="AC5" s="24"/>
      <c r="AD5" s="24"/>
      <c r="AE5" s="24"/>
      <c r="AF5" s="24"/>
      <c r="AG5" s="24"/>
    </row>
    <row r="6" spans="1:33" s="139" customFormat="1" ht="20.25" customHeight="1" x14ac:dyDescent="0.3">
      <c r="A6" s="71"/>
      <c r="B6" s="12"/>
      <c r="C6" s="1197" t="s">
        <v>46</v>
      </c>
      <c r="D6" s="12"/>
      <c r="E6" s="1198"/>
      <c r="F6" s="1199"/>
      <c r="G6" s="1194"/>
      <c r="H6" s="1194"/>
      <c r="I6" s="1194"/>
      <c r="J6" s="1196"/>
      <c r="K6" s="1196"/>
      <c r="L6" s="1196"/>
      <c r="M6" s="1196"/>
      <c r="N6" s="1192"/>
      <c r="O6" s="12"/>
      <c r="P6" s="70"/>
      <c r="Q6" s="12"/>
      <c r="R6" s="12"/>
      <c r="S6" s="12"/>
      <c r="T6" s="12"/>
      <c r="U6" s="12"/>
      <c r="V6" s="12"/>
      <c r="W6" s="12"/>
      <c r="X6" s="12"/>
      <c r="Y6" s="12"/>
      <c r="Z6" s="12"/>
      <c r="AA6" s="12"/>
      <c r="AB6" s="12"/>
      <c r="AC6" s="12"/>
      <c r="AD6" s="12"/>
      <c r="AE6" s="12"/>
      <c r="AF6" s="12"/>
      <c r="AG6" s="12"/>
    </row>
    <row r="7" spans="1:33" s="139" customFormat="1" ht="18" customHeight="1" x14ac:dyDescent="0.2">
      <c r="A7" s="1375" t="s">
        <v>4154</v>
      </c>
      <c r="B7" s="12"/>
      <c r="C7" s="1200"/>
      <c r="D7" s="1201" t="s">
        <v>8</v>
      </c>
      <c r="E7" s="1198"/>
      <c r="F7" s="1199"/>
      <c r="G7" s="1202"/>
      <c r="H7" s="1203"/>
      <c r="I7" s="1204"/>
      <c r="J7" s="1204"/>
      <c r="K7" s="1204"/>
      <c r="L7" s="12"/>
      <c r="M7" s="12"/>
      <c r="N7" s="12"/>
      <c r="O7" s="12"/>
      <c r="P7" s="70"/>
      <c r="Q7" s="12"/>
      <c r="R7" s="12"/>
      <c r="S7" s="12"/>
      <c r="T7" s="12"/>
      <c r="U7" s="12"/>
      <c r="V7" s="12"/>
      <c r="W7" s="12"/>
      <c r="X7" s="12"/>
      <c r="Y7" s="12"/>
      <c r="Z7" s="12"/>
      <c r="AA7" s="12"/>
      <c r="AB7" s="12"/>
      <c r="AC7" s="12"/>
      <c r="AD7" s="12"/>
      <c r="AE7" s="12"/>
      <c r="AF7" s="12"/>
      <c r="AG7" s="12"/>
    </row>
    <row r="8" spans="1:33" s="139" customFormat="1" x14ac:dyDescent="0.2">
      <c r="A8" s="1375"/>
      <c r="B8" s="12"/>
      <c r="C8" s="987"/>
      <c r="D8" s="1205" t="s">
        <v>4381</v>
      </c>
      <c r="E8" s="1198"/>
      <c r="F8" s="1199"/>
      <c r="G8" s="1206"/>
      <c r="H8" s="1203"/>
      <c r="I8" s="1204"/>
      <c r="J8" s="1204"/>
      <c r="K8" s="1204"/>
      <c r="L8" s="1207"/>
      <c r="M8" s="12"/>
      <c r="N8" s="12"/>
      <c r="O8" s="12"/>
      <c r="P8" s="70"/>
      <c r="Q8" s="12"/>
      <c r="R8" s="12"/>
      <c r="S8" s="12"/>
      <c r="T8" s="12"/>
      <c r="U8" s="12"/>
      <c r="V8" s="12"/>
      <c r="W8" s="12"/>
      <c r="X8" s="12"/>
      <c r="Y8" s="12"/>
      <c r="Z8" s="12"/>
      <c r="AA8" s="12"/>
      <c r="AB8" s="12"/>
      <c r="AC8" s="12"/>
      <c r="AD8" s="12"/>
      <c r="AE8" s="12"/>
      <c r="AF8" s="12"/>
      <c r="AG8" s="12"/>
    </row>
    <row r="9" spans="1:33" s="139" customFormat="1" x14ac:dyDescent="0.2">
      <c r="A9" s="1375"/>
      <c r="B9" s="12"/>
      <c r="C9" s="988"/>
      <c r="D9" s="1201" t="s">
        <v>15</v>
      </c>
      <c r="E9" s="1198"/>
      <c r="F9" s="1199"/>
      <c r="G9" s="1202"/>
      <c r="H9" s="1203"/>
      <c r="I9" s="1204"/>
      <c r="J9" s="1204"/>
      <c r="K9" s="1204"/>
      <c r="L9" s="1207"/>
      <c r="M9" s="12"/>
      <c r="N9" s="12"/>
      <c r="O9" s="12"/>
      <c r="P9" s="70"/>
      <c r="Q9" s="12"/>
      <c r="R9" s="12"/>
      <c r="S9" s="12"/>
      <c r="T9" s="12"/>
      <c r="U9" s="12"/>
      <c r="V9" s="12"/>
      <c r="W9" s="12"/>
      <c r="X9" s="12"/>
      <c r="Y9" s="12"/>
      <c r="Z9" s="12"/>
      <c r="AA9" s="12"/>
      <c r="AB9" s="12"/>
      <c r="AC9" s="12"/>
      <c r="AD9" s="12"/>
      <c r="AE9" s="12"/>
      <c r="AF9" s="12"/>
      <c r="AG9" s="12"/>
    </row>
    <row r="10" spans="1:33" s="139" customFormat="1" x14ac:dyDescent="0.2">
      <c r="A10" s="1375"/>
      <c r="B10" s="12"/>
      <c r="C10" s="1208"/>
      <c r="D10" s="1201" t="s">
        <v>9</v>
      </c>
      <c r="E10" s="1198"/>
      <c r="F10" s="1199"/>
      <c r="G10" s="1202"/>
      <c r="H10" s="1203"/>
      <c r="I10" s="1204"/>
      <c r="J10" s="1204"/>
      <c r="K10" s="1204"/>
      <c r="L10" s="1207"/>
      <c r="M10" s="12"/>
      <c r="N10" s="12"/>
      <c r="O10" s="12"/>
      <c r="P10" s="70"/>
      <c r="Q10" s="12"/>
      <c r="R10" s="12"/>
      <c r="S10" s="12"/>
      <c r="T10" s="12"/>
      <c r="U10" s="12"/>
      <c r="V10" s="12"/>
      <c r="W10" s="12"/>
      <c r="X10" s="12"/>
      <c r="Y10" s="12"/>
      <c r="Z10" s="12"/>
      <c r="AA10" s="12"/>
      <c r="AB10" s="12"/>
      <c r="AC10" s="12"/>
      <c r="AD10" s="12"/>
      <c r="AE10" s="12"/>
      <c r="AF10" s="12"/>
      <c r="AG10" s="12"/>
    </row>
    <row r="11" spans="1:33" s="139" customFormat="1" ht="15.75" x14ac:dyDescent="0.25">
      <c r="A11" s="1375"/>
      <c r="B11" s="12"/>
      <c r="C11" s="1209" t="s">
        <v>70</v>
      </c>
      <c r="D11" s="1210" t="s">
        <v>14</v>
      </c>
      <c r="E11" s="1198"/>
      <c r="F11" s="1199"/>
      <c r="G11" s="1202"/>
      <c r="H11" s="1203"/>
      <c r="I11" s="1204"/>
      <c r="J11" s="1204"/>
      <c r="K11" s="1204"/>
      <c r="L11" s="1207"/>
      <c r="M11" s="12"/>
      <c r="N11" s="12"/>
      <c r="O11" s="12"/>
      <c r="P11" s="70"/>
      <c r="Q11" s="12"/>
      <c r="R11" s="12"/>
      <c r="S11" s="12"/>
      <c r="T11" s="12"/>
      <c r="U11" s="12"/>
      <c r="V11" s="12"/>
      <c r="W11" s="12"/>
      <c r="X11" s="12"/>
      <c r="Y11" s="12"/>
      <c r="Z11" s="12"/>
      <c r="AA11" s="12"/>
      <c r="AB11" s="12"/>
      <c r="AC11" s="12"/>
      <c r="AD11" s="12"/>
      <c r="AE11" s="12"/>
      <c r="AF11" s="12"/>
      <c r="AG11" s="12"/>
    </row>
    <row r="12" spans="1:33" s="139" customFormat="1" ht="15.75" x14ac:dyDescent="0.2">
      <c r="A12" s="1375"/>
      <c r="B12" s="12"/>
      <c r="C12" s="1211" t="s">
        <v>65</v>
      </c>
      <c r="D12" s="1212" t="s">
        <v>76</v>
      </c>
      <c r="E12" s="1198"/>
      <c r="F12" s="1199"/>
      <c r="G12" s="1202"/>
      <c r="H12" s="1203"/>
      <c r="I12" s="1204"/>
      <c r="J12" s="1204"/>
      <c r="K12" s="1204"/>
      <c r="L12" s="1207"/>
      <c r="M12" s="12"/>
      <c r="N12" s="12"/>
      <c r="O12" s="12"/>
      <c r="P12" s="70"/>
      <c r="Q12" s="12"/>
      <c r="R12" s="12"/>
      <c r="S12" s="12"/>
      <c r="T12" s="12"/>
      <c r="U12" s="12"/>
      <c r="V12" s="12"/>
      <c r="W12" s="12"/>
      <c r="X12" s="12"/>
      <c r="Y12" s="12"/>
      <c r="Z12" s="12"/>
      <c r="AA12" s="12"/>
      <c r="AB12" s="12"/>
      <c r="AC12" s="12"/>
      <c r="AD12" s="12"/>
      <c r="AE12" s="12"/>
      <c r="AF12" s="12"/>
      <c r="AG12" s="12"/>
    </row>
    <row r="13" spans="1:33" s="139" customFormat="1" ht="15.75" x14ac:dyDescent="0.2">
      <c r="A13" s="1375"/>
      <c r="B13" s="12"/>
      <c r="C13" s="1213" t="s">
        <v>70</v>
      </c>
      <c r="D13" s="1212" t="s">
        <v>344</v>
      </c>
      <c r="E13" s="12"/>
      <c r="F13" s="1198"/>
      <c r="G13" s="1203"/>
      <c r="H13" s="1203"/>
      <c r="I13" s="1204"/>
      <c r="J13" s="1204"/>
      <c r="K13" s="1204"/>
      <c r="L13" s="12"/>
      <c r="M13" s="12"/>
      <c r="N13" s="12"/>
      <c r="O13" s="12"/>
      <c r="P13" s="70"/>
      <c r="Q13" s="12"/>
      <c r="R13" s="12"/>
      <c r="S13" s="12"/>
      <c r="T13" s="12"/>
      <c r="U13" s="12"/>
      <c r="V13" s="12"/>
      <c r="W13" s="12"/>
      <c r="X13" s="12"/>
      <c r="Y13" s="12"/>
      <c r="Z13" s="12"/>
      <c r="AA13" s="12"/>
      <c r="AB13" s="12"/>
      <c r="AC13" s="12"/>
      <c r="AD13" s="12"/>
      <c r="AE13" s="12"/>
      <c r="AF13" s="12"/>
      <c r="AG13" s="12"/>
    </row>
    <row r="14" spans="1:33" s="139" customFormat="1" ht="15.75" x14ac:dyDescent="0.2">
      <c r="A14" s="1375"/>
      <c r="B14" s="12"/>
      <c r="C14" s="1214" t="s">
        <v>64</v>
      </c>
      <c r="D14" s="1212" t="s">
        <v>343</v>
      </c>
      <c r="E14" s="1215"/>
      <c r="F14" s="1198"/>
      <c r="G14" s="1203"/>
      <c r="H14" s="1203"/>
      <c r="I14" s="1204"/>
      <c r="J14" s="1204"/>
      <c r="K14" s="1204"/>
      <c r="L14" s="12"/>
      <c r="M14" s="12"/>
      <c r="N14" s="12"/>
      <c r="O14" s="12"/>
      <c r="P14" s="70"/>
      <c r="Q14" s="12"/>
      <c r="R14" s="12"/>
      <c r="S14" s="12"/>
      <c r="T14" s="12"/>
      <c r="U14" s="12"/>
      <c r="V14" s="12"/>
      <c r="W14" s="12"/>
      <c r="X14" s="12"/>
      <c r="Y14" s="12"/>
      <c r="Z14" s="12"/>
      <c r="AA14" s="12"/>
      <c r="AB14" s="12"/>
      <c r="AC14" s="12"/>
      <c r="AD14" s="12"/>
      <c r="AE14" s="12"/>
      <c r="AF14" s="12"/>
      <c r="AG14" s="12"/>
    </row>
    <row r="15" spans="1:33" s="139" customFormat="1" x14ac:dyDescent="0.2">
      <c r="A15" s="1375"/>
      <c r="B15" s="12"/>
      <c r="C15" s="20"/>
      <c r="D15" s="20"/>
      <c r="E15" s="1215"/>
      <c r="F15" s="1198"/>
      <c r="G15" s="1203"/>
      <c r="H15" s="1203"/>
      <c r="I15" s="1204"/>
      <c r="J15" s="1204"/>
      <c r="K15" s="1204"/>
      <c r="L15" s="12"/>
      <c r="M15" s="12"/>
      <c r="N15" s="12"/>
      <c r="O15" s="12"/>
      <c r="P15" s="70"/>
      <c r="Q15" s="12"/>
      <c r="R15" s="12"/>
      <c r="S15" s="12"/>
      <c r="T15" s="12"/>
      <c r="U15" s="12"/>
      <c r="V15" s="12"/>
      <c r="W15" s="12"/>
      <c r="X15" s="12"/>
      <c r="Y15" s="12"/>
      <c r="Z15" s="12"/>
      <c r="AA15" s="12"/>
      <c r="AB15" s="12"/>
      <c r="AC15" s="12"/>
      <c r="AD15" s="12"/>
      <c r="AE15" s="12"/>
      <c r="AF15" s="12"/>
      <c r="AG15" s="12"/>
    </row>
    <row r="16" spans="1:33" s="139" customFormat="1" x14ac:dyDescent="0.2">
      <c r="A16" s="1216"/>
      <c r="B16" s="12"/>
      <c r="C16" s="1208"/>
      <c r="D16" s="12"/>
      <c r="E16" s="1215"/>
      <c r="F16" s="1198"/>
      <c r="G16" s="1203"/>
      <c r="H16" s="1203"/>
      <c r="I16" s="1204"/>
      <c r="J16" s="1204"/>
      <c r="K16" s="1204"/>
      <c r="L16" s="12"/>
      <c r="M16" s="12"/>
      <c r="N16" s="12"/>
      <c r="O16" s="12"/>
      <c r="P16" s="70"/>
      <c r="Q16" s="12"/>
      <c r="R16" s="12"/>
      <c r="S16" s="12"/>
      <c r="T16" s="12"/>
      <c r="U16" s="12"/>
      <c r="V16" s="12"/>
      <c r="W16" s="12"/>
      <c r="X16" s="12"/>
      <c r="Y16" s="12"/>
      <c r="Z16" s="12"/>
      <c r="AA16" s="12"/>
      <c r="AB16" s="12"/>
      <c r="AC16" s="12"/>
      <c r="AD16" s="12"/>
      <c r="AE16" s="12"/>
      <c r="AF16" s="12"/>
      <c r="AG16" s="12"/>
    </row>
    <row r="17" spans="1:33" s="139" customFormat="1" ht="25.5" x14ac:dyDescent="0.2">
      <c r="A17" s="1282" t="s">
        <v>4155</v>
      </c>
      <c r="B17" s="12"/>
      <c r="C17" s="989" t="str">
        <f>"All currency -  "&amp;CurrSymbol&amp;" in "&amp;CurrUnits&amp;"s"</f>
        <v>All currency -  US$ in 1000s</v>
      </c>
      <c r="D17" s="12"/>
      <c r="E17" s="12"/>
      <c r="F17" s="12"/>
      <c r="G17" s="1203"/>
      <c r="H17" s="1203"/>
      <c r="I17" s="1204"/>
      <c r="J17" s="1204"/>
      <c r="K17" s="1204"/>
      <c r="L17" s="12"/>
      <c r="M17" s="12"/>
      <c r="N17" s="12"/>
      <c r="O17" s="12"/>
      <c r="P17" s="70"/>
      <c r="Q17" s="12"/>
      <c r="R17" s="12"/>
      <c r="S17" s="12"/>
      <c r="T17" s="12"/>
      <c r="U17" s="12"/>
      <c r="V17" s="12"/>
      <c r="W17" s="12"/>
      <c r="X17" s="12"/>
      <c r="Y17" s="12"/>
      <c r="Z17" s="12"/>
      <c r="AA17" s="12"/>
      <c r="AB17" s="12"/>
      <c r="AC17" s="12"/>
      <c r="AD17" s="12"/>
      <c r="AE17" s="12"/>
      <c r="AF17" s="12"/>
      <c r="AG17" s="12"/>
    </row>
    <row r="18" spans="1:33" s="139" customFormat="1" x14ac:dyDescent="0.2">
      <c r="A18" s="1217"/>
      <c r="B18" s="12"/>
      <c r="C18" s="12"/>
      <c r="D18" s="12"/>
      <c r="E18" s="12"/>
      <c r="F18" s="12"/>
      <c r="G18" s="1203"/>
      <c r="H18" s="1203"/>
      <c r="I18" s="1204"/>
      <c r="J18" s="1204"/>
      <c r="K18" s="1204"/>
      <c r="L18" s="12"/>
      <c r="M18" s="12"/>
      <c r="N18" s="12"/>
      <c r="O18" s="12"/>
      <c r="P18" s="70"/>
      <c r="Q18" s="12"/>
      <c r="R18" s="12"/>
      <c r="S18" s="12"/>
      <c r="T18" s="12"/>
      <c r="U18" s="12"/>
      <c r="V18" s="12"/>
      <c r="W18" s="12"/>
      <c r="X18" s="12"/>
      <c r="Y18" s="12"/>
      <c r="Z18" s="12"/>
      <c r="AA18" s="12"/>
      <c r="AB18" s="12"/>
      <c r="AC18" s="12"/>
      <c r="AD18" s="12"/>
      <c r="AE18" s="12"/>
      <c r="AF18" s="12"/>
      <c r="AG18" s="12"/>
    </row>
    <row r="19" spans="1:33" s="139" customFormat="1" ht="15" x14ac:dyDescent="0.2">
      <c r="A19" s="1375" t="s">
        <v>4162</v>
      </c>
      <c r="B19" s="1218"/>
      <c r="C19" s="1219" t="s">
        <v>90</v>
      </c>
      <c r="D19" s="1220" t="s">
        <v>4385</v>
      </c>
      <c r="E19" s="1221" t="s">
        <v>91</v>
      </c>
      <c r="F19" s="12"/>
      <c r="G19" s="12"/>
      <c r="H19" s="12"/>
      <c r="I19" s="12"/>
      <c r="J19" s="12"/>
      <c r="K19" s="12"/>
      <c r="L19" s="12"/>
      <c r="M19" s="12"/>
      <c r="N19" s="12"/>
      <c r="O19" s="12"/>
      <c r="P19" s="70"/>
      <c r="Q19" s="12"/>
      <c r="R19" s="12"/>
      <c r="S19" s="12"/>
      <c r="T19" s="12"/>
      <c r="U19" s="12"/>
      <c r="V19" s="12"/>
      <c r="W19" s="12"/>
      <c r="X19" s="12"/>
      <c r="Y19" s="12"/>
      <c r="Z19" s="12"/>
      <c r="AA19" s="12"/>
      <c r="AB19" s="12"/>
      <c r="AC19" s="12"/>
      <c r="AD19" s="12"/>
      <c r="AE19" s="12"/>
      <c r="AF19" s="12"/>
      <c r="AG19" s="12"/>
    </row>
    <row r="20" spans="1:33" s="139" customFormat="1" ht="15" x14ac:dyDescent="0.2">
      <c r="A20" s="1375"/>
      <c r="B20" s="1218"/>
      <c r="C20" s="1219"/>
      <c r="D20" s="1219"/>
      <c r="E20" s="1221"/>
      <c r="F20" s="12"/>
      <c r="G20" s="12"/>
      <c r="H20" s="12"/>
      <c r="I20" s="12"/>
      <c r="J20" s="12"/>
      <c r="K20" s="12"/>
      <c r="L20" s="12"/>
      <c r="M20" s="12"/>
      <c r="N20" s="12"/>
      <c r="O20" s="12"/>
      <c r="P20" s="70"/>
      <c r="Q20" s="12"/>
      <c r="R20" s="12"/>
      <c r="S20" s="12"/>
      <c r="T20" s="12"/>
      <c r="U20" s="12"/>
      <c r="V20" s="12"/>
      <c r="W20" s="12"/>
      <c r="X20" s="12"/>
      <c r="Y20" s="12"/>
      <c r="Z20" s="12"/>
      <c r="AA20" s="12"/>
      <c r="AB20" s="12"/>
      <c r="AC20" s="12"/>
      <c r="AD20" s="12"/>
      <c r="AE20" s="12"/>
      <c r="AF20" s="12"/>
      <c r="AG20" s="12"/>
    </row>
    <row r="21" spans="1:33" s="139" customFormat="1" ht="15" x14ac:dyDescent="0.2">
      <c r="A21" s="1375"/>
      <c r="B21" s="1218"/>
      <c r="C21" s="1219" t="s">
        <v>93</v>
      </c>
      <c r="D21" s="1222">
        <v>43430</v>
      </c>
      <c r="E21" s="1221" t="s">
        <v>92</v>
      </c>
      <c r="F21" s="12"/>
      <c r="G21" s="12"/>
      <c r="H21" s="12"/>
      <c r="I21" s="12"/>
      <c r="J21" s="12"/>
      <c r="K21" s="12"/>
      <c r="L21" s="12"/>
      <c r="M21" s="12"/>
      <c r="N21" s="12"/>
      <c r="O21" s="12"/>
      <c r="P21" s="70"/>
      <c r="Q21" s="12"/>
      <c r="R21" s="12"/>
      <c r="S21" s="12"/>
      <c r="T21" s="12"/>
      <c r="U21" s="12"/>
      <c r="V21" s="12"/>
      <c r="W21" s="12"/>
      <c r="X21" s="12"/>
      <c r="Y21" s="12"/>
      <c r="Z21" s="12"/>
      <c r="AA21" s="12"/>
      <c r="AB21" s="12"/>
      <c r="AC21" s="12"/>
      <c r="AD21" s="12"/>
      <c r="AE21" s="12"/>
      <c r="AF21" s="12"/>
      <c r="AG21" s="12"/>
    </row>
    <row r="22" spans="1:33" ht="12" customHeight="1" x14ac:dyDescent="0.2">
      <c r="A22" s="1223"/>
      <c r="B22" s="20"/>
      <c r="C22" s="844"/>
      <c r="D22" s="12"/>
      <c r="E22" s="1224"/>
      <c r="F22" s="1198"/>
      <c r="G22" s="1225"/>
      <c r="H22" s="1225"/>
      <c r="I22" s="12"/>
      <c r="J22" s="12"/>
      <c r="K22" s="12"/>
      <c r="L22" s="12"/>
      <c r="M22" s="12"/>
      <c r="N22" s="12"/>
      <c r="O22" s="12"/>
      <c r="P22" s="70"/>
      <c r="Q22" s="18"/>
      <c r="R22" s="18"/>
      <c r="S22" s="18"/>
      <c r="T22" s="18"/>
      <c r="U22" s="18"/>
      <c r="V22" s="18"/>
      <c r="W22" s="18"/>
      <c r="X22" s="18"/>
      <c r="Y22" s="18"/>
      <c r="Z22" s="18"/>
      <c r="AA22" s="18"/>
      <c r="AB22" s="18"/>
      <c r="AC22" s="18"/>
      <c r="AD22" s="18"/>
      <c r="AE22" s="18"/>
      <c r="AF22" s="18"/>
      <c r="AG22" s="18"/>
    </row>
    <row r="23" spans="1:33" s="148" customFormat="1" ht="38.25" x14ac:dyDescent="0.2">
      <c r="A23" s="1282" t="s">
        <v>4156</v>
      </c>
      <c r="B23" s="1226"/>
      <c r="C23" s="1227" t="s">
        <v>78</v>
      </c>
      <c r="D23" s="1220" t="s">
        <v>342</v>
      </c>
      <c r="E23" s="1221" t="s">
        <v>2</v>
      </c>
      <c r="F23" s="1228"/>
      <c r="G23" s="1228"/>
      <c r="H23" s="1228"/>
      <c r="I23" s="1228"/>
      <c r="J23" s="1228"/>
      <c r="K23" s="1228"/>
      <c r="L23" s="1228"/>
      <c r="M23" s="1228"/>
      <c r="N23" s="1228"/>
      <c r="O23" s="1228"/>
      <c r="P23" s="1229"/>
      <c r="Q23" s="1230"/>
      <c r="R23" s="1230"/>
      <c r="S23" s="1230"/>
      <c r="T23" s="1230"/>
      <c r="U23" s="1230"/>
      <c r="V23" s="1230"/>
      <c r="W23" s="1230"/>
      <c r="X23" s="1230"/>
      <c r="Y23" s="1230"/>
      <c r="Z23" s="1230"/>
      <c r="AA23" s="1230"/>
      <c r="AB23" s="1230"/>
      <c r="AC23" s="1230"/>
      <c r="AD23" s="1230"/>
      <c r="AE23" s="1230"/>
      <c r="AF23" s="1230"/>
      <c r="AG23" s="1230"/>
    </row>
    <row r="24" spans="1:33" ht="12" customHeight="1" x14ac:dyDescent="0.2">
      <c r="A24" s="1231"/>
      <c r="B24" s="1232"/>
      <c r="C24" s="12"/>
      <c r="D24" s="12"/>
      <c r="E24" s="1233"/>
      <c r="F24" s="1234"/>
      <c r="G24" s="1225"/>
      <c r="H24" s="1225"/>
      <c r="I24" s="12"/>
      <c r="J24" s="12"/>
      <c r="K24" s="12"/>
      <c r="L24" s="1235"/>
      <c r="M24" s="12"/>
      <c r="N24" s="12"/>
      <c r="O24" s="12"/>
      <c r="P24" s="70"/>
      <c r="Q24" s="18"/>
      <c r="R24" s="18"/>
      <c r="S24" s="18"/>
      <c r="T24" s="18"/>
      <c r="U24" s="18"/>
      <c r="V24" s="18"/>
      <c r="W24" s="18"/>
      <c r="X24" s="18"/>
      <c r="Y24" s="18"/>
      <c r="Z24" s="18"/>
      <c r="AA24" s="18"/>
      <c r="AB24" s="18"/>
      <c r="AC24" s="18"/>
      <c r="AD24" s="18"/>
      <c r="AE24" s="18"/>
      <c r="AF24" s="18"/>
      <c r="AG24" s="18"/>
    </row>
    <row r="25" spans="1:33" ht="21" customHeight="1" x14ac:dyDescent="0.2">
      <c r="A25" s="1375" t="s">
        <v>4157</v>
      </c>
      <c r="B25" s="1236"/>
      <c r="C25" s="1237" t="s">
        <v>79</v>
      </c>
      <c r="D25" s="1238" t="s">
        <v>4386</v>
      </c>
      <c r="E25" s="1239" t="s">
        <v>3</v>
      </c>
      <c r="F25" s="12"/>
      <c r="G25" s="12"/>
      <c r="H25" s="12"/>
      <c r="I25" s="12"/>
      <c r="J25" s="12"/>
      <c r="K25" s="12"/>
      <c r="L25" s="12"/>
      <c r="M25" s="12"/>
      <c r="N25" s="12"/>
      <c r="O25" s="12"/>
      <c r="P25" s="70"/>
      <c r="Q25" s="18"/>
      <c r="R25" s="18"/>
      <c r="S25" s="18"/>
      <c r="T25" s="18"/>
      <c r="U25" s="18"/>
      <c r="V25" s="18"/>
      <c r="W25" s="18"/>
      <c r="X25" s="18"/>
      <c r="Y25" s="18"/>
      <c r="Z25" s="18"/>
      <c r="AA25" s="18"/>
      <c r="AB25" s="18"/>
      <c r="AC25" s="18"/>
      <c r="AD25" s="18"/>
      <c r="AE25" s="18"/>
      <c r="AF25" s="18"/>
      <c r="AG25" s="18"/>
    </row>
    <row r="26" spans="1:33" ht="12" customHeight="1" x14ac:dyDescent="0.2">
      <c r="A26" s="1375"/>
      <c r="B26" s="1240"/>
      <c r="C26" s="12"/>
      <c r="D26" s="12"/>
      <c r="E26" s="447"/>
      <c r="F26" s="12"/>
      <c r="G26" s="12"/>
      <c r="H26" s="12"/>
      <c r="I26" s="12"/>
      <c r="J26" s="12"/>
      <c r="K26" s="12"/>
      <c r="L26" s="12"/>
      <c r="M26" s="12"/>
      <c r="N26" s="12"/>
      <c r="O26" s="12"/>
      <c r="P26" s="70"/>
      <c r="Q26" s="18"/>
      <c r="R26" s="18"/>
      <c r="S26" s="18"/>
      <c r="T26" s="18"/>
      <c r="U26" s="18"/>
      <c r="V26" s="18"/>
      <c r="W26" s="18"/>
      <c r="X26" s="18"/>
      <c r="Y26" s="18"/>
      <c r="Z26" s="18"/>
      <c r="AA26" s="18"/>
      <c r="AB26" s="18"/>
      <c r="AC26" s="18"/>
      <c r="AD26" s="18"/>
      <c r="AE26" s="18"/>
      <c r="AF26" s="18"/>
      <c r="AG26" s="18"/>
    </row>
    <row r="27" spans="1:33" ht="12" customHeight="1" x14ac:dyDescent="0.2">
      <c r="A27" s="1241"/>
      <c r="B27" s="1236"/>
      <c r="C27" s="12"/>
      <c r="D27" s="12"/>
      <c r="E27" s="1233"/>
      <c r="F27" s="12"/>
      <c r="G27" s="12"/>
      <c r="H27" s="12"/>
      <c r="I27" s="12"/>
      <c r="J27" s="12"/>
      <c r="K27" s="12"/>
      <c r="L27" s="12"/>
      <c r="M27" s="12"/>
      <c r="N27" s="12"/>
      <c r="O27" s="12"/>
      <c r="P27" s="70"/>
      <c r="Q27" s="18"/>
      <c r="R27" s="18"/>
      <c r="S27" s="18"/>
      <c r="T27" s="18"/>
      <c r="U27" s="18"/>
      <c r="V27" s="18"/>
      <c r="W27" s="18"/>
      <c r="X27" s="18"/>
      <c r="Y27" s="18"/>
      <c r="Z27" s="18"/>
      <c r="AA27" s="18"/>
      <c r="AB27" s="18"/>
      <c r="AC27" s="18"/>
      <c r="AD27" s="18"/>
      <c r="AE27" s="18"/>
      <c r="AF27" s="18"/>
      <c r="AG27" s="18"/>
    </row>
    <row r="28" spans="1:33" ht="20.100000000000001" customHeight="1" x14ac:dyDescent="0.2">
      <c r="A28" s="1375" t="s">
        <v>4165</v>
      </c>
      <c r="B28" s="1236"/>
      <c r="C28" s="1237" t="s">
        <v>80</v>
      </c>
      <c r="D28" s="1285" t="s">
        <v>4080</v>
      </c>
      <c r="E28" s="1242" t="s">
        <v>4</v>
      </c>
      <c r="F28" s="1225"/>
      <c r="G28" s="1225"/>
      <c r="H28" s="1225"/>
      <c r="I28" s="12"/>
      <c r="J28" s="12"/>
      <c r="K28" s="12"/>
      <c r="L28" s="12"/>
      <c r="M28" s="12"/>
      <c r="N28" s="12"/>
      <c r="O28" s="12"/>
      <c r="P28" s="70"/>
      <c r="Q28" s="18"/>
      <c r="R28" s="18"/>
      <c r="S28" s="18"/>
      <c r="T28" s="18"/>
      <c r="U28" s="18"/>
      <c r="V28" s="18"/>
      <c r="W28" s="18"/>
      <c r="X28" s="18"/>
      <c r="Y28" s="18"/>
      <c r="Z28" s="18"/>
      <c r="AA28" s="18"/>
      <c r="AB28" s="18"/>
      <c r="AC28" s="18"/>
      <c r="AD28" s="18"/>
      <c r="AE28" s="18"/>
      <c r="AF28" s="18"/>
      <c r="AG28" s="18"/>
    </row>
    <row r="29" spans="1:33" ht="20.100000000000001" customHeight="1" x14ac:dyDescent="0.2">
      <c r="A29" s="1375"/>
      <c r="B29" s="1236"/>
      <c r="C29" s="12"/>
      <c r="D29" s="1228"/>
      <c r="E29" s="447"/>
      <c r="F29" s="1225"/>
      <c r="G29" s="1225"/>
      <c r="H29" s="1225"/>
      <c r="I29" s="12"/>
      <c r="J29" s="12"/>
      <c r="K29" s="12"/>
      <c r="L29" s="12"/>
      <c r="M29" s="12"/>
      <c r="N29" s="12"/>
      <c r="O29" s="12"/>
      <c r="P29" s="70"/>
      <c r="Q29" s="18"/>
      <c r="R29" s="18"/>
      <c r="S29" s="18"/>
      <c r="T29" s="18"/>
      <c r="U29" s="18"/>
      <c r="V29" s="18"/>
      <c r="W29" s="18"/>
      <c r="X29" s="18"/>
      <c r="Y29" s="18"/>
      <c r="Z29" s="18"/>
      <c r="AA29" s="18"/>
      <c r="AB29" s="18"/>
      <c r="AC29" s="18"/>
      <c r="AD29" s="18"/>
      <c r="AE29" s="18"/>
      <c r="AF29" s="18"/>
      <c r="AG29" s="18"/>
    </row>
    <row r="30" spans="1:33" ht="20.100000000000001" customHeight="1" x14ac:dyDescent="0.2">
      <c r="A30" s="1375"/>
      <c r="B30" s="1236"/>
      <c r="C30" s="1237" t="s">
        <v>81</v>
      </c>
      <c r="D30" s="1286" t="s">
        <v>4081</v>
      </c>
      <c r="E30" s="1242" t="s">
        <v>5</v>
      </c>
      <c r="F30" s="1225"/>
      <c r="G30" s="1225"/>
      <c r="H30" s="1225"/>
      <c r="I30" s="12"/>
      <c r="J30" s="12"/>
      <c r="K30" s="12"/>
      <c r="L30" s="12"/>
      <c r="M30" s="12"/>
      <c r="N30" s="12"/>
      <c r="O30" s="12"/>
      <c r="P30" s="70"/>
      <c r="Q30" s="18"/>
      <c r="R30" s="18"/>
      <c r="S30" s="18"/>
      <c r="T30" s="18"/>
      <c r="U30" s="18"/>
      <c r="V30" s="18"/>
      <c r="W30" s="18"/>
      <c r="X30" s="18"/>
      <c r="Y30" s="18"/>
      <c r="Z30" s="18"/>
      <c r="AA30" s="18"/>
      <c r="AB30" s="18"/>
      <c r="AC30" s="18"/>
      <c r="AD30" s="18"/>
      <c r="AE30" s="18"/>
      <c r="AF30" s="18"/>
      <c r="AG30" s="18"/>
    </row>
    <row r="31" spans="1:33" ht="20.100000000000001" customHeight="1" x14ac:dyDescent="0.2">
      <c r="A31" s="1375"/>
      <c r="B31" s="1236"/>
      <c r="C31" s="12"/>
      <c r="D31" s="1228"/>
      <c r="E31" s="1239"/>
      <c r="F31" s="1225"/>
      <c r="G31" s="1225"/>
      <c r="H31" s="1225"/>
      <c r="I31" s="12"/>
      <c r="J31" s="12"/>
      <c r="K31" s="12"/>
      <c r="L31" s="12"/>
      <c r="M31" s="12"/>
      <c r="N31" s="12"/>
      <c r="O31" s="12"/>
      <c r="P31" s="70"/>
      <c r="Q31" s="18"/>
      <c r="R31" s="18"/>
      <c r="S31" s="18"/>
      <c r="T31" s="18"/>
      <c r="U31" s="18"/>
      <c r="V31" s="18"/>
      <c r="W31" s="18"/>
      <c r="X31" s="18"/>
      <c r="Y31" s="18"/>
      <c r="Z31" s="18"/>
      <c r="AA31" s="18"/>
      <c r="AB31" s="18"/>
      <c r="AC31" s="18"/>
      <c r="AD31" s="18"/>
      <c r="AE31" s="18"/>
      <c r="AF31" s="18"/>
      <c r="AG31" s="18"/>
    </row>
    <row r="32" spans="1:33" ht="20.100000000000001" customHeight="1" x14ac:dyDescent="0.2">
      <c r="A32" s="1375"/>
      <c r="B32" s="1236"/>
      <c r="C32" s="1227" t="s">
        <v>82</v>
      </c>
      <c r="D32" s="1287" t="s">
        <v>4082</v>
      </c>
      <c r="E32" s="1239" t="s">
        <v>33</v>
      </c>
      <c r="F32" s="1225"/>
      <c r="G32" s="1225"/>
      <c r="H32" s="1225"/>
      <c r="I32" s="12"/>
      <c r="J32" s="12"/>
      <c r="K32" s="12"/>
      <c r="L32" s="1243"/>
      <c r="M32" s="12"/>
      <c r="N32" s="12"/>
      <c r="O32" s="12"/>
      <c r="P32" s="70"/>
      <c r="Q32" s="18"/>
      <c r="R32" s="18"/>
      <c r="S32" s="18"/>
      <c r="T32" s="18"/>
      <c r="U32" s="18"/>
      <c r="V32" s="18"/>
      <c r="W32" s="18"/>
      <c r="X32" s="18"/>
      <c r="Y32" s="18"/>
      <c r="Z32" s="18"/>
      <c r="AA32" s="18"/>
      <c r="AB32" s="18"/>
      <c r="AC32" s="18"/>
      <c r="AD32" s="18"/>
      <c r="AE32" s="18"/>
      <c r="AF32" s="18"/>
      <c r="AG32" s="18"/>
    </row>
    <row r="33" spans="1:33" ht="12" customHeight="1" x14ac:dyDescent="0.2">
      <c r="A33" s="1223"/>
      <c r="B33" s="1240"/>
      <c r="C33" s="12"/>
      <c r="D33" s="1228"/>
      <c r="E33" s="447"/>
      <c r="F33" s="12"/>
      <c r="G33" s="12"/>
      <c r="H33" s="12"/>
      <c r="I33" s="12"/>
      <c r="J33" s="12"/>
      <c r="K33" s="12"/>
      <c r="L33" s="12"/>
      <c r="M33" s="12"/>
      <c r="N33" s="12"/>
      <c r="O33" s="12"/>
      <c r="P33" s="70"/>
      <c r="Q33" s="18"/>
      <c r="R33" s="18"/>
      <c r="S33" s="18"/>
      <c r="T33" s="18"/>
      <c r="U33" s="18"/>
      <c r="V33" s="18"/>
      <c r="W33" s="18"/>
      <c r="X33" s="18"/>
      <c r="Y33" s="18"/>
      <c r="Z33" s="18"/>
      <c r="AA33" s="18"/>
      <c r="AB33" s="18"/>
      <c r="AC33" s="18"/>
      <c r="AD33" s="18"/>
      <c r="AE33" s="18"/>
      <c r="AF33" s="18"/>
      <c r="AG33" s="18"/>
    </row>
    <row r="34" spans="1:33" ht="15" customHeight="1" x14ac:dyDescent="0.2">
      <c r="A34" s="1376" t="s">
        <v>4158</v>
      </c>
      <c r="B34" s="1236"/>
      <c r="C34" s="1227" t="s">
        <v>83</v>
      </c>
      <c r="D34" s="1238" t="s">
        <v>21</v>
      </c>
      <c r="E34" s="1239" t="s">
        <v>6</v>
      </c>
      <c r="F34" s="12"/>
      <c r="G34" s="12"/>
      <c r="H34" s="1225"/>
      <c r="I34" s="12"/>
      <c r="J34" s="12"/>
      <c r="K34" s="12"/>
      <c r="L34" s="12"/>
      <c r="M34" s="12"/>
      <c r="N34" s="12"/>
      <c r="O34" s="12"/>
      <c r="P34" s="70"/>
      <c r="Q34" s="18"/>
      <c r="R34" s="18"/>
      <c r="S34" s="18"/>
      <c r="T34" s="18"/>
      <c r="U34" s="18"/>
      <c r="V34" s="18"/>
      <c r="W34" s="18"/>
      <c r="X34" s="18"/>
      <c r="Y34" s="18"/>
      <c r="Z34" s="18"/>
      <c r="AA34" s="18"/>
      <c r="AB34" s="18"/>
      <c r="AC34" s="18"/>
      <c r="AD34" s="18"/>
      <c r="AE34" s="18"/>
      <c r="AF34" s="18"/>
      <c r="AG34" s="18"/>
    </row>
    <row r="35" spans="1:33" ht="15" customHeight="1" x14ac:dyDescent="0.2">
      <c r="A35" s="1377"/>
      <c r="B35" s="1240"/>
      <c r="C35" s="12"/>
      <c r="D35" s="1228"/>
      <c r="E35" s="447"/>
      <c r="F35" s="12"/>
      <c r="G35" s="12"/>
      <c r="H35" s="1225"/>
      <c r="I35" s="12"/>
      <c r="J35" s="12"/>
      <c r="K35" s="12"/>
      <c r="L35" s="12"/>
      <c r="M35" s="12"/>
      <c r="N35" s="12"/>
      <c r="O35" s="12"/>
      <c r="P35" s="70"/>
      <c r="Q35" s="18"/>
      <c r="R35" s="18"/>
      <c r="S35" s="18"/>
      <c r="T35" s="18"/>
      <c r="U35" s="18"/>
      <c r="V35" s="18"/>
      <c r="W35" s="18"/>
      <c r="X35" s="18"/>
      <c r="Y35" s="18"/>
      <c r="Z35" s="18"/>
      <c r="AA35" s="18"/>
      <c r="AB35" s="18"/>
      <c r="AC35" s="18"/>
      <c r="AD35" s="18"/>
      <c r="AE35" s="18"/>
      <c r="AF35" s="18"/>
      <c r="AG35" s="18"/>
    </row>
    <row r="36" spans="1:33" ht="15" customHeight="1" x14ac:dyDescent="0.2">
      <c r="A36" s="1377"/>
      <c r="B36" s="1236"/>
      <c r="C36" s="1237" t="s">
        <v>84</v>
      </c>
      <c r="D36" s="1244">
        <v>1000</v>
      </c>
      <c r="E36" s="1239" t="s">
        <v>7</v>
      </c>
      <c r="F36" s="1245" t="s">
        <v>85</v>
      </c>
      <c r="G36" s="12"/>
      <c r="H36" s="1225"/>
      <c r="I36" s="12"/>
      <c r="J36" s="12"/>
      <c r="K36" s="12"/>
      <c r="L36" s="12"/>
      <c r="M36" s="12"/>
      <c r="N36" s="12"/>
      <c r="O36" s="12"/>
      <c r="P36" s="70"/>
      <c r="Q36" s="18"/>
      <c r="R36" s="18"/>
      <c r="S36" s="18"/>
      <c r="T36" s="18"/>
      <c r="U36" s="18"/>
      <c r="V36" s="18"/>
      <c r="W36" s="18"/>
      <c r="X36" s="18"/>
      <c r="Y36" s="18"/>
      <c r="Z36" s="18"/>
      <c r="AA36" s="18"/>
      <c r="AB36" s="18"/>
      <c r="AC36" s="18"/>
      <c r="AD36" s="18"/>
      <c r="AE36" s="18"/>
      <c r="AF36" s="18"/>
      <c r="AG36" s="18"/>
    </row>
    <row r="37" spans="1:33" ht="15" customHeight="1" x14ac:dyDescent="0.2">
      <c r="A37" s="1377"/>
      <c r="B37" s="1240"/>
      <c r="C37" s="12"/>
      <c r="D37" s="1228"/>
      <c r="E37" s="447"/>
      <c r="F37" s="12"/>
      <c r="G37" s="12"/>
      <c r="H37" s="1225"/>
      <c r="I37" s="12"/>
      <c r="J37" s="12"/>
      <c r="K37" s="12"/>
      <c r="L37" s="12"/>
      <c r="M37" s="12"/>
      <c r="N37" s="12"/>
      <c r="O37" s="12"/>
      <c r="P37" s="70"/>
      <c r="Q37" s="18"/>
      <c r="R37" s="18"/>
      <c r="S37" s="18"/>
      <c r="T37" s="18"/>
      <c r="U37" s="18"/>
      <c r="V37" s="18"/>
      <c r="W37" s="18"/>
      <c r="X37" s="18"/>
      <c r="Y37" s="18"/>
      <c r="Z37" s="18"/>
      <c r="AA37" s="18"/>
      <c r="AB37" s="18"/>
      <c r="AC37" s="18"/>
      <c r="AD37" s="18"/>
      <c r="AE37" s="18"/>
      <c r="AF37" s="18"/>
      <c r="AG37" s="18"/>
    </row>
    <row r="38" spans="1:33" ht="15" customHeight="1" x14ac:dyDescent="0.2">
      <c r="A38" s="1377"/>
      <c r="B38" s="1236"/>
      <c r="C38" s="1219" t="s">
        <v>74</v>
      </c>
      <c r="D38" s="1246">
        <v>0.02</v>
      </c>
      <c r="E38" s="1239" t="s">
        <v>13</v>
      </c>
      <c r="F38" s="12"/>
      <c r="G38" s="12"/>
      <c r="H38" s="1225"/>
      <c r="I38" s="12"/>
      <c r="J38" s="12"/>
      <c r="K38" s="12"/>
      <c r="L38" s="12"/>
      <c r="M38" s="12"/>
      <c r="N38" s="12"/>
      <c r="O38" s="12"/>
      <c r="P38" s="70"/>
      <c r="Q38" s="18"/>
      <c r="R38" s="18"/>
      <c r="S38" s="18"/>
      <c r="T38" s="18"/>
      <c r="U38" s="18"/>
      <c r="V38" s="18"/>
      <c r="W38" s="18"/>
      <c r="X38" s="18"/>
      <c r="Y38" s="18"/>
      <c r="Z38" s="18"/>
      <c r="AA38" s="18"/>
      <c r="AB38" s="18"/>
      <c r="AC38" s="18"/>
      <c r="AD38" s="18"/>
      <c r="AE38" s="18"/>
      <c r="AF38" s="18"/>
      <c r="AG38" s="18"/>
    </row>
    <row r="39" spans="1:33" ht="15" customHeight="1" x14ac:dyDescent="0.2">
      <c r="A39" s="1377"/>
      <c r="B39" s="1236"/>
      <c r="C39" s="1225"/>
      <c r="D39" s="1247"/>
      <c r="E39" s="1239"/>
      <c r="F39" s="12"/>
      <c r="G39" s="12"/>
      <c r="H39" s="1225"/>
      <c r="I39" s="12"/>
      <c r="J39" s="12"/>
      <c r="K39" s="12"/>
      <c r="L39" s="12"/>
      <c r="M39" s="12"/>
      <c r="N39" s="12"/>
      <c r="O39" s="12"/>
      <c r="P39" s="70"/>
      <c r="Q39" s="18"/>
      <c r="R39" s="18"/>
      <c r="S39" s="18"/>
      <c r="T39" s="18"/>
      <c r="U39" s="18"/>
      <c r="V39" s="18"/>
      <c r="W39" s="18"/>
      <c r="X39" s="18"/>
      <c r="Y39" s="18"/>
      <c r="Z39" s="18"/>
      <c r="AA39" s="18"/>
      <c r="AB39" s="18"/>
      <c r="AC39" s="18"/>
      <c r="AD39" s="18"/>
      <c r="AE39" s="18"/>
      <c r="AF39" s="18"/>
      <c r="AG39" s="18"/>
    </row>
    <row r="40" spans="1:33" ht="15" customHeight="1" x14ac:dyDescent="0.2">
      <c r="A40" s="1377"/>
      <c r="B40" s="1236"/>
      <c r="C40" s="1225"/>
      <c r="D40" s="1247"/>
      <c r="E40" s="1239"/>
      <c r="F40" s="12"/>
      <c r="G40" s="12"/>
      <c r="H40" s="1225"/>
      <c r="I40" s="12"/>
      <c r="J40" s="12"/>
      <c r="K40" s="12"/>
      <c r="L40" s="12"/>
      <c r="M40" s="12"/>
      <c r="N40" s="12"/>
      <c r="O40" s="12"/>
      <c r="P40" s="70"/>
      <c r="Q40" s="18"/>
      <c r="R40" s="18"/>
      <c r="S40" s="18"/>
      <c r="T40" s="18"/>
      <c r="U40" s="18"/>
      <c r="V40" s="18"/>
      <c r="W40" s="18"/>
      <c r="X40" s="18"/>
      <c r="Y40" s="18"/>
      <c r="Z40" s="18"/>
      <c r="AA40" s="18"/>
      <c r="AB40" s="18"/>
      <c r="AC40" s="18"/>
      <c r="AD40" s="18"/>
      <c r="AE40" s="18"/>
      <c r="AF40" s="18"/>
      <c r="AG40" s="18"/>
    </row>
    <row r="41" spans="1:33" ht="15" customHeight="1" x14ac:dyDescent="0.2">
      <c r="A41" s="1377"/>
      <c r="B41" s="1236"/>
      <c r="C41" s="1227" t="s">
        <v>87</v>
      </c>
      <c r="D41" s="1248">
        <v>150</v>
      </c>
      <c r="E41" s="1249" t="s">
        <v>47</v>
      </c>
      <c r="F41" s="12"/>
      <c r="G41" s="12"/>
      <c r="H41" s="1225"/>
      <c r="I41" s="12"/>
      <c r="J41" s="12"/>
      <c r="K41" s="12"/>
      <c r="L41" s="12"/>
      <c r="M41" s="12"/>
      <c r="N41" s="12"/>
      <c r="O41" s="12"/>
      <c r="P41" s="70"/>
      <c r="Q41" s="18"/>
      <c r="R41" s="18"/>
      <c r="S41" s="18"/>
      <c r="T41" s="18"/>
      <c r="U41" s="18"/>
      <c r="V41" s="18"/>
      <c r="W41" s="18"/>
      <c r="X41" s="18"/>
      <c r="Y41" s="18"/>
      <c r="Z41" s="18"/>
      <c r="AA41" s="18"/>
      <c r="AB41" s="18"/>
      <c r="AC41" s="18"/>
      <c r="AD41" s="18"/>
      <c r="AE41" s="18"/>
      <c r="AF41" s="18"/>
      <c r="AG41" s="18"/>
    </row>
    <row r="42" spans="1:33" ht="15" customHeight="1" x14ac:dyDescent="0.2">
      <c r="A42" s="1377"/>
      <c r="B42" s="1236"/>
      <c r="C42" s="1250"/>
      <c r="D42" s="1251"/>
      <c r="E42" s="1239"/>
      <c r="F42" s="12"/>
      <c r="G42" s="12"/>
      <c r="H42" s="1225"/>
      <c r="I42" s="12"/>
      <c r="J42" s="12"/>
      <c r="K42" s="12"/>
      <c r="L42" s="12"/>
      <c r="M42" s="12"/>
      <c r="N42" s="12"/>
      <c r="O42" s="12"/>
      <c r="P42" s="70"/>
      <c r="Q42" s="18"/>
      <c r="R42" s="18"/>
      <c r="S42" s="18"/>
      <c r="T42" s="18"/>
      <c r="U42" s="18"/>
      <c r="V42" s="18"/>
      <c r="W42" s="18"/>
      <c r="X42" s="18"/>
      <c r="Y42" s="18"/>
      <c r="Z42" s="18"/>
      <c r="AA42" s="18"/>
      <c r="AB42" s="18"/>
      <c r="AC42" s="18"/>
      <c r="AD42" s="18"/>
      <c r="AE42" s="18"/>
      <c r="AF42" s="18"/>
      <c r="AG42" s="18"/>
    </row>
    <row r="43" spans="1:33" ht="15" customHeight="1" x14ac:dyDescent="0.2">
      <c r="A43" s="1378"/>
      <c r="B43" s="1236"/>
      <c r="C43" s="1227" t="s">
        <v>88</v>
      </c>
      <c r="D43" s="1252" t="s">
        <v>53</v>
      </c>
      <c r="E43" s="1239" t="s">
        <v>52</v>
      </c>
      <c r="F43" s="1253" t="s">
        <v>89</v>
      </c>
      <c r="G43" s="12"/>
      <c r="H43" s="1225"/>
      <c r="I43" s="12"/>
      <c r="J43" s="12"/>
      <c r="K43" s="12"/>
      <c r="L43" s="12"/>
      <c r="M43" s="12"/>
      <c r="N43" s="12"/>
      <c r="O43" s="12"/>
      <c r="P43" s="70"/>
      <c r="Q43" s="18"/>
      <c r="R43" s="18"/>
      <c r="S43" s="18"/>
      <c r="T43" s="18"/>
      <c r="U43" s="18"/>
      <c r="V43" s="18"/>
      <c r="W43" s="18"/>
      <c r="X43" s="18"/>
      <c r="Y43" s="18"/>
      <c r="Z43" s="18"/>
      <c r="AA43" s="18"/>
      <c r="AB43" s="18"/>
      <c r="AC43" s="18"/>
      <c r="AD43" s="18"/>
      <c r="AE43" s="18"/>
      <c r="AF43" s="18"/>
      <c r="AG43" s="18"/>
    </row>
    <row r="44" spans="1:33" ht="12" customHeight="1" x14ac:dyDescent="0.2">
      <c r="A44" s="1254"/>
      <c r="B44" s="1236"/>
      <c r="C44" s="1225"/>
      <c r="D44" s="1247"/>
      <c r="E44" s="1239"/>
      <c r="F44" s="12"/>
      <c r="G44" s="12"/>
      <c r="H44" s="1225"/>
      <c r="I44" s="12"/>
      <c r="J44" s="12"/>
      <c r="K44" s="12"/>
      <c r="L44" s="12"/>
      <c r="M44" s="12"/>
      <c r="N44" s="12"/>
      <c r="O44" s="12"/>
      <c r="P44" s="70"/>
      <c r="Q44" s="18"/>
      <c r="R44" s="18"/>
      <c r="S44" s="18"/>
      <c r="T44" s="18"/>
      <c r="U44" s="18"/>
      <c r="V44" s="18"/>
      <c r="W44" s="18"/>
      <c r="X44" s="18"/>
      <c r="Y44" s="18"/>
      <c r="Z44" s="18"/>
      <c r="AA44" s="18"/>
      <c r="AB44" s="18"/>
      <c r="AC44" s="18"/>
      <c r="AD44" s="18"/>
      <c r="AE44" s="18"/>
      <c r="AF44" s="18"/>
      <c r="AG44" s="18"/>
    </row>
    <row r="45" spans="1:33" ht="12" customHeight="1" x14ac:dyDescent="0.2">
      <c r="A45" s="1375" t="s">
        <v>4159</v>
      </c>
      <c r="B45" s="1236"/>
      <c r="C45" s="1227" t="s">
        <v>359</v>
      </c>
      <c r="D45" s="1255">
        <v>10</v>
      </c>
      <c r="E45" s="1256" t="s">
        <v>360</v>
      </c>
      <c r="F45" s="12"/>
      <c r="G45" s="12"/>
      <c r="H45" s="1225"/>
      <c r="I45" s="12"/>
      <c r="J45" s="12"/>
      <c r="K45" s="12"/>
      <c r="L45" s="12"/>
      <c r="M45" s="12"/>
      <c r="N45" s="12"/>
      <c r="O45" s="12"/>
      <c r="P45" s="70"/>
      <c r="Q45" s="18"/>
      <c r="R45" s="18"/>
      <c r="S45" s="18"/>
      <c r="T45" s="18"/>
      <c r="U45" s="18"/>
      <c r="V45" s="18"/>
      <c r="W45" s="18"/>
      <c r="X45" s="18"/>
      <c r="Y45" s="18"/>
      <c r="Z45" s="18"/>
      <c r="AA45" s="18"/>
      <c r="AB45" s="18"/>
      <c r="AC45" s="18"/>
      <c r="AD45" s="18"/>
      <c r="AE45" s="18"/>
      <c r="AF45" s="18"/>
      <c r="AG45" s="18"/>
    </row>
    <row r="46" spans="1:33" ht="12" customHeight="1" x14ac:dyDescent="0.2">
      <c r="A46" s="1375"/>
      <c r="B46" s="1236"/>
      <c r="C46" s="1225"/>
      <c r="D46" s="1247"/>
      <c r="E46" s="1239"/>
      <c r="F46" s="12"/>
      <c r="G46" s="12"/>
      <c r="H46" s="1225"/>
      <c r="I46" s="12"/>
      <c r="J46" s="12"/>
      <c r="K46" s="12"/>
      <c r="L46" s="12"/>
      <c r="M46" s="12"/>
      <c r="N46" s="12"/>
      <c r="O46" s="12"/>
      <c r="P46" s="70"/>
      <c r="Q46" s="18"/>
      <c r="R46" s="18"/>
      <c r="S46" s="18"/>
      <c r="T46" s="18"/>
      <c r="U46" s="18"/>
      <c r="V46" s="18"/>
      <c r="W46" s="18"/>
      <c r="X46" s="18"/>
      <c r="Y46" s="18"/>
      <c r="Z46" s="18"/>
      <c r="AA46" s="18"/>
      <c r="AB46" s="18"/>
      <c r="AC46" s="18"/>
      <c r="AD46" s="18"/>
      <c r="AE46" s="18"/>
      <c r="AF46" s="18"/>
      <c r="AG46" s="18"/>
    </row>
    <row r="47" spans="1:33" ht="12" customHeight="1" x14ac:dyDescent="0.2">
      <c r="A47" s="1375"/>
      <c r="B47" s="1236"/>
      <c r="C47" s="1227" t="s">
        <v>86</v>
      </c>
      <c r="D47" s="1257">
        <v>43466</v>
      </c>
      <c r="E47" s="1258" t="s">
        <v>1</v>
      </c>
      <c r="F47" s="12"/>
      <c r="G47" s="12"/>
      <c r="H47" s="1225"/>
      <c r="I47" s="12"/>
      <c r="J47" s="12"/>
      <c r="K47" s="12"/>
      <c r="L47" s="12"/>
      <c r="M47" s="12"/>
      <c r="N47" s="12"/>
      <c r="O47" s="12"/>
      <c r="P47" s="70"/>
      <c r="Q47" s="18"/>
      <c r="R47" s="18"/>
      <c r="S47" s="18"/>
      <c r="T47" s="18"/>
      <c r="U47" s="18"/>
      <c r="V47" s="18"/>
      <c r="W47" s="18"/>
      <c r="X47" s="18"/>
      <c r="Y47" s="18"/>
      <c r="Z47" s="18"/>
      <c r="AA47" s="18"/>
      <c r="AB47" s="18"/>
      <c r="AC47" s="18"/>
      <c r="AD47" s="18"/>
      <c r="AE47" s="18"/>
      <c r="AF47" s="18"/>
      <c r="AG47" s="18"/>
    </row>
    <row r="48" spans="1:33" ht="12" customHeight="1" thickBot="1" x14ac:dyDescent="0.25">
      <c r="A48" s="1375"/>
      <c r="B48" s="1236"/>
      <c r="C48" s="1225"/>
      <c r="D48" s="1247"/>
      <c r="E48" s="1259"/>
      <c r="F48" s="12"/>
      <c r="G48" s="12"/>
      <c r="H48" s="1225"/>
      <c r="I48" s="12"/>
      <c r="J48" s="12"/>
      <c r="K48" s="12"/>
      <c r="L48" s="12"/>
      <c r="M48" s="12"/>
      <c r="N48" s="12"/>
      <c r="O48" s="12"/>
      <c r="P48" s="70"/>
      <c r="Q48" s="18"/>
      <c r="R48" s="18"/>
      <c r="S48" s="18"/>
      <c r="T48" s="18"/>
      <c r="U48" s="18"/>
      <c r="V48" s="18"/>
      <c r="W48" s="18"/>
      <c r="X48" s="18"/>
      <c r="Y48" s="18"/>
      <c r="Z48" s="18"/>
      <c r="AA48" s="18"/>
      <c r="AB48" s="18"/>
      <c r="AC48" s="18"/>
      <c r="AD48" s="18"/>
      <c r="AE48" s="18"/>
      <c r="AF48" s="18"/>
      <c r="AG48" s="18"/>
    </row>
    <row r="49" spans="1:33" ht="15.75" customHeight="1" x14ac:dyDescent="0.2">
      <c r="A49" s="1375"/>
      <c r="B49" s="1260"/>
      <c r="C49" s="12"/>
      <c r="D49" s="1261" t="s">
        <v>363</v>
      </c>
      <c r="E49" s="1262"/>
      <c r="F49" s="1263"/>
      <c r="G49" s="1263"/>
      <c r="H49" s="435"/>
      <c r="I49" s="12"/>
      <c r="J49" s="12"/>
      <c r="K49" s="12"/>
      <c r="L49" s="12"/>
      <c r="M49" s="12"/>
      <c r="N49" s="12"/>
      <c r="O49" s="12"/>
      <c r="P49" s="70"/>
      <c r="Q49" s="18"/>
      <c r="R49" s="18"/>
      <c r="S49" s="18"/>
      <c r="T49" s="18"/>
      <c r="U49" s="18"/>
      <c r="V49" s="18"/>
      <c r="W49" s="18"/>
      <c r="X49" s="18"/>
      <c r="Y49" s="18"/>
      <c r="Z49" s="18"/>
      <c r="AA49" s="18"/>
      <c r="AB49" s="18"/>
      <c r="AC49" s="18"/>
      <c r="AD49" s="18"/>
      <c r="AE49" s="18"/>
      <c r="AF49" s="18"/>
      <c r="AG49" s="18"/>
    </row>
    <row r="50" spans="1:33" ht="12" customHeight="1" x14ac:dyDescent="0.2">
      <c r="A50" s="1375"/>
      <c r="B50" s="1260"/>
      <c r="C50" s="12"/>
      <c r="D50" s="1264"/>
      <c r="E50" s="1251" t="s">
        <v>361</v>
      </c>
      <c r="F50" s="1225"/>
      <c r="G50" s="1265" t="s">
        <v>362</v>
      </c>
      <c r="H50" s="70"/>
      <c r="I50" s="12"/>
      <c r="J50" s="12"/>
      <c r="K50" s="12"/>
      <c r="L50" s="12"/>
      <c r="M50" s="12"/>
      <c r="N50" s="12"/>
      <c r="O50" s="12"/>
      <c r="P50" s="1266"/>
      <c r="Q50" s="18"/>
      <c r="R50" s="18"/>
      <c r="S50" s="18"/>
      <c r="T50" s="18"/>
      <c r="U50" s="18"/>
      <c r="V50" s="18"/>
      <c r="W50" s="18"/>
      <c r="X50" s="18"/>
      <c r="Y50" s="18"/>
      <c r="Z50" s="18"/>
      <c r="AA50" s="18"/>
      <c r="AB50" s="18"/>
      <c r="AC50" s="18"/>
      <c r="AD50" s="18"/>
      <c r="AE50" s="18"/>
      <c r="AF50" s="18"/>
      <c r="AG50" s="18"/>
    </row>
    <row r="51" spans="1:33" ht="12" customHeight="1" x14ac:dyDescent="0.2">
      <c r="A51" s="1375"/>
      <c r="B51" s="1260"/>
      <c r="C51" s="12"/>
      <c r="D51" s="1267" t="str">
        <f>IF(AnalysisPeriodYrs&gt;=1,"Year 1","")</f>
        <v>Year 1</v>
      </c>
      <c r="E51" s="446">
        <f>StartDate</f>
        <v>43466</v>
      </c>
      <c r="F51" s="1268" t="str">
        <f>IF(AnalysisPeriodYrs&gt;=1," Yr1Start","")</f>
        <v xml:space="preserve"> Yr1Start</v>
      </c>
      <c r="G51" s="446">
        <f>IF(DAY(Yr1Start+365)&lt;&gt;DAY(Yr1Start), Yr1Start+365, Yr1Start+364)</f>
        <v>43830</v>
      </c>
      <c r="H51" s="1269" t="str">
        <f>IF(AnalysisPeriodYrs&gt;=1," Yr1End","")</f>
        <v xml:space="preserve"> Yr1End</v>
      </c>
      <c r="I51" s="1270"/>
      <c r="J51" s="12"/>
      <c r="K51" s="12"/>
      <c r="L51" s="12"/>
      <c r="M51" s="12"/>
      <c r="N51" s="12"/>
      <c r="O51" s="12"/>
      <c r="P51" s="1271"/>
      <c r="Q51" s="18"/>
      <c r="R51" s="18"/>
      <c r="S51" s="18"/>
      <c r="T51" s="18"/>
      <c r="U51" s="18"/>
      <c r="V51" s="18"/>
      <c r="W51" s="18"/>
      <c r="X51" s="18"/>
      <c r="Y51" s="18"/>
      <c r="Z51" s="18"/>
      <c r="AA51" s="18"/>
      <c r="AB51" s="18"/>
      <c r="AC51" s="18"/>
      <c r="AD51" s="18"/>
      <c r="AE51" s="18"/>
      <c r="AF51" s="18"/>
      <c r="AG51" s="18"/>
    </row>
    <row r="52" spans="1:33" ht="12" customHeight="1" x14ac:dyDescent="0.2">
      <c r="A52" s="1375"/>
      <c r="B52" s="1260"/>
      <c r="C52" s="12"/>
      <c r="D52" s="1267" t="str">
        <f>IF(AnalysisPeriodYrs&gt;=2,"Year 2","")</f>
        <v>Year 2</v>
      </c>
      <c r="E52" s="446">
        <f>IF(AnalysisPeriodYrs&gt;=2,IF(DAY(E51+365)&lt;&gt;DAY(E51), E51+366, E51+365),"")</f>
        <v>43831</v>
      </c>
      <c r="F52" s="1268" t="str">
        <f>IF(AnalysisPeriodYrs&gt;=2," Yr2Start","")</f>
        <v xml:space="preserve"> Yr2Start</v>
      </c>
      <c r="G52" s="446">
        <f>IF(AnalysisPeriodYrs&gt;=2,IF(DAY(G51+365)&lt;&gt;DAY(G51), G51+366, G51+365),"")</f>
        <v>44196</v>
      </c>
      <c r="H52" s="1269" t="str">
        <f>IF(AnalysisPeriodYrs&gt;=2," Yr2End","")</f>
        <v xml:space="preserve"> Yr2End</v>
      </c>
      <c r="I52" s="12"/>
      <c r="J52" s="12"/>
      <c r="K52" s="12"/>
      <c r="L52" s="12"/>
      <c r="M52" s="12"/>
      <c r="N52" s="12"/>
      <c r="O52" s="12"/>
      <c r="P52" s="70"/>
      <c r="Q52" s="18"/>
      <c r="R52" s="18"/>
      <c r="S52" s="18"/>
      <c r="T52" s="18"/>
      <c r="U52" s="18"/>
      <c r="V52" s="18"/>
      <c r="W52" s="18"/>
      <c r="X52" s="18"/>
      <c r="Y52" s="18"/>
      <c r="Z52" s="18"/>
      <c r="AA52" s="18"/>
      <c r="AB52" s="18"/>
      <c r="AC52" s="18"/>
      <c r="AD52" s="18"/>
      <c r="AE52" s="18"/>
      <c r="AF52" s="18"/>
      <c r="AG52" s="18"/>
    </row>
    <row r="53" spans="1:33" ht="12" customHeight="1" x14ac:dyDescent="0.2">
      <c r="A53" s="1375"/>
      <c r="B53" s="1260"/>
      <c r="C53" s="12"/>
      <c r="D53" s="1267" t="str">
        <f>IF(AnalysisPeriodYrs&gt;=3,"Year 3","")</f>
        <v>Year 3</v>
      </c>
      <c r="E53" s="446">
        <f>IF(AnalysisPeriodYrs&gt;=3,IF(DAY(E52+365)&lt;&gt;DAY(E52), E52+366, E52+365),"")</f>
        <v>44197</v>
      </c>
      <c r="F53" s="1268" t="str">
        <f>IF(AnalysisPeriodYrs&gt;=3," Yr3Start","")</f>
        <v xml:space="preserve"> Yr3Start</v>
      </c>
      <c r="G53" s="446">
        <f>IF(AnalysisPeriodYrs&gt;=3,IF(DAY(G52+365)&lt;&gt;DAY(G52), G52+366, G52+365),"")</f>
        <v>44561</v>
      </c>
      <c r="H53" s="1269" t="str">
        <f>IF(AnalysisPeriodYrs&gt;=3," Yr3End","")</f>
        <v xml:space="preserve"> Yr3End</v>
      </c>
      <c r="I53" s="12"/>
      <c r="J53" s="12"/>
      <c r="K53" s="12"/>
      <c r="L53" s="12"/>
      <c r="M53" s="12"/>
      <c r="N53" s="12"/>
      <c r="O53" s="12"/>
      <c r="P53" s="70"/>
      <c r="Q53" s="18"/>
      <c r="R53" s="18"/>
      <c r="S53" s="18"/>
      <c r="T53" s="18"/>
      <c r="U53" s="18"/>
      <c r="V53" s="18"/>
      <c r="W53" s="18"/>
      <c r="X53" s="18"/>
      <c r="Y53" s="18"/>
      <c r="Z53" s="18"/>
      <c r="AA53" s="18"/>
      <c r="AB53" s="18"/>
      <c r="AC53" s="18"/>
      <c r="AD53" s="18"/>
      <c r="AE53" s="18"/>
      <c r="AF53" s="18"/>
      <c r="AG53" s="18"/>
    </row>
    <row r="54" spans="1:33" ht="12" customHeight="1" x14ac:dyDescent="0.2">
      <c r="A54" s="1375"/>
      <c r="B54" s="1260"/>
      <c r="C54" s="12"/>
      <c r="D54" s="1267" t="str">
        <f>IF(AnalysisPeriodYrs&gt;=4,"Year 4","")</f>
        <v>Year 4</v>
      </c>
      <c r="E54" s="446">
        <f>IF(AnalysisPeriodYrs&gt;=4,IF(DAY(E53+365)&lt;&gt;DAY(E53), E53+366, E53+365),"")</f>
        <v>44562</v>
      </c>
      <c r="F54" s="1268" t="str">
        <f>IF(AnalysisPeriodYrs&gt;=4," Yr4Start","")</f>
        <v xml:space="preserve"> Yr4Start</v>
      </c>
      <c r="G54" s="446">
        <f>IF(AnalysisPeriodYrs&gt;=4,IF(DAY(G53+365)&lt;&gt;DAY(G53), G53+366, G53+365),"")</f>
        <v>44926</v>
      </c>
      <c r="H54" s="1269" t="str">
        <f>IF(AnalysisPeriodYrs&gt;=4," Yr4End","")</f>
        <v xml:space="preserve"> Yr4End</v>
      </c>
      <c r="I54" s="12"/>
      <c r="J54" s="12"/>
      <c r="K54" s="12"/>
      <c r="L54" s="12"/>
      <c r="M54" s="12"/>
      <c r="N54" s="12"/>
      <c r="O54" s="12"/>
      <c r="P54" s="70"/>
      <c r="Q54" s="18"/>
      <c r="R54" s="18"/>
      <c r="S54" s="18"/>
      <c r="T54" s="18"/>
      <c r="U54" s="18"/>
      <c r="V54" s="18"/>
      <c r="W54" s="18"/>
      <c r="X54" s="18"/>
      <c r="Y54" s="18"/>
      <c r="Z54" s="18"/>
      <c r="AA54" s="18"/>
      <c r="AB54" s="18"/>
      <c r="AC54" s="18"/>
      <c r="AD54" s="18"/>
      <c r="AE54" s="18"/>
      <c r="AF54" s="18"/>
      <c r="AG54" s="18"/>
    </row>
    <row r="55" spans="1:33" ht="12" customHeight="1" x14ac:dyDescent="0.2">
      <c r="A55" s="1375"/>
      <c r="B55" s="1260"/>
      <c r="C55" s="12"/>
      <c r="D55" s="1267" t="str">
        <f>IF(AnalysisPeriodYrs&gt;=5,"Year 5","")</f>
        <v>Year 5</v>
      </c>
      <c r="E55" s="446">
        <f>IF(AnalysisPeriodYrs&gt;=5,IF(DAY(E54+365)&lt;&gt;DAY(E54), E54+366, E54+365),"")</f>
        <v>44927</v>
      </c>
      <c r="F55" s="1268" t="str">
        <f>IF(AnalysisPeriodYrs&gt;=5," Yr5Start","")</f>
        <v xml:space="preserve"> Yr5Start</v>
      </c>
      <c r="G55" s="446">
        <f>IF(AnalysisPeriodYrs&gt;=5,IF(DAY(G54+365)&lt;&gt;DAY(G54), G54+366, G54+365),"")</f>
        <v>45291</v>
      </c>
      <c r="H55" s="1269" t="str">
        <f>IF(AnalysisPeriodYrs&gt;=5," Yr5End","")</f>
        <v xml:space="preserve"> Yr5End</v>
      </c>
      <c r="I55" s="12"/>
      <c r="J55" s="12"/>
      <c r="K55" s="12"/>
      <c r="L55" s="12"/>
      <c r="M55" s="12"/>
      <c r="N55" s="12"/>
      <c r="O55" s="12"/>
      <c r="P55" s="70"/>
      <c r="Q55" s="18"/>
      <c r="R55" s="18"/>
      <c r="S55" s="18"/>
      <c r="T55" s="18"/>
      <c r="U55" s="18"/>
      <c r="V55" s="18"/>
      <c r="W55" s="18"/>
      <c r="X55" s="18"/>
      <c r="Y55" s="18"/>
      <c r="Z55" s="18"/>
      <c r="AA55" s="18"/>
      <c r="AB55" s="18"/>
      <c r="AC55" s="18"/>
      <c r="AD55" s="18"/>
      <c r="AE55" s="18"/>
      <c r="AF55" s="18"/>
      <c r="AG55" s="18"/>
    </row>
    <row r="56" spans="1:33" ht="12" customHeight="1" x14ac:dyDescent="0.2">
      <c r="A56" s="1375"/>
      <c r="B56" s="1260"/>
      <c r="C56" s="12"/>
      <c r="D56" s="1267" t="str">
        <f>IF(AnalysisPeriodYrs&gt;=6,"Year 6","")</f>
        <v>Year 6</v>
      </c>
      <c r="E56" s="446">
        <f>IF(AnalysisPeriodYrs&gt;=6,IF(DAY(E55+365)&lt;&gt;DAY(E55), E55+366, E55+365),"")</f>
        <v>45292</v>
      </c>
      <c r="F56" s="1268" t="str">
        <f>IF(AnalysisPeriodYrs&gt;=6," Yr6Start","")</f>
        <v xml:space="preserve"> Yr6Start</v>
      </c>
      <c r="G56" s="446">
        <f>IF(AnalysisPeriodYrs&gt;=6,IF(DAY(G55+365)&lt;&gt;DAY(G55), G55+366, G55+365),"")</f>
        <v>45657</v>
      </c>
      <c r="H56" s="1269" t="str">
        <f>IF(AnalysisPeriodYrs&gt;=6," Yr6End","")</f>
        <v xml:space="preserve"> Yr6End</v>
      </c>
      <c r="I56" s="12"/>
      <c r="J56" s="12"/>
      <c r="K56" s="12"/>
      <c r="L56" s="12"/>
      <c r="M56" s="12"/>
      <c r="N56" s="12"/>
      <c r="O56" s="12"/>
      <c r="P56" s="70"/>
      <c r="Q56" s="18"/>
      <c r="R56" s="18"/>
      <c r="S56" s="18"/>
      <c r="T56" s="18"/>
      <c r="U56" s="18"/>
      <c r="V56" s="18"/>
      <c r="W56" s="18"/>
      <c r="X56" s="18"/>
      <c r="Y56" s="18"/>
      <c r="Z56" s="18"/>
      <c r="AA56" s="18"/>
      <c r="AB56" s="18"/>
      <c r="AC56" s="18"/>
      <c r="AD56" s="18"/>
      <c r="AE56" s="18"/>
      <c r="AF56" s="18"/>
      <c r="AG56" s="18"/>
    </row>
    <row r="57" spans="1:33" ht="12" customHeight="1" x14ac:dyDescent="0.2">
      <c r="A57" s="1375"/>
      <c r="B57" s="1260"/>
      <c r="C57" s="12"/>
      <c r="D57" s="1267" t="str">
        <f>IF(AnalysisPeriodYrs&gt;=7,"Year 7","")</f>
        <v>Year 7</v>
      </c>
      <c r="E57" s="446">
        <f>IF(AnalysisPeriodYrs&gt;=7,IF(DAY(E56+365)&lt;&gt;DAY(E56), E56+366, E56+365),"")</f>
        <v>45658</v>
      </c>
      <c r="F57" s="1268" t="str">
        <f>IF(AnalysisPeriodYrs&gt;=7," Yr7Start","")</f>
        <v xml:space="preserve"> Yr7Start</v>
      </c>
      <c r="G57" s="446">
        <f>IF(AnalysisPeriodYrs&gt;=7,IF(DAY(G56+365)&lt;&gt;DAY(G56), G56+366, G56+365),"")</f>
        <v>46022</v>
      </c>
      <c r="H57" s="1269" t="str">
        <f>IF(AnalysisPeriodYrs&gt;=7," Yr7End","")</f>
        <v xml:space="preserve"> Yr7End</v>
      </c>
      <c r="I57" s="12"/>
      <c r="J57" s="12"/>
      <c r="K57" s="12"/>
      <c r="L57" s="12"/>
      <c r="M57" s="12"/>
      <c r="N57" s="12"/>
      <c r="O57" s="12"/>
      <c r="P57" s="70"/>
      <c r="Q57" s="18"/>
      <c r="R57" s="18"/>
      <c r="S57" s="18"/>
      <c r="T57" s="18"/>
      <c r="U57" s="18"/>
      <c r="V57" s="18"/>
      <c r="W57" s="18"/>
      <c r="X57" s="18"/>
      <c r="Y57" s="18"/>
      <c r="Z57" s="18"/>
      <c r="AA57" s="18"/>
      <c r="AB57" s="18"/>
      <c r="AC57" s="18"/>
      <c r="AD57" s="18"/>
      <c r="AE57" s="18"/>
      <c r="AF57" s="18"/>
      <c r="AG57" s="18"/>
    </row>
    <row r="58" spans="1:33" ht="12" customHeight="1" x14ac:dyDescent="0.2">
      <c r="A58" s="1375"/>
      <c r="B58" s="1260"/>
      <c r="C58" s="12"/>
      <c r="D58" s="1267" t="str">
        <f>IF(AnalysisPeriodYrs&gt;=8,"Year 8","")</f>
        <v>Year 8</v>
      </c>
      <c r="E58" s="446">
        <f>IF(AnalysisPeriodYrs&gt;=8,IF(DAY(E57+365)&lt;&gt;DAY(E57), E57+366, E57+365),"")</f>
        <v>46023</v>
      </c>
      <c r="F58" s="1268" t="str">
        <f>IF(AnalysisPeriodYrs&gt;=8," Yr8Start","")</f>
        <v xml:space="preserve"> Yr8Start</v>
      </c>
      <c r="G58" s="446">
        <f>IF(AnalysisPeriodYrs&gt;=8,IF(DAY(G57+365)&lt;&gt;DAY(G57), G57+366, G57+365),"")</f>
        <v>46387</v>
      </c>
      <c r="H58" s="1269" t="str">
        <f>IF(AnalysisPeriodYrs&gt;=8," Yr8End","")</f>
        <v xml:space="preserve"> Yr8End</v>
      </c>
      <c r="I58" s="12"/>
      <c r="J58" s="12"/>
      <c r="K58" s="12"/>
      <c r="L58" s="12"/>
      <c r="M58" s="12"/>
      <c r="N58" s="12"/>
      <c r="O58" s="12"/>
      <c r="P58" s="70"/>
      <c r="Q58" s="18"/>
      <c r="R58" s="18"/>
      <c r="S58" s="18"/>
      <c r="T58" s="18"/>
      <c r="U58" s="18"/>
      <c r="V58" s="18"/>
      <c r="W58" s="18"/>
      <c r="X58" s="18"/>
      <c r="Y58" s="18"/>
      <c r="Z58" s="18"/>
      <c r="AA58" s="18"/>
      <c r="AB58" s="18"/>
      <c r="AC58" s="18"/>
      <c r="AD58" s="18"/>
      <c r="AE58" s="18"/>
      <c r="AF58" s="18"/>
      <c r="AG58" s="18"/>
    </row>
    <row r="59" spans="1:33" ht="12" customHeight="1" x14ac:dyDescent="0.2">
      <c r="A59" s="1375"/>
      <c r="B59" s="1260"/>
      <c r="C59" s="12"/>
      <c r="D59" s="1267" t="str">
        <f>IF(AnalysisPeriodYrs&gt;=9,"Year 9","")</f>
        <v>Year 9</v>
      </c>
      <c r="E59" s="446">
        <f>IF(AnalysisPeriodYrs&gt;=9,IF(DAY(E58+365)&lt;&gt;DAY(E58), E58+366, E58+365),"")</f>
        <v>46388</v>
      </c>
      <c r="F59" s="1268" t="str">
        <f>IF(AnalysisPeriodYrs&gt;=9," Yr9Start","")</f>
        <v xml:space="preserve"> Yr9Start</v>
      </c>
      <c r="G59" s="446">
        <f>IF(AnalysisPeriodYrs&gt;=9,IF(DAY(G58+365)&lt;&gt;DAY(G58), G58+366, G58+365),"")</f>
        <v>46752</v>
      </c>
      <c r="H59" s="1269" t="str">
        <f>IF(AnalysisPeriodYrs&gt;=9," Yr9End","")</f>
        <v xml:space="preserve"> Yr9End</v>
      </c>
      <c r="I59" s="12"/>
      <c r="J59" s="12"/>
      <c r="K59" s="12"/>
      <c r="L59" s="12"/>
      <c r="M59" s="12"/>
      <c r="N59" s="12"/>
      <c r="O59" s="12"/>
      <c r="P59" s="70"/>
      <c r="Q59" s="18"/>
      <c r="R59" s="18"/>
      <c r="S59" s="18"/>
      <c r="T59" s="18"/>
      <c r="U59" s="18"/>
      <c r="V59" s="18"/>
      <c r="W59" s="18"/>
      <c r="X59" s="18"/>
      <c r="Y59" s="18"/>
      <c r="Z59" s="18"/>
      <c r="AA59" s="18"/>
      <c r="AB59" s="18"/>
      <c r="AC59" s="18"/>
      <c r="AD59" s="18"/>
      <c r="AE59" s="18"/>
      <c r="AF59" s="18"/>
      <c r="AG59" s="18"/>
    </row>
    <row r="60" spans="1:33" ht="12" customHeight="1" x14ac:dyDescent="0.2">
      <c r="A60" s="1375"/>
      <c r="B60" s="1260"/>
      <c r="C60" s="12"/>
      <c r="D60" s="1267" t="str">
        <f>IF(AnalysisPeriodYrs&gt;=10,"Year 10","")</f>
        <v>Year 10</v>
      </c>
      <c r="E60" s="446">
        <f>IF(AnalysisPeriodYrs&gt;=10,IF(DAY(E59+365)&lt;&gt;DAY(E59), E59+366, E59+365),"")</f>
        <v>46753</v>
      </c>
      <c r="F60" s="1268" t="str">
        <f>IF(AnalysisPeriodYrs&gt;=10," Yr10Start","")</f>
        <v xml:space="preserve"> Yr10Start</v>
      </c>
      <c r="G60" s="446">
        <f>IF(AnalysisPeriodYrs&gt;=10,IF(DAY(G59+365)&lt;&gt;DAY(G59), G59+366, G59+365),"")</f>
        <v>47118</v>
      </c>
      <c r="H60" s="1269" t="str">
        <f>IF(AnalysisPeriodYrs&gt;=10," Yr10End","")</f>
        <v xml:space="preserve"> Yr10End</v>
      </c>
      <c r="I60" s="12"/>
      <c r="J60" s="12"/>
      <c r="K60" s="12"/>
      <c r="L60" s="12"/>
      <c r="M60" s="12"/>
      <c r="N60" s="12"/>
      <c r="O60" s="12"/>
      <c r="P60" s="70"/>
      <c r="Q60" s="18"/>
      <c r="R60" s="18"/>
      <c r="S60" s="18"/>
      <c r="T60" s="18"/>
      <c r="U60" s="18"/>
      <c r="V60" s="18"/>
      <c r="W60" s="18"/>
      <c r="X60" s="18"/>
      <c r="Y60" s="18"/>
      <c r="Z60" s="18"/>
      <c r="AA60" s="18"/>
      <c r="AB60" s="18"/>
      <c r="AC60" s="18"/>
      <c r="AD60" s="18"/>
      <c r="AE60" s="18"/>
      <c r="AF60" s="18"/>
      <c r="AG60" s="18"/>
    </row>
    <row r="61" spans="1:33" ht="13.5" customHeight="1" thickBot="1" x14ac:dyDescent="0.25">
      <c r="A61" s="1375"/>
      <c r="B61" s="1260"/>
      <c r="C61" s="12"/>
      <c r="D61" s="1272"/>
      <c r="E61" s="1273"/>
      <c r="F61" s="1273"/>
      <c r="G61" s="1273"/>
      <c r="H61" s="1274"/>
      <c r="I61" s="12"/>
      <c r="J61" s="12"/>
      <c r="K61" s="12"/>
      <c r="L61" s="12"/>
      <c r="M61" s="12"/>
      <c r="N61" s="12"/>
      <c r="O61" s="12"/>
      <c r="P61" s="70"/>
      <c r="Q61" s="18"/>
      <c r="R61" s="18"/>
      <c r="S61" s="18"/>
      <c r="T61" s="18"/>
      <c r="U61" s="18"/>
      <c r="V61" s="18"/>
      <c r="W61" s="18"/>
      <c r="X61" s="18"/>
      <c r="Y61" s="18"/>
      <c r="Z61" s="18"/>
      <c r="AA61" s="18"/>
      <c r="AB61" s="18"/>
      <c r="AC61" s="18"/>
      <c r="AD61" s="18"/>
      <c r="AE61" s="18"/>
      <c r="AF61" s="18"/>
      <c r="AG61" s="18"/>
    </row>
    <row r="62" spans="1:33" ht="10.5" customHeight="1" thickBot="1" x14ac:dyDescent="0.25">
      <c r="A62" s="858"/>
      <c r="B62" s="859"/>
      <c r="C62" s="1275"/>
      <c r="D62" s="1273"/>
      <c r="E62" s="1276"/>
      <c r="F62" s="1276"/>
      <c r="G62" s="1277"/>
      <c r="H62" s="1278"/>
      <c r="I62" s="478"/>
      <c r="J62" s="478"/>
      <c r="K62" s="478"/>
      <c r="L62" s="478"/>
      <c r="M62" s="478"/>
      <c r="N62" s="478"/>
      <c r="O62" s="478"/>
      <c r="P62" s="449"/>
      <c r="Q62" s="18"/>
      <c r="R62" s="18"/>
      <c r="S62" s="18"/>
      <c r="T62" s="18"/>
      <c r="U62" s="18"/>
      <c r="V62" s="18"/>
      <c r="W62" s="18"/>
      <c r="X62" s="18"/>
      <c r="Y62" s="18"/>
      <c r="Z62" s="18"/>
      <c r="AA62" s="18"/>
      <c r="AB62" s="18"/>
      <c r="AC62" s="18"/>
      <c r="AD62" s="18"/>
      <c r="AE62" s="18"/>
      <c r="AF62" s="18"/>
      <c r="AG62" s="18"/>
    </row>
    <row r="63" spans="1:33" ht="12" customHeight="1" x14ac:dyDescent="0.2">
      <c r="A63" s="1279"/>
      <c r="B63" s="1240"/>
      <c r="C63" s="12"/>
      <c r="D63" s="20"/>
      <c r="E63" s="12"/>
      <c r="F63" s="12"/>
      <c r="G63" s="12"/>
      <c r="H63" s="12"/>
      <c r="I63" s="12"/>
      <c r="J63" s="12"/>
      <c r="K63" s="12"/>
      <c r="L63" s="12"/>
      <c r="M63" s="18"/>
      <c r="N63" s="18"/>
      <c r="O63" s="18"/>
      <c r="P63" s="18"/>
      <c r="Q63" s="18"/>
      <c r="R63" s="18"/>
      <c r="S63" s="18"/>
      <c r="T63" s="18"/>
      <c r="U63" s="18"/>
      <c r="V63" s="18"/>
      <c r="W63" s="18"/>
      <c r="X63" s="18"/>
      <c r="Y63" s="18"/>
      <c r="Z63" s="18"/>
      <c r="AA63" s="18"/>
      <c r="AB63" s="18"/>
      <c r="AC63" s="18"/>
      <c r="AD63" s="18"/>
      <c r="AE63" s="18"/>
      <c r="AF63" s="18"/>
      <c r="AG63" s="18"/>
    </row>
    <row r="64" spans="1:33" ht="12.75" customHeight="1" x14ac:dyDescent="0.2">
      <c r="A64" s="1279"/>
      <c r="B64" s="1280"/>
      <c r="C64" s="18"/>
      <c r="D64" s="18"/>
      <c r="E64" s="18"/>
      <c r="F64" s="18"/>
      <c r="G64" s="18"/>
      <c r="H64" s="18"/>
      <c r="I64" s="18"/>
      <c r="J64" s="18"/>
      <c r="K64" s="18"/>
      <c r="L64" s="12"/>
      <c r="M64" s="18"/>
      <c r="N64" s="18"/>
      <c r="O64" s="18"/>
      <c r="P64" s="18"/>
      <c r="Q64" s="18"/>
      <c r="R64" s="18"/>
      <c r="S64" s="18"/>
      <c r="T64" s="18"/>
      <c r="U64" s="18"/>
      <c r="V64" s="18"/>
      <c r="W64" s="18"/>
      <c r="X64" s="18"/>
      <c r="Y64" s="18"/>
      <c r="Z64" s="18"/>
      <c r="AA64" s="18"/>
      <c r="AB64" s="18"/>
      <c r="AC64" s="18"/>
      <c r="AD64" s="18"/>
      <c r="AE64" s="18"/>
      <c r="AF64" s="18"/>
      <c r="AG64" s="18"/>
    </row>
    <row r="65" spans="1:33" ht="12.75" customHeight="1" x14ac:dyDescent="0.2">
      <c r="A65" s="1279"/>
      <c r="B65" s="1280"/>
      <c r="C65" s="18"/>
      <c r="D65" s="18"/>
      <c r="E65" s="18"/>
      <c r="F65" s="18"/>
      <c r="G65" s="18"/>
      <c r="H65" s="18"/>
      <c r="I65" s="18"/>
      <c r="J65" s="18"/>
      <c r="K65" s="18"/>
      <c r="L65" s="12"/>
      <c r="M65" s="18"/>
      <c r="N65" s="18"/>
      <c r="O65" s="18"/>
      <c r="P65" s="18"/>
      <c r="Q65" s="18"/>
      <c r="R65" s="18"/>
      <c r="S65" s="18"/>
      <c r="T65" s="18"/>
      <c r="U65" s="18"/>
      <c r="V65" s="18"/>
      <c r="W65" s="18"/>
      <c r="X65" s="18"/>
      <c r="Y65" s="18"/>
      <c r="Z65" s="18"/>
      <c r="AA65" s="18"/>
      <c r="AB65" s="18"/>
      <c r="AC65" s="18"/>
      <c r="AD65" s="18"/>
      <c r="AE65" s="18"/>
      <c r="AF65" s="18"/>
      <c r="AG65" s="18"/>
    </row>
    <row r="66" spans="1:33" ht="12.75" customHeight="1" x14ac:dyDescent="0.2">
      <c r="A66" s="1279"/>
      <c r="B66" s="1280"/>
      <c r="C66" s="18"/>
      <c r="D66" s="18"/>
      <c r="E66" s="18"/>
      <c r="F66" s="18"/>
      <c r="G66" s="18"/>
      <c r="H66" s="18"/>
      <c r="I66" s="18"/>
      <c r="J66" s="18"/>
      <c r="K66" s="18"/>
      <c r="L66" s="12"/>
      <c r="M66" s="18"/>
      <c r="N66" s="18"/>
      <c r="O66" s="18"/>
      <c r="P66" s="18"/>
      <c r="Q66" s="18"/>
      <c r="R66" s="18"/>
      <c r="S66" s="18"/>
      <c r="T66" s="18"/>
      <c r="U66" s="18"/>
      <c r="V66" s="18"/>
      <c r="W66" s="18"/>
      <c r="X66" s="18"/>
      <c r="Y66" s="18"/>
      <c r="Z66" s="18"/>
      <c r="AA66" s="18"/>
      <c r="AB66" s="18"/>
      <c r="AC66" s="18"/>
      <c r="AD66" s="18"/>
      <c r="AE66" s="18"/>
      <c r="AF66" s="18"/>
      <c r="AG66" s="18"/>
    </row>
    <row r="67" spans="1:33" ht="12.75" customHeight="1" x14ac:dyDescent="0.2">
      <c r="A67" s="1279"/>
      <c r="B67" s="1280"/>
      <c r="C67" s="18"/>
      <c r="D67" s="18"/>
      <c r="E67" s="18"/>
      <c r="F67" s="18"/>
      <c r="G67" s="18"/>
      <c r="H67" s="18"/>
      <c r="I67" s="18"/>
      <c r="J67" s="18"/>
      <c r="K67" s="18"/>
      <c r="L67" s="12"/>
      <c r="M67" s="18"/>
      <c r="N67" s="18"/>
      <c r="O67" s="18"/>
      <c r="P67" s="18"/>
      <c r="Q67" s="18"/>
      <c r="R67" s="18"/>
      <c r="S67" s="18"/>
      <c r="T67" s="18"/>
      <c r="U67" s="18"/>
      <c r="V67" s="18"/>
      <c r="W67" s="18"/>
      <c r="X67" s="18"/>
      <c r="Y67" s="18"/>
      <c r="Z67" s="18"/>
      <c r="AA67" s="18"/>
      <c r="AB67" s="18"/>
      <c r="AC67" s="18"/>
      <c r="AD67" s="18"/>
      <c r="AE67" s="18"/>
      <c r="AF67" s="18"/>
      <c r="AG67" s="18"/>
    </row>
    <row r="68" spans="1:33" ht="12.75" customHeight="1" x14ac:dyDescent="0.2">
      <c r="A68" s="1279"/>
      <c r="B68" s="1280"/>
      <c r="C68" s="18"/>
      <c r="D68" s="18"/>
      <c r="E68" s="18"/>
      <c r="F68" s="18"/>
      <c r="G68" s="18"/>
      <c r="H68" s="18"/>
      <c r="I68" s="18"/>
      <c r="J68" s="18"/>
      <c r="K68" s="18"/>
      <c r="L68" s="12"/>
      <c r="M68" s="18"/>
      <c r="N68" s="18"/>
      <c r="O68" s="18"/>
      <c r="P68" s="18"/>
      <c r="Q68" s="18"/>
      <c r="R68" s="18"/>
      <c r="S68" s="18"/>
      <c r="T68" s="18"/>
      <c r="U68" s="18"/>
      <c r="V68" s="18"/>
      <c r="W68" s="18"/>
      <c r="X68" s="18"/>
      <c r="Y68" s="18"/>
      <c r="Z68" s="18"/>
      <c r="AA68" s="18"/>
      <c r="AB68" s="18"/>
      <c r="AC68" s="18"/>
      <c r="AD68" s="18"/>
      <c r="AE68" s="18"/>
      <c r="AF68" s="18"/>
      <c r="AG68" s="18"/>
    </row>
    <row r="69" spans="1:33" ht="12.75" customHeight="1" x14ac:dyDescent="0.2">
      <c r="A69" s="1279"/>
      <c r="B69" s="1280"/>
      <c r="C69" s="18"/>
      <c r="D69" s="18"/>
      <c r="E69" s="18"/>
      <c r="F69" s="18"/>
      <c r="G69" s="18"/>
      <c r="H69" s="18"/>
      <c r="I69" s="18"/>
      <c r="J69" s="18"/>
      <c r="K69" s="18"/>
      <c r="L69" s="12"/>
      <c r="M69" s="18"/>
      <c r="N69" s="18"/>
      <c r="O69" s="18"/>
      <c r="P69" s="18"/>
      <c r="Q69" s="18"/>
      <c r="R69" s="18"/>
      <c r="S69" s="18"/>
      <c r="T69" s="18"/>
      <c r="U69" s="18"/>
      <c r="V69" s="18"/>
      <c r="W69" s="18"/>
      <c r="X69" s="18"/>
      <c r="Y69" s="18"/>
      <c r="Z69" s="18"/>
      <c r="AA69" s="18"/>
      <c r="AB69" s="18"/>
      <c r="AC69" s="18"/>
      <c r="AD69" s="18"/>
      <c r="AE69" s="18"/>
      <c r="AF69" s="18"/>
      <c r="AG69" s="18"/>
    </row>
    <row r="70" spans="1:33" ht="12.75" customHeight="1" x14ac:dyDescent="0.2">
      <c r="A70" s="1279"/>
      <c r="B70" s="1280"/>
      <c r="C70" s="18"/>
      <c r="D70" s="18"/>
      <c r="E70" s="18"/>
      <c r="F70" s="18"/>
      <c r="G70" s="18"/>
      <c r="H70" s="18"/>
      <c r="I70" s="18"/>
      <c r="J70" s="18"/>
      <c r="K70" s="18"/>
      <c r="L70" s="12"/>
      <c r="M70" s="18"/>
      <c r="N70" s="18"/>
      <c r="O70" s="18"/>
      <c r="P70" s="18"/>
      <c r="Q70" s="18"/>
      <c r="R70" s="18"/>
      <c r="S70" s="18"/>
      <c r="T70" s="18"/>
      <c r="U70" s="18"/>
      <c r="V70" s="18"/>
      <c r="W70" s="18"/>
      <c r="X70" s="18"/>
      <c r="Y70" s="18"/>
      <c r="Z70" s="18"/>
      <c r="AA70" s="18"/>
      <c r="AB70" s="18"/>
      <c r="AC70" s="18"/>
      <c r="AD70" s="18"/>
      <c r="AE70" s="18"/>
      <c r="AF70" s="18"/>
      <c r="AG70" s="18"/>
    </row>
    <row r="71" spans="1:33" ht="12.75" customHeight="1" x14ac:dyDescent="0.2">
      <c r="A71" s="1279"/>
      <c r="B71" s="1280"/>
      <c r="C71" s="18"/>
      <c r="D71" s="18"/>
      <c r="E71" s="18"/>
      <c r="F71" s="18"/>
      <c r="G71" s="18"/>
      <c r="H71" s="18"/>
      <c r="I71" s="18"/>
      <c r="J71" s="18"/>
      <c r="K71" s="18"/>
      <c r="L71" s="12"/>
      <c r="M71" s="18"/>
      <c r="N71" s="18"/>
      <c r="O71" s="18"/>
      <c r="P71" s="18"/>
      <c r="Q71" s="18"/>
      <c r="R71" s="18"/>
      <c r="S71" s="18"/>
      <c r="T71" s="18"/>
      <c r="U71" s="18"/>
      <c r="V71" s="18"/>
      <c r="W71" s="18"/>
      <c r="X71" s="18"/>
      <c r="Y71" s="18"/>
      <c r="Z71" s="18"/>
      <c r="AA71" s="18"/>
      <c r="AB71" s="18"/>
      <c r="AC71" s="18"/>
      <c r="AD71" s="18"/>
      <c r="AE71" s="18"/>
      <c r="AF71" s="18"/>
      <c r="AG71" s="18"/>
    </row>
    <row r="72" spans="1:33" ht="12.75" customHeight="1" x14ac:dyDescent="0.2">
      <c r="A72" s="1279"/>
      <c r="B72" s="1280"/>
      <c r="C72" s="18"/>
      <c r="D72" s="18"/>
      <c r="E72" s="18"/>
      <c r="F72" s="18"/>
      <c r="G72" s="18"/>
      <c r="H72" s="18"/>
      <c r="I72" s="18"/>
      <c r="J72" s="18"/>
      <c r="K72" s="18"/>
      <c r="L72" s="12"/>
      <c r="M72" s="18"/>
      <c r="N72" s="18"/>
      <c r="O72" s="18"/>
      <c r="P72" s="18"/>
      <c r="Q72" s="18"/>
      <c r="R72" s="18"/>
      <c r="S72" s="18"/>
      <c r="T72" s="18"/>
      <c r="U72" s="18"/>
      <c r="V72" s="18"/>
      <c r="W72" s="18"/>
      <c r="X72" s="18"/>
      <c r="Y72" s="18"/>
      <c r="Z72" s="18"/>
      <c r="AA72" s="18"/>
      <c r="AB72" s="18"/>
      <c r="AC72" s="18"/>
      <c r="AD72" s="18"/>
      <c r="AE72" s="18"/>
      <c r="AF72" s="18"/>
      <c r="AG72" s="18"/>
    </row>
    <row r="73" spans="1:33" ht="12.75" customHeight="1" x14ac:dyDescent="0.2">
      <c r="A73" s="1279"/>
      <c r="B73" s="1280"/>
      <c r="C73" s="18"/>
      <c r="D73" s="18"/>
      <c r="E73" s="18"/>
      <c r="F73" s="18"/>
      <c r="G73" s="18"/>
      <c r="H73" s="18"/>
      <c r="I73" s="18"/>
      <c r="J73" s="18"/>
      <c r="K73" s="18"/>
      <c r="L73" s="12"/>
      <c r="M73" s="18"/>
      <c r="N73" s="18"/>
      <c r="O73" s="18"/>
      <c r="P73" s="18"/>
      <c r="Q73" s="18"/>
      <c r="R73" s="18"/>
      <c r="S73" s="18"/>
      <c r="T73" s="18"/>
      <c r="U73" s="18"/>
      <c r="V73" s="18"/>
      <c r="W73" s="18"/>
      <c r="X73" s="18"/>
      <c r="Y73" s="18"/>
      <c r="Z73" s="18"/>
      <c r="AA73" s="18"/>
      <c r="AB73" s="18"/>
      <c r="AC73" s="18"/>
      <c r="AD73" s="18"/>
      <c r="AE73" s="18"/>
      <c r="AF73" s="18"/>
      <c r="AG73" s="18"/>
    </row>
    <row r="74" spans="1:33" ht="12.75" customHeight="1" x14ac:dyDescent="0.2">
      <c r="A74" s="1279"/>
      <c r="B74" s="1280"/>
      <c r="C74" s="18"/>
      <c r="D74" s="18"/>
      <c r="E74" s="18"/>
      <c r="F74" s="18"/>
      <c r="G74" s="18"/>
      <c r="H74" s="18"/>
      <c r="I74" s="18"/>
      <c r="J74" s="18"/>
      <c r="K74" s="18"/>
      <c r="L74" s="12"/>
      <c r="M74" s="18"/>
      <c r="N74" s="18"/>
      <c r="O74" s="18"/>
      <c r="P74" s="18"/>
      <c r="Q74" s="18"/>
      <c r="R74" s="18"/>
      <c r="S74" s="18"/>
      <c r="T74" s="18"/>
      <c r="U74" s="18"/>
      <c r="V74" s="18"/>
      <c r="W74" s="18"/>
      <c r="X74" s="18"/>
      <c r="Y74" s="18"/>
      <c r="Z74" s="18"/>
      <c r="AA74" s="18"/>
      <c r="AB74" s="18"/>
      <c r="AC74" s="18"/>
      <c r="AD74" s="18"/>
      <c r="AE74" s="18"/>
      <c r="AF74" s="18"/>
      <c r="AG74" s="18"/>
    </row>
    <row r="75" spans="1:33" ht="12.75" customHeight="1" x14ac:dyDescent="0.2">
      <c r="A75" s="1279"/>
      <c r="B75" s="1280"/>
      <c r="C75" s="18"/>
      <c r="D75" s="18"/>
      <c r="E75" s="18"/>
      <c r="F75" s="18"/>
      <c r="G75" s="18"/>
      <c r="H75" s="18"/>
      <c r="I75" s="18"/>
      <c r="J75" s="18"/>
      <c r="K75" s="18"/>
      <c r="L75" s="12"/>
      <c r="M75" s="18"/>
      <c r="N75" s="18"/>
      <c r="O75" s="18"/>
      <c r="P75" s="18"/>
      <c r="Q75" s="18"/>
      <c r="R75" s="18"/>
      <c r="S75" s="18"/>
      <c r="T75" s="18"/>
      <c r="U75" s="18"/>
      <c r="V75" s="18"/>
      <c r="W75" s="18"/>
      <c r="X75" s="18"/>
      <c r="Y75" s="18"/>
      <c r="Z75" s="18"/>
      <c r="AA75" s="18"/>
      <c r="AB75" s="18"/>
      <c r="AC75" s="18"/>
      <c r="AD75" s="18"/>
      <c r="AE75" s="18"/>
      <c r="AF75" s="18"/>
      <c r="AG75" s="18"/>
    </row>
    <row r="76" spans="1:33" ht="12.75" customHeight="1" x14ac:dyDescent="0.2">
      <c r="A76" s="1279"/>
      <c r="B76" s="1280"/>
      <c r="C76" s="18"/>
      <c r="D76" s="18"/>
      <c r="E76" s="18"/>
      <c r="F76" s="18"/>
      <c r="G76" s="18"/>
      <c r="H76" s="18"/>
      <c r="I76" s="18"/>
      <c r="J76" s="18"/>
      <c r="K76" s="18"/>
      <c r="L76" s="12"/>
      <c r="M76" s="18"/>
      <c r="N76" s="18"/>
      <c r="O76" s="18"/>
      <c r="P76" s="18"/>
      <c r="Q76" s="18"/>
      <c r="R76" s="18"/>
      <c r="S76" s="18"/>
      <c r="T76" s="18"/>
      <c r="U76" s="18"/>
      <c r="V76" s="18"/>
      <c r="W76" s="18"/>
      <c r="X76" s="18"/>
      <c r="Y76" s="18"/>
      <c r="Z76" s="18"/>
      <c r="AA76" s="18"/>
      <c r="AB76" s="18"/>
      <c r="AC76" s="18"/>
      <c r="AD76" s="18"/>
      <c r="AE76" s="18"/>
      <c r="AF76" s="18"/>
      <c r="AG76" s="18"/>
    </row>
    <row r="77" spans="1:33" ht="12.75" customHeight="1" x14ac:dyDescent="0.2">
      <c r="A77" s="1279"/>
      <c r="B77" s="1280"/>
      <c r="C77" s="18"/>
      <c r="D77" s="18"/>
      <c r="E77" s="18"/>
      <c r="F77" s="18"/>
      <c r="G77" s="18"/>
      <c r="H77" s="18"/>
      <c r="I77" s="18"/>
      <c r="J77" s="18"/>
      <c r="K77" s="18"/>
      <c r="L77" s="12"/>
      <c r="M77" s="18"/>
      <c r="N77" s="18"/>
      <c r="O77" s="18"/>
      <c r="P77" s="18"/>
      <c r="Q77" s="18"/>
      <c r="R77" s="18"/>
      <c r="S77" s="18"/>
      <c r="T77" s="18"/>
      <c r="U77" s="18"/>
      <c r="V77" s="18"/>
      <c r="W77" s="18"/>
      <c r="X77" s="18"/>
      <c r="Y77" s="18"/>
      <c r="Z77" s="18"/>
      <c r="AA77" s="18"/>
      <c r="AB77" s="18"/>
      <c r="AC77" s="18"/>
      <c r="AD77" s="18"/>
      <c r="AE77" s="18"/>
      <c r="AF77" s="18"/>
      <c r="AG77" s="18"/>
    </row>
    <row r="78" spans="1:33" ht="12.75" customHeight="1" x14ac:dyDescent="0.2">
      <c r="A78" s="1279"/>
      <c r="B78" s="1280"/>
      <c r="C78" s="18"/>
      <c r="D78" s="18"/>
      <c r="E78" s="18"/>
      <c r="F78" s="18"/>
      <c r="G78" s="18"/>
      <c r="H78" s="18"/>
      <c r="I78" s="18"/>
      <c r="J78" s="18"/>
      <c r="K78" s="18"/>
      <c r="L78" s="12"/>
      <c r="M78" s="18"/>
      <c r="N78" s="18"/>
      <c r="O78" s="18"/>
      <c r="P78" s="18"/>
      <c r="Q78" s="18"/>
      <c r="R78" s="18"/>
      <c r="S78" s="18"/>
      <c r="T78" s="18"/>
      <c r="U78" s="18"/>
      <c r="V78" s="18"/>
      <c r="W78" s="18"/>
      <c r="X78" s="18"/>
      <c r="Y78" s="18"/>
      <c r="Z78" s="18"/>
      <c r="AA78" s="18"/>
      <c r="AB78" s="18"/>
      <c r="AC78" s="18"/>
      <c r="AD78" s="18"/>
      <c r="AE78" s="18"/>
      <c r="AF78" s="18"/>
      <c r="AG78" s="18"/>
    </row>
    <row r="79" spans="1:33" ht="12.75" customHeight="1" x14ac:dyDescent="0.2">
      <c r="A79" s="1279"/>
      <c r="B79" s="1280"/>
      <c r="C79" s="18"/>
      <c r="D79" s="18"/>
      <c r="E79" s="18"/>
      <c r="F79" s="18"/>
      <c r="G79" s="18"/>
      <c r="H79" s="18"/>
      <c r="I79" s="18"/>
      <c r="J79" s="18"/>
      <c r="K79" s="18"/>
      <c r="L79" s="12"/>
      <c r="M79" s="18"/>
      <c r="N79" s="18"/>
      <c r="O79" s="18"/>
      <c r="P79" s="18"/>
      <c r="Q79" s="18"/>
      <c r="R79" s="18"/>
      <c r="S79" s="18"/>
      <c r="T79" s="18"/>
      <c r="U79" s="18"/>
      <c r="V79" s="18"/>
      <c r="W79" s="18"/>
      <c r="X79" s="18"/>
      <c r="Y79" s="18"/>
      <c r="Z79" s="18"/>
      <c r="AA79" s="18"/>
      <c r="AB79" s="18"/>
      <c r="AC79" s="18"/>
      <c r="AD79" s="18"/>
      <c r="AE79" s="18"/>
      <c r="AF79" s="18"/>
      <c r="AG79" s="18"/>
    </row>
    <row r="80" spans="1:33" ht="12.75" customHeight="1" x14ac:dyDescent="0.2">
      <c r="A80" s="1279"/>
      <c r="B80" s="1280"/>
      <c r="C80" s="18"/>
      <c r="D80" s="18"/>
      <c r="E80" s="18"/>
      <c r="F80" s="18"/>
      <c r="G80" s="18"/>
      <c r="H80" s="18"/>
      <c r="I80" s="18"/>
      <c r="J80" s="18"/>
      <c r="K80" s="18"/>
      <c r="L80" s="12"/>
      <c r="M80" s="18"/>
      <c r="N80" s="18"/>
      <c r="O80" s="18"/>
      <c r="P80" s="18"/>
      <c r="Q80" s="18"/>
      <c r="R80" s="18"/>
      <c r="S80" s="18"/>
      <c r="T80" s="18"/>
      <c r="U80" s="18"/>
      <c r="V80" s="18"/>
      <c r="W80" s="18"/>
      <c r="X80" s="18"/>
      <c r="Y80" s="18"/>
      <c r="Z80" s="18"/>
      <c r="AA80" s="18"/>
      <c r="AB80" s="18"/>
      <c r="AC80" s="18"/>
      <c r="AD80" s="18"/>
      <c r="AE80" s="18"/>
      <c r="AF80" s="18"/>
      <c r="AG80" s="18"/>
    </row>
    <row r="81" spans="1:33" ht="12.75" customHeight="1" x14ac:dyDescent="0.2">
      <c r="A81" s="1279"/>
      <c r="B81" s="1280"/>
      <c r="C81" s="18"/>
      <c r="D81" s="18"/>
      <c r="E81" s="18"/>
      <c r="F81" s="18"/>
      <c r="G81" s="18"/>
      <c r="H81" s="18"/>
      <c r="I81" s="18"/>
      <c r="J81" s="18"/>
      <c r="K81" s="18"/>
      <c r="L81" s="12"/>
      <c r="M81" s="18"/>
      <c r="N81" s="18"/>
      <c r="O81" s="18"/>
      <c r="P81" s="18"/>
      <c r="Q81" s="18"/>
      <c r="R81" s="18"/>
      <c r="S81" s="18"/>
      <c r="T81" s="18"/>
      <c r="U81" s="18"/>
      <c r="V81" s="18"/>
      <c r="W81" s="18"/>
      <c r="X81" s="18"/>
      <c r="Y81" s="18"/>
      <c r="Z81" s="18"/>
      <c r="AA81" s="18"/>
      <c r="AB81" s="18"/>
      <c r="AC81" s="18"/>
      <c r="AD81" s="18"/>
      <c r="AE81" s="18"/>
      <c r="AF81" s="18"/>
      <c r="AG81" s="18"/>
    </row>
    <row r="82" spans="1:33" ht="12.75" customHeight="1" x14ac:dyDescent="0.2">
      <c r="A82" s="1279"/>
      <c r="B82" s="1280"/>
      <c r="C82" s="18"/>
      <c r="D82" s="18"/>
      <c r="E82" s="18"/>
      <c r="F82" s="18"/>
      <c r="G82" s="18"/>
      <c r="H82" s="18"/>
      <c r="I82" s="18"/>
      <c r="J82" s="18"/>
      <c r="K82" s="18"/>
      <c r="L82" s="12"/>
      <c r="M82" s="18"/>
      <c r="N82" s="18"/>
      <c r="O82" s="18"/>
      <c r="P82" s="18"/>
      <c r="Q82" s="18"/>
      <c r="R82" s="18"/>
      <c r="S82" s="18"/>
      <c r="T82" s="18"/>
      <c r="U82" s="18"/>
      <c r="V82" s="18"/>
      <c r="W82" s="18"/>
      <c r="X82" s="18"/>
      <c r="Y82" s="18"/>
      <c r="Z82" s="18"/>
      <c r="AA82" s="18"/>
      <c r="AB82" s="18"/>
      <c r="AC82" s="18"/>
      <c r="AD82" s="18"/>
      <c r="AE82" s="18"/>
      <c r="AF82" s="18"/>
      <c r="AG82" s="18"/>
    </row>
    <row r="83" spans="1:33" ht="12.75" customHeight="1" x14ac:dyDescent="0.2">
      <c r="A83" s="1279"/>
      <c r="B83" s="1280"/>
      <c r="C83" s="18"/>
      <c r="D83" s="18"/>
      <c r="E83" s="18"/>
      <c r="F83" s="18"/>
      <c r="G83" s="18"/>
      <c r="H83" s="18"/>
      <c r="I83" s="18"/>
      <c r="J83" s="18"/>
      <c r="K83" s="18"/>
      <c r="L83" s="12"/>
      <c r="M83" s="18"/>
      <c r="N83" s="18"/>
      <c r="O83" s="18"/>
      <c r="P83" s="18"/>
      <c r="Q83" s="18"/>
      <c r="R83" s="18"/>
      <c r="S83" s="18"/>
      <c r="T83" s="18"/>
      <c r="U83" s="18"/>
      <c r="V83" s="18"/>
      <c r="W83" s="18"/>
      <c r="X83" s="18"/>
      <c r="Y83" s="18"/>
      <c r="Z83" s="18"/>
      <c r="AA83" s="18"/>
      <c r="AB83" s="18"/>
      <c r="AC83" s="18"/>
      <c r="AD83" s="18"/>
      <c r="AE83" s="18"/>
      <c r="AF83" s="18"/>
      <c r="AG83" s="18"/>
    </row>
    <row r="84" spans="1:33" ht="12.75" customHeight="1" x14ac:dyDescent="0.2">
      <c r="A84" s="1279"/>
      <c r="B84" s="1280"/>
      <c r="C84" s="18"/>
      <c r="D84" s="18"/>
      <c r="E84" s="18"/>
      <c r="F84" s="18"/>
      <c r="G84" s="18"/>
      <c r="H84" s="18"/>
      <c r="I84" s="18"/>
      <c r="J84" s="18"/>
      <c r="K84" s="18"/>
      <c r="L84" s="12"/>
      <c r="M84" s="18"/>
      <c r="N84" s="18"/>
      <c r="O84" s="18"/>
      <c r="P84" s="18"/>
      <c r="Q84" s="18"/>
      <c r="R84" s="18"/>
      <c r="S84" s="18"/>
      <c r="T84" s="18"/>
      <c r="U84" s="18"/>
      <c r="V84" s="18"/>
      <c r="W84" s="18"/>
      <c r="X84" s="18"/>
      <c r="Y84" s="18"/>
      <c r="Z84" s="18"/>
      <c r="AA84" s="18"/>
      <c r="AB84" s="18"/>
      <c r="AC84" s="18"/>
      <c r="AD84" s="18"/>
      <c r="AE84" s="18"/>
      <c r="AF84" s="18"/>
      <c r="AG84" s="18"/>
    </row>
    <row r="85" spans="1:33" ht="12.75" customHeight="1" x14ac:dyDescent="0.2">
      <c r="A85" s="1279"/>
      <c r="B85" s="1280"/>
      <c r="C85" s="18"/>
      <c r="D85" s="18"/>
      <c r="E85" s="18"/>
      <c r="F85" s="18"/>
      <c r="G85" s="18"/>
      <c r="H85" s="18"/>
      <c r="I85" s="18"/>
      <c r="J85" s="18"/>
      <c r="K85" s="18"/>
      <c r="L85" s="12"/>
      <c r="M85" s="18"/>
      <c r="N85" s="18"/>
      <c r="O85" s="18"/>
      <c r="P85" s="18"/>
      <c r="Q85" s="18"/>
      <c r="R85" s="18"/>
      <c r="S85" s="18"/>
      <c r="T85" s="18"/>
      <c r="U85" s="18"/>
      <c r="V85" s="18"/>
      <c r="W85" s="18"/>
      <c r="X85" s="18"/>
      <c r="Y85" s="18"/>
      <c r="Z85" s="18"/>
      <c r="AA85" s="18"/>
      <c r="AB85" s="18"/>
      <c r="AC85" s="18"/>
      <c r="AD85" s="18"/>
      <c r="AE85" s="18"/>
      <c r="AF85" s="18"/>
      <c r="AG85" s="18"/>
    </row>
    <row r="86" spans="1:33" ht="12.75" customHeight="1" x14ac:dyDescent="0.2">
      <c r="A86" s="1279"/>
      <c r="B86" s="1280"/>
      <c r="C86" s="18"/>
      <c r="D86" s="18"/>
      <c r="E86" s="18"/>
      <c r="F86" s="18"/>
      <c r="G86" s="18"/>
      <c r="H86" s="18"/>
      <c r="I86" s="18"/>
      <c r="J86" s="18"/>
      <c r="K86" s="18"/>
      <c r="L86" s="12"/>
      <c r="M86" s="18"/>
      <c r="N86" s="18"/>
      <c r="O86" s="18"/>
      <c r="P86" s="18"/>
      <c r="Q86" s="18"/>
      <c r="R86" s="18"/>
      <c r="S86" s="18"/>
      <c r="T86" s="18"/>
      <c r="U86" s="18"/>
      <c r="V86" s="18"/>
      <c r="W86" s="18"/>
      <c r="X86" s="18"/>
      <c r="Y86" s="18"/>
      <c r="Z86" s="18"/>
      <c r="AA86" s="18"/>
      <c r="AB86" s="18"/>
      <c r="AC86" s="18"/>
      <c r="AD86" s="18"/>
      <c r="AE86" s="18"/>
      <c r="AF86" s="18"/>
      <c r="AG86" s="18"/>
    </row>
    <row r="87" spans="1:33" ht="12.75" customHeight="1" x14ac:dyDescent="0.2">
      <c r="A87" s="1279"/>
      <c r="B87" s="1280"/>
      <c r="C87" s="18"/>
      <c r="D87" s="18"/>
      <c r="E87" s="18"/>
      <c r="F87" s="18"/>
      <c r="G87" s="18"/>
      <c r="H87" s="18"/>
      <c r="I87" s="18"/>
      <c r="J87" s="18"/>
      <c r="K87" s="18"/>
      <c r="L87" s="12"/>
      <c r="M87" s="18"/>
      <c r="N87" s="18"/>
      <c r="O87" s="18"/>
      <c r="P87" s="18"/>
      <c r="Q87" s="18"/>
      <c r="R87" s="18"/>
      <c r="S87" s="18"/>
      <c r="T87" s="18"/>
      <c r="U87" s="18"/>
      <c r="V87" s="18"/>
      <c r="W87" s="18"/>
      <c r="X87" s="18"/>
      <c r="Y87" s="18"/>
      <c r="Z87" s="18"/>
      <c r="AA87" s="18"/>
      <c r="AB87" s="18"/>
      <c r="AC87" s="18"/>
      <c r="AD87" s="18"/>
      <c r="AE87" s="18"/>
      <c r="AF87" s="18"/>
      <c r="AG87" s="18"/>
    </row>
    <row r="88" spans="1:33" ht="12.75" customHeight="1" x14ac:dyDescent="0.2">
      <c r="A88" s="1279"/>
      <c r="B88" s="1280"/>
      <c r="C88" s="18"/>
      <c r="D88" s="18"/>
      <c r="E88" s="18"/>
      <c r="F88" s="18"/>
      <c r="G88" s="18"/>
      <c r="H88" s="18"/>
      <c r="I88" s="18"/>
      <c r="J88" s="18"/>
      <c r="K88" s="18"/>
      <c r="L88" s="12"/>
      <c r="M88" s="18"/>
      <c r="N88" s="18"/>
      <c r="O88" s="18"/>
      <c r="P88" s="18"/>
      <c r="Q88" s="18"/>
      <c r="R88" s="18"/>
      <c r="S88" s="18"/>
      <c r="T88" s="18"/>
      <c r="U88" s="18"/>
      <c r="V88" s="18"/>
      <c r="W88" s="18"/>
      <c r="X88" s="18"/>
      <c r="Y88" s="18"/>
      <c r="Z88" s="18"/>
      <c r="AA88" s="18"/>
      <c r="AB88" s="18"/>
      <c r="AC88" s="18"/>
      <c r="AD88" s="18"/>
      <c r="AE88" s="18"/>
      <c r="AF88" s="18"/>
      <c r="AG88" s="18"/>
    </row>
    <row r="89" spans="1:33" ht="12.75" customHeight="1" x14ac:dyDescent="0.2">
      <c r="A89" s="1279"/>
      <c r="B89" s="1280"/>
      <c r="C89" s="18"/>
      <c r="D89" s="18"/>
      <c r="E89" s="18"/>
      <c r="F89" s="18"/>
      <c r="G89" s="18"/>
      <c r="H89" s="18"/>
      <c r="I89" s="18"/>
      <c r="J89" s="18"/>
      <c r="K89" s="18"/>
      <c r="L89" s="12"/>
      <c r="M89" s="18"/>
      <c r="N89" s="18"/>
      <c r="O89" s="18"/>
      <c r="P89" s="18"/>
      <c r="Q89" s="18"/>
      <c r="R89" s="18"/>
      <c r="S89" s="18"/>
      <c r="T89" s="18"/>
      <c r="U89" s="18"/>
      <c r="V89" s="18"/>
      <c r="W89" s="18"/>
      <c r="X89" s="18"/>
      <c r="Y89" s="18"/>
      <c r="Z89" s="18"/>
      <c r="AA89" s="18"/>
      <c r="AB89" s="18"/>
      <c r="AC89" s="18"/>
      <c r="AD89" s="18"/>
      <c r="AE89" s="18"/>
      <c r="AF89" s="18"/>
      <c r="AG89" s="18"/>
    </row>
    <row r="90" spans="1:33" ht="12.75" customHeight="1" x14ac:dyDescent="0.2">
      <c r="A90" s="1279"/>
      <c r="B90" s="1280"/>
      <c r="C90" s="18"/>
      <c r="D90" s="18"/>
      <c r="E90" s="18"/>
      <c r="F90" s="18"/>
      <c r="G90" s="18"/>
      <c r="H90" s="18"/>
      <c r="I90" s="18"/>
      <c r="J90" s="18"/>
      <c r="K90" s="18"/>
      <c r="L90" s="12"/>
      <c r="M90" s="18"/>
      <c r="N90" s="18"/>
      <c r="O90" s="18"/>
      <c r="P90" s="18"/>
      <c r="Q90" s="18"/>
      <c r="R90" s="18"/>
      <c r="S90" s="18"/>
      <c r="T90" s="18"/>
      <c r="U90" s="18"/>
      <c r="V90" s="18"/>
      <c r="W90" s="18"/>
      <c r="X90" s="18"/>
      <c r="Y90" s="18"/>
      <c r="Z90" s="18"/>
      <c r="AA90" s="18"/>
      <c r="AB90" s="18"/>
      <c r="AC90" s="18"/>
      <c r="AD90" s="18"/>
      <c r="AE90" s="18"/>
      <c r="AF90" s="18"/>
      <c r="AG90" s="18"/>
    </row>
    <row r="91" spans="1:33" ht="12.75" customHeight="1" x14ac:dyDescent="0.2">
      <c r="A91" s="1279"/>
      <c r="B91" s="1280"/>
      <c r="C91" s="18"/>
      <c r="D91" s="18"/>
      <c r="E91" s="18"/>
      <c r="F91" s="18"/>
      <c r="G91" s="18"/>
      <c r="H91" s="18"/>
      <c r="I91" s="18"/>
      <c r="J91" s="18"/>
      <c r="K91" s="18"/>
      <c r="L91" s="12"/>
      <c r="M91" s="18"/>
      <c r="N91" s="18"/>
      <c r="O91" s="18"/>
      <c r="P91" s="18"/>
      <c r="Q91" s="18"/>
      <c r="R91" s="18"/>
      <c r="S91" s="18"/>
      <c r="T91" s="18"/>
      <c r="U91" s="18"/>
      <c r="V91" s="18"/>
      <c r="W91" s="18"/>
      <c r="X91" s="18"/>
      <c r="Y91" s="18"/>
      <c r="Z91" s="18"/>
      <c r="AA91" s="18"/>
      <c r="AB91" s="18"/>
      <c r="AC91" s="18"/>
      <c r="AD91" s="18"/>
      <c r="AE91" s="18"/>
      <c r="AF91" s="18"/>
      <c r="AG91" s="18"/>
    </row>
    <row r="92" spans="1:33" ht="12.75" customHeight="1" x14ac:dyDescent="0.2">
      <c r="A92" s="1279"/>
      <c r="B92" s="1280"/>
      <c r="C92" s="18"/>
      <c r="D92" s="18"/>
      <c r="E92" s="18"/>
      <c r="F92" s="18"/>
      <c r="G92" s="18"/>
      <c r="H92" s="18"/>
      <c r="I92" s="18"/>
      <c r="J92" s="18"/>
      <c r="K92" s="18"/>
      <c r="L92" s="12"/>
      <c r="M92" s="18"/>
      <c r="N92" s="18"/>
      <c r="O92" s="18"/>
      <c r="P92" s="18"/>
      <c r="Q92" s="18"/>
      <c r="R92" s="18"/>
      <c r="S92" s="18"/>
      <c r="T92" s="18"/>
      <c r="U92" s="18"/>
      <c r="V92" s="18"/>
      <c r="W92" s="18"/>
      <c r="X92" s="18"/>
      <c r="Y92" s="18"/>
      <c r="Z92" s="18"/>
      <c r="AA92" s="18"/>
      <c r="AB92" s="18"/>
      <c r="AC92" s="18"/>
      <c r="AD92" s="18"/>
      <c r="AE92" s="18"/>
      <c r="AF92" s="18"/>
      <c r="AG92" s="18"/>
    </row>
    <row r="93" spans="1:33" ht="12.75" customHeight="1" x14ac:dyDescent="0.2">
      <c r="A93" s="1279"/>
      <c r="B93" s="1280"/>
      <c r="C93" s="18"/>
      <c r="D93" s="18"/>
      <c r="E93" s="18"/>
      <c r="F93" s="18"/>
      <c r="G93" s="18"/>
      <c r="H93" s="18"/>
      <c r="I93" s="18"/>
      <c r="J93" s="18"/>
      <c r="K93" s="18"/>
      <c r="L93" s="12"/>
      <c r="M93" s="18"/>
      <c r="N93" s="18"/>
      <c r="O93" s="18"/>
      <c r="P93" s="18"/>
      <c r="Q93" s="18"/>
      <c r="R93" s="18"/>
      <c r="S93" s="18"/>
      <c r="T93" s="18"/>
      <c r="U93" s="18"/>
      <c r="V93" s="18"/>
      <c r="W93" s="18"/>
      <c r="X93" s="18"/>
      <c r="Y93" s="18"/>
      <c r="Z93" s="18"/>
      <c r="AA93" s="18"/>
      <c r="AB93" s="18"/>
      <c r="AC93" s="18"/>
      <c r="AD93" s="18"/>
      <c r="AE93" s="18"/>
      <c r="AF93" s="18"/>
      <c r="AG93" s="18"/>
    </row>
    <row r="94" spans="1:33" ht="12.75" customHeight="1" x14ac:dyDescent="0.2">
      <c r="A94" s="1279"/>
      <c r="B94" s="1280"/>
      <c r="C94" s="18"/>
      <c r="D94" s="18"/>
      <c r="E94" s="18"/>
      <c r="F94" s="18"/>
      <c r="G94" s="18"/>
      <c r="H94" s="18"/>
      <c r="I94" s="18"/>
      <c r="J94" s="18"/>
      <c r="K94" s="18"/>
      <c r="L94" s="12"/>
      <c r="M94" s="18"/>
      <c r="N94" s="18"/>
      <c r="O94" s="18"/>
      <c r="P94" s="18"/>
      <c r="Q94" s="18"/>
      <c r="R94" s="18"/>
      <c r="S94" s="18"/>
      <c r="T94" s="18"/>
      <c r="U94" s="18"/>
      <c r="V94" s="18"/>
      <c r="W94" s="18"/>
      <c r="X94" s="18"/>
      <c r="Y94" s="18"/>
      <c r="Z94" s="18"/>
      <c r="AA94" s="18"/>
      <c r="AB94" s="18"/>
      <c r="AC94" s="18"/>
      <c r="AD94" s="18"/>
      <c r="AE94" s="18"/>
      <c r="AF94" s="18"/>
      <c r="AG94" s="18"/>
    </row>
    <row r="95" spans="1:33" ht="12.75" customHeight="1" x14ac:dyDescent="0.2">
      <c r="A95" s="1279"/>
      <c r="B95" s="1280"/>
      <c r="C95" s="18"/>
      <c r="D95" s="18"/>
      <c r="E95" s="18"/>
      <c r="F95" s="18"/>
      <c r="G95" s="18"/>
      <c r="H95" s="18"/>
      <c r="I95" s="18"/>
      <c r="J95" s="18"/>
      <c r="K95" s="18"/>
      <c r="L95" s="12"/>
      <c r="M95" s="18"/>
      <c r="N95" s="18"/>
      <c r="O95" s="18"/>
      <c r="P95" s="18"/>
      <c r="Q95" s="18"/>
      <c r="R95" s="18"/>
      <c r="S95" s="18"/>
      <c r="T95" s="18"/>
      <c r="U95" s="18"/>
      <c r="V95" s="18"/>
      <c r="W95" s="18"/>
      <c r="X95" s="18"/>
      <c r="Y95" s="18"/>
      <c r="Z95" s="18"/>
      <c r="AA95" s="18"/>
      <c r="AB95" s="18"/>
      <c r="AC95" s="18"/>
      <c r="AD95" s="18"/>
      <c r="AE95" s="18"/>
      <c r="AF95" s="18"/>
      <c r="AG95" s="18"/>
    </row>
    <row r="96" spans="1:33" ht="12.75" customHeight="1" x14ac:dyDescent="0.2">
      <c r="A96" s="1279"/>
      <c r="B96" s="1280"/>
      <c r="C96" s="18"/>
      <c r="D96" s="18"/>
      <c r="E96" s="18"/>
      <c r="F96" s="18"/>
      <c r="G96" s="18"/>
      <c r="H96" s="18"/>
      <c r="I96" s="18"/>
      <c r="J96" s="18"/>
      <c r="K96" s="18"/>
      <c r="L96" s="12"/>
      <c r="M96" s="18"/>
      <c r="N96" s="18"/>
      <c r="O96" s="18"/>
      <c r="P96" s="18"/>
      <c r="Q96" s="18"/>
      <c r="R96" s="18"/>
      <c r="S96" s="18"/>
      <c r="T96" s="18"/>
      <c r="U96" s="18"/>
      <c r="V96" s="18"/>
      <c r="W96" s="18"/>
      <c r="X96" s="18"/>
      <c r="Y96" s="18"/>
      <c r="Z96" s="18"/>
      <c r="AA96" s="18"/>
      <c r="AB96" s="18"/>
      <c r="AC96" s="18"/>
      <c r="AD96" s="18"/>
      <c r="AE96" s="18"/>
      <c r="AF96" s="18"/>
      <c r="AG96" s="18"/>
    </row>
    <row r="97" spans="1:33" ht="12.75" customHeight="1" x14ac:dyDescent="0.2">
      <c r="A97" s="1279"/>
      <c r="B97" s="1280"/>
      <c r="C97" s="18"/>
      <c r="D97" s="18"/>
      <c r="E97" s="18"/>
      <c r="F97" s="18"/>
      <c r="G97" s="18"/>
      <c r="H97" s="18"/>
      <c r="I97" s="18"/>
      <c r="J97" s="18"/>
      <c r="K97" s="18"/>
      <c r="L97" s="12"/>
      <c r="M97" s="18"/>
      <c r="N97" s="18"/>
      <c r="O97" s="18"/>
      <c r="P97" s="18"/>
      <c r="Q97" s="18"/>
      <c r="R97" s="18"/>
      <c r="S97" s="18"/>
      <c r="T97" s="18"/>
      <c r="U97" s="18"/>
      <c r="V97" s="18"/>
      <c r="W97" s="18"/>
      <c r="X97" s="18"/>
      <c r="Y97" s="18"/>
      <c r="Z97" s="18"/>
      <c r="AA97" s="18"/>
      <c r="AB97" s="18"/>
      <c r="AC97" s="18"/>
      <c r="AD97" s="18"/>
      <c r="AE97" s="18"/>
      <c r="AF97" s="18"/>
      <c r="AG97" s="18"/>
    </row>
    <row r="98" spans="1:33" ht="12.75" customHeight="1" x14ac:dyDescent="0.2">
      <c r="A98" s="1279"/>
      <c r="B98" s="1280"/>
      <c r="C98" s="18"/>
      <c r="D98" s="18"/>
      <c r="E98" s="18"/>
      <c r="F98" s="18"/>
      <c r="G98" s="18"/>
      <c r="H98" s="18"/>
      <c r="I98" s="18"/>
      <c r="J98" s="18"/>
      <c r="K98" s="18"/>
      <c r="L98" s="12"/>
      <c r="M98" s="18"/>
      <c r="N98" s="18"/>
      <c r="O98" s="18"/>
      <c r="P98" s="18"/>
      <c r="Q98" s="18"/>
      <c r="R98" s="18"/>
      <c r="S98" s="18"/>
      <c r="T98" s="18"/>
      <c r="U98" s="18"/>
      <c r="V98" s="18"/>
      <c r="W98" s="18"/>
      <c r="X98" s="18"/>
      <c r="Y98" s="18"/>
      <c r="Z98" s="18"/>
      <c r="AA98" s="18"/>
      <c r="AB98" s="18"/>
      <c r="AC98" s="18"/>
      <c r="AD98" s="18"/>
      <c r="AE98" s="18"/>
      <c r="AF98" s="18"/>
      <c r="AG98" s="18"/>
    </row>
    <row r="99" spans="1:33" ht="12.75" customHeight="1" x14ac:dyDescent="0.2">
      <c r="A99" s="1279"/>
      <c r="B99" s="1280"/>
      <c r="C99" s="18"/>
      <c r="D99" s="18"/>
      <c r="E99" s="18"/>
      <c r="F99" s="18"/>
      <c r="G99" s="18"/>
      <c r="H99" s="18"/>
      <c r="I99" s="18"/>
      <c r="J99" s="18"/>
      <c r="K99" s="18"/>
      <c r="L99" s="12"/>
      <c r="M99" s="18"/>
      <c r="N99" s="18"/>
      <c r="O99" s="18"/>
      <c r="P99" s="18"/>
      <c r="Q99" s="18"/>
      <c r="R99" s="18"/>
      <c r="S99" s="18"/>
      <c r="T99" s="18"/>
      <c r="U99" s="18"/>
      <c r="V99" s="18"/>
      <c r="W99" s="18"/>
      <c r="X99" s="18"/>
      <c r="Y99" s="18"/>
      <c r="Z99" s="18"/>
      <c r="AA99" s="18"/>
      <c r="AB99" s="18"/>
      <c r="AC99" s="18"/>
      <c r="AD99" s="18"/>
      <c r="AE99" s="18"/>
      <c r="AF99" s="18"/>
      <c r="AG99" s="18"/>
    </row>
    <row r="100" spans="1:33" ht="12.75" customHeight="1" x14ac:dyDescent="0.2">
      <c r="A100" s="1279"/>
      <c r="B100" s="1280"/>
      <c r="C100" s="18"/>
      <c r="D100" s="18"/>
      <c r="E100" s="18"/>
      <c r="F100" s="18"/>
      <c r="G100" s="18"/>
      <c r="H100" s="18"/>
      <c r="I100" s="18"/>
      <c r="J100" s="18"/>
      <c r="K100" s="18"/>
      <c r="L100" s="12"/>
      <c r="M100" s="18"/>
      <c r="N100" s="18"/>
      <c r="O100" s="18"/>
      <c r="P100" s="18"/>
      <c r="Q100" s="18"/>
      <c r="R100" s="18"/>
      <c r="S100" s="18"/>
      <c r="T100" s="18"/>
      <c r="U100" s="18"/>
      <c r="V100" s="18"/>
      <c r="W100" s="18"/>
      <c r="X100" s="18"/>
      <c r="Y100" s="18"/>
      <c r="Z100" s="18"/>
      <c r="AA100" s="18"/>
      <c r="AB100" s="18"/>
      <c r="AC100" s="18"/>
      <c r="AD100" s="18"/>
      <c r="AE100" s="18"/>
      <c r="AF100" s="18"/>
      <c r="AG100" s="18"/>
    </row>
    <row r="101" spans="1:33" ht="12.75" customHeight="1" x14ac:dyDescent="0.2">
      <c r="A101" s="1279"/>
      <c r="B101" s="1280"/>
      <c r="C101" s="18"/>
      <c r="D101" s="18"/>
      <c r="E101" s="18"/>
      <c r="F101" s="18"/>
      <c r="G101" s="18"/>
      <c r="H101" s="18"/>
      <c r="I101" s="18"/>
      <c r="J101" s="18"/>
      <c r="K101" s="18"/>
      <c r="L101" s="12"/>
      <c r="M101" s="18"/>
      <c r="N101" s="18"/>
      <c r="O101" s="18"/>
      <c r="P101" s="18"/>
      <c r="Q101" s="18"/>
      <c r="R101" s="18"/>
      <c r="S101" s="18"/>
      <c r="T101" s="18"/>
      <c r="U101" s="18"/>
      <c r="V101" s="18"/>
      <c r="W101" s="18"/>
      <c r="X101" s="18"/>
      <c r="Y101" s="18"/>
      <c r="Z101" s="18"/>
      <c r="AA101" s="18"/>
      <c r="AB101" s="18"/>
      <c r="AC101" s="18"/>
      <c r="AD101" s="18"/>
      <c r="AE101" s="18"/>
      <c r="AF101" s="18"/>
      <c r="AG101" s="18"/>
    </row>
    <row r="102" spans="1:33" ht="12.75" customHeight="1" x14ac:dyDescent="0.2">
      <c r="A102" s="1279"/>
      <c r="B102" s="1280"/>
      <c r="C102" s="18"/>
      <c r="D102" s="18"/>
      <c r="E102" s="18"/>
      <c r="F102" s="18"/>
      <c r="G102" s="18"/>
      <c r="H102" s="18"/>
      <c r="I102" s="18"/>
      <c r="J102" s="18"/>
      <c r="K102" s="18"/>
      <c r="L102" s="12"/>
      <c r="M102" s="18"/>
      <c r="N102" s="18"/>
      <c r="O102" s="18"/>
      <c r="P102" s="18"/>
      <c r="Q102" s="18"/>
      <c r="R102" s="18"/>
      <c r="S102" s="18"/>
      <c r="T102" s="18"/>
      <c r="U102" s="18"/>
      <c r="V102" s="18"/>
      <c r="W102" s="18"/>
      <c r="X102" s="18"/>
      <c r="Y102" s="18"/>
      <c r="Z102" s="18"/>
      <c r="AA102" s="18"/>
      <c r="AB102" s="18"/>
      <c r="AC102" s="18"/>
      <c r="AD102" s="18"/>
      <c r="AE102" s="18"/>
      <c r="AF102" s="18"/>
      <c r="AG102" s="18"/>
    </row>
    <row r="103" spans="1:33" ht="12.75" customHeight="1" x14ac:dyDescent="0.2">
      <c r="A103" s="1279"/>
      <c r="B103" s="1280"/>
      <c r="C103" s="18"/>
      <c r="D103" s="18"/>
      <c r="E103" s="18"/>
      <c r="F103" s="18"/>
      <c r="G103" s="18"/>
      <c r="H103" s="18"/>
      <c r="I103" s="18"/>
      <c r="J103" s="18"/>
      <c r="K103" s="18"/>
      <c r="L103" s="12"/>
      <c r="M103" s="18"/>
      <c r="N103" s="18"/>
      <c r="O103" s="18"/>
      <c r="P103" s="18"/>
      <c r="Q103" s="18"/>
      <c r="R103" s="18"/>
      <c r="S103" s="18"/>
      <c r="T103" s="18"/>
      <c r="U103" s="18"/>
      <c r="V103" s="18"/>
      <c r="W103" s="18"/>
      <c r="X103" s="18"/>
      <c r="Y103" s="18"/>
      <c r="Z103" s="18"/>
      <c r="AA103" s="18"/>
      <c r="AB103" s="18"/>
      <c r="AC103" s="18"/>
      <c r="AD103" s="18"/>
      <c r="AE103" s="18"/>
      <c r="AF103" s="18"/>
      <c r="AG103" s="18"/>
    </row>
    <row r="104" spans="1:33" ht="12.75" customHeight="1" x14ac:dyDescent="0.2">
      <c r="A104" s="1279"/>
      <c r="B104" s="1280"/>
      <c r="C104" s="18"/>
      <c r="D104" s="18"/>
      <c r="E104" s="18"/>
      <c r="F104" s="18"/>
      <c r="G104" s="18"/>
      <c r="H104" s="18"/>
      <c r="I104" s="18"/>
      <c r="J104" s="18"/>
      <c r="K104" s="18"/>
      <c r="L104" s="12"/>
      <c r="M104" s="18"/>
      <c r="N104" s="18"/>
      <c r="O104" s="18"/>
      <c r="P104" s="18"/>
      <c r="Q104" s="18"/>
      <c r="R104" s="18"/>
      <c r="S104" s="18"/>
      <c r="T104" s="18"/>
      <c r="U104" s="18"/>
      <c r="V104" s="18"/>
      <c r="W104" s="18"/>
      <c r="X104" s="18"/>
      <c r="Y104" s="18"/>
      <c r="Z104" s="18"/>
      <c r="AA104" s="18"/>
      <c r="AB104" s="18"/>
      <c r="AC104" s="18"/>
      <c r="AD104" s="18"/>
      <c r="AE104" s="18"/>
      <c r="AF104" s="18"/>
      <c r="AG104" s="18"/>
    </row>
    <row r="105" spans="1:33" ht="12.75" customHeight="1" x14ac:dyDescent="0.2">
      <c r="A105" s="1279"/>
      <c r="B105" s="1280"/>
      <c r="C105" s="18"/>
      <c r="D105" s="18"/>
      <c r="E105" s="18"/>
      <c r="F105" s="18"/>
      <c r="G105" s="18"/>
      <c r="H105" s="18"/>
      <c r="I105" s="18"/>
      <c r="J105" s="18"/>
      <c r="K105" s="18"/>
      <c r="L105" s="12"/>
      <c r="M105" s="18"/>
      <c r="N105" s="18"/>
      <c r="O105" s="18"/>
      <c r="P105" s="18"/>
      <c r="Q105" s="18"/>
      <c r="R105" s="18"/>
      <c r="S105" s="18"/>
      <c r="T105" s="18"/>
      <c r="U105" s="18"/>
      <c r="V105" s="18"/>
      <c r="W105" s="18"/>
      <c r="X105" s="18"/>
      <c r="Y105" s="18"/>
      <c r="Z105" s="18"/>
      <c r="AA105" s="18"/>
      <c r="AB105" s="18"/>
      <c r="AC105" s="18"/>
      <c r="AD105" s="18"/>
      <c r="AE105" s="18"/>
      <c r="AF105" s="18"/>
      <c r="AG105" s="18"/>
    </row>
    <row r="106" spans="1:33" ht="12.75" customHeight="1" x14ac:dyDescent="0.2">
      <c r="A106" s="1279"/>
      <c r="B106" s="1280"/>
      <c r="C106" s="18"/>
      <c r="D106" s="18"/>
      <c r="E106" s="18"/>
      <c r="F106" s="18"/>
      <c r="G106" s="18"/>
      <c r="H106" s="18"/>
      <c r="I106" s="18"/>
      <c r="J106" s="18"/>
      <c r="K106" s="18"/>
      <c r="L106" s="12"/>
      <c r="M106" s="18"/>
      <c r="N106" s="18"/>
      <c r="O106" s="18"/>
      <c r="P106" s="18"/>
      <c r="Q106" s="18"/>
      <c r="R106" s="18"/>
      <c r="S106" s="18"/>
      <c r="T106" s="18"/>
      <c r="U106" s="18"/>
      <c r="V106" s="18"/>
      <c r="W106" s="18"/>
      <c r="X106" s="18"/>
      <c r="Y106" s="18"/>
      <c r="Z106" s="18"/>
      <c r="AA106" s="18"/>
      <c r="AB106" s="18"/>
      <c r="AC106" s="18"/>
      <c r="AD106" s="18"/>
      <c r="AE106" s="18"/>
      <c r="AF106" s="18"/>
      <c r="AG106" s="18"/>
    </row>
    <row r="107" spans="1:33" ht="12.75" customHeight="1" x14ac:dyDescent="0.2">
      <c r="A107" s="1279"/>
      <c r="B107" s="1280"/>
      <c r="C107" s="18"/>
      <c r="D107" s="18"/>
      <c r="E107" s="18"/>
      <c r="F107" s="18"/>
      <c r="G107" s="18"/>
      <c r="H107" s="18"/>
      <c r="I107" s="18"/>
      <c r="J107" s="18"/>
      <c r="K107" s="18"/>
      <c r="L107" s="12"/>
      <c r="M107" s="18"/>
      <c r="N107" s="18"/>
      <c r="O107" s="18"/>
      <c r="P107" s="18"/>
      <c r="Q107" s="18"/>
      <c r="R107" s="18"/>
      <c r="S107" s="18"/>
      <c r="T107" s="18"/>
      <c r="U107" s="18"/>
      <c r="V107" s="18"/>
      <c r="W107" s="18"/>
      <c r="X107" s="18"/>
      <c r="Y107" s="18"/>
      <c r="Z107" s="18"/>
      <c r="AA107" s="18"/>
      <c r="AB107" s="18"/>
      <c r="AC107" s="18"/>
      <c r="AD107" s="18"/>
      <c r="AE107" s="18"/>
      <c r="AF107" s="18"/>
      <c r="AG107" s="18"/>
    </row>
    <row r="108" spans="1:33" ht="12.75" customHeight="1" x14ac:dyDescent="0.2">
      <c r="A108" s="1279"/>
      <c r="B108" s="1280"/>
      <c r="C108" s="18"/>
      <c r="D108" s="18"/>
      <c r="E108" s="18"/>
      <c r="F108" s="18"/>
      <c r="G108" s="18"/>
      <c r="H108" s="18"/>
      <c r="I108" s="18"/>
      <c r="J108" s="18"/>
      <c r="K108" s="18"/>
      <c r="L108" s="12"/>
      <c r="M108" s="18"/>
      <c r="N108" s="18"/>
      <c r="O108" s="18"/>
      <c r="P108" s="18"/>
      <c r="Q108" s="18"/>
      <c r="R108" s="18"/>
      <c r="S108" s="18"/>
      <c r="T108" s="18"/>
      <c r="U108" s="18"/>
      <c r="V108" s="18"/>
      <c r="W108" s="18"/>
      <c r="X108" s="18"/>
      <c r="Y108" s="18"/>
      <c r="Z108" s="18"/>
      <c r="AA108" s="18"/>
      <c r="AB108" s="18"/>
      <c r="AC108" s="18"/>
      <c r="AD108" s="18"/>
      <c r="AE108" s="18"/>
      <c r="AF108" s="18"/>
      <c r="AG108" s="18"/>
    </row>
    <row r="109" spans="1:33" ht="12.75" customHeight="1" x14ac:dyDescent="0.2">
      <c r="A109" s="1279"/>
      <c r="B109" s="1280"/>
      <c r="C109" s="18"/>
      <c r="D109" s="18"/>
      <c r="E109" s="18"/>
      <c r="F109" s="18"/>
      <c r="G109" s="18"/>
      <c r="H109" s="18"/>
      <c r="I109" s="18"/>
      <c r="J109" s="18"/>
      <c r="K109" s="18"/>
      <c r="L109" s="12"/>
      <c r="M109" s="18"/>
      <c r="N109" s="18"/>
      <c r="O109" s="18"/>
      <c r="P109" s="18"/>
      <c r="Q109" s="18"/>
      <c r="R109" s="18"/>
      <c r="S109" s="18"/>
      <c r="T109" s="18"/>
      <c r="U109" s="18"/>
      <c r="V109" s="18"/>
      <c r="W109" s="18"/>
      <c r="X109" s="18"/>
      <c r="Y109" s="18"/>
      <c r="Z109" s="18"/>
      <c r="AA109" s="18"/>
      <c r="AB109" s="18"/>
      <c r="AC109" s="18"/>
      <c r="AD109" s="18"/>
      <c r="AE109" s="18"/>
      <c r="AF109" s="18"/>
      <c r="AG109" s="18"/>
    </row>
    <row r="110" spans="1:33" ht="12.75" customHeight="1" x14ac:dyDescent="0.2">
      <c r="A110" s="1279"/>
      <c r="B110" s="1280"/>
      <c r="C110" s="18"/>
      <c r="D110" s="18"/>
      <c r="E110" s="18"/>
      <c r="F110" s="18"/>
      <c r="G110" s="18"/>
      <c r="H110" s="18"/>
      <c r="I110" s="18"/>
      <c r="J110" s="18"/>
      <c r="K110" s="18"/>
      <c r="L110" s="12"/>
      <c r="M110" s="18"/>
      <c r="N110" s="18"/>
      <c r="O110" s="18"/>
      <c r="P110" s="18"/>
      <c r="Q110" s="18"/>
      <c r="R110" s="18"/>
      <c r="S110" s="18"/>
      <c r="T110" s="18"/>
      <c r="U110" s="18"/>
      <c r="V110" s="18"/>
      <c r="W110" s="18"/>
      <c r="X110" s="18"/>
      <c r="Y110" s="18"/>
      <c r="Z110" s="18"/>
      <c r="AA110" s="18"/>
      <c r="AB110" s="18"/>
      <c r="AC110" s="18"/>
      <c r="AD110" s="18"/>
      <c r="AE110" s="18"/>
      <c r="AF110" s="18"/>
      <c r="AG110" s="18"/>
    </row>
    <row r="111" spans="1:33" ht="12.75" customHeight="1" x14ac:dyDescent="0.2">
      <c r="A111" s="1279"/>
      <c r="B111" s="1280"/>
      <c r="C111" s="18"/>
      <c r="D111" s="18"/>
      <c r="E111" s="18"/>
      <c r="F111" s="18"/>
      <c r="G111" s="18"/>
      <c r="H111" s="18"/>
      <c r="I111" s="18"/>
      <c r="J111" s="18"/>
      <c r="K111" s="18"/>
      <c r="L111" s="12"/>
      <c r="M111" s="18"/>
      <c r="N111" s="18"/>
      <c r="O111" s="18"/>
      <c r="P111" s="18"/>
      <c r="Q111" s="18"/>
      <c r="R111" s="18"/>
      <c r="S111" s="18"/>
      <c r="T111" s="18"/>
      <c r="U111" s="18"/>
      <c r="V111" s="18"/>
      <c r="W111" s="18"/>
      <c r="X111" s="18"/>
      <c r="Y111" s="18"/>
      <c r="Z111" s="18"/>
      <c r="AA111" s="18"/>
      <c r="AB111" s="18"/>
      <c r="AC111" s="18"/>
      <c r="AD111" s="18"/>
      <c r="AE111" s="18"/>
      <c r="AF111" s="18"/>
      <c r="AG111" s="18"/>
    </row>
    <row r="112" spans="1:33" ht="12.75" customHeight="1" x14ac:dyDescent="0.2">
      <c r="A112" s="1279"/>
      <c r="B112" s="1280"/>
      <c r="C112" s="18"/>
      <c r="D112" s="18"/>
      <c r="E112" s="18"/>
      <c r="F112" s="18"/>
      <c r="G112" s="18"/>
      <c r="H112" s="18"/>
      <c r="I112" s="18"/>
      <c r="J112" s="18"/>
      <c r="K112" s="18"/>
      <c r="L112" s="12"/>
      <c r="M112" s="18"/>
      <c r="N112" s="18"/>
      <c r="O112" s="18"/>
      <c r="P112" s="18"/>
      <c r="Q112" s="18"/>
      <c r="R112" s="18"/>
      <c r="S112" s="18"/>
      <c r="T112" s="18"/>
      <c r="U112" s="18"/>
      <c r="V112" s="18"/>
      <c r="W112" s="18"/>
      <c r="X112" s="18"/>
      <c r="Y112" s="18"/>
      <c r="Z112" s="18"/>
      <c r="AA112" s="18"/>
      <c r="AB112" s="18"/>
      <c r="AC112" s="18"/>
      <c r="AD112" s="18"/>
      <c r="AE112" s="18"/>
      <c r="AF112" s="18"/>
      <c r="AG112" s="18"/>
    </row>
    <row r="113" spans="1:33" ht="12.75" customHeight="1" x14ac:dyDescent="0.2">
      <c r="A113" s="1279"/>
      <c r="B113" s="1280"/>
      <c r="C113" s="18"/>
      <c r="D113" s="18"/>
      <c r="E113" s="18"/>
      <c r="F113" s="18"/>
      <c r="G113" s="18"/>
      <c r="H113" s="18"/>
      <c r="I113" s="18"/>
      <c r="J113" s="18"/>
      <c r="K113" s="18"/>
      <c r="L113" s="12"/>
      <c r="M113" s="18"/>
      <c r="N113" s="18"/>
      <c r="O113" s="18"/>
      <c r="P113" s="18"/>
      <c r="Q113" s="18"/>
      <c r="R113" s="18"/>
      <c r="S113" s="18"/>
      <c r="T113" s="18"/>
      <c r="U113" s="18"/>
      <c r="V113" s="18"/>
      <c r="W113" s="18"/>
      <c r="X113" s="18"/>
      <c r="Y113" s="18"/>
      <c r="Z113" s="18"/>
      <c r="AA113" s="18"/>
      <c r="AB113" s="18"/>
      <c r="AC113" s="18"/>
      <c r="AD113" s="18"/>
      <c r="AE113" s="18"/>
      <c r="AF113" s="18"/>
      <c r="AG113" s="18"/>
    </row>
    <row r="114" spans="1:33" ht="12.75" customHeight="1" x14ac:dyDescent="0.2">
      <c r="A114" s="1279"/>
      <c r="B114" s="1280"/>
      <c r="C114" s="18"/>
      <c r="D114" s="18"/>
      <c r="E114" s="18"/>
      <c r="F114" s="18"/>
      <c r="G114" s="18"/>
      <c r="H114" s="18"/>
      <c r="I114" s="18"/>
      <c r="J114" s="18"/>
      <c r="K114" s="18"/>
      <c r="L114" s="12"/>
      <c r="M114" s="18"/>
      <c r="N114" s="18"/>
      <c r="O114" s="18"/>
      <c r="P114" s="18"/>
      <c r="Q114" s="18"/>
      <c r="R114" s="18"/>
      <c r="S114" s="18"/>
      <c r="T114" s="18"/>
      <c r="U114" s="18"/>
      <c r="V114" s="18"/>
      <c r="W114" s="18"/>
      <c r="X114" s="18"/>
      <c r="Y114" s="18"/>
      <c r="Z114" s="18"/>
      <c r="AA114" s="18"/>
      <c r="AB114" s="18"/>
      <c r="AC114" s="18"/>
      <c r="AD114" s="18"/>
      <c r="AE114" s="18"/>
      <c r="AF114" s="18"/>
      <c r="AG114" s="18"/>
    </row>
    <row r="115" spans="1:33" ht="12.75" customHeight="1" x14ac:dyDescent="0.2">
      <c r="A115" s="1279"/>
      <c r="B115" s="1280"/>
      <c r="C115" s="18"/>
      <c r="D115" s="18"/>
      <c r="E115" s="18"/>
      <c r="F115" s="18"/>
      <c r="G115" s="18"/>
      <c r="H115" s="18"/>
      <c r="I115" s="18"/>
      <c r="J115" s="18"/>
      <c r="K115" s="18"/>
      <c r="L115" s="12"/>
      <c r="M115" s="18"/>
      <c r="N115" s="18"/>
      <c r="O115" s="18"/>
      <c r="P115" s="18"/>
      <c r="Q115" s="18"/>
      <c r="R115" s="18"/>
      <c r="S115" s="18"/>
      <c r="T115" s="18"/>
      <c r="U115" s="18"/>
      <c r="V115" s="18"/>
      <c r="W115" s="18"/>
      <c r="X115" s="18"/>
      <c r="Y115" s="18"/>
      <c r="Z115" s="18"/>
      <c r="AA115" s="18"/>
      <c r="AB115" s="18"/>
      <c r="AC115" s="18"/>
      <c r="AD115" s="18"/>
      <c r="AE115" s="18"/>
      <c r="AF115" s="18"/>
      <c r="AG115" s="18"/>
    </row>
    <row r="116" spans="1:33" ht="12.75" customHeight="1" x14ac:dyDescent="0.2">
      <c r="A116" s="1279"/>
      <c r="B116" s="1280"/>
      <c r="C116" s="18"/>
      <c r="D116" s="18"/>
      <c r="E116" s="18"/>
      <c r="F116" s="18"/>
      <c r="G116" s="18"/>
      <c r="H116" s="18"/>
      <c r="I116" s="18"/>
      <c r="J116" s="18"/>
      <c r="K116" s="18"/>
      <c r="L116" s="12"/>
      <c r="M116" s="18"/>
      <c r="N116" s="18"/>
      <c r="O116" s="18"/>
      <c r="P116" s="18"/>
      <c r="Q116" s="18"/>
      <c r="R116" s="18"/>
      <c r="S116" s="18"/>
      <c r="T116" s="18"/>
      <c r="U116" s="18"/>
      <c r="V116" s="18"/>
      <c r="W116" s="18"/>
      <c r="X116" s="18"/>
      <c r="Y116" s="18"/>
      <c r="Z116" s="18"/>
      <c r="AA116" s="18"/>
      <c r="AB116" s="18"/>
      <c r="AC116" s="18"/>
      <c r="AD116" s="18"/>
      <c r="AE116" s="18"/>
      <c r="AF116" s="18"/>
      <c r="AG116" s="18"/>
    </row>
    <row r="117" spans="1:33" ht="12.75" customHeight="1" x14ac:dyDescent="0.2">
      <c r="A117" s="1279"/>
      <c r="B117" s="1280"/>
      <c r="C117" s="18"/>
      <c r="D117" s="18"/>
      <c r="E117" s="18"/>
      <c r="F117" s="18"/>
      <c r="G117" s="18"/>
      <c r="H117" s="18"/>
      <c r="I117" s="18"/>
      <c r="J117" s="18"/>
      <c r="K117" s="18"/>
      <c r="L117" s="12"/>
      <c r="M117" s="18"/>
      <c r="N117" s="18"/>
      <c r="O117" s="18"/>
      <c r="P117" s="18"/>
      <c r="Q117" s="18"/>
      <c r="R117" s="18"/>
      <c r="S117" s="18"/>
      <c r="T117" s="18"/>
      <c r="U117" s="18"/>
      <c r="V117" s="18"/>
      <c r="W117" s="18"/>
      <c r="X117" s="18"/>
      <c r="Y117" s="18"/>
      <c r="Z117" s="18"/>
      <c r="AA117" s="18"/>
      <c r="AB117" s="18"/>
      <c r="AC117" s="18"/>
      <c r="AD117" s="18"/>
      <c r="AE117" s="18"/>
      <c r="AF117" s="18"/>
      <c r="AG117" s="18"/>
    </row>
    <row r="118" spans="1:33" ht="12.75" customHeight="1" x14ac:dyDescent="0.2">
      <c r="A118" s="1279"/>
      <c r="B118" s="1280"/>
      <c r="C118" s="18"/>
      <c r="D118" s="18"/>
      <c r="E118" s="18"/>
      <c r="F118" s="18"/>
      <c r="G118" s="18"/>
      <c r="H118" s="18"/>
      <c r="I118" s="18"/>
      <c r="J118" s="18"/>
      <c r="K118" s="18"/>
      <c r="L118" s="12"/>
      <c r="M118" s="18"/>
      <c r="N118" s="18"/>
      <c r="O118" s="18"/>
      <c r="P118" s="18"/>
      <c r="Q118" s="18"/>
      <c r="R118" s="18"/>
      <c r="S118" s="18"/>
      <c r="T118" s="18"/>
      <c r="U118" s="18"/>
      <c r="V118" s="18"/>
      <c r="W118" s="18"/>
      <c r="X118" s="18"/>
      <c r="Y118" s="18"/>
      <c r="Z118" s="18"/>
      <c r="AA118" s="18"/>
      <c r="AB118" s="18"/>
      <c r="AC118" s="18"/>
      <c r="AD118" s="18"/>
      <c r="AE118" s="18"/>
      <c r="AF118" s="18"/>
      <c r="AG118" s="18"/>
    </row>
    <row r="119" spans="1:33" ht="12.75" customHeight="1" x14ac:dyDescent="0.2">
      <c r="A119" s="1279"/>
      <c r="B119" s="1280"/>
      <c r="C119" s="18"/>
      <c r="D119" s="18"/>
      <c r="E119" s="18"/>
      <c r="F119" s="18"/>
      <c r="G119" s="18"/>
      <c r="H119" s="18"/>
      <c r="I119" s="18"/>
      <c r="J119" s="18"/>
      <c r="K119" s="18"/>
      <c r="L119" s="12"/>
      <c r="M119" s="18"/>
      <c r="N119" s="18"/>
      <c r="O119" s="18"/>
      <c r="P119" s="18"/>
      <c r="Q119" s="18"/>
      <c r="R119" s="18"/>
      <c r="S119" s="18"/>
      <c r="T119" s="18"/>
      <c r="U119" s="18"/>
      <c r="V119" s="18"/>
      <c r="W119" s="18"/>
      <c r="X119" s="18"/>
      <c r="Y119" s="18"/>
      <c r="Z119" s="18"/>
      <c r="AA119" s="18"/>
      <c r="AB119" s="18"/>
      <c r="AC119" s="18"/>
      <c r="AD119" s="18"/>
      <c r="AE119" s="18"/>
      <c r="AF119" s="18"/>
      <c r="AG119" s="18"/>
    </row>
    <row r="120" spans="1:33" ht="12.75" customHeight="1" x14ac:dyDescent="0.2">
      <c r="A120" s="1279"/>
      <c r="B120" s="1280"/>
      <c r="C120" s="18"/>
      <c r="D120" s="18"/>
      <c r="E120" s="18"/>
      <c r="F120" s="18"/>
      <c r="G120" s="18"/>
      <c r="H120" s="18"/>
      <c r="I120" s="18"/>
      <c r="J120" s="18"/>
      <c r="K120" s="18"/>
      <c r="L120" s="12"/>
      <c r="M120" s="18"/>
      <c r="N120" s="18"/>
      <c r="O120" s="18"/>
      <c r="P120" s="18"/>
      <c r="Q120" s="18"/>
      <c r="R120" s="18"/>
      <c r="S120" s="18"/>
      <c r="T120" s="18"/>
      <c r="U120" s="18"/>
      <c r="V120" s="18"/>
      <c r="W120" s="18"/>
      <c r="X120" s="18"/>
      <c r="Y120" s="18"/>
      <c r="Z120" s="18"/>
      <c r="AA120" s="18"/>
      <c r="AB120" s="18"/>
      <c r="AC120" s="18"/>
      <c r="AD120" s="18"/>
      <c r="AE120" s="18"/>
      <c r="AF120" s="18"/>
      <c r="AG120" s="18"/>
    </row>
    <row r="121" spans="1:33" ht="12.75" customHeight="1" x14ac:dyDescent="0.2">
      <c r="A121" s="1279"/>
      <c r="B121" s="1280"/>
      <c r="C121" s="18"/>
      <c r="D121" s="18"/>
      <c r="E121" s="18"/>
      <c r="F121" s="18"/>
      <c r="G121" s="18"/>
      <c r="H121" s="18"/>
      <c r="I121" s="18"/>
      <c r="J121" s="18"/>
      <c r="K121" s="18"/>
      <c r="L121" s="12"/>
      <c r="M121" s="18"/>
      <c r="N121" s="18"/>
      <c r="O121" s="18"/>
      <c r="P121" s="18"/>
      <c r="Q121" s="18"/>
      <c r="R121" s="18"/>
      <c r="S121" s="18"/>
      <c r="T121" s="18"/>
      <c r="U121" s="18"/>
      <c r="V121" s="18"/>
      <c r="W121" s="18"/>
      <c r="X121" s="18"/>
      <c r="Y121" s="18"/>
      <c r="Z121" s="18"/>
      <c r="AA121" s="18"/>
      <c r="AB121" s="18"/>
      <c r="AC121" s="18"/>
      <c r="AD121" s="18"/>
      <c r="AE121" s="18"/>
      <c r="AF121" s="18"/>
      <c r="AG121" s="18"/>
    </row>
    <row r="122" spans="1:33" ht="12.75" customHeight="1" x14ac:dyDescent="0.2">
      <c r="A122" s="1279"/>
      <c r="B122" s="1280"/>
      <c r="C122" s="18"/>
      <c r="D122" s="18"/>
      <c r="E122" s="18"/>
      <c r="F122" s="18"/>
      <c r="G122" s="18"/>
      <c r="H122" s="18"/>
      <c r="I122" s="18"/>
      <c r="J122" s="18"/>
      <c r="K122" s="18"/>
      <c r="L122" s="12"/>
      <c r="M122" s="18"/>
      <c r="N122" s="18"/>
      <c r="O122" s="18"/>
      <c r="P122" s="18"/>
      <c r="Q122" s="18"/>
      <c r="R122" s="18"/>
      <c r="S122" s="18"/>
      <c r="T122" s="18"/>
      <c r="U122" s="18"/>
      <c r="V122" s="18"/>
      <c r="W122" s="18"/>
      <c r="X122" s="18"/>
      <c r="Y122" s="18"/>
      <c r="Z122" s="18"/>
      <c r="AA122" s="18"/>
      <c r="AB122" s="18"/>
      <c r="AC122" s="18"/>
      <c r="AD122" s="18"/>
      <c r="AE122" s="18"/>
      <c r="AF122" s="18"/>
      <c r="AG122" s="18"/>
    </row>
    <row r="123" spans="1:33" ht="12.75" customHeight="1" x14ac:dyDescent="0.2">
      <c r="A123" s="1279"/>
      <c r="B123" s="1280"/>
      <c r="C123" s="18"/>
      <c r="D123" s="18"/>
      <c r="E123" s="18"/>
      <c r="F123" s="18"/>
      <c r="G123" s="18"/>
      <c r="H123" s="18"/>
      <c r="I123" s="18"/>
      <c r="J123" s="18"/>
      <c r="K123" s="18"/>
      <c r="L123" s="12"/>
      <c r="M123" s="18"/>
      <c r="N123" s="18"/>
      <c r="O123" s="18"/>
      <c r="P123" s="18"/>
      <c r="Q123" s="18"/>
      <c r="R123" s="18"/>
      <c r="S123" s="18"/>
      <c r="T123" s="18"/>
      <c r="U123" s="18"/>
      <c r="V123" s="18"/>
      <c r="W123" s="18"/>
      <c r="X123" s="18"/>
      <c r="Y123" s="18"/>
      <c r="Z123" s="18"/>
      <c r="AA123" s="18"/>
      <c r="AB123" s="18"/>
      <c r="AC123" s="18"/>
      <c r="AD123" s="18"/>
      <c r="AE123" s="18"/>
      <c r="AF123" s="18"/>
      <c r="AG123" s="18"/>
    </row>
    <row r="124" spans="1:33" ht="12.75" customHeight="1" x14ac:dyDescent="0.2">
      <c r="A124" s="1279"/>
      <c r="B124" s="1280"/>
      <c r="C124" s="18"/>
      <c r="D124" s="18"/>
      <c r="E124" s="18"/>
      <c r="F124" s="18"/>
      <c r="G124" s="18"/>
      <c r="H124" s="18"/>
      <c r="I124" s="18"/>
      <c r="J124" s="18"/>
      <c r="K124" s="18"/>
      <c r="L124" s="12"/>
      <c r="M124" s="18"/>
      <c r="N124" s="18"/>
      <c r="O124" s="18"/>
      <c r="P124" s="18"/>
      <c r="Q124" s="18"/>
      <c r="R124" s="18"/>
      <c r="S124" s="18"/>
      <c r="T124" s="18"/>
      <c r="U124" s="18"/>
      <c r="V124" s="18"/>
      <c r="W124" s="18"/>
      <c r="X124" s="18"/>
      <c r="Y124" s="18"/>
      <c r="Z124" s="18"/>
      <c r="AA124" s="18"/>
      <c r="AB124" s="18"/>
      <c r="AC124" s="18"/>
      <c r="AD124" s="18"/>
      <c r="AE124" s="18"/>
      <c r="AF124" s="18"/>
      <c r="AG124" s="18"/>
    </row>
    <row r="125" spans="1:33" ht="12.75" customHeight="1" x14ac:dyDescent="0.2">
      <c r="A125" s="1279"/>
      <c r="B125" s="1280"/>
      <c r="C125" s="18"/>
      <c r="D125" s="18"/>
      <c r="E125" s="18"/>
      <c r="F125" s="18"/>
      <c r="G125" s="18"/>
      <c r="H125" s="18"/>
      <c r="I125" s="18"/>
      <c r="J125" s="18"/>
      <c r="K125" s="18"/>
      <c r="L125" s="12"/>
      <c r="M125" s="18"/>
      <c r="N125" s="18"/>
      <c r="O125" s="18"/>
      <c r="P125" s="18"/>
      <c r="Q125" s="18"/>
      <c r="R125" s="18"/>
      <c r="S125" s="18"/>
      <c r="T125" s="18"/>
      <c r="U125" s="18"/>
      <c r="V125" s="18"/>
      <c r="W125" s="18"/>
      <c r="X125" s="18"/>
      <c r="Y125" s="18"/>
      <c r="Z125" s="18"/>
      <c r="AA125" s="18"/>
      <c r="AB125" s="18"/>
      <c r="AC125" s="18"/>
      <c r="AD125" s="18"/>
      <c r="AE125" s="18"/>
      <c r="AF125" s="18"/>
      <c r="AG125" s="18"/>
    </row>
    <row r="126" spans="1:33" x14ac:dyDescent="0.2">
      <c r="A126" s="1279"/>
      <c r="B126" s="1280"/>
      <c r="C126" s="18"/>
      <c r="D126" s="18"/>
      <c r="E126" s="18"/>
      <c r="F126" s="18"/>
      <c r="G126" s="18"/>
      <c r="H126" s="18"/>
      <c r="I126" s="18"/>
      <c r="J126" s="18"/>
      <c r="K126" s="18"/>
      <c r="L126" s="12"/>
      <c r="M126" s="18"/>
      <c r="N126" s="18"/>
      <c r="O126" s="18"/>
      <c r="P126" s="18"/>
      <c r="Q126" s="18"/>
      <c r="R126" s="18"/>
      <c r="S126" s="18"/>
      <c r="T126" s="18"/>
      <c r="U126" s="18"/>
      <c r="V126" s="18"/>
      <c r="W126" s="18"/>
      <c r="X126" s="18"/>
      <c r="Y126" s="18"/>
      <c r="Z126" s="18"/>
      <c r="AA126" s="18"/>
      <c r="AB126" s="18"/>
      <c r="AC126" s="18"/>
      <c r="AD126" s="18"/>
      <c r="AE126" s="18"/>
      <c r="AF126" s="18"/>
      <c r="AG126" s="18"/>
    </row>
    <row r="127" spans="1:33" x14ac:dyDescent="0.2">
      <c r="A127" s="1279"/>
      <c r="B127" s="1280"/>
      <c r="C127" s="18"/>
      <c r="D127" s="18"/>
      <c r="E127" s="18"/>
      <c r="F127" s="18"/>
      <c r="G127" s="18"/>
      <c r="H127" s="18"/>
      <c r="I127" s="18"/>
      <c r="J127" s="18"/>
      <c r="K127" s="18"/>
      <c r="L127" s="12"/>
      <c r="M127" s="18"/>
      <c r="N127" s="18"/>
      <c r="O127" s="18"/>
      <c r="P127" s="18"/>
      <c r="Q127" s="18"/>
      <c r="R127" s="18"/>
      <c r="S127" s="18"/>
      <c r="T127" s="18"/>
      <c r="U127" s="18"/>
      <c r="V127" s="18"/>
      <c r="W127" s="18"/>
      <c r="X127" s="18"/>
      <c r="Y127" s="18"/>
      <c r="Z127" s="18"/>
      <c r="AA127" s="18"/>
      <c r="AB127" s="18"/>
      <c r="AC127" s="18"/>
      <c r="AD127" s="18"/>
      <c r="AE127" s="18"/>
      <c r="AF127" s="18"/>
      <c r="AG127" s="18"/>
    </row>
    <row r="128" spans="1:33" x14ac:dyDescent="0.2">
      <c r="A128" s="1279"/>
      <c r="B128" s="1280"/>
      <c r="C128" s="18"/>
      <c r="D128" s="18"/>
      <c r="E128" s="18"/>
      <c r="F128" s="18"/>
      <c r="G128" s="18"/>
      <c r="H128" s="18"/>
      <c r="I128" s="18"/>
      <c r="J128" s="18"/>
      <c r="K128" s="18"/>
      <c r="L128" s="12"/>
      <c r="M128" s="18"/>
      <c r="N128" s="18"/>
      <c r="O128" s="18"/>
      <c r="P128" s="18"/>
      <c r="Q128" s="18"/>
      <c r="R128" s="18"/>
      <c r="S128" s="18"/>
      <c r="T128" s="18"/>
      <c r="U128" s="18"/>
      <c r="V128" s="18"/>
      <c r="W128" s="18"/>
      <c r="X128" s="18"/>
      <c r="Y128" s="18"/>
      <c r="Z128" s="18"/>
      <c r="AA128" s="18"/>
      <c r="AB128" s="18"/>
      <c r="AC128" s="18"/>
      <c r="AD128" s="18"/>
      <c r="AE128" s="18"/>
      <c r="AF128" s="18"/>
      <c r="AG128" s="18"/>
    </row>
    <row r="129" spans="1:33" x14ac:dyDescent="0.2">
      <c r="A129" s="1279"/>
      <c r="B129" s="1280"/>
      <c r="C129" s="18"/>
      <c r="D129" s="18"/>
      <c r="E129" s="18"/>
      <c r="F129" s="18"/>
      <c r="G129" s="18"/>
      <c r="H129" s="18"/>
      <c r="I129" s="18"/>
      <c r="J129" s="18"/>
      <c r="K129" s="18"/>
      <c r="L129" s="12"/>
      <c r="M129" s="18"/>
      <c r="N129" s="18"/>
      <c r="O129" s="18"/>
      <c r="P129" s="18"/>
      <c r="Q129" s="18"/>
      <c r="R129" s="18"/>
      <c r="S129" s="18"/>
      <c r="T129" s="18"/>
      <c r="U129" s="18"/>
      <c r="V129" s="18"/>
      <c r="W129" s="18"/>
      <c r="X129" s="18"/>
      <c r="Y129" s="18"/>
      <c r="Z129" s="18"/>
      <c r="AA129" s="18"/>
      <c r="AB129" s="18"/>
      <c r="AC129" s="18"/>
      <c r="AD129" s="18"/>
      <c r="AE129" s="18"/>
      <c r="AF129" s="18"/>
      <c r="AG129" s="18"/>
    </row>
    <row r="130" spans="1:33" x14ac:dyDescent="0.2">
      <c r="A130" s="1279"/>
      <c r="B130" s="1280"/>
      <c r="C130" s="18"/>
      <c r="D130" s="18"/>
      <c r="E130" s="18"/>
      <c r="F130" s="18"/>
      <c r="G130" s="18"/>
      <c r="H130" s="18"/>
      <c r="I130" s="18"/>
      <c r="J130" s="18"/>
      <c r="K130" s="18"/>
      <c r="L130" s="12"/>
      <c r="M130" s="18"/>
      <c r="N130" s="18"/>
      <c r="O130" s="18"/>
      <c r="P130" s="18"/>
      <c r="Q130" s="18"/>
      <c r="R130" s="18"/>
      <c r="S130" s="18"/>
      <c r="T130" s="18"/>
      <c r="U130" s="18"/>
      <c r="V130" s="18"/>
      <c r="W130" s="18"/>
      <c r="X130" s="18"/>
      <c r="Y130" s="18"/>
      <c r="Z130" s="18"/>
      <c r="AA130" s="18"/>
      <c r="AB130" s="18"/>
      <c r="AC130" s="18"/>
      <c r="AD130" s="18"/>
      <c r="AE130" s="18"/>
      <c r="AF130" s="18"/>
      <c r="AG130" s="18"/>
    </row>
    <row r="131" spans="1:33" x14ac:dyDescent="0.2">
      <c r="A131" s="1279"/>
      <c r="B131" s="1280"/>
      <c r="C131" s="18"/>
      <c r="D131" s="18"/>
      <c r="E131" s="18"/>
      <c r="F131" s="18"/>
      <c r="G131" s="18"/>
      <c r="H131" s="18"/>
      <c r="I131" s="18"/>
      <c r="J131" s="18"/>
      <c r="K131" s="18"/>
      <c r="L131" s="12"/>
      <c r="M131" s="18"/>
      <c r="N131" s="18"/>
      <c r="O131" s="18"/>
      <c r="P131" s="18"/>
      <c r="Q131" s="18"/>
      <c r="R131" s="18"/>
      <c r="S131" s="18"/>
      <c r="T131" s="18"/>
      <c r="U131" s="18"/>
      <c r="V131" s="18"/>
      <c r="W131" s="18"/>
      <c r="X131" s="18"/>
      <c r="Y131" s="18"/>
      <c r="Z131" s="18"/>
      <c r="AA131" s="18"/>
      <c r="AB131" s="18"/>
      <c r="AC131" s="18"/>
      <c r="AD131" s="18"/>
      <c r="AE131" s="18"/>
      <c r="AF131" s="18"/>
      <c r="AG131" s="18"/>
    </row>
    <row r="132" spans="1:33" x14ac:dyDescent="0.2">
      <c r="A132" s="1279"/>
      <c r="B132" s="1280"/>
      <c r="C132" s="18"/>
      <c r="D132" s="18"/>
      <c r="E132" s="18"/>
      <c r="F132" s="18"/>
      <c r="G132" s="18"/>
      <c r="H132" s="18"/>
      <c r="I132" s="18"/>
      <c r="J132" s="18"/>
      <c r="K132" s="18"/>
      <c r="L132" s="12"/>
      <c r="M132" s="18"/>
      <c r="N132" s="18"/>
      <c r="O132" s="18"/>
      <c r="P132" s="18"/>
      <c r="Q132" s="18"/>
      <c r="R132" s="18"/>
      <c r="S132" s="18"/>
      <c r="T132" s="18"/>
      <c r="U132" s="18"/>
      <c r="V132" s="18"/>
      <c r="W132" s="18"/>
      <c r="X132" s="18"/>
      <c r="Y132" s="18"/>
      <c r="Z132" s="18"/>
      <c r="AA132" s="18"/>
      <c r="AB132" s="18"/>
      <c r="AC132" s="18"/>
      <c r="AD132" s="18"/>
      <c r="AE132" s="18"/>
      <c r="AF132" s="18"/>
      <c r="AG132" s="18"/>
    </row>
    <row r="133" spans="1:33" x14ac:dyDescent="0.2">
      <c r="A133" s="1279"/>
      <c r="B133" s="1280"/>
      <c r="C133" s="18"/>
      <c r="D133" s="18"/>
      <c r="E133" s="18"/>
      <c r="F133" s="18"/>
      <c r="G133" s="18"/>
      <c r="H133" s="18"/>
      <c r="I133" s="18"/>
      <c r="J133" s="18"/>
      <c r="K133" s="18"/>
      <c r="L133" s="12"/>
      <c r="M133" s="18"/>
      <c r="N133" s="18"/>
      <c r="O133" s="18"/>
      <c r="P133" s="18"/>
      <c r="Q133" s="18"/>
      <c r="R133" s="18"/>
      <c r="S133" s="18"/>
      <c r="T133" s="18"/>
      <c r="U133" s="18"/>
      <c r="V133" s="18"/>
      <c r="W133" s="18"/>
      <c r="X133" s="18"/>
      <c r="Y133" s="18"/>
      <c r="Z133" s="18"/>
      <c r="AA133" s="18"/>
      <c r="AB133" s="18"/>
      <c r="AC133" s="18"/>
      <c r="AD133" s="18"/>
      <c r="AE133" s="18"/>
      <c r="AF133" s="18"/>
      <c r="AG133" s="18"/>
    </row>
    <row r="134" spans="1:33" x14ac:dyDescent="0.2">
      <c r="A134" s="1279"/>
      <c r="B134" s="1280"/>
      <c r="C134" s="18"/>
      <c r="D134" s="18"/>
      <c r="E134" s="18"/>
      <c r="F134" s="18"/>
      <c r="G134" s="18"/>
      <c r="H134" s="18"/>
      <c r="I134" s="18"/>
      <c r="J134" s="18"/>
      <c r="K134" s="18"/>
      <c r="L134" s="12"/>
      <c r="M134" s="18"/>
      <c r="N134" s="18"/>
      <c r="O134" s="18"/>
      <c r="P134" s="18"/>
      <c r="Q134" s="18"/>
      <c r="R134" s="18"/>
      <c r="S134" s="18"/>
      <c r="T134" s="18"/>
      <c r="U134" s="18"/>
      <c r="V134" s="18"/>
      <c r="W134" s="18"/>
      <c r="X134" s="18"/>
      <c r="Y134" s="18"/>
      <c r="Z134" s="18"/>
      <c r="AA134" s="18"/>
      <c r="AB134" s="18"/>
      <c r="AC134" s="18"/>
      <c r="AD134" s="18"/>
      <c r="AE134" s="18"/>
      <c r="AF134" s="18"/>
      <c r="AG134" s="18"/>
    </row>
    <row r="135" spans="1:33" x14ac:dyDescent="0.2">
      <c r="A135" s="1279"/>
      <c r="B135" s="1280"/>
      <c r="C135" s="18"/>
      <c r="D135" s="18"/>
      <c r="E135" s="18"/>
      <c r="F135" s="18"/>
      <c r="G135" s="18"/>
      <c r="H135" s="18"/>
      <c r="I135" s="18"/>
      <c r="J135" s="18"/>
      <c r="K135" s="18"/>
      <c r="L135" s="12"/>
      <c r="M135" s="18"/>
      <c r="N135" s="18"/>
      <c r="O135" s="18"/>
      <c r="P135" s="18"/>
      <c r="Q135" s="18"/>
      <c r="R135" s="18"/>
      <c r="S135" s="18"/>
      <c r="T135" s="18"/>
      <c r="U135" s="18"/>
      <c r="V135" s="18"/>
      <c r="W135" s="18"/>
      <c r="X135" s="18"/>
      <c r="Y135" s="18"/>
      <c r="Z135" s="18"/>
      <c r="AA135" s="18"/>
      <c r="AB135" s="18"/>
      <c r="AC135" s="18"/>
      <c r="AD135" s="18"/>
      <c r="AE135" s="18"/>
      <c r="AF135" s="18"/>
      <c r="AG135" s="18"/>
    </row>
    <row r="136" spans="1:33" x14ac:dyDescent="0.2">
      <c r="A136" s="1279"/>
      <c r="B136" s="1280"/>
      <c r="C136" s="18"/>
      <c r="D136" s="18"/>
      <c r="E136" s="18"/>
      <c r="F136" s="18"/>
      <c r="G136" s="18"/>
      <c r="H136" s="18"/>
      <c r="I136" s="18"/>
      <c r="J136" s="18"/>
      <c r="K136" s="18"/>
      <c r="L136" s="12"/>
      <c r="M136" s="18"/>
      <c r="N136" s="18"/>
      <c r="O136" s="18"/>
      <c r="P136" s="18"/>
      <c r="Q136" s="18"/>
      <c r="R136" s="18"/>
      <c r="S136" s="18"/>
      <c r="T136" s="18"/>
      <c r="U136" s="18"/>
      <c r="V136" s="18"/>
      <c r="W136" s="18"/>
      <c r="X136" s="18"/>
      <c r="Y136" s="18"/>
      <c r="Z136" s="18"/>
      <c r="AA136" s="18"/>
      <c r="AB136" s="18"/>
      <c r="AC136" s="18"/>
      <c r="AD136" s="18"/>
      <c r="AE136" s="18"/>
      <c r="AF136" s="18"/>
      <c r="AG136" s="18"/>
    </row>
    <row r="137" spans="1:33" x14ac:dyDescent="0.2">
      <c r="A137" s="1279"/>
      <c r="B137" s="1280"/>
      <c r="C137" s="18"/>
      <c r="D137" s="18"/>
      <c r="E137" s="18"/>
      <c r="F137" s="18"/>
      <c r="G137" s="18"/>
      <c r="H137" s="18"/>
      <c r="I137" s="18"/>
      <c r="J137" s="18"/>
      <c r="K137" s="18"/>
      <c r="L137" s="12"/>
      <c r="M137" s="18"/>
      <c r="N137" s="18"/>
      <c r="O137" s="18"/>
      <c r="P137" s="18"/>
      <c r="Q137" s="18"/>
      <c r="R137" s="18"/>
      <c r="S137" s="18"/>
      <c r="T137" s="18"/>
      <c r="U137" s="18"/>
      <c r="V137" s="18"/>
      <c r="W137" s="18"/>
      <c r="X137" s="18"/>
      <c r="Y137" s="18"/>
      <c r="Z137" s="18"/>
      <c r="AA137" s="18"/>
      <c r="AB137" s="18"/>
      <c r="AC137" s="18"/>
      <c r="AD137" s="18"/>
      <c r="AE137" s="18"/>
      <c r="AF137" s="18"/>
      <c r="AG137" s="18"/>
    </row>
    <row r="138" spans="1:33" x14ac:dyDescent="0.2">
      <c r="A138" s="1279"/>
      <c r="B138" s="1280"/>
      <c r="C138" s="18"/>
      <c r="D138" s="18"/>
      <c r="E138" s="18"/>
      <c r="F138" s="18"/>
      <c r="G138" s="18"/>
      <c r="H138" s="18"/>
      <c r="I138" s="18"/>
      <c r="J138" s="18"/>
      <c r="K138" s="18"/>
      <c r="L138" s="12"/>
      <c r="M138" s="18"/>
      <c r="N138" s="18"/>
      <c r="O138" s="18"/>
      <c r="P138" s="18"/>
      <c r="Q138" s="18"/>
      <c r="R138" s="18"/>
      <c r="S138" s="18"/>
      <c r="T138" s="18"/>
      <c r="U138" s="18"/>
      <c r="V138" s="18"/>
      <c r="W138" s="18"/>
      <c r="X138" s="18"/>
      <c r="Y138" s="18"/>
      <c r="Z138" s="18"/>
      <c r="AA138" s="18"/>
      <c r="AB138" s="18"/>
      <c r="AC138" s="18"/>
      <c r="AD138" s="18"/>
      <c r="AE138" s="18"/>
      <c r="AF138" s="18"/>
      <c r="AG138" s="18"/>
    </row>
    <row r="139" spans="1:33" x14ac:dyDescent="0.2">
      <c r="A139" s="1279"/>
      <c r="B139" s="1280"/>
      <c r="C139" s="18"/>
      <c r="D139" s="18"/>
      <c r="E139" s="18"/>
      <c r="F139" s="18"/>
      <c r="G139" s="18"/>
      <c r="H139" s="18"/>
      <c r="I139" s="18"/>
      <c r="J139" s="18"/>
      <c r="K139" s="18"/>
      <c r="L139" s="12"/>
      <c r="M139" s="18"/>
      <c r="N139" s="18"/>
      <c r="O139" s="18"/>
      <c r="P139" s="18"/>
      <c r="Q139" s="18"/>
      <c r="R139" s="18"/>
      <c r="S139" s="18"/>
      <c r="T139" s="18"/>
      <c r="U139" s="18"/>
      <c r="V139" s="18"/>
      <c r="W139" s="18"/>
      <c r="X139" s="18"/>
      <c r="Y139" s="18"/>
      <c r="Z139" s="18"/>
      <c r="AA139" s="18"/>
      <c r="AB139" s="18"/>
      <c r="AC139" s="18"/>
      <c r="AD139" s="18"/>
      <c r="AE139" s="18"/>
      <c r="AF139" s="18"/>
      <c r="AG139" s="18"/>
    </row>
    <row r="140" spans="1:33" x14ac:dyDescent="0.2">
      <c r="A140" s="1279"/>
      <c r="B140" s="1280"/>
      <c r="C140" s="18"/>
      <c r="D140" s="18"/>
      <c r="E140" s="18"/>
      <c r="F140" s="18"/>
      <c r="G140" s="18"/>
      <c r="H140" s="18"/>
      <c r="I140" s="18"/>
      <c r="J140" s="18"/>
      <c r="K140" s="18"/>
      <c r="L140" s="12"/>
      <c r="M140" s="18"/>
      <c r="N140" s="18"/>
      <c r="O140" s="18"/>
      <c r="P140" s="18"/>
      <c r="Q140" s="18"/>
      <c r="R140" s="18"/>
      <c r="S140" s="18"/>
      <c r="T140" s="18"/>
      <c r="U140" s="18"/>
      <c r="V140" s="18"/>
      <c r="W140" s="18"/>
      <c r="X140" s="18"/>
      <c r="Y140" s="18"/>
      <c r="Z140" s="18"/>
      <c r="AA140" s="18"/>
      <c r="AB140" s="18"/>
      <c r="AC140" s="18"/>
      <c r="AD140" s="18"/>
      <c r="AE140" s="18"/>
      <c r="AF140" s="18"/>
      <c r="AG140" s="18"/>
    </row>
    <row r="141" spans="1:33" x14ac:dyDescent="0.2">
      <c r="A141" s="1279"/>
      <c r="B141" s="1280"/>
      <c r="C141" s="18"/>
      <c r="D141" s="18"/>
      <c r="E141" s="18"/>
      <c r="F141" s="18"/>
      <c r="G141" s="18"/>
      <c r="H141" s="18"/>
      <c r="I141" s="18"/>
      <c r="J141" s="18"/>
      <c r="K141" s="18"/>
      <c r="L141" s="12"/>
      <c r="M141" s="18"/>
      <c r="N141" s="18"/>
      <c r="O141" s="18"/>
      <c r="P141" s="18"/>
      <c r="Q141" s="18"/>
      <c r="R141" s="18"/>
      <c r="S141" s="18"/>
      <c r="T141" s="18"/>
      <c r="U141" s="18"/>
      <c r="V141" s="18"/>
      <c r="W141" s="18"/>
      <c r="X141" s="18"/>
      <c r="Y141" s="18"/>
      <c r="Z141" s="18"/>
      <c r="AA141" s="18"/>
      <c r="AB141" s="18"/>
      <c r="AC141" s="18"/>
      <c r="AD141" s="18"/>
      <c r="AE141" s="18"/>
      <c r="AF141" s="18"/>
      <c r="AG141" s="18"/>
    </row>
    <row r="142" spans="1:33" x14ac:dyDescent="0.2">
      <c r="A142" s="1279"/>
      <c r="B142" s="1280"/>
      <c r="C142" s="18"/>
      <c r="D142" s="18"/>
      <c r="E142" s="18"/>
      <c r="F142" s="18"/>
      <c r="G142" s="18"/>
      <c r="H142" s="18"/>
      <c r="I142" s="18"/>
      <c r="J142" s="18"/>
      <c r="K142" s="18"/>
      <c r="L142" s="12"/>
      <c r="M142" s="18"/>
      <c r="N142" s="18"/>
      <c r="O142" s="18"/>
      <c r="P142" s="18"/>
      <c r="Q142" s="18"/>
      <c r="R142" s="18"/>
      <c r="S142" s="18"/>
      <c r="T142" s="18"/>
      <c r="U142" s="18"/>
      <c r="V142" s="18"/>
      <c r="W142" s="18"/>
      <c r="X142" s="18"/>
      <c r="Y142" s="18"/>
      <c r="Z142" s="18"/>
      <c r="AA142" s="18"/>
      <c r="AB142" s="18"/>
      <c r="AC142" s="18"/>
      <c r="AD142" s="18"/>
      <c r="AE142" s="18"/>
      <c r="AF142" s="18"/>
      <c r="AG142" s="18"/>
    </row>
    <row r="143" spans="1:33" x14ac:dyDescent="0.2">
      <c r="A143" s="1279"/>
      <c r="B143" s="1280"/>
      <c r="C143" s="18"/>
      <c r="D143" s="18"/>
      <c r="E143" s="18"/>
      <c r="F143" s="18"/>
      <c r="G143" s="18"/>
      <c r="H143" s="18"/>
      <c r="I143" s="18"/>
      <c r="J143" s="18"/>
      <c r="K143" s="18"/>
      <c r="L143" s="12"/>
      <c r="M143" s="18"/>
      <c r="N143" s="18"/>
      <c r="O143" s="18"/>
      <c r="P143" s="18"/>
      <c r="Q143" s="18"/>
      <c r="R143" s="18"/>
      <c r="S143" s="18"/>
      <c r="T143" s="18"/>
      <c r="U143" s="18"/>
      <c r="V143" s="18"/>
      <c r="W143" s="18"/>
      <c r="X143" s="18"/>
      <c r="Y143" s="18"/>
      <c r="Z143" s="18"/>
      <c r="AA143" s="18"/>
      <c r="AB143" s="18"/>
      <c r="AC143" s="18"/>
      <c r="AD143" s="18"/>
      <c r="AE143" s="18"/>
      <c r="AF143" s="18"/>
      <c r="AG143" s="18"/>
    </row>
    <row r="144" spans="1:33" x14ac:dyDescent="0.2">
      <c r="A144" s="1279"/>
      <c r="B144" s="1280"/>
      <c r="C144" s="18"/>
      <c r="D144" s="18"/>
      <c r="E144" s="18"/>
      <c r="F144" s="18"/>
      <c r="G144" s="18"/>
      <c r="H144" s="18"/>
      <c r="I144" s="18"/>
      <c r="J144" s="18"/>
      <c r="K144" s="18"/>
      <c r="L144" s="12"/>
      <c r="M144" s="18"/>
      <c r="N144" s="18"/>
      <c r="O144" s="18"/>
      <c r="P144" s="18"/>
      <c r="Q144" s="18"/>
      <c r="R144" s="18"/>
      <c r="S144" s="18"/>
      <c r="T144" s="18"/>
      <c r="U144" s="18"/>
      <c r="V144" s="18"/>
      <c r="W144" s="18"/>
      <c r="X144" s="18"/>
      <c r="Y144" s="18"/>
      <c r="Z144" s="18"/>
      <c r="AA144" s="18"/>
      <c r="AB144" s="18"/>
      <c r="AC144" s="18"/>
      <c r="AD144" s="18"/>
      <c r="AE144" s="18"/>
      <c r="AF144" s="18"/>
      <c r="AG144" s="18"/>
    </row>
    <row r="145" spans="1:33" x14ac:dyDescent="0.2">
      <c r="A145" s="1279"/>
      <c r="B145" s="1280"/>
      <c r="C145" s="18"/>
      <c r="D145" s="18"/>
      <c r="E145" s="18"/>
      <c r="F145" s="18"/>
      <c r="G145" s="18"/>
      <c r="H145" s="18"/>
      <c r="I145" s="18"/>
      <c r="J145" s="18"/>
      <c r="K145" s="18"/>
      <c r="L145" s="12"/>
      <c r="M145" s="18"/>
      <c r="N145" s="18"/>
      <c r="O145" s="18"/>
      <c r="P145" s="18"/>
      <c r="Q145" s="18"/>
      <c r="R145" s="18"/>
      <c r="S145" s="18"/>
      <c r="T145" s="18"/>
      <c r="U145" s="18"/>
      <c r="V145" s="18"/>
      <c r="W145" s="18"/>
      <c r="X145" s="18"/>
      <c r="Y145" s="18"/>
      <c r="Z145" s="18"/>
      <c r="AA145" s="18"/>
      <c r="AB145" s="18"/>
      <c r="AC145" s="18"/>
      <c r="AD145" s="18"/>
      <c r="AE145" s="18"/>
      <c r="AF145" s="18"/>
      <c r="AG145" s="18"/>
    </row>
    <row r="146" spans="1:33" x14ac:dyDescent="0.2">
      <c r="A146" s="1279"/>
      <c r="B146" s="1280"/>
      <c r="C146" s="18"/>
      <c r="D146" s="18"/>
      <c r="E146" s="18"/>
      <c r="F146" s="18"/>
      <c r="G146" s="18"/>
      <c r="H146" s="18"/>
      <c r="I146" s="18"/>
      <c r="J146" s="18"/>
      <c r="K146" s="18"/>
      <c r="L146" s="12"/>
      <c r="M146" s="18"/>
      <c r="N146" s="18"/>
      <c r="O146" s="18"/>
      <c r="P146" s="18"/>
      <c r="Q146" s="18"/>
      <c r="R146" s="18"/>
      <c r="S146" s="18"/>
      <c r="T146" s="18"/>
      <c r="U146" s="18"/>
      <c r="V146" s="18"/>
      <c r="W146" s="18"/>
      <c r="X146" s="18"/>
      <c r="Y146" s="18"/>
      <c r="Z146" s="18"/>
      <c r="AA146" s="18"/>
      <c r="AB146" s="18"/>
      <c r="AC146" s="18"/>
      <c r="AD146" s="18"/>
      <c r="AE146" s="18"/>
      <c r="AF146" s="18"/>
      <c r="AG146" s="18"/>
    </row>
    <row r="147" spans="1:33" x14ac:dyDescent="0.2">
      <c r="A147" s="1279"/>
      <c r="B147" s="1280"/>
      <c r="C147" s="18"/>
      <c r="D147" s="18"/>
      <c r="E147" s="18"/>
      <c r="F147" s="18"/>
      <c r="G147" s="18"/>
      <c r="H147" s="18"/>
      <c r="I147" s="18"/>
      <c r="J147" s="18"/>
      <c r="K147" s="18"/>
      <c r="L147" s="12"/>
      <c r="M147" s="18"/>
      <c r="N147" s="18"/>
      <c r="O147" s="18"/>
      <c r="P147" s="18"/>
      <c r="Q147" s="18"/>
      <c r="R147" s="18"/>
      <c r="S147" s="18"/>
      <c r="T147" s="18"/>
      <c r="U147" s="18"/>
      <c r="V147" s="18"/>
      <c r="W147" s="18"/>
      <c r="X147" s="18"/>
      <c r="Y147" s="18"/>
      <c r="Z147" s="18"/>
      <c r="AA147" s="18"/>
      <c r="AB147" s="18"/>
      <c r="AC147" s="18"/>
      <c r="AD147" s="18"/>
      <c r="AE147" s="18"/>
      <c r="AF147" s="18"/>
      <c r="AG147" s="18"/>
    </row>
    <row r="148" spans="1:33" x14ac:dyDescent="0.2">
      <c r="A148" s="1279"/>
      <c r="B148" s="1280"/>
      <c r="C148" s="18"/>
      <c r="D148" s="18"/>
      <c r="E148" s="18"/>
      <c r="F148" s="18"/>
      <c r="G148" s="18"/>
      <c r="H148" s="18"/>
      <c r="I148" s="18"/>
      <c r="J148" s="18"/>
      <c r="K148" s="18"/>
      <c r="L148" s="12"/>
      <c r="M148" s="18"/>
      <c r="N148" s="18"/>
      <c r="O148" s="18"/>
      <c r="P148" s="18"/>
      <c r="Q148" s="18"/>
      <c r="R148" s="18"/>
      <c r="S148" s="18"/>
      <c r="T148" s="18"/>
      <c r="U148" s="18"/>
      <c r="V148" s="18"/>
      <c r="W148" s="18"/>
      <c r="X148" s="18"/>
      <c r="Y148" s="18"/>
      <c r="Z148" s="18"/>
      <c r="AA148" s="18"/>
      <c r="AB148" s="18"/>
      <c r="AC148" s="18"/>
      <c r="AD148" s="18"/>
      <c r="AE148" s="18"/>
      <c r="AF148" s="18"/>
      <c r="AG148" s="18"/>
    </row>
    <row r="149" spans="1:33" x14ac:dyDescent="0.2">
      <c r="A149" s="1279"/>
      <c r="B149" s="1280"/>
      <c r="C149" s="18"/>
      <c r="D149" s="18"/>
      <c r="E149" s="18"/>
      <c r="F149" s="18"/>
      <c r="G149" s="18"/>
      <c r="H149" s="18"/>
      <c r="I149" s="18"/>
      <c r="J149" s="18"/>
      <c r="K149" s="18"/>
      <c r="L149" s="12"/>
      <c r="M149" s="18"/>
      <c r="N149" s="18"/>
      <c r="O149" s="18"/>
      <c r="P149" s="18"/>
      <c r="Q149" s="18"/>
      <c r="R149" s="18"/>
      <c r="S149" s="18"/>
      <c r="T149" s="18"/>
      <c r="U149" s="18"/>
      <c r="V149" s="18"/>
      <c r="W149" s="18"/>
      <c r="X149" s="18"/>
      <c r="Y149" s="18"/>
      <c r="Z149" s="18"/>
      <c r="AA149" s="18"/>
      <c r="AB149" s="18"/>
      <c r="AC149" s="18"/>
      <c r="AD149" s="18"/>
      <c r="AE149" s="18"/>
      <c r="AF149" s="18"/>
      <c r="AG149" s="18"/>
    </row>
    <row r="150" spans="1:33" x14ac:dyDescent="0.2">
      <c r="A150" s="1279"/>
      <c r="B150" s="1280"/>
      <c r="C150" s="18"/>
      <c r="D150" s="18"/>
      <c r="E150" s="18"/>
      <c r="F150" s="18"/>
      <c r="G150" s="18"/>
      <c r="H150" s="18"/>
      <c r="I150" s="18"/>
      <c r="J150" s="18"/>
      <c r="K150" s="18"/>
      <c r="L150" s="12"/>
      <c r="M150" s="18"/>
      <c r="N150" s="18"/>
      <c r="O150" s="18"/>
      <c r="P150" s="18"/>
      <c r="Q150" s="18"/>
      <c r="R150" s="18"/>
      <c r="S150" s="18"/>
      <c r="T150" s="18"/>
      <c r="U150" s="18"/>
      <c r="V150" s="18"/>
      <c r="W150" s="18"/>
      <c r="X150" s="18"/>
      <c r="Y150" s="18"/>
      <c r="Z150" s="18"/>
      <c r="AA150" s="18"/>
      <c r="AB150" s="18"/>
      <c r="AC150" s="18"/>
      <c r="AD150" s="18"/>
      <c r="AE150" s="18"/>
      <c r="AF150" s="18"/>
      <c r="AG150" s="18"/>
    </row>
    <row r="151" spans="1:33" x14ac:dyDescent="0.2">
      <c r="A151" s="1279"/>
      <c r="B151" s="1280"/>
      <c r="C151" s="18"/>
      <c r="D151" s="18"/>
      <c r="E151" s="18"/>
      <c r="F151" s="18"/>
      <c r="G151" s="18"/>
      <c r="H151" s="18"/>
      <c r="I151" s="18"/>
      <c r="J151" s="18"/>
      <c r="K151" s="18"/>
      <c r="L151" s="12"/>
      <c r="M151" s="18"/>
      <c r="N151" s="18"/>
      <c r="O151" s="18"/>
      <c r="P151" s="18"/>
      <c r="Q151" s="18"/>
      <c r="R151" s="18"/>
      <c r="S151" s="18"/>
      <c r="T151" s="18"/>
      <c r="U151" s="18"/>
      <c r="V151" s="18"/>
      <c r="W151" s="18"/>
      <c r="X151" s="18"/>
      <c r="Y151" s="18"/>
      <c r="Z151" s="18"/>
      <c r="AA151" s="18"/>
      <c r="AB151" s="18"/>
      <c r="AC151" s="18"/>
      <c r="AD151" s="18"/>
      <c r="AE151" s="18"/>
      <c r="AF151" s="18"/>
      <c r="AG151" s="18"/>
    </row>
    <row r="152" spans="1:33" x14ac:dyDescent="0.2">
      <c r="A152" s="1279"/>
      <c r="B152" s="1280"/>
      <c r="C152" s="18"/>
      <c r="D152" s="18"/>
      <c r="E152" s="18"/>
      <c r="F152" s="18"/>
      <c r="G152" s="18"/>
      <c r="H152" s="18"/>
      <c r="I152" s="18"/>
      <c r="J152" s="18"/>
      <c r="K152" s="18"/>
      <c r="L152" s="12"/>
      <c r="M152" s="18"/>
      <c r="N152" s="18"/>
      <c r="O152" s="18"/>
      <c r="P152" s="18"/>
      <c r="Q152" s="18"/>
      <c r="R152" s="18"/>
      <c r="S152" s="18"/>
      <c r="T152" s="18"/>
      <c r="U152" s="18"/>
      <c r="V152" s="18"/>
      <c r="W152" s="18"/>
      <c r="X152" s="18"/>
      <c r="Y152" s="18"/>
      <c r="Z152" s="18"/>
      <c r="AA152" s="18"/>
      <c r="AB152" s="18"/>
      <c r="AC152" s="18"/>
      <c r="AD152" s="18"/>
      <c r="AE152" s="18"/>
      <c r="AF152" s="18"/>
      <c r="AG152" s="18"/>
    </row>
    <row r="153" spans="1:33" x14ac:dyDescent="0.2">
      <c r="A153" s="1279"/>
      <c r="B153" s="1280"/>
      <c r="C153" s="18"/>
      <c r="D153" s="18"/>
      <c r="E153" s="18"/>
      <c r="F153" s="18"/>
      <c r="G153" s="18"/>
      <c r="H153" s="18"/>
      <c r="I153" s="18"/>
      <c r="J153" s="18"/>
      <c r="K153" s="18"/>
      <c r="L153" s="12"/>
      <c r="M153" s="18"/>
      <c r="N153" s="18"/>
      <c r="O153" s="18"/>
      <c r="P153" s="18"/>
      <c r="Q153" s="18"/>
      <c r="R153" s="18"/>
      <c r="S153" s="18"/>
      <c r="T153" s="18"/>
      <c r="U153" s="18"/>
      <c r="V153" s="18"/>
      <c r="W153" s="18"/>
      <c r="X153" s="18"/>
      <c r="Y153" s="18"/>
      <c r="Z153" s="18"/>
      <c r="AA153" s="18"/>
      <c r="AB153" s="18"/>
      <c r="AC153" s="18"/>
      <c r="AD153" s="18"/>
      <c r="AE153" s="18"/>
      <c r="AF153" s="18"/>
      <c r="AG153" s="18"/>
    </row>
    <row r="154" spans="1:33" x14ac:dyDescent="0.2">
      <c r="A154" s="1279"/>
      <c r="B154" s="1280"/>
      <c r="C154" s="18"/>
      <c r="D154" s="18"/>
      <c r="E154" s="18"/>
      <c r="F154" s="18"/>
      <c r="G154" s="18"/>
      <c r="H154" s="18"/>
      <c r="I154" s="18"/>
      <c r="J154" s="18"/>
      <c r="K154" s="18"/>
      <c r="L154" s="12"/>
      <c r="M154" s="18"/>
      <c r="N154" s="18"/>
      <c r="O154" s="18"/>
      <c r="P154" s="18"/>
      <c r="Q154" s="18"/>
      <c r="R154" s="18"/>
      <c r="S154" s="18"/>
      <c r="T154" s="18"/>
      <c r="U154" s="18"/>
      <c r="V154" s="18"/>
      <c r="W154" s="18"/>
      <c r="X154" s="18"/>
      <c r="Y154" s="18"/>
      <c r="Z154" s="18"/>
      <c r="AA154" s="18"/>
      <c r="AB154" s="18"/>
      <c r="AC154" s="18"/>
      <c r="AD154" s="18"/>
      <c r="AE154" s="18"/>
      <c r="AF154" s="18"/>
      <c r="AG154" s="18"/>
    </row>
    <row r="155" spans="1:33" x14ac:dyDescent="0.2">
      <c r="A155" s="1279"/>
      <c r="B155" s="1280"/>
      <c r="C155" s="18"/>
      <c r="D155" s="18"/>
      <c r="E155" s="18"/>
      <c r="F155" s="18"/>
      <c r="G155" s="18"/>
      <c r="H155" s="18"/>
      <c r="I155" s="18"/>
      <c r="J155" s="18"/>
      <c r="K155" s="18"/>
      <c r="L155" s="12"/>
      <c r="M155" s="18"/>
      <c r="N155" s="18"/>
      <c r="O155" s="18"/>
      <c r="P155" s="18"/>
      <c r="Q155" s="18"/>
      <c r="R155" s="18"/>
      <c r="S155" s="18"/>
      <c r="T155" s="18"/>
      <c r="U155" s="18"/>
      <c r="V155" s="18"/>
      <c r="W155" s="18"/>
      <c r="X155" s="18"/>
      <c r="Y155" s="18"/>
      <c r="Z155" s="18"/>
      <c r="AA155" s="18"/>
      <c r="AB155" s="18"/>
      <c r="AC155" s="18"/>
      <c r="AD155" s="18"/>
      <c r="AE155" s="18"/>
      <c r="AF155" s="18"/>
      <c r="AG155" s="18"/>
    </row>
    <row r="156" spans="1:33" x14ac:dyDescent="0.2">
      <c r="A156" s="1279"/>
      <c r="B156" s="1280"/>
      <c r="C156" s="18"/>
      <c r="D156" s="18"/>
      <c r="E156" s="18"/>
      <c r="F156" s="18"/>
      <c r="G156" s="18"/>
      <c r="H156" s="18"/>
      <c r="I156" s="18"/>
      <c r="J156" s="18"/>
      <c r="K156" s="18"/>
      <c r="L156" s="12"/>
      <c r="M156" s="18"/>
      <c r="N156" s="18"/>
      <c r="O156" s="18"/>
      <c r="P156" s="18"/>
      <c r="Q156" s="18"/>
      <c r="R156" s="18"/>
      <c r="S156" s="18"/>
      <c r="T156" s="18"/>
      <c r="U156" s="18"/>
      <c r="V156" s="18"/>
      <c r="W156" s="18"/>
      <c r="X156" s="18"/>
      <c r="Y156" s="18"/>
      <c r="Z156" s="18"/>
      <c r="AA156" s="18"/>
      <c r="AB156" s="18"/>
      <c r="AC156" s="18"/>
      <c r="AD156" s="18"/>
      <c r="AE156" s="18"/>
      <c r="AF156" s="18"/>
      <c r="AG156" s="18"/>
    </row>
    <row r="157" spans="1:33" x14ac:dyDescent="0.2">
      <c r="A157" s="1279"/>
      <c r="B157" s="1280"/>
      <c r="C157" s="18"/>
      <c r="D157" s="18"/>
      <c r="E157" s="18"/>
      <c r="F157" s="18"/>
      <c r="G157" s="18"/>
      <c r="H157" s="18"/>
      <c r="I157" s="18"/>
      <c r="J157" s="18"/>
      <c r="K157" s="18"/>
      <c r="L157" s="12"/>
      <c r="M157" s="18"/>
      <c r="N157" s="18"/>
      <c r="O157" s="18"/>
      <c r="P157" s="18"/>
      <c r="Q157" s="18"/>
      <c r="R157" s="18"/>
      <c r="S157" s="18"/>
      <c r="T157" s="18"/>
      <c r="U157" s="18"/>
      <c r="V157" s="18"/>
      <c r="W157" s="18"/>
      <c r="X157" s="18"/>
      <c r="Y157" s="18"/>
      <c r="Z157" s="18"/>
      <c r="AA157" s="18"/>
      <c r="AB157" s="18"/>
      <c r="AC157" s="18"/>
      <c r="AD157" s="18"/>
      <c r="AE157" s="18"/>
      <c r="AF157" s="18"/>
      <c r="AG157" s="18"/>
    </row>
    <row r="158" spans="1:33" x14ac:dyDescent="0.2">
      <c r="A158" s="1279"/>
      <c r="B158" s="1280"/>
      <c r="C158" s="18"/>
      <c r="D158" s="18"/>
      <c r="E158" s="18"/>
      <c r="F158" s="18"/>
      <c r="G158" s="18"/>
      <c r="H158" s="18"/>
      <c r="I158" s="18"/>
      <c r="J158" s="18"/>
      <c r="K158" s="18"/>
      <c r="L158" s="12"/>
      <c r="M158" s="18"/>
      <c r="N158" s="18"/>
      <c r="O158" s="18"/>
      <c r="P158" s="18"/>
      <c r="Q158" s="18"/>
      <c r="R158" s="18"/>
      <c r="S158" s="18"/>
      <c r="T158" s="18"/>
      <c r="U158" s="18"/>
      <c r="V158" s="18"/>
      <c r="W158" s="18"/>
      <c r="X158" s="18"/>
      <c r="Y158" s="18"/>
      <c r="Z158" s="18"/>
      <c r="AA158" s="18"/>
      <c r="AB158" s="18"/>
      <c r="AC158" s="18"/>
      <c r="AD158" s="18"/>
      <c r="AE158" s="18"/>
      <c r="AF158" s="18"/>
      <c r="AG158" s="18"/>
    </row>
    <row r="159" spans="1:33" x14ac:dyDescent="0.2">
      <c r="A159" s="1279"/>
      <c r="B159" s="1280"/>
      <c r="C159" s="18"/>
      <c r="D159" s="18"/>
      <c r="E159" s="18"/>
      <c r="F159" s="18"/>
      <c r="G159" s="18"/>
      <c r="H159" s="18"/>
      <c r="I159" s="18"/>
      <c r="J159" s="18"/>
      <c r="K159" s="18"/>
      <c r="L159" s="12"/>
      <c r="M159" s="18"/>
      <c r="N159" s="18"/>
      <c r="O159" s="18"/>
      <c r="P159" s="18"/>
      <c r="Q159" s="18"/>
      <c r="R159" s="18"/>
      <c r="S159" s="18"/>
      <c r="T159" s="18"/>
      <c r="U159" s="18"/>
      <c r="V159" s="18"/>
      <c r="W159" s="18"/>
      <c r="X159" s="18"/>
      <c r="Y159" s="18"/>
      <c r="Z159" s="18"/>
      <c r="AA159" s="18"/>
      <c r="AB159" s="18"/>
      <c r="AC159" s="18"/>
      <c r="AD159" s="18"/>
      <c r="AE159" s="18"/>
      <c r="AF159" s="18"/>
      <c r="AG159" s="18"/>
    </row>
    <row r="160" spans="1:33" x14ac:dyDescent="0.2">
      <c r="A160" s="1279"/>
      <c r="B160" s="1280"/>
      <c r="C160" s="18"/>
      <c r="D160" s="18"/>
      <c r="E160" s="18"/>
      <c r="F160" s="18"/>
      <c r="G160" s="18"/>
      <c r="H160" s="18"/>
      <c r="I160" s="18"/>
      <c r="J160" s="18"/>
      <c r="K160" s="18"/>
      <c r="L160" s="12"/>
      <c r="M160" s="18"/>
      <c r="N160" s="18"/>
      <c r="O160" s="18"/>
      <c r="P160" s="18"/>
      <c r="Q160" s="18"/>
      <c r="R160" s="18"/>
      <c r="S160" s="18"/>
      <c r="T160" s="18"/>
      <c r="U160" s="18"/>
      <c r="V160" s="18"/>
      <c r="W160" s="18"/>
      <c r="X160" s="18"/>
      <c r="Y160" s="18"/>
      <c r="Z160" s="18"/>
      <c r="AA160" s="18"/>
      <c r="AB160" s="18"/>
      <c r="AC160" s="18"/>
      <c r="AD160" s="18"/>
      <c r="AE160" s="18"/>
      <c r="AF160" s="18"/>
      <c r="AG160" s="18"/>
    </row>
    <row r="161" spans="1:33" x14ac:dyDescent="0.2">
      <c r="A161" s="1279"/>
      <c r="B161" s="1280"/>
      <c r="C161" s="18"/>
      <c r="D161" s="18"/>
      <c r="E161" s="18"/>
      <c r="F161" s="18"/>
      <c r="G161" s="18"/>
      <c r="H161" s="18"/>
      <c r="I161" s="18"/>
      <c r="J161" s="18"/>
      <c r="K161" s="18"/>
      <c r="L161" s="12"/>
      <c r="M161" s="18"/>
      <c r="N161" s="18"/>
      <c r="O161" s="18"/>
      <c r="P161" s="18"/>
      <c r="Q161" s="18"/>
      <c r="R161" s="18"/>
      <c r="S161" s="18"/>
      <c r="T161" s="18"/>
      <c r="U161" s="18"/>
      <c r="V161" s="18"/>
      <c r="W161" s="18"/>
      <c r="X161" s="18"/>
      <c r="Y161" s="18"/>
      <c r="Z161" s="18"/>
      <c r="AA161" s="18"/>
      <c r="AB161" s="18"/>
      <c r="AC161" s="18"/>
      <c r="AD161" s="18"/>
      <c r="AE161" s="18"/>
      <c r="AF161" s="18"/>
      <c r="AG161" s="18"/>
    </row>
    <row r="162" spans="1:33" x14ac:dyDescent="0.2">
      <c r="A162" s="1279"/>
      <c r="B162" s="1280"/>
      <c r="C162" s="18"/>
      <c r="D162" s="18"/>
      <c r="E162" s="18"/>
      <c r="F162" s="18"/>
      <c r="G162" s="18"/>
      <c r="H162" s="18"/>
      <c r="I162" s="18"/>
      <c r="J162" s="18"/>
      <c r="K162" s="18"/>
      <c r="L162" s="12"/>
      <c r="M162" s="18"/>
      <c r="N162" s="18"/>
      <c r="O162" s="18"/>
      <c r="P162" s="18"/>
      <c r="Q162" s="18"/>
      <c r="R162" s="18"/>
      <c r="S162" s="18"/>
      <c r="T162" s="18"/>
      <c r="U162" s="18"/>
      <c r="V162" s="18"/>
      <c r="W162" s="18"/>
      <c r="X162" s="18"/>
      <c r="Y162" s="18"/>
      <c r="Z162" s="18"/>
      <c r="AA162" s="18"/>
      <c r="AB162" s="18"/>
      <c r="AC162" s="18"/>
      <c r="AD162" s="18"/>
      <c r="AE162" s="18"/>
      <c r="AF162" s="18"/>
      <c r="AG162" s="18"/>
    </row>
    <row r="163" spans="1:33" x14ac:dyDescent="0.2">
      <c r="A163" s="1279"/>
      <c r="B163" s="1280"/>
      <c r="C163" s="18"/>
      <c r="D163" s="18"/>
      <c r="E163" s="18"/>
      <c r="F163" s="18"/>
      <c r="G163" s="18"/>
      <c r="H163" s="18"/>
      <c r="I163" s="18"/>
      <c r="J163" s="18"/>
      <c r="K163" s="18"/>
      <c r="L163" s="12"/>
      <c r="M163" s="18"/>
      <c r="N163" s="18"/>
      <c r="O163" s="18"/>
      <c r="P163" s="18"/>
      <c r="Q163" s="18"/>
      <c r="R163" s="18"/>
      <c r="S163" s="18"/>
      <c r="T163" s="18"/>
      <c r="U163" s="18"/>
      <c r="V163" s="18"/>
      <c r="W163" s="18"/>
      <c r="X163" s="18"/>
      <c r="Y163" s="18"/>
      <c r="Z163" s="18"/>
      <c r="AA163" s="18"/>
      <c r="AB163" s="18"/>
      <c r="AC163" s="18"/>
      <c r="AD163" s="18"/>
      <c r="AE163" s="18"/>
      <c r="AF163" s="18"/>
      <c r="AG163" s="18"/>
    </row>
    <row r="164" spans="1:33" x14ac:dyDescent="0.2">
      <c r="A164" s="1279"/>
      <c r="B164" s="1280"/>
      <c r="C164" s="18"/>
      <c r="D164" s="18"/>
      <c r="E164" s="18"/>
      <c r="F164" s="18"/>
      <c r="G164" s="18"/>
      <c r="H164" s="18"/>
      <c r="I164" s="18"/>
      <c r="J164" s="18"/>
      <c r="K164" s="18"/>
      <c r="L164" s="12"/>
      <c r="M164" s="18"/>
      <c r="N164" s="18"/>
      <c r="O164" s="18"/>
      <c r="P164" s="18"/>
      <c r="Q164" s="18"/>
      <c r="R164" s="18"/>
      <c r="S164" s="18"/>
      <c r="T164" s="18"/>
      <c r="U164" s="18"/>
      <c r="V164" s="18"/>
      <c r="W164" s="18"/>
      <c r="X164" s="18"/>
      <c r="Y164" s="18"/>
      <c r="Z164" s="18"/>
      <c r="AA164" s="18"/>
      <c r="AB164" s="18"/>
      <c r="AC164" s="18"/>
      <c r="AD164" s="18"/>
      <c r="AE164" s="18"/>
      <c r="AF164" s="18"/>
      <c r="AG164" s="18"/>
    </row>
    <row r="165" spans="1:33" x14ac:dyDescent="0.2">
      <c r="A165" s="1279"/>
      <c r="B165" s="1280"/>
      <c r="C165" s="18"/>
      <c r="D165" s="18"/>
      <c r="E165" s="18"/>
      <c r="F165" s="18"/>
      <c r="G165" s="18"/>
      <c r="H165" s="18"/>
      <c r="I165" s="18"/>
      <c r="J165" s="18"/>
      <c r="K165" s="18"/>
      <c r="L165" s="12"/>
      <c r="M165" s="18"/>
      <c r="N165" s="18"/>
      <c r="O165" s="18"/>
      <c r="P165" s="18"/>
      <c r="Q165" s="18"/>
      <c r="R165" s="18"/>
      <c r="S165" s="18"/>
      <c r="T165" s="18"/>
      <c r="U165" s="18"/>
      <c r="V165" s="18"/>
      <c r="W165" s="18"/>
      <c r="X165" s="18"/>
      <c r="Y165" s="18"/>
      <c r="Z165" s="18"/>
      <c r="AA165" s="18"/>
      <c r="AB165" s="18"/>
      <c r="AC165" s="18"/>
      <c r="AD165" s="18"/>
      <c r="AE165" s="18"/>
      <c r="AF165" s="18"/>
      <c r="AG165" s="18"/>
    </row>
    <row r="166" spans="1:33" x14ac:dyDescent="0.2">
      <c r="A166" s="1279"/>
      <c r="B166" s="1280"/>
      <c r="C166" s="18"/>
      <c r="D166" s="18"/>
      <c r="E166" s="18"/>
      <c r="F166" s="18"/>
      <c r="G166" s="18"/>
      <c r="H166" s="18"/>
      <c r="I166" s="18"/>
      <c r="J166" s="18"/>
      <c r="K166" s="18"/>
      <c r="L166" s="12"/>
      <c r="M166" s="18"/>
      <c r="N166" s="18"/>
      <c r="O166" s="18"/>
      <c r="P166" s="18"/>
      <c r="Q166" s="18"/>
      <c r="R166" s="18"/>
      <c r="S166" s="18"/>
      <c r="T166" s="18"/>
      <c r="U166" s="18"/>
      <c r="V166" s="18"/>
      <c r="W166" s="18"/>
      <c r="X166" s="18"/>
      <c r="Y166" s="18"/>
      <c r="Z166" s="18"/>
      <c r="AA166" s="18"/>
      <c r="AB166" s="18"/>
      <c r="AC166" s="18"/>
      <c r="AD166" s="18"/>
      <c r="AE166" s="18"/>
      <c r="AF166" s="18"/>
      <c r="AG166" s="18"/>
    </row>
    <row r="167" spans="1:33" x14ac:dyDescent="0.2">
      <c r="A167" s="1279"/>
      <c r="B167" s="1280"/>
      <c r="C167" s="18"/>
      <c r="D167" s="18"/>
      <c r="E167" s="18"/>
      <c r="F167" s="18"/>
      <c r="G167" s="18"/>
      <c r="H167" s="18"/>
      <c r="I167" s="18"/>
      <c r="J167" s="18"/>
      <c r="K167" s="18"/>
      <c r="L167" s="12"/>
      <c r="M167" s="18"/>
      <c r="N167" s="18"/>
      <c r="O167" s="18"/>
      <c r="P167" s="18"/>
      <c r="Q167" s="18"/>
      <c r="R167" s="18"/>
      <c r="S167" s="18"/>
      <c r="T167" s="18"/>
      <c r="U167" s="18"/>
      <c r="V167" s="18"/>
      <c r="W167" s="18"/>
      <c r="X167" s="18"/>
      <c r="Y167" s="18"/>
      <c r="Z167" s="18"/>
      <c r="AA167" s="18"/>
      <c r="AB167" s="18"/>
      <c r="AC167" s="18"/>
      <c r="AD167" s="18"/>
      <c r="AE167" s="18"/>
      <c r="AF167" s="18"/>
      <c r="AG167" s="18"/>
    </row>
    <row r="168" spans="1:33" x14ac:dyDescent="0.2">
      <c r="A168" s="1279"/>
      <c r="B168" s="1280"/>
      <c r="C168" s="18"/>
      <c r="D168" s="18"/>
      <c r="E168" s="18"/>
      <c r="F168" s="18"/>
      <c r="G168" s="18"/>
      <c r="H168" s="18"/>
      <c r="I168" s="18"/>
      <c r="J168" s="18"/>
      <c r="K168" s="18"/>
      <c r="L168" s="12"/>
      <c r="M168" s="18"/>
      <c r="N168" s="18"/>
      <c r="O168" s="18"/>
      <c r="P168" s="18"/>
      <c r="Q168" s="18"/>
      <c r="R168" s="18"/>
      <c r="S168" s="18"/>
      <c r="T168" s="18"/>
      <c r="U168" s="18"/>
      <c r="V168" s="18"/>
      <c r="W168" s="18"/>
      <c r="X168" s="18"/>
      <c r="Y168" s="18"/>
      <c r="Z168" s="18"/>
      <c r="AA168" s="18"/>
      <c r="AB168" s="18"/>
      <c r="AC168" s="18"/>
      <c r="AD168" s="18"/>
      <c r="AE168" s="18"/>
      <c r="AF168" s="18"/>
      <c r="AG168" s="18"/>
    </row>
    <row r="169" spans="1:33" x14ac:dyDescent="0.2">
      <c r="A169" s="1279"/>
      <c r="B169" s="1280"/>
      <c r="C169" s="18"/>
      <c r="D169" s="18"/>
      <c r="E169" s="18"/>
      <c r="F169" s="18"/>
      <c r="G169" s="18"/>
      <c r="H169" s="18"/>
      <c r="I169" s="18"/>
      <c r="J169" s="18"/>
      <c r="K169" s="18"/>
      <c r="L169" s="12"/>
      <c r="M169" s="18"/>
      <c r="N169" s="18"/>
      <c r="O169" s="18"/>
      <c r="P169" s="18"/>
      <c r="Q169" s="18"/>
      <c r="R169" s="18"/>
      <c r="S169" s="18"/>
      <c r="T169" s="18"/>
      <c r="U169" s="18"/>
      <c r="V169" s="18"/>
      <c r="W169" s="18"/>
      <c r="X169" s="18"/>
      <c r="Y169" s="18"/>
      <c r="Z169" s="18"/>
      <c r="AA169" s="18"/>
      <c r="AB169" s="18"/>
      <c r="AC169" s="18"/>
      <c r="AD169" s="18"/>
      <c r="AE169" s="18"/>
      <c r="AF169" s="18"/>
      <c r="AG169" s="18"/>
    </row>
    <row r="170" spans="1:33" x14ac:dyDescent="0.2">
      <c r="A170" s="1279"/>
      <c r="B170" s="1280"/>
      <c r="C170" s="18"/>
      <c r="D170" s="18"/>
      <c r="E170" s="18"/>
      <c r="F170" s="18"/>
      <c r="G170" s="18"/>
      <c r="H170" s="18"/>
      <c r="I170" s="18"/>
      <c r="J170" s="18"/>
      <c r="K170" s="18"/>
      <c r="L170" s="12"/>
      <c r="M170" s="18"/>
      <c r="N170" s="18"/>
      <c r="O170" s="18"/>
      <c r="P170" s="18"/>
      <c r="Q170" s="18"/>
      <c r="R170" s="18"/>
      <c r="S170" s="18"/>
      <c r="T170" s="18"/>
      <c r="U170" s="18"/>
      <c r="V170" s="18"/>
      <c r="W170" s="18"/>
      <c r="X170" s="18"/>
      <c r="Y170" s="18"/>
      <c r="Z170" s="18"/>
      <c r="AA170" s="18"/>
      <c r="AB170" s="18"/>
      <c r="AC170" s="18"/>
      <c r="AD170" s="18"/>
      <c r="AE170" s="18"/>
      <c r="AF170" s="18"/>
      <c r="AG170" s="18"/>
    </row>
    <row r="171" spans="1:33" x14ac:dyDescent="0.2">
      <c r="A171" s="1279"/>
      <c r="B171" s="1280"/>
      <c r="C171" s="18"/>
      <c r="D171" s="18"/>
      <c r="E171" s="18"/>
      <c r="F171" s="18"/>
      <c r="G171" s="18"/>
      <c r="H171" s="18"/>
      <c r="I171" s="18"/>
      <c r="J171" s="18"/>
      <c r="K171" s="18"/>
      <c r="L171" s="12"/>
      <c r="M171" s="18"/>
      <c r="N171" s="18"/>
      <c r="O171" s="18"/>
      <c r="P171" s="18"/>
      <c r="Q171" s="18"/>
      <c r="R171" s="18"/>
      <c r="S171" s="18"/>
      <c r="T171" s="18"/>
      <c r="U171" s="18"/>
      <c r="V171" s="18"/>
      <c r="W171" s="18"/>
      <c r="X171" s="18"/>
      <c r="Y171" s="18"/>
      <c r="Z171" s="18"/>
      <c r="AA171" s="18"/>
      <c r="AB171" s="18"/>
      <c r="AC171" s="18"/>
      <c r="AD171" s="18"/>
      <c r="AE171" s="18"/>
      <c r="AF171" s="18"/>
      <c r="AG171" s="18"/>
    </row>
    <row r="172" spans="1:33" x14ac:dyDescent="0.2">
      <c r="A172" s="1279"/>
      <c r="B172" s="1280"/>
      <c r="C172" s="18"/>
      <c r="D172" s="18"/>
      <c r="E172" s="18"/>
      <c r="F172" s="18"/>
      <c r="G172" s="18"/>
      <c r="H172" s="18"/>
      <c r="I172" s="18"/>
      <c r="J172" s="18"/>
      <c r="K172" s="18"/>
      <c r="L172" s="12"/>
      <c r="M172" s="18"/>
      <c r="N172" s="18"/>
      <c r="O172" s="18"/>
      <c r="P172" s="18"/>
      <c r="Q172" s="18"/>
      <c r="R172" s="18"/>
      <c r="S172" s="18"/>
      <c r="T172" s="18"/>
      <c r="U172" s="18"/>
      <c r="V172" s="18"/>
      <c r="W172" s="18"/>
      <c r="X172" s="18"/>
      <c r="Y172" s="18"/>
      <c r="Z172" s="18"/>
      <c r="AA172" s="18"/>
      <c r="AB172" s="18"/>
      <c r="AC172" s="18"/>
      <c r="AD172" s="18"/>
      <c r="AE172" s="18"/>
      <c r="AF172" s="18"/>
      <c r="AG172" s="18"/>
    </row>
    <row r="173" spans="1:33" x14ac:dyDescent="0.2">
      <c r="A173" s="1279"/>
      <c r="B173" s="1280"/>
      <c r="C173" s="18"/>
      <c r="D173" s="18"/>
      <c r="E173" s="18"/>
      <c r="F173" s="18"/>
      <c r="G173" s="18"/>
      <c r="H173" s="18"/>
      <c r="I173" s="18"/>
      <c r="J173" s="18"/>
      <c r="K173" s="18"/>
      <c r="L173" s="12"/>
      <c r="M173" s="18"/>
      <c r="N173" s="18"/>
      <c r="O173" s="18"/>
      <c r="P173" s="18"/>
      <c r="Q173" s="18"/>
      <c r="R173" s="18"/>
      <c r="S173" s="18"/>
      <c r="T173" s="18"/>
      <c r="U173" s="18"/>
      <c r="V173" s="18"/>
      <c r="W173" s="18"/>
      <c r="X173" s="18"/>
      <c r="Y173" s="18"/>
      <c r="Z173" s="18"/>
      <c r="AA173" s="18"/>
      <c r="AB173" s="18"/>
      <c r="AC173" s="18"/>
      <c r="AD173" s="18"/>
      <c r="AE173" s="18"/>
      <c r="AF173" s="18"/>
      <c r="AG173" s="18"/>
    </row>
    <row r="174" spans="1:33" x14ac:dyDescent="0.2">
      <c r="A174" s="1279"/>
      <c r="B174" s="1280"/>
      <c r="C174" s="18"/>
      <c r="D174" s="18"/>
      <c r="E174" s="18"/>
      <c r="F174" s="18"/>
      <c r="G174" s="18"/>
      <c r="H174" s="18"/>
      <c r="I174" s="18"/>
      <c r="J174" s="18"/>
      <c r="K174" s="18"/>
      <c r="L174" s="12"/>
      <c r="M174" s="18"/>
      <c r="N174" s="18"/>
      <c r="O174" s="18"/>
      <c r="P174" s="18"/>
      <c r="Q174" s="18"/>
      <c r="R174" s="18"/>
      <c r="S174" s="18"/>
      <c r="T174" s="18"/>
      <c r="U174" s="18"/>
      <c r="V174" s="18"/>
      <c r="W174" s="18"/>
      <c r="X174" s="18"/>
      <c r="Y174" s="18"/>
      <c r="Z174" s="18"/>
      <c r="AA174" s="18"/>
      <c r="AB174" s="18"/>
      <c r="AC174" s="18"/>
      <c r="AD174" s="18"/>
      <c r="AE174" s="18"/>
      <c r="AF174" s="18"/>
      <c r="AG174" s="18"/>
    </row>
    <row r="175" spans="1:33" x14ac:dyDescent="0.2">
      <c r="A175" s="1279"/>
      <c r="B175" s="1280"/>
      <c r="C175" s="18"/>
      <c r="D175" s="18"/>
      <c r="E175" s="18"/>
      <c r="F175" s="18"/>
      <c r="G175" s="18"/>
      <c r="H175" s="18"/>
      <c r="I175" s="18"/>
      <c r="J175" s="18"/>
      <c r="K175" s="18"/>
      <c r="L175" s="12"/>
      <c r="M175" s="18"/>
      <c r="N175" s="18"/>
      <c r="O175" s="18"/>
      <c r="P175" s="18"/>
      <c r="Q175" s="18"/>
      <c r="R175" s="18"/>
      <c r="S175" s="18"/>
      <c r="T175" s="18"/>
      <c r="U175" s="18"/>
      <c r="V175" s="18"/>
      <c r="W175" s="18"/>
      <c r="X175" s="18"/>
      <c r="Y175" s="18"/>
      <c r="Z175" s="18"/>
      <c r="AA175" s="18"/>
      <c r="AB175" s="18"/>
      <c r="AC175" s="18"/>
      <c r="AD175" s="18"/>
      <c r="AE175" s="18"/>
      <c r="AF175" s="18"/>
      <c r="AG175" s="18"/>
    </row>
    <row r="176" spans="1:33" x14ac:dyDescent="0.2">
      <c r="A176" s="1279"/>
      <c r="B176" s="1280"/>
      <c r="C176" s="18"/>
      <c r="D176" s="18"/>
      <c r="E176" s="18"/>
      <c r="F176" s="18"/>
      <c r="G176" s="18"/>
      <c r="H176" s="18"/>
      <c r="I176" s="18"/>
      <c r="J176" s="18"/>
      <c r="K176" s="18"/>
      <c r="L176" s="12"/>
      <c r="M176" s="18"/>
      <c r="N176" s="18"/>
      <c r="O176" s="18"/>
      <c r="P176" s="18"/>
      <c r="Q176" s="18"/>
      <c r="R176" s="18"/>
      <c r="S176" s="18"/>
      <c r="T176" s="18"/>
      <c r="U176" s="18"/>
      <c r="V176" s="18"/>
      <c r="W176" s="18"/>
      <c r="X176" s="18"/>
      <c r="Y176" s="18"/>
      <c r="Z176" s="18"/>
      <c r="AA176" s="18"/>
      <c r="AB176" s="18"/>
      <c r="AC176" s="18"/>
      <c r="AD176" s="18"/>
      <c r="AE176" s="18"/>
      <c r="AF176" s="18"/>
      <c r="AG176" s="18"/>
    </row>
    <row r="177" spans="1:33" x14ac:dyDescent="0.2">
      <c r="A177" s="1279"/>
      <c r="B177" s="1280"/>
      <c r="C177" s="18"/>
      <c r="D177" s="18"/>
      <c r="E177" s="18"/>
      <c r="F177" s="18"/>
      <c r="G177" s="18"/>
      <c r="H177" s="18"/>
      <c r="I177" s="18"/>
      <c r="J177" s="18"/>
      <c r="K177" s="18"/>
      <c r="L177" s="12"/>
      <c r="M177" s="18"/>
      <c r="N177" s="18"/>
      <c r="O177" s="18"/>
      <c r="P177" s="18"/>
      <c r="Q177" s="18"/>
      <c r="R177" s="18"/>
      <c r="S177" s="18"/>
      <c r="T177" s="18"/>
      <c r="U177" s="18"/>
      <c r="V177" s="18"/>
      <c r="W177" s="18"/>
      <c r="X177" s="18"/>
      <c r="Y177" s="18"/>
      <c r="Z177" s="18"/>
      <c r="AA177" s="18"/>
      <c r="AB177" s="18"/>
      <c r="AC177" s="18"/>
      <c r="AD177" s="18"/>
      <c r="AE177" s="18"/>
      <c r="AF177" s="18"/>
      <c r="AG177" s="18"/>
    </row>
    <row r="178" spans="1:33" x14ac:dyDescent="0.2">
      <c r="A178" s="1279"/>
      <c r="B178" s="1280"/>
      <c r="C178" s="18"/>
      <c r="D178" s="18"/>
      <c r="E178" s="18"/>
      <c r="F178" s="18"/>
      <c r="G178" s="18"/>
      <c r="H178" s="18"/>
      <c r="I178" s="18"/>
      <c r="J178" s="18"/>
      <c r="K178" s="18"/>
      <c r="L178" s="12"/>
      <c r="M178" s="18"/>
      <c r="N178" s="18"/>
      <c r="O178" s="18"/>
      <c r="P178" s="18"/>
      <c r="Q178" s="18"/>
      <c r="R178" s="18"/>
      <c r="S178" s="18"/>
      <c r="T178" s="18"/>
      <c r="U178" s="18"/>
      <c r="V178" s="18"/>
      <c r="W178" s="18"/>
      <c r="X178" s="18"/>
      <c r="Y178" s="18"/>
      <c r="Z178" s="18"/>
      <c r="AA178" s="18"/>
      <c r="AB178" s="18"/>
      <c r="AC178" s="18"/>
      <c r="AD178" s="18"/>
      <c r="AE178" s="18"/>
      <c r="AF178" s="18"/>
      <c r="AG178" s="18"/>
    </row>
    <row r="179" spans="1:33" x14ac:dyDescent="0.2">
      <c r="A179" s="1279"/>
      <c r="B179" s="1280"/>
      <c r="C179" s="18"/>
      <c r="D179" s="18"/>
      <c r="E179" s="18"/>
      <c r="F179" s="18"/>
      <c r="G179" s="18"/>
      <c r="H179" s="18"/>
      <c r="I179" s="18"/>
      <c r="J179" s="18"/>
      <c r="K179" s="18"/>
      <c r="L179" s="12"/>
      <c r="M179" s="18"/>
      <c r="N179" s="18"/>
      <c r="O179" s="18"/>
      <c r="P179" s="18"/>
      <c r="Q179" s="18"/>
      <c r="R179" s="18"/>
      <c r="S179" s="18"/>
      <c r="T179" s="18"/>
      <c r="U179" s="18"/>
      <c r="V179" s="18"/>
      <c r="W179" s="18"/>
      <c r="X179" s="18"/>
      <c r="Y179" s="18"/>
      <c r="Z179" s="18"/>
      <c r="AA179" s="18"/>
      <c r="AB179" s="18"/>
      <c r="AC179" s="18"/>
      <c r="AD179" s="18"/>
      <c r="AE179" s="18"/>
      <c r="AF179" s="18"/>
      <c r="AG179" s="18"/>
    </row>
    <row r="180" spans="1:33" x14ac:dyDescent="0.2">
      <c r="A180" s="1279"/>
      <c r="B180" s="1280"/>
      <c r="C180" s="18"/>
      <c r="D180" s="18"/>
      <c r="E180" s="18"/>
      <c r="F180" s="18"/>
      <c r="G180" s="18"/>
      <c r="H180" s="18"/>
      <c r="I180" s="18"/>
      <c r="J180" s="18"/>
      <c r="K180" s="18"/>
      <c r="L180" s="12"/>
      <c r="M180" s="18"/>
      <c r="N180" s="18"/>
      <c r="O180" s="18"/>
      <c r="P180" s="18"/>
      <c r="Q180" s="18"/>
      <c r="R180" s="18"/>
      <c r="S180" s="18"/>
      <c r="T180" s="18"/>
      <c r="U180" s="18"/>
      <c r="V180" s="18"/>
      <c r="W180" s="18"/>
      <c r="X180" s="18"/>
      <c r="Y180" s="18"/>
      <c r="Z180" s="18"/>
      <c r="AA180" s="18"/>
      <c r="AB180" s="18"/>
      <c r="AC180" s="18"/>
      <c r="AD180" s="18"/>
      <c r="AE180" s="18"/>
      <c r="AF180" s="18"/>
      <c r="AG180" s="18"/>
    </row>
    <row r="181" spans="1:33" x14ac:dyDescent="0.2">
      <c r="A181" s="1279"/>
      <c r="B181" s="1280"/>
      <c r="C181" s="18"/>
      <c r="D181" s="18"/>
      <c r="E181" s="18"/>
      <c r="F181" s="18"/>
      <c r="G181" s="18"/>
      <c r="H181" s="18"/>
      <c r="I181" s="18"/>
      <c r="J181" s="18"/>
      <c r="K181" s="18"/>
      <c r="L181" s="12"/>
      <c r="M181" s="18"/>
      <c r="N181" s="18"/>
      <c r="O181" s="18"/>
      <c r="P181" s="18"/>
      <c r="Q181" s="18"/>
      <c r="R181" s="18"/>
      <c r="S181" s="18"/>
      <c r="T181" s="18"/>
      <c r="U181" s="18"/>
      <c r="V181" s="18"/>
      <c r="W181" s="18"/>
      <c r="X181" s="18"/>
      <c r="Y181" s="18"/>
      <c r="Z181" s="18"/>
      <c r="AA181" s="18"/>
      <c r="AB181" s="18"/>
      <c r="AC181" s="18"/>
      <c r="AD181" s="18"/>
      <c r="AE181" s="18"/>
      <c r="AF181" s="18"/>
      <c r="AG181" s="18"/>
    </row>
    <row r="182" spans="1:33" x14ac:dyDescent="0.2">
      <c r="A182" s="1279"/>
      <c r="B182" s="1280"/>
      <c r="C182" s="18"/>
      <c r="D182" s="18"/>
      <c r="E182" s="18"/>
      <c r="F182" s="18"/>
      <c r="G182" s="18"/>
      <c r="H182" s="18"/>
      <c r="I182" s="18"/>
      <c r="J182" s="18"/>
      <c r="K182" s="18"/>
      <c r="L182" s="12"/>
      <c r="M182" s="18"/>
      <c r="N182" s="18"/>
      <c r="O182" s="18"/>
      <c r="P182" s="18"/>
      <c r="Q182" s="18"/>
      <c r="R182" s="18"/>
      <c r="S182" s="18"/>
      <c r="T182" s="18"/>
      <c r="U182" s="18"/>
      <c r="V182" s="18"/>
      <c r="W182" s="18"/>
      <c r="X182" s="18"/>
      <c r="Y182" s="18"/>
      <c r="Z182" s="18"/>
      <c r="AA182" s="18"/>
      <c r="AB182" s="18"/>
      <c r="AC182" s="18"/>
      <c r="AD182" s="18"/>
      <c r="AE182" s="18"/>
      <c r="AF182" s="18"/>
      <c r="AG182" s="18"/>
    </row>
    <row r="183" spans="1:33" x14ac:dyDescent="0.2">
      <c r="A183" s="1279"/>
      <c r="B183" s="1280"/>
      <c r="C183" s="18"/>
      <c r="D183" s="18"/>
      <c r="E183" s="18"/>
      <c r="F183" s="18"/>
      <c r="G183" s="18"/>
      <c r="H183" s="18"/>
      <c r="I183" s="18"/>
      <c r="J183" s="18"/>
      <c r="K183" s="18"/>
      <c r="L183" s="12"/>
      <c r="M183" s="18"/>
      <c r="N183" s="18"/>
      <c r="O183" s="18"/>
      <c r="P183" s="18"/>
      <c r="Q183" s="18"/>
      <c r="R183" s="18"/>
      <c r="S183" s="18"/>
      <c r="T183" s="18"/>
      <c r="U183" s="18"/>
      <c r="V183" s="18"/>
      <c r="W183" s="18"/>
      <c r="X183" s="18"/>
      <c r="Y183" s="18"/>
      <c r="Z183" s="18"/>
      <c r="AA183" s="18"/>
      <c r="AB183" s="18"/>
      <c r="AC183" s="18"/>
      <c r="AD183" s="18"/>
      <c r="AE183" s="18"/>
      <c r="AF183" s="18"/>
      <c r="AG183" s="18"/>
    </row>
    <row r="184" spans="1:33" x14ac:dyDescent="0.2">
      <c r="A184" s="1279"/>
      <c r="B184" s="1280"/>
      <c r="C184" s="18"/>
      <c r="D184" s="18"/>
      <c r="E184" s="18"/>
      <c r="F184" s="18"/>
      <c r="G184" s="18"/>
      <c r="H184" s="18"/>
      <c r="I184" s="18"/>
      <c r="J184" s="18"/>
      <c r="K184" s="18"/>
      <c r="L184" s="12"/>
      <c r="M184" s="18"/>
      <c r="N184" s="18"/>
      <c r="O184" s="18"/>
      <c r="P184" s="18"/>
      <c r="Q184" s="18"/>
      <c r="R184" s="18"/>
      <c r="S184" s="18"/>
      <c r="T184" s="18"/>
      <c r="U184" s="18"/>
      <c r="V184" s="18"/>
      <c r="W184" s="18"/>
      <c r="X184" s="18"/>
      <c r="Y184" s="18"/>
      <c r="Z184" s="18"/>
      <c r="AA184" s="18"/>
      <c r="AB184" s="18"/>
      <c r="AC184" s="18"/>
      <c r="AD184" s="18"/>
      <c r="AE184" s="18"/>
      <c r="AF184" s="18"/>
      <c r="AG184" s="18"/>
    </row>
    <row r="185" spans="1:33" x14ac:dyDescent="0.2">
      <c r="A185" s="1279"/>
      <c r="B185" s="1280"/>
      <c r="C185" s="18"/>
      <c r="D185" s="18"/>
      <c r="E185" s="18"/>
      <c r="F185" s="18"/>
      <c r="G185" s="18"/>
      <c r="H185" s="18"/>
      <c r="I185" s="18"/>
      <c r="J185" s="18"/>
      <c r="K185" s="18"/>
      <c r="L185" s="12"/>
      <c r="M185" s="18"/>
      <c r="N185" s="18"/>
      <c r="O185" s="18"/>
      <c r="P185" s="18"/>
      <c r="Q185" s="18"/>
      <c r="R185" s="18"/>
      <c r="S185" s="18"/>
      <c r="T185" s="18"/>
      <c r="U185" s="18"/>
      <c r="V185" s="18"/>
      <c r="W185" s="18"/>
      <c r="X185" s="18"/>
      <c r="Y185" s="18"/>
      <c r="Z185" s="18"/>
      <c r="AA185" s="18"/>
      <c r="AB185" s="18"/>
      <c r="AC185" s="18"/>
      <c r="AD185" s="18"/>
      <c r="AE185" s="18"/>
      <c r="AF185" s="18"/>
      <c r="AG185" s="18"/>
    </row>
    <row r="186" spans="1:33" x14ac:dyDescent="0.2">
      <c r="A186" s="1279"/>
      <c r="B186" s="1280"/>
      <c r="C186" s="18"/>
      <c r="D186" s="18"/>
      <c r="E186" s="18"/>
      <c r="F186" s="18"/>
      <c r="G186" s="18"/>
      <c r="H186" s="18"/>
      <c r="I186" s="18"/>
      <c r="J186" s="18"/>
      <c r="K186" s="18"/>
      <c r="L186" s="12"/>
      <c r="M186" s="18"/>
      <c r="N186" s="18"/>
      <c r="O186" s="18"/>
      <c r="P186" s="18"/>
      <c r="Q186" s="18"/>
      <c r="R186" s="18"/>
      <c r="S186" s="18"/>
      <c r="T186" s="18"/>
      <c r="U186" s="18"/>
      <c r="V186" s="18"/>
      <c r="W186" s="18"/>
      <c r="X186" s="18"/>
      <c r="Y186" s="18"/>
      <c r="Z186" s="18"/>
      <c r="AA186" s="18"/>
      <c r="AB186" s="18"/>
      <c r="AC186" s="18"/>
      <c r="AD186" s="18"/>
      <c r="AE186" s="18"/>
      <c r="AF186" s="18"/>
      <c r="AG186" s="18"/>
    </row>
    <row r="187" spans="1:33" x14ac:dyDescent="0.2">
      <c r="A187" s="1279"/>
      <c r="B187" s="1280"/>
      <c r="C187" s="18"/>
      <c r="D187" s="18"/>
      <c r="E187" s="18"/>
      <c r="F187" s="18"/>
      <c r="G187" s="18"/>
      <c r="H187" s="18"/>
      <c r="I187" s="18"/>
      <c r="J187" s="18"/>
      <c r="K187" s="18"/>
      <c r="L187" s="12"/>
      <c r="M187" s="18"/>
      <c r="N187" s="18"/>
      <c r="O187" s="18"/>
      <c r="P187" s="18"/>
      <c r="Q187" s="18"/>
      <c r="R187" s="18"/>
      <c r="S187" s="18"/>
      <c r="T187" s="18"/>
      <c r="U187" s="18"/>
      <c r="V187" s="18"/>
      <c r="W187" s="18"/>
      <c r="X187" s="18"/>
      <c r="Y187" s="18"/>
      <c r="Z187" s="18"/>
      <c r="AA187" s="18"/>
      <c r="AB187" s="18"/>
      <c r="AC187" s="18"/>
      <c r="AD187" s="18"/>
      <c r="AE187" s="18"/>
      <c r="AF187" s="18"/>
      <c r="AG187" s="18"/>
    </row>
    <row r="188" spans="1:33" x14ac:dyDescent="0.2">
      <c r="A188" s="1279"/>
      <c r="B188" s="1280"/>
      <c r="C188" s="18"/>
      <c r="D188" s="18"/>
      <c r="E188" s="18"/>
      <c r="F188" s="18"/>
      <c r="G188" s="18"/>
      <c r="H188" s="18"/>
      <c r="I188" s="18"/>
      <c r="J188" s="18"/>
      <c r="K188" s="18"/>
      <c r="L188" s="12"/>
      <c r="M188" s="18"/>
      <c r="N188" s="18"/>
      <c r="O188" s="18"/>
      <c r="P188" s="18"/>
      <c r="Q188" s="18"/>
      <c r="R188" s="18"/>
      <c r="S188" s="18"/>
      <c r="T188" s="18"/>
      <c r="U188" s="18"/>
      <c r="V188" s="18"/>
      <c r="W188" s="18"/>
      <c r="X188" s="18"/>
      <c r="Y188" s="18"/>
      <c r="Z188" s="18"/>
      <c r="AA188" s="18"/>
      <c r="AB188" s="18"/>
      <c r="AC188" s="18"/>
      <c r="AD188" s="18"/>
      <c r="AE188" s="18"/>
      <c r="AF188" s="18"/>
      <c r="AG188" s="18"/>
    </row>
    <row r="189" spans="1:33" x14ac:dyDescent="0.2">
      <c r="A189" s="1279"/>
      <c r="B189" s="1280"/>
      <c r="C189" s="18"/>
      <c r="D189" s="18"/>
      <c r="E189" s="18"/>
      <c r="F189" s="18"/>
      <c r="G189" s="18"/>
      <c r="H189" s="18"/>
      <c r="I189" s="18"/>
      <c r="J189" s="18"/>
      <c r="K189" s="18"/>
      <c r="L189" s="12"/>
      <c r="M189" s="18"/>
      <c r="N189" s="18"/>
      <c r="O189" s="18"/>
      <c r="P189" s="18"/>
      <c r="Q189" s="18"/>
      <c r="R189" s="18"/>
      <c r="S189" s="18"/>
      <c r="T189" s="18"/>
      <c r="U189" s="18"/>
      <c r="V189" s="18"/>
      <c r="W189" s="18"/>
      <c r="X189" s="18"/>
      <c r="Y189" s="18"/>
      <c r="Z189" s="18"/>
      <c r="AA189" s="18"/>
      <c r="AB189" s="18"/>
      <c r="AC189" s="18"/>
      <c r="AD189" s="18"/>
      <c r="AE189" s="18"/>
      <c r="AF189" s="18"/>
      <c r="AG189" s="18"/>
    </row>
    <row r="190" spans="1:33" x14ac:dyDescent="0.2">
      <c r="A190" s="1279"/>
      <c r="B190" s="1280"/>
      <c r="C190" s="18"/>
      <c r="D190" s="18"/>
      <c r="E190" s="18"/>
      <c r="F190" s="18"/>
      <c r="G190" s="18"/>
      <c r="H190" s="18"/>
      <c r="I190" s="18"/>
      <c r="J190" s="18"/>
      <c r="K190" s="18"/>
      <c r="L190" s="12"/>
      <c r="M190" s="18"/>
      <c r="N190" s="18"/>
      <c r="O190" s="18"/>
      <c r="P190" s="18"/>
      <c r="Q190" s="18"/>
      <c r="R190" s="18"/>
      <c r="S190" s="18"/>
      <c r="T190" s="18"/>
      <c r="U190" s="18"/>
      <c r="V190" s="18"/>
      <c r="W190" s="18"/>
      <c r="X190" s="18"/>
      <c r="Y190" s="18"/>
      <c r="Z190" s="18"/>
      <c r="AA190" s="18"/>
      <c r="AB190" s="18"/>
      <c r="AC190" s="18"/>
      <c r="AD190" s="18"/>
      <c r="AE190" s="18"/>
      <c r="AF190" s="18"/>
      <c r="AG190" s="18"/>
    </row>
    <row r="191" spans="1:33" x14ac:dyDescent="0.2">
      <c r="A191" s="1279"/>
      <c r="B191" s="1280"/>
      <c r="C191" s="18"/>
      <c r="D191" s="18"/>
      <c r="E191" s="18"/>
      <c r="F191" s="18"/>
      <c r="G191" s="18"/>
      <c r="H191" s="18"/>
      <c r="I191" s="18"/>
      <c r="J191" s="18"/>
      <c r="K191" s="18"/>
      <c r="L191" s="12"/>
      <c r="M191" s="18"/>
      <c r="N191" s="18"/>
      <c r="O191" s="18"/>
      <c r="P191" s="18"/>
      <c r="Q191" s="18"/>
      <c r="R191" s="18"/>
      <c r="S191" s="18"/>
      <c r="T191" s="18"/>
      <c r="U191" s="18"/>
      <c r="V191" s="18"/>
      <c r="W191" s="18"/>
      <c r="X191" s="18"/>
      <c r="Y191" s="18"/>
      <c r="Z191" s="18"/>
      <c r="AA191" s="18"/>
      <c r="AB191" s="18"/>
      <c r="AC191" s="18"/>
      <c r="AD191" s="18"/>
      <c r="AE191" s="18"/>
      <c r="AF191" s="18"/>
      <c r="AG191" s="18"/>
    </row>
    <row r="192" spans="1:33" x14ac:dyDescent="0.2">
      <c r="A192" s="1279"/>
      <c r="B192" s="1280"/>
      <c r="C192" s="18"/>
      <c r="D192" s="18"/>
      <c r="E192" s="18"/>
      <c r="F192" s="18"/>
      <c r="G192" s="18"/>
      <c r="H192" s="18"/>
      <c r="I192" s="18"/>
      <c r="J192" s="18"/>
      <c r="K192" s="18"/>
      <c r="L192" s="12"/>
      <c r="M192" s="18"/>
      <c r="N192" s="18"/>
      <c r="O192" s="18"/>
      <c r="P192" s="18"/>
      <c r="Q192" s="18"/>
      <c r="R192" s="18"/>
      <c r="S192" s="18"/>
      <c r="T192" s="18"/>
      <c r="U192" s="18"/>
      <c r="V192" s="18"/>
      <c r="W192" s="18"/>
      <c r="X192" s="18"/>
      <c r="Y192" s="18"/>
      <c r="Z192" s="18"/>
      <c r="AA192" s="18"/>
      <c r="AB192" s="18"/>
      <c r="AC192" s="18"/>
      <c r="AD192" s="18"/>
      <c r="AE192" s="18"/>
      <c r="AF192" s="18"/>
      <c r="AG192" s="18"/>
    </row>
    <row r="193" spans="1:33" x14ac:dyDescent="0.2">
      <c r="A193" s="1279"/>
      <c r="B193" s="1280"/>
      <c r="C193" s="18"/>
      <c r="D193" s="18"/>
      <c r="E193" s="18"/>
      <c r="F193" s="18"/>
      <c r="G193" s="18"/>
      <c r="H193" s="18"/>
      <c r="I193" s="18"/>
      <c r="J193" s="18"/>
      <c r="K193" s="18"/>
      <c r="L193" s="12"/>
      <c r="M193" s="18"/>
      <c r="N193" s="18"/>
      <c r="O193" s="18"/>
      <c r="P193" s="18"/>
      <c r="Q193" s="18"/>
      <c r="R193" s="18"/>
      <c r="S193" s="18"/>
      <c r="T193" s="18"/>
      <c r="U193" s="18"/>
      <c r="V193" s="18"/>
      <c r="W193" s="18"/>
      <c r="X193" s="18"/>
      <c r="Y193" s="18"/>
      <c r="Z193" s="18"/>
      <c r="AA193" s="18"/>
      <c r="AB193" s="18"/>
      <c r="AC193" s="18"/>
      <c r="AD193" s="18"/>
      <c r="AE193" s="18"/>
      <c r="AF193" s="18"/>
      <c r="AG193" s="18"/>
    </row>
    <row r="194" spans="1:33" x14ac:dyDescent="0.2">
      <c r="A194" s="1279"/>
      <c r="B194" s="1280"/>
      <c r="C194" s="18"/>
      <c r="D194" s="18"/>
      <c r="E194" s="18"/>
      <c r="F194" s="18"/>
      <c r="G194" s="18"/>
      <c r="H194" s="18"/>
      <c r="I194" s="18"/>
      <c r="J194" s="18"/>
      <c r="K194" s="18"/>
      <c r="L194" s="12"/>
      <c r="M194" s="18"/>
      <c r="N194" s="18"/>
      <c r="O194" s="18"/>
      <c r="P194" s="18"/>
      <c r="Q194" s="18"/>
      <c r="R194" s="18"/>
      <c r="S194" s="18"/>
      <c r="T194" s="18"/>
      <c r="U194" s="18"/>
      <c r="V194" s="18"/>
      <c r="W194" s="18"/>
      <c r="X194" s="18"/>
      <c r="Y194" s="18"/>
      <c r="Z194" s="18"/>
      <c r="AA194" s="18"/>
      <c r="AB194" s="18"/>
      <c r="AC194" s="18"/>
      <c r="AD194" s="18"/>
      <c r="AE194" s="18"/>
      <c r="AF194" s="18"/>
      <c r="AG194" s="18"/>
    </row>
    <row r="195" spans="1:33" x14ac:dyDescent="0.2">
      <c r="A195" s="1279"/>
      <c r="B195" s="1280"/>
      <c r="C195" s="18"/>
      <c r="D195" s="18"/>
      <c r="E195" s="18"/>
      <c r="F195" s="18"/>
      <c r="G195" s="18"/>
      <c r="H195" s="18"/>
      <c r="I195" s="18"/>
      <c r="J195" s="18"/>
      <c r="K195" s="18"/>
      <c r="L195" s="12"/>
      <c r="M195" s="18"/>
      <c r="N195" s="18"/>
      <c r="O195" s="18"/>
      <c r="P195" s="18"/>
      <c r="Q195" s="18"/>
      <c r="R195" s="18"/>
      <c r="S195" s="18"/>
      <c r="T195" s="18"/>
      <c r="U195" s="18"/>
      <c r="V195" s="18"/>
      <c r="W195" s="18"/>
      <c r="X195" s="18"/>
      <c r="Y195" s="18"/>
      <c r="Z195" s="18"/>
      <c r="AA195" s="18"/>
      <c r="AB195" s="18"/>
      <c r="AC195" s="18"/>
      <c r="AD195" s="18"/>
      <c r="AE195" s="18"/>
      <c r="AF195" s="18"/>
      <c r="AG195" s="18"/>
    </row>
    <row r="196" spans="1:33" x14ac:dyDescent="0.2">
      <c r="A196" s="1279"/>
      <c r="B196" s="1280"/>
      <c r="C196" s="18"/>
      <c r="D196" s="18"/>
      <c r="E196" s="18"/>
      <c r="F196" s="18"/>
      <c r="G196" s="18"/>
      <c r="H196" s="18"/>
      <c r="I196" s="18"/>
      <c r="J196" s="18"/>
      <c r="K196" s="18"/>
      <c r="L196" s="12"/>
      <c r="M196" s="18"/>
      <c r="N196" s="18"/>
      <c r="O196" s="18"/>
      <c r="P196" s="18"/>
      <c r="Q196" s="18"/>
      <c r="R196" s="18"/>
      <c r="S196" s="18"/>
      <c r="T196" s="18"/>
      <c r="U196" s="18"/>
      <c r="V196" s="18"/>
      <c r="W196" s="18"/>
      <c r="X196" s="18"/>
      <c r="Y196" s="18"/>
      <c r="Z196" s="18"/>
      <c r="AA196" s="18"/>
      <c r="AB196" s="18"/>
      <c r="AC196" s="18"/>
      <c r="AD196" s="18"/>
      <c r="AE196" s="18"/>
      <c r="AF196" s="18"/>
      <c r="AG196" s="18"/>
    </row>
    <row r="197" spans="1:33" x14ac:dyDescent="0.2">
      <c r="A197" s="1279"/>
      <c r="B197" s="1280"/>
      <c r="C197" s="18"/>
      <c r="D197" s="18"/>
      <c r="E197" s="18"/>
      <c r="F197" s="18"/>
      <c r="G197" s="18"/>
      <c r="H197" s="18"/>
      <c r="I197" s="18"/>
      <c r="J197" s="18"/>
      <c r="K197" s="18"/>
      <c r="L197" s="12"/>
      <c r="M197" s="18"/>
      <c r="N197" s="18"/>
      <c r="O197" s="18"/>
      <c r="P197" s="18"/>
      <c r="Q197" s="18"/>
      <c r="R197" s="18"/>
      <c r="S197" s="18"/>
      <c r="T197" s="18"/>
      <c r="U197" s="18"/>
      <c r="V197" s="18"/>
      <c r="W197" s="18"/>
      <c r="X197" s="18"/>
      <c r="Y197" s="18"/>
      <c r="Z197" s="18"/>
      <c r="AA197" s="18"/>
      <c r="AB197" s="18"/>
      <c r="AC197" s="18"/>
      <c r="AD197" s="18"/>
      <c r="AE197" s="18"/>
      <c r="AF197" s="18"/>
      <c r="AG197" s="18"/>
    </row>
    <row r="198" spans="1:33" x14ac:dyDescent="0.2">
      <c r="A198" s="1279"/>
      <c r="B198" s="1280"/>
      <c r="C198" s="18"/>
      <c r="D198" s="18"/>
      <c r="E198" s="18"/>
      <c r="F198" s="18"/>
      <c r="G198" s="18"/>
      <c r="H198" s="18"/>
      <c r="I198" s="18"/>
      <c r="J198" s="18"/>
      <c r="K198" s="18"/>
      <c r="L198" s="12"/>
      <c r="M198" s="18"/>
      <c r="N198" s="18"/>
      <c r="O198" s="18"/>
      <c r="P198" s="18"/>
      <c r="Q198" s="18"/>
      <c r="R198" s="18"/>
      <c r="S198" s="18"/>
      <c r="T198" s="18"/>
      <c r="U198" s="18"/>
      <c r="V198" s="18"/>
      <c r="W198" s="18"/>
      <c r="X198" s="18"/>
      <c r="Y198" s="18"/>
      <c r="Z198" s="18"/>
      <c r="AA198" s="18"/>
      <c r="AB198" s="18"/>
      <c r="AC198" s="18"/>
      <c r="AD198" s="18"/>
      <c r="AE198" s="18"/>
      <c r="AF198" s="18"/>
      <c r="AG198" s="18"/>
    </row>
    <row r="199" spans="1:33" x14ac:dyDescent="0.2">
      <c r="A199" s="1279"/>
      <c r="B199" s="1280"/>
      <c r="C199" s="18"/>
      <c r="D199" s="18"/>
      <c r="E199" s="18"/>
      <c r="F199" s="18"/>
      <c r="G199" s="18"/>
      <c r="H199" s="18"/>
      <c r="I199" s="18"/>
      <c r="J199" s="18"/>
      <c r="K199" s="18"/>
      <c r="L199" s="12"/>
      <c r="M199" s="18"/>
      <c r="N199" s="18"/>
      <c r="O199" s="18"/>
      <c r="P199" s="18"/>
      <c r="Q199" s="18"/>
      <c r="R199" s="18"/>
      <c r="S199" s="18"/>
      <c r="T199" s="18"/>
      <c r="U199" s="18"/>
      <c r="V199" s="18"/>
      <c r="W199" s="18"/>
      <c r="X199" s="18"/>
      <c r="Y199" s="18"/>
      <c r="Z199" s="18"/>
      <c r="AA199" s="18"/>
      <c r="AB199" s="18"/>
      <c r="AC199" s="18"/>
      <c r="AD199" s="18"/>
      <c r="AE199" s="18"/>
      <c r="AF199" s="18"/>
      <c r="AG199" s="18"/>
    </row>
    <row r="200" spans="1:33" x14ac:dyDescent="0.2">
      <c r="A200" s="1279"/>
      <c r="B200" s="1280"/>
      <c r="C200" s="18"/>
      <c r="D200" s="18"/>
      <c r="E200" s="18"/>
      <c r="F200" s="18"/>
      <c r="G200" s="18"/>
      <c r="H200" s="18"/>
      <c r="I200" s="18"/>
      <c r="J200" s="18"/>
      <c r="K200" s="18"/>
      <c r="L200" s="12"/>
      <c r="M200" s="18"/>
      <c r="N200" s="18"/>
      <c r="O200" s="18"/>
      <c r="P200" s="18"/>
      <c r="Q200" s="18"/>
      <c r="R200" s="18"/>
      <c r="S200" s="18"/>
      <c r="T200" s="18"/>
      <c r="U200" s="18"/>
      <c r="V200" s="18"/>
      <c r="W200" s="18"/>
      <c r="X200" s="18"/>
      <c r="Y200" s="18"/>
      <c r="Z200" s="18"/>
      <c r="AA200" s="18"/>
      <c r="AB200" s="18"/>
      <c r="AC200" s="18"/>
      <c r="AD200" s="18"/>
      <c r="AE200" s="18"/>
      <c r="AF200" s="18"/>
      <c r="AG200" s="18"/>
    </row>
    <row r="201" spans="1:33" x14ac:dyDescent="0.2">
      <c r="A201" s="1279"/>
      <c r="B201" s="1280"/>
      <c r="C201" s="18"/>
      <c r="D201" s="18"/>
      <c r="E201" s="18"/>
      <c r="F201" s="18"/>
      <c r="G201" s="18"/>
      <c r="H201" s="18"/>
      <c r="I201" s="18"/>
      <c r="J201" s="18"/>
      <c r="K201" s="18"/>
      <c r="L201" s="12"/>
      <c r="M201" s="18"/>
      <c r="N201" s="18"/>
      <c r="O201" s="18"/>
      <c r="P201" s="18"/>
      <c r="Q201" s="18"/>
      <c r="R201" s="18"/>
      <c r="S201" s="18"/>
      <c r="T201" s="18"/>
      <c r="U201" s="18"/>
      <c r="V201" s="18"/>
      <c r="W201" s="18"/>
      <c r="X201" s="18"/>
      <c r="Y201" s="18"/>
      <c r="Z201" s="18"/>
      <c r="AA201" s="18"/>
      <c r="AB201" s="18"/>
      <c r="AC201" s="18"/>
      <c r="AD201" s="18"/>
      <c r="AE201" s="18"/>
      <c r="AF201" s="18"/>
      <c r="AG201" s="18"/>
    </row>
    <row r="202" spans="1:33" x14ac:dyDescent="0.2">
      <c r="A202" s="1279"/>
      <c r="B202" s="1280"/>
      <c r="C202" s="18"/>
      <c r="D202" s="18"/>
      <c r="E202" s="18"/>
      <c r="F202" s="18"/>
      <c r="G202" s="18"/>
      <c r="H202" s="18"/>
      <c r="I202" s="18"/>
      <c r="J202" s="18"/>
      <c r="K202" s="18"/>
      <c r="L202" s="12"/>
      <c r="M202" s="18"/>
      <c r="N202" s="18"/>
      <c r="O202" s="18"/>
      <c r="P202" s="18"/>
      <c r="Q202" s="18"/>
      <c r="R202" s="18"/>
      <c r="S202" s="18"/>
      <c r="T202" s="18"/>
      <c r="U202" s="18"/>
      <c r="V202" s="18"/>
      <c r="W202" s="18"/>
      <c r="X202" s="18"/>
      <c r="Y202" s="18"/>
      <c r="Z202" s="18"/>
      <c r="AA202" s="18"/>
      <c r="AB202" s="18"/>
      <c r="AC202" s="18"/>
      <c r="AD202" s="18"/>
      <c r="AE202" s="18"/>
      <c r="AF202" s="18"/>
      <c r="AG202" s="18"/>
    </row>
    <row r="203" spans="1:33" x14ac:dyDescent="0.2">
      <c r="A203" s="1279"/>
      <c r="B203" s="1280"/>
      <c r="C203" s="18"/>
      <c r="D203" s="18"/>
      <c r="E203" s="18"/>
      <c r="F203" s="18"/>
      <c r="G203" s="18"/>
      <c r="H203" s="18"/>
      <c r="I203" s="18"/>
      <c r="J203" s="18"/>
      <c r="K203" s="18"/>
      <c r="L203" s="12"/>
      <c r="M203" s="18"/>
      <c r="N203" s="18"/>
      <c r="O203" s="18"/>
      <c r="P203" s="18"/>
      <c r="Q203" s="18"/>
      <c r="R203" s="18"/>
      <c r="S203" s="18"/>
      <c r="T203" s="18"/>
      <c r="U203" s="18"/>
      <c r="V203" s="18"/>
      <c r="W203" s="18"/>
      <c r="X203" s="18"/>
      <c r="Y203" s="18"/>
      <c r="Z203" s="18"/>
      <c r="AA203" s="18"/>
      <c r="AB203" s="18"/>
      <c r="AC203" s="18"/>
      <c r="AD203" s="18"/>
      <c r="AE203" s="18"/>
      <c r="AF203" s="18"/>
      <c r="AG203" s="18"/>
    </row>
    <row r="204" spans="1:33" x14ac:dyDescent="0.2">
      <c r="A204" s="1279"/>
      <c r="B204" s="1280"/>
      <c r="C204" s="18"/>
      <c r="D204" s="18"/>
      <c r="E204" s="18"/>
      <c r="F204" s="18"/>
      <c r="G204" s="18"/>
      <c r="H204" s="18"/>
      <c r="I204" s="18"/>
      <c r="J204" s="18"/>
      <c r="K204" s="18"/>
      <c r="L204" s="12"/>
      <c r="M204" s="18"/>
      <c r="N204" s="18"/>
      <c r="O204" s="18"/>
      <c r="P204" s="18"/>
      <c r="Q204" s="18"/>
      <c r="R204" s="18"/>
      <c r="S204" s="18"/>
      <c r="T204" s="18"/>
      <c r="U204" s="18"/>
      <c r="V204" s="18"/>
      <c r="W204" s="18"/>
      <c r="X204" s="18"/>
      <c r="Y204" s="18"/>
      <c r="Z204" s="18"/>
      <c r="AA204" s="18"/>
      <c r="AB204" s="18"/>
      <c r="AC204" s="18"/>
      <c r="AD204" s="18"/>
      <c r="AE204" s="18"/>
      <c r="AF204" s="18"/>
      <c r="AG204" s="18"/>
    </row>
    <row r="205" spans="1:33" x14ac:dyDescent="0.2">
      <c r="A205" s="1279"/>
      <c r="B205" s="1280"/>
      <c r="C205" s="18"/>
      <c r="D205" s="18"/>
      <c r="E205" s="18"/>
      <c r="F205" s="18"/>
      <c r="G205" s="18"/>
      <c r="H205" s="18"/>
      <c r="I205" s="18"/>
      <c r="J205" s="18"/>
      <c r="K205" s="18"/>
      <c r="L205" s="12"/>
      <c r="M205" s="18"/>
      <c r="N205" s="18"/>
      <c r="O205" s="18"/>
      <c r="P205" s="18"/>
      <c r="Q205" s="18"/>
      <c r="R205" s="18"/>
      <c r="S205" s="18"/>
      <c r="T205" s="18"/>
      <c r="U205" s="18"/>
      <c r="V205" s="18"/>
      <c r="W205" s="18"/>
      <c r="X205" s="18"/>
      <c r="Y205" s="18"/>
      <c r="Z205" s="18"/>
      <c r="AA205" s="18"/>
      <c r="AB205" s="18"/>
      <c r="AC205" s="18"/>
      <c r="AD205" s="18"/>
      <c r="AE205" s="18"/>
      <c r="AF205" s="18"/>
      <c r="AG205" s="18"/>
    </row>
    <row r="206" spans="1:33" x14ac:dyDescent="0.2">
      <c r="A206" s="1279"/>
      <c r="B206" s="1280"/>
      <c r="C206" s="18"/>
      <c r="D206" s="18"/>
      <c r="E206" s="18"/>
      <c r="F206" s="18"/>
      <c r="G206" s="18"/>
      <c r="H206" s="18"/>
      <c r="I206" s="18"/>
      <c r="J206" s="18"/>
      <c r="K206" s="18"/>
      <c r="L206" s="12"/>
      <c r="M206" s="18"/>
      <c r="N206" s="18"/>
      <c r="O206" s="18"/>
      <c r="P206" s="18"/>
      <c r="Q206" s="18"/>
      <c r="R206" s="18"/>
      <c r="S206" s="18"/>
      <c r="T206" s="18"/>
      <c r="U206" s="18"/>
      <c r="V206" s="18"/>
      <c r="W206" s="18"/>
      <c r="X206" s="18"/>
      <c r="Y206" s="18"/>
      <c r="Z206" s="18"/>
      <c r="AA206" s="18"/>
      <c r="AB206" s="18"/>
      <c r="AC206" s="18"/>
      <c r="AD206" s="18"/>
      <c r="AE206" s="18"/>
      <c r="AF206" s="18"/>
      <c r="AG206" s="18"/>
    </row>
    <row r="207" spans="1:33" x14ac:dyDescent="0.2">
      <c r="A207" s="1279"/>
      <c r="B207" s="1280"/>
      <c r="C207" s="18"/>
      <c r="D207" s="18"/>
      <c r="E207" s="18"/>
      <c r="F207" s="18"/>
      <c r="G207" s="18"/>
      <c r="H207" s="18"/>
      <c r="I207" s="18"/>
      <c r="J207" s="18"/>
      <c r="K207" s="18"/>
      <c r="L207" s="12"/>
      <c r="M207" s="18"/>
      <c r="N207" s="18"/>
      <c r="O207" s="18"/>
      <c r="P207" s="18"/>
      <c r="Q207" s="18"/>
      <c r="R207" s="18"/>
      <c r="S207" s="18"/>
      <c r="T207" s="18"/>
      <c r="U207" s="18"/>
      <c r="V207" s="18"/>
      <c r="W207" s="18"/>
      <c r="X207" s="18"/>
      <c r="Y207" s="18"/>
      <c r="Z207" s="18"/>
      <c r="AA207" s="18"/>
      <c r="AB207" s="18"/>
      <c r="AC207" s="18"/>
      <c r="AD207" s="18"/>
      <c r="AE207" s="18"/>
      <c r="AF207" s="18"/>
      <c r="AG207" s="18"/>
    </row>
    <row r="208" spans="1:33" x14ac:dyDescent="0.2">
      <c r="A208" s="1279"/>
      <c r="B208" s="1280"/>
      <c r="C208" s="18"/>
      <c r="D208" s="18"/>
      <c r="E208" s="18"/>
      <c r="F208" s="18"/>
      <c r="G208" s="18"/>
      <c r="H208" s="18"/>
      <c r="I208" s="18"/>
      <c r="J208" s="18"/>
      <c r="K208" s="18"/>
      <c r="L208" s="12"/>
      <c r="M208" s="18"/>
      <c r="N208" s="18"/>
      <c r="O208" s="18"/>
      <c r="P208" s="18"/>
      <c r="Q208" s="18"/>
      <c r="R208" s="18"/>
      <c r="S208" s="18"/>
      <c r="T208" s="18"/>
      <c r="U208" s="18"/>
      <c r="V208" s="18"/>
      <c r="W208" s="18"/>
      <c r="X208" s="18"/>
      <c r="Y208" s="18"/>
      <c r="Z208" s="18"/>
      <c r="AA208" s="18"/>
      <c r="AB208" s="18"/>
      <c r="AC208" s="18"/>
      <c r="AD208" s="18"/>
      <c r="AE208" s="18"/>
      <c r="AF208" s="18"/>
      <c r="AG208" s="18"/>
    </row>
    <row r="209" spans="1:33" x14ac:dyDescent="0.2">
      <c r="A209" s="1279"/>
      <c r="B209" s="1280"/>
      <c r="C209" s="18"/>
      <c r="D209" s="18"/>
      <c r="E209" s="18"/>
      <c r="F209" s="18"/>
      <c r="G209" s="18"/>
      <c r="H209" s="18"/>
      <c r="I209" s="18"/>
      <c r="J209" s="18"/>
      <c r="K209" s="18"/>
      <c r="L209" s="12"/>
      <c r="M209" s="18"/>
      <c r="N209" s="18"/>
      <c r="O209" s="18"/>
      <c r="P209" s="18"/>
      <c r="Q209" s="18"/>
      <c r="R209" s="18"/>
      <c r="S209" s="18"/>
      <c r="T209" s="18"/>
      <c r="U209" s="18"/>
      <c r="V209" s="18"/>
      <c r="W209" s="18"/>
      <c r="X209" s="18"/>
      <c r="Y209" s="18"/>
      <c r="Z209" s="18"/>
      <c r="AA209" s="18"/>
      <c r="AB209" s="18"/>
      <c r="AC209" s="18"/>
      <c r="AD209" s="18"/>
      <c r="AE209" s="18"/>
      <c r="AF209" s="18"/>
      <c r="AG209" s="18"/>
    </row>
    <row r="210" spans="1:33" x14ac:dyDescent="0.2">
      <c r="A210" s="1279"/>
      <c r="B210" s="1280"/>
      <c r="C210" s="18"/>
      <c r="D210" s="18"/>
      <c r="E210" s="18"/>
      <c r="F210" s="18"/>
      <c r="G210" s="18"/>
      <c r="H210" s="18"/>
      <c r="I210" s="18"/>
      <c r="J210" s="18"/>
      <c r="K210" s="18"/>
      <c r="L210" s="12"/>
      <c r="M210" s="18"/>
      <c r="N210" s="18"/>
      <c r="O210" s="18"/>
      <c r="P210" s="18"/>
      <c r="Q210" s="18"/>
      <c r="R210" s="18"/>
      <c r="S210" s="18"/>
      <c r="T210" s="18"/>
      <c r="U210" s="18"/>
      <c r="V210" s="18"/>
      <c r="W210" s="18"/>
      <c r="X210" s="18"/>
      <c r="Y210" s="18"/>
      <c r="Z210" s="18"/>
      <c r="AA210" s="18"/>
      <c r="AB210" s="18"/>
      <c r="AC210" s="18"/>
      <c r="AD210" s="18"/>
      <c r="AE210" s="18"/>
      <c r="AF210" s="18"/>
      <c r="AG210" s="18"/>
    </row>
    <row r="211" spans="1:33" x14ac:dyDescent="0.2">
      <c r="A211" s="1279"/>
      <c r="B211" s="1280"/>
      <c r="C211" s="18"/>
      <c r="D211" s="18"/>
      <c r="E211" s="18"/>
      <c r="F211" s="18"/>
      <c r="G211" s="18"/>
      <c r="H211" s="18"/>
      <c r="I211" s="18"/>
      <c r="J211" s="18"/>
      <c r="K211" s="18"/>
      <c r="L211" s="12"/>
      <c r="M211" s="18"/>
      <c r="N211" s="18"/>
      <c r="O211" s="18"/>
      <c r="P211" s="18"/>
      <c r="Q211" s="18"/>
      <c r="R211" s="18"/>
      <c r="S211" s="18"/>
      <c r="T211" s="18"/>
      <c r="U211" s="18"/>
      <c r="V211" s="18"/>
      <c r="W211" s="18"/>
      <c r="X211" s="18"/>
      <c r="Y211" s="18"/>
      <c r="Z211" s="18"/>
      <c r="AA211" s="18"/>
      <c r="AB211" s="18"/>
      <c r="AC211" s="18"/>
      <c r="AD211" s="18"/>
      <c r="AE211" s="18"/>
      <c r="AF211" s="18"/>
      <c r="AG211" s="18"/>
    </row>
    <row r="212" spans="1:33" x14ac:dyDescent="0.2">
      <c r="A212" s="1279"/>
      <c r="B212" s="1280"/>
      <c r="C212" s="18"/>
      <c r="D212" s="18"/>
      <c r="E212" s="18"/>
      <c r="F212" s="18"/>
      <c r="G212" s="18"/>
      <c r="H212" s="18"/>
      <c r="I212" s="18"/>
      <c r="J212" s="18"/>
      <c r="K212" s="18"/>
      <c r="L212" s="12"/>
      <c r="M212" s="18"/>
      <c r="N212" s="18"/>
      <c r="O212" s="18"/>
      <c r="P212" s="18"/>
      <c r="Q212" s="18"/>
      <c r="R212" s="18"/>
      <c r="S212" s="18"/>
      <c r="T212" s="18"/>
      <c r="U212" s="18"/>
      <c r="V212" s="18"/>
      <c r="W212" s="18"/>
      <c r="X212" s="18"/>
      <c r="Y212" s="18"/>
      <c r="Z212" s="18"/>
      <c r="AA212" s="18"/>
      <c r="AB212" s="18"/>
      <c r="AC212" s="18"/>
      <c r="AD212" s="18"/>
      <c r="AE212" s="18"/>
      <c r="AF212" s="18"/>
      <c r="AG212" s="18"/>
    </row>
    <row r="213" spans="1:33" x14ac:dyDescent="0.2">
      <c r="A213" s="1279"/>
      <c r="B213" s="1280"/>
      <c r="C213" s="18"/>
      <c r="D213" s="18"/>
      <c r="E213" s="18"/>
      <c r="F213" s="18"/>
      <c r="G213" s="18"/>
      <c r="H213" s="18"/>
      <c r="I213" s="18"/>
      <c r="J213" s="18"/>
      <c r="K213" s="18"/>
      <c r="L213" s="12"/>
      <c r="M213" s="18"/>
      <c r="N213" s="18"/>
      <c r="O213" s="18"/>
      <c r="P213" s="18"/>
      <c r="Q213" s="18"/>
      <c r="R213" s="18"/>
      <c r="S213" s="18"/>
      <c r="T213" s="18"/>
      <c r="U213" s="18"/>
      <c r="V213" s="18"/>
      <c r="W213" s="18"/>
      <c r="X213" s="18"/>
      <c r="Y213" s="18"/>
      <c r="Z213" s="18"/>
      <c r="AA213" s="18"/>
      <c r="AB213" s="18"/>
      <c r="AC213" s="18"/>
      <c r="AD213" s="18"/>
      <c r="AE213" s="18"/>
      <c r="AF213" s="18"/>
      <c r="AG213" s="18"/>
    </row>
    <row r="214" spans="1:33" x14ac:dyDescent="0.2">
      <c r="A214" s="1279"/>
      <c r="B214" s="1280"/>
      <c r="C214" s="18"/>
      <c r="D214" s="18"/>
      <c r="E214" s="18"/>
      <c r="F214" s="18"/>
      <c r="G214" s="18"/>
      <c r="H214" s="18"/>
      <c r="I214" s="18"/>
      <c r="J214" s="18"/>
      <c r="K214" s="18"/>
      <c r="L214" s="12"/>
      <c r="M214" s="18"/>
      <c r="N214" s="18"/>
      <c r="O214" s="18"/>
      <c r="P214" s="18"/>
      <c r="Q214" s="18"/>
      <c r="R214" s="18"/>
      <c r="S214" s="18"/>
      <c r="T214" s="18"/>
      <c r="U214" s="18"/>
      <c r="V214" s="18"/>
      <c r="W214" s="18"/>
      <c r="X214" s="18"/>
      <c r="Y214" s="18"/>
      <c r="Z214" s="18"/>
      <c r="AA214" s="18"/>
      <c r="AB214" s="18"/>
      <c r="AC214" s="18"/>
      <c r="AD214" s="18"/>
      <c r="AE214" s="18"/>
      <c r="AF214" s="18"/>
      <c r="AG214" s="18"/>
    </row>
    <row r="215" spans="1:33" x14ac:dyDescent="0.2">
      <c r="A215" s="1279"/>
      <c r="B215" s="1280"/>
      <c r="C215" s="18"/>
      <c r="D215" s="18"/>
      <c r="E215" s="18"/>
      <c r="F215" s="18"/>
      <c r="G215" s="18"/>
      <c r="H215" s="18"/>
      <c r="I215" s="18"/>
      <c r="J215" s="18"/>
      <c r="K215" s="18"/>
      <c r="L215" s="12"/>
      <c r="M215" s="18"/>
      <c r="N215" s="18"/>
      <c r="O215" s="18"/>
      <c r="P215" s="18"/>
      <c r="Q215" s="18"/>
      <c r="R215" s="18"/>
      <c r="S215" s="18"/>
      <c r="T215" s="18"/>
      <c r="U215" s="18"/>
      <c r="V215" s="18"/>
      <c r="W215" s="18"/>
      <c r="X215" s="18"/>
      <c r="Y215" s="18"/>
      <c r="Z215" s="18"/>
      <c r="AA215" s="18"/>
      <c r="AB215" s="18"/>
      <c r="AC215" s="18"/>
      <c r="AD215" s="18"/>
      <c r="AE215" s="18"/>
      <c r="AF215" s="18"/>
      <c r="AG215" s="18"/>
    </row>
    <row r="216" spans="1:33" x14ac:dyDescent="0.2">
      <c r="A216" s="1279"/>
      <c r="B216" s="1280"/>
      <c r="C216" s="18"/>
      <c r="D216" s="18"/>
      <c r="E216" s="18"/>
      <c r="F216" s="18"/>
      <c r="G216" s="18"/>
      <c r="H216" s="18"/>
      <c r="I216" s="18"/>
      <c r="J216" s="18"/>
      <c r="K216" s="18"/>
      <c r="L216" s="12"/>
      <c r="M216" s="18"/>
      <c r="N216" s="18"/>
      <c r="O216" s="18"/>
      <c r="P216" s="18"/>
      <c r="Q216" s="18"/>
      <c r="R216" s="18"/>
      <c r="S216" s="18"/>
      <c r="T216" s="18"/>
      <c r="U216" s="18"/>
      <c r="V216" s="18"/>
      <c r="W216" s="18"/>
      <c r="X216" s="18"/>
      <c r="Y216" s="18"/>
      <c r="Z216" s="18"/>
      <c r="AA216" s="18"/>
      <c r="AB216" s="18"/>
      <c r="AC216" s="18"/>
      <c r="AD216" s="18"/>
      <c r="AE216" s="18"/>
      <c r="AF216" s="18"/>
      <c r="AG216" s="18"/>
    </row>
    <row r="217" spans="1:33" x14ac:dyDescent="0.2">
      <c r="A217" s="1279"/>
      <c r="B217" s="1280"/>
      <c r="C217" s="18"/>
      <c r="D217" s="18"/>
      <c r="E217" s="18"/>
      <c r="F217" s="18"/>
      <c r="G217" s="18"/>
      <c r="H217" s="18"/>
      <c r="I217" s="18"/>
      <c r="J217" s="18"/>
      <c r="K217" s="18"/>
      <c r="L217" s="12"/>
      <c r="M217" s="18"/>
      <c r="N217" s="18"/>
      <c r="O217" s="18"/>
      <c r="P217" s="18"/>
      <c r="Q217" s="18"/>
      <c r="R217" s="18"/>
      <c r="S217" s="18"/>
      <c r="T217" s="18"/>
      <c r="U217" s="18"/>
      <c r="V217" s="18"/>
      <c r="W217" s="18"/>
      <c r="X217" s="18"/>
      <c r="Y217" s="18"/>
      <c r="Z217" s="18"/>
      <c r="AA217" s="18"/>
      <c r="AB217" s="18"/>
      <c r="AC217" s="18"/>
      <c r="AD217" s="18"/>
      <c r="AE217" s="18"/>
      <c r="AF217" s="18"/>
      <c r="AG217" s="18"/>
    </row>
    <row r="218" spans="1:33" x14ac:dyDescent="0.2">
      <c r="A218" s="1279"/>
      <c r="B218" s="1280"/>
      <c r="C218" s="18"/>
      <c r="D218" s="18"/>
      <c r="E218" s="18"/>
      <c r="F218" s="18"/>
      <c r="G218" s="18"/>
      <c r="H218" s="18"/>
      <c r="I218" s="18"/>
      <c r="J218" s="18"/>
      <c r="K218" s="18"/>
      <c r="L218" s="12"/>
      <c r="M218" s="18"/>
      <c r="N218" s="18"/>
      <c r="O218" s="18"/>
      <c r="P218" s="18"/>
      <c r="Q218" s="18"/>
      <c r="R218" s="18"/>
      <c r="S218" s="18"/>
      <c r="T218" s="18"/>
      <c r="U218" s="18"/>
      <c r="V218" s="18"/>
      <c r="W218" s="18"/>
      <c r="X218" s="18"/>
      <c r="Y218" s="18"/>
      <c r="Z218" s="18"/>
      <c r="AA218" s="18"/>
      <c r="AB218" s="18"/>
      <c r="AC218" s="18"/>
      <c r="AD218" s="18"/>
      <c r="AE218" s="18"/>
      <c r="AF218" s="18"/>
      <c r="AG218" s="18"/>
    </row>
    <row r="219" spans="1:33" x14ac:dyDescent="0.2">
      <c r="A219" s="1279"/>
      <c r="B219" s="1280"/>
      <c r="C219" s="18"/>
      <c r="D219" s="18"/>
      <c r="E219" s="18"/>
      <c r="F219" s="18"/>
      <c r="G219" s="18"/>
      <c r="H219" s="18"/>
      <c r="I219" s="18"/>
      <c r="J219" s="18"/>
      <c r="K219" s="18"/>
      <c r="L219" s="12"/>
      <c r="M219" s="18"/>
      <c r="N219" s="18"/>
      <c r="O219" s="18"/>
      <c r="P219" s="18"/>
      <c r="Q219" s="18"/>
      <c r="R219" s="18"/>
      <c r="S219" s="18"/>
      <c r="T219" s="18"/>
      <c r="U219" s="18"/>
      <c r="V219" s="18"/>
      <c r="W219" s="18"/>
      <c r="X219" s="18"/>
      <c r="Y219" s="18"/>
      <c r="Z219" s="18"/>
      <c r="AA219" s="18"/>
      <c r="AB219" s="18"/>
      <c r="AC219" s="18"/>
      <c r="AD219" s="18"/>
      <c r="AE219" s="18"/>
      <c r="AF219" s="18"/>
      <c r="AG219" s="18"/>
    </row>
    <row r="220" spans="1:33" x14ac:dyDescent="0.2">
      <c r="A220" s="1279"/>
      <c r="B220" s="1280"/>
      <c r="C220" s="18"/>
      <c r="D220" s="18"/>
      <c r="E220" s="18"/>
      <c r="F220" s="18"/>
      <c r="G220" s="18"/>
      <c r="H220" s="18"/>
      <c r="I220" s="18"/>
      <c r="J220" s="18"/>
      <c r="K220" s="18"/>
      <c r="L220" s="12"/>
      <c r="M220" s="18"/>
      <c r="N220" s="18"/>
      <c r="O220" s="18"/>
      <c r="P220" s="18"/>
      <c r="Q220" s="18"/>
      <c r="R220" s="18"/>
      <c r="S220" s="18"/>
      <c r="T220" s="18"/>
      <c r="U220" s="18"/>
      <c r="V220" s="18"/>
      <c r="W220" s="18"/>
      <c r="X220" s="18"/>
      <c r="Y220" s="18"/>
      <c r="Z220" s="18"/>
      <c r="AA220" s="18"/>
      <c r="AB220" s="18"/>
      <c r="AC220" s="18"/>
      <c r="AD220" s="18"/>
      <c r="AE220" s="18"/>
      <c r="AF220" s="18"/>
      <c r="AG220" s="18"/>
    </row>
    <row r="221" spans="1:33" x14ac:dyDescent="0.2">
      <c r="A221" s="1279"/>
      <c r="B221" s="1280"/>
      <c r="C221" s="18"/>
      <c r="D221" s="18"/>
      <c r="E221" s="18"/>
      <c r="F221" s="18"/>
      <c r="G221" s="18"/>
      <c r="H221" s="18"/>
      <c r="I221" s="18"/>
      <c r="J221" s="18"/>
      <c r="K221" s="18"/>
      <c r="L221" s="12"/>
      <c r="M221" s="18"/>
      <c r="N221" s="18"/>
      <c r="O221" s="18"/>
      <c r="P221" s="18"/>
      <c r="Q221" s="18"/>
      <c r="R221" s="18"/>
      <c r="S221" s="18"/>
      <c r="T221" s="18"/>
      <c r="U221" s="18"/>
      <c r="V221" s="18"/>
      <c r="W221" s="18"/>
      <c r="X221" s="18"/>
      <c r="Y221" s="18"/>
      <c r="Z221" s="18"/>
      <c r="AA221" s="18"/>
      <c r="AB221" s="18"/>
      <c r="AC221" s="18"/>
      <c r="AD221" s="18"/>
      <c r="AE221" s="18"/>
      <c r="AF221" s="18"/>
      <c r="AG221" s="18"/>
    </row>
    <row r="222" spans="1:33" x14ac:dyDescent="0.2">
      <c r="A222" s="1279"/>
      <c r="B222" s="1280"/>
      <c r="C222" s="18"/>
      <c r="D222" s="18"/>
      <c r="E222" s="18"/>
      <c r="F222" s="18"/>
      <c r="G222" s="18"/>
      <c r="H222" s="18"/>
      <c r="I222" s="18"/>
      <c r="J222" s="18"/>
      <c r="K222" s="18"/>
      <c r="L222" s="12"/>
      <c r="M222" s="18"/>
      <c r="N222" s="18"/>
      <c r="O222" s="18"/>
      <c r="P222" s="18"/>
      <c r="Q222" s="18"/>
      <c r="R222" s="18"/>
      <c r="S222" s="18"/>
      <c r="T222" s="18"/>
      <c r="U222" s="18"/>
      <c r="V222" s="18"/>
      <c r="W222" s="18"/>
      <c r="X222" s="18"/>
      <c r="Y222" s="18"/>
      <c r="Z222" s="18"/>
      <c r="AA222" s="18"/>
      <c r="AB222" s="18"/>
      <c r="AC222" s="18"/>
      <c r="AD222" s="18"/>
      <c r="AE222" s="18"/>
      <c r="AF222" s="18"/>
      <c r="AG222" s="18"/>
    </row>
    <row r="223" spans="1:33" x14ac:dyDescent="0.2">
      <c r="A223" s="1279"/>
      <c r="B223" s="1280"/>
      <c r="C223" s="18"/>
      <c r="D223" s="18"/>
      <c r="E223" s="18"/>
      <c r="F223" s="18"/>
      <c r="G223" s="18"/>
      <c r="H223" s="18"/>
      <c r="I223" s="18"/>
      <c r="J223" s="18"/>
      <c r="K223" s="18"/>
      <c r="L223" s="12"/>
      <c r="M223" s="18"/>
      <c r="N223" s="18"/>
      <c r="O223" s="18"/>
      <c r="P223" s="18"/>
      <c r="Q223" s="18"/>
      <c r="R223" s="18"/>
      <c r="S223" s="18"/>
      <c r="T223" s="18"/>
      <c r="U223" s="18"/>
      <c r="V223" s="18"/>
      <c r="W223" s="18"/>
      <c r="X223" s="18"/>
      <c r="Y223" s="18"/>
      <c r="Z223" s="18"/>
      <c r="AA223" s="18"/>
      <c r="AB223" s="18"/>
      <c r="AC223" s="18"/>
      <c r="AD223" s="18"/>
      <c r="AE223" s="18"/>
      <c r="AF223" s="18"/>
      <c r="AG223" s="18"/>
    </row>
    <row r="224" spans="1:33" x14ac:dyDescent="0.2">
      <c r="A224" s="1279"/>
      <c r="B224" s="1280"/>
      <c r="C224" s="18"/>
      <c r="D224" s="18"/>
      <c r="E224" s="18"/>
      <c r="F224" s="18"/>
      <c r="G224" s="18"/>
      <c r="H224" s="18"/>
      <c r="I224" s="18"/>
      <c r="J224" s="18"/>
      <c r="K224" s="18"/>
      <c r="L224" s="12"/>
      <c r="M224" s="18"/>
      <c r="N224" s="18"/>
      <c r="O224" s="18"/>
      <c r="P224" s="18"/>
      <c r="Q224" s="18"/>
      <c r="R224" s="18"/>
      <c r="S224" s="18"/>
      <c r="T224" s="18"/>
      <c r="U224" s="18"/>
      <c r="V224" s="18"/>
      <c r="W224" s="18"/>
      <c r="X224" s="18"/>
      <c r="Y224" s="18"/>
      <c r="Z224" s="18"/>
      <c r="AA224" s="18"/>
      <c r="AB224" s="18"/>
      <c r="AC224" s="18"/>
      <c r="AD224" s="18"/>
      <c r="AE224" s="18"/>
      <c r="AF224" s="18"/>
      <c r="AG224" s="18"/>
    </row>
    <row r="225" spans="1:33" x14ac:dyDescent="0.2">
      <c r="A225" s="1279"/>
      <c r="B225" s="1280"/>
      <c r="C225" s="18"/>
      <c r="D225" s="18"/>
      <c r="E225" s="18"/>
      <c r="F225" s="18"/>
      <c r="G225" s="18"/>
      <c r="H225" s="18"/>
      <c r="I225" s="18"/>
      <c r="J225" s="18"/>
      <c r="K225" s="18"/>
      <c r="L225" s="12"/>
      <c r="M225" s="18"/>
      <c r="N225" s="18"/>
      <c r="O225" s="18"/>
      <c r="P225" s="18"/>
      <c r="Q225" s="18"/>
      <c r="R225" s="18"/>
      <c r="S225" s="18"/>
      <c r="T225" s="18"/>
      <c r="U225" s="18"/>
      <c r="V225" s="18"/>
      <c r="W225" s="18"/>
      <c r="X225" s="18"/>
      <c r="Y225" s="18"/>
      <c r="Z225" s="18"/>
      <c r="AA225" s="18"/>
      <c r="AB225" s="18"/>
      <c r="AC225" s="18"/>
      <c r="AD225" s="18"/>
      <c r="AE225" s="18"/>
      <c r="AF225" s="18"/>
      <c r="AG225" s="18"/>
    </row>
    <row r="226" spans="1:33" x14ac:dyDescent="0.2">
      <c r="A226" s="1279"/>
      <c r="B226" s="1280"/>
      <c r="C226" s="18"/>
      <c r="D226" s="18"/>
      <c r="E226" s="18"/>
      <c r="F226" s="18"/>
      <c r="G226" s="18"/>
      <c r="H226" s="18"/>
      <c r="I226" s="18"/>
      <c r="J226" s="18"/>
      <c r="K226" s="18"/>
      <c r="L226" s="12"/>
      <c r="M226" s="18"/>
      <c r="N226" s="18"/>
      <c r="O226" s="18"/>
      <c r="P226" s="18"/>
      <c r="Q226" s="18"/>
      <c r="R226" s="18"/>
      <c r="S226" s="18"/>
      <c r="T226" s="18"/>
      <c r="U226" s="18"/>
      <c r="V226" s="18"/>
      <c r="W226" s="18"/>
      <c r="X226" s="18"/>
      <c r="Y226" s="18"/>
      <c r="Z226" s="18"/>
      <c r="AA226" s="18"/>
      <c r="AB226" s="18"/>
      <c r="AC226" s="18"/>
      <c r="AD226" s="18"/>
      <c r="AE226" s="18"/>
      <c r="AF226" s="18"/>
      <c r="AG226" s="18"/>
    </row>
    <row r="227" spans="1:33" x14ac:dyDescent="0.2">
      <c r="A227" s="1279"/>
      <c r="B227" s="1280"/>
      <c r="C227" s="18"/>
      <c r="D227" s="18"/>
      <c r="E227" s="18"/>
      <c r="F227" s="18"/>
      <c r="G227" s="18"/>
      <c r="H227" s="18"/>
      <c r="I227" s="18"/>
      <c r="J227" s="18"/>
      <c r="K227" s="18"/>
      <c r="L227" s="12"/>
      <c r="M227" s="18"/>
      <c r="N227" s="18"/>
      <c r="O227" s="18"/>
      <c r="P227" s="18"/>
      <c r="Q227" s="18"/>
      <c r="R227" s="18"/>
      <c r="S227" s="18"/>
      <c r="T227" s="18"/>
      <c r="U227" s="18"/>
      <c r="V227" s="18"/>
      <c r="W227" s="18"/>
      <c r="X227" s="18"/>
      <c r="Y227" s="18"/>
      <c r="Z227" s="18"/>
      <c r="AA227" s="18"/>
      <c r="AB227" s="18"/>
      <c r="AC227" s="18"/>
      <c r="AD227" s="18"/>
      <c r="AE227" s="18"/>
      <c r="AF227" s="18"/>
      <c r="AG227" s="18"/>
    </row>
    <row r="228" spans="1:33" x14ac:dyDescent="0.2">
      <c r="A228" s="1279"/>
      <c r="B228" s="1280"/>
      <c r="C228" s="18"/>
      <c r="D228" s="18"/>
      <c r="E228" s="18"/>
      <c r="F228" s="18"/>
      <c r="G228" s="18"/>
      <c r="H228" s="18"/>
      <c r="I228" s="18"/>
      <c r="J228" s="18"/>
      <c r="K228" s="18"/>
      <c r="L228" s="12"/>
      <c r="M228" s="18"/>
      <c r="N228" s="18"/>
      <c r="O228" s="18"/>
      <c r="P228" s="18"/>
      <c r="Q228" s="18"/>
      <c r="R228" s="18"/>
      <c r="S228" s="18"/>
      <c r="T228" s="18"/>
      <c r="U228" s="18"/>
      <c r="V228" s="18"/>
      <c r="W228" s="18"/>
      <c r="X228" s="18"/>
      <c r="Y228" s="18"/>
      <c r="Z228" s="18"/>
      <c r="AA228" s="18"/>
      <c r="AB228" s="18"/>
      <c r="AC228" s="18"/>
      <c r="AD228" s="18"/>
      <c r="AE228" s="18"/>
      <c r="AF228" s="18"/>
      <c r="AG228" s="18"/>
    </row>
    <row r="229" spans="1:33" x14ac:dyDescent="0.2">
      <c r="A229" s="1279"/>
      <c r="B229" s="1280"/>
      <c r="C229" s="18"/>
      <c r="D229" s="18"/>
      <c r="E229" s="18"/>
      <c r="F229" s="18"/>
      <c r="G229" s="18"/>
      <c r="H229" s="18"/>
      <c r="I229" s="18"/>
      <c r="J229" s="18"/>
      <c r="K229" s="18"/>
      <c r="L229" s="12"/>
      <c r="M229" s="18"/>
      <c r="N229" s="18"/>
      <c r="O229" s="18"/>
      <c r="P229" s="18"/>
      <c r="Q229" s="18"/>
      <c r="R229" s="18"/>
      <c r="S229" s="18"/>
      <c r="T229" s="18"/>
      <c r="U229" s="18"/>
      <c r="V229" s="18"/>
      <c r="W229" s="18"/>
      <c r="X229" s="18"/>
      <c r="Y229" s="18"/>
      <c r="Z229" s="18"/>
      <c r="AA229" s="18"/>
      <c r="AB229" s="18"/>
      <c r="AC229" s="18"/>
      <c r="AD229" s="18"/>
      <c r="AE229" s="18"/>
      <c r="AF229" s="18"/>
      <c r="AG229" s="18"/>
    </row>
    <row r="230" spans="1:33" x14ac:dyDescent="0.2">
      <c r="A230" s="1279"/>
      <c r="B230" s="1280"/>
      <c r="C230" s="18"/>
      <c r="D230" s="18"/>
      <c r="E230" s="18"/>
      <c r="F230" s="18"/>
      <c r="G230" s="18"/>
      <c r="H230" s="18"/>
      <c r="I230" s="18"/>
      <c r="J230" s="18"/>
      <c r="K230" s="18"/>
      <c r="L230" s="12"/>
      <c r="M230" s="18"/>
      <c r="N230" s="18"/>
      <c r="O230" s="18"/>
      <c r="P230" s="18"/>
      <c r="Q230" s="18"/>
      <c r="R230" s="18"/>
      <c r="S230" s="18"/>
      <c r="T230" s="18"/>
      <c r="U230" s="18"/>
      <c r="V230" s="18"/>
      <c r="W230" s="18"/>
      <c r="X230" s="18"/>
      <c r="Y230" s="18"/>
      <c r="Z230" s="18"/>
      <c r="AA230" s="18"/>
      <c r="AB230" s="18"/>
      <c r="AC230" s="18"/>
      <c r="AD230" s="18"/>
      <c r="AE230" s="18"/>
      <c r="AF230" s="18"/>
      <c r="AG230" s="18"/>
    </row>
    <row r="231" spans="1:33" x14ac:dyDescent="0.2">
      <c r="A231" s="1279"/>
      <c r="B231" s="1280"/>
      <c r="C231" s="18"/>
      <c r="D231" s="18"/>
      <c r="E231" s="18"/>
      <c r="F231" s="18"/>
      <c r="G231" s="18"/>
      <c r="H231" s="18"/>
      <c r="I231" s="18"/>
      <c r="J231" s="18"/>
      <c r="K231" s="18"/>
      <c r="L231" s="12"/>
      <c r="M231" s="18"/>
      <c r="N231" s="18"/>
      <c r="O231" s="18"/>
      <c r="P231" s="18"/>
      <c r="Q231" s="18"/>
      <c r="R231" s="18"/>
      <c r="S231" s="18"/>
      <c r="T231" s="18"/>
      <c r="U231" s="18"/>
      <c r="V231" s="18"/>
      <c r="W231" s="18"/>
      <c r="X231" s="18"/>
      <c r="Y231" s="18"/>
      <c r="Z231" s="18"/>
      <c r="AA231" s="18"/>
      <c r="AB231" s="18"/>
      <c r="AC231" s="18"/>
      <c r="AD231" s="18"/>
      <c r="AE231" s="18"/>
      <c r="AF231" s="18"/>
      <c r="AG231" s="18"/>
    </row>
    <row r="232" spans="1:33" x14ac:dyDescent="0.2">
      <c r="A232" s="1279"/>
      <c r="B232" s="1280"/>
      <c r="C232" s="18"/>
      <c r="D232" s="18"/>
      <c r="E232" s="18"/>
      <c r="F232" s="18"/>
      <c r="G232" s="18"/>
      <c r="H232" s="18"/>
      <c r="I232" s="18"/>
      <c r="J232" s="18"/>
      <c r="K232" s="18"/>
      <c r="L232" s="12"/>
      <c r="M232" s="18"/>
      <c r="N232" s="18"/>
      <c r="O232" s="18"/>
      <c r="P232" s="18"/>
      <c r="Q232" s="18"/>
      <c r="R232" s="18"/>
      <c r="S232" s="18"/>
      <c r="T232" s="18"/>
      <c r="U232" s="18"/>
      <c r="V232" s="18"/>
      <c r="W232" s="18"/>
      <c r="X232" s="18"/>
      <c r="Y232" s="18"/>
      <c r="Z232" s="18"/>
      <c r="AA232" s="18"/>
      <c r="AB232" s="18"/>
      <c r="AC232" s="18"/>
      <c r="AD232" s="18"/>
      <c r="AE232" s="18"/>
      <c r="AF232" s="18"/>
      <c r="AG232" s="18"/>
    </row>
    <row r="233" spans="1:33" x14ac:dyDescent="0.2">
      <c r="A233" s="1279"/>
      <c r="B233" s="1280"/>
      <c r="C233" s="18"/>
      <c r="D233" s="18"/>
      <c r="E233" s="18"/>
      <c r="F233" s="18"/>
      <c r="G233" s="18"/>
      <c r="H233" s="18"/>
      <c r="I233" s="18"/>
      <c r="J233" s="18"/>
      <c r="K233" s="18"/>
      <c r="L233" s="12"/>
      <c r="M233" s="18"/>
      <c r="N233" s="18"/>
      <c r="O233" s="18"/>
      <c r="P233" s="18"/>
      <c r="Q233" s="18"/>
      <c r="R233" s="18"/>
      <c r="S233" s="18"/>
      <c r="T233" s="18"/>
      <c r="U233" s="18"/>
      <c r="V233" s="18"/>
      <c r="W233" s="18"/>
      <c r="X233" s="18"/>
      <c r="Y233" s="18"/>
      <c r="Z233" s="18"/>
      <c r="AA233" s="18"/>
      <c r="AB233" s="18"/>
      <c r="AC233" s="18"/>
      <c r="AD233" s="18"/>
      <c r="AE233" s="18"/>
      <c r="AF233" s="18"/>
      <c r="AG233" s="18"/>
    </row>
    <row r="234" spans="1:33" x14ac:dyDescent="0.2">
      <c r="A234" s="1279"/>
      <c r="B234" s="1280"/>
      <c r="C234" s="18"/>
      <c r="D234" s="18"/>
      <c r="E234" s="18"/>
      <c r="F234" s="18"/>
      <c r="G234" s="18"/>
      <c r="H234" s="18"/>
      <c r="I234" s="18"/>
      <c r="J234" s="18"/>
      <c r="K234" s="18"/>
      <c r="L234" s="12"/>
      <c r="M234" s="18"/>
      <c r="N234" s="18"/>
      <c r="O234" s="18"/>
      <c r="P234" s="18"/>
      <c r="Q234" s="18"/>
      <c r="R234" s="18"/>
      <c r="S234" s="18"/>
      <c r="T234" s="18"/>
      <c r="U234" s="18"/>
      <c r="V234" s="18"/>
      <c r="W234" s="18"/>
      <c r="X234" s="18"/>
      <c r="Y234" s="18"/>
      <c r="Z234" s="18"/>
      <c r="AA234" s="18"/>
      <c r="AB234" s="18"/>
      <c r="AC234" s="18"/>
      <c r="AD234" s="18"/>
      <c r="AE234" s="18"/>
      <c r="AF234" s="18"/>
      <c r="AG234" s="18"/>
    </row>
    <row r="235" spans="1:33" x14ac:dyDescent="0.2">
      <c r="A235" s="1279"/>
      <c r="B235" s="1280"/>
      <c r="C235" s="18"/>
      <c r="D235" s="18"/>
      <c r="E235" s="18"/>
      <c r="F235" s="18"/>
      <c r="G235" s="18"/>
      <c r="H235" s="18"/>
      <c r="I235" s="18"/>
      <c r="J235" s="18"/>
      <c r="K235" s="18"/>
      <c r="L235" s="12"/>
      <c r="M235" s="18"/>
      <c r="N235" s="18"/>
      <c r="O235" s="18"/>
      <c r="P235" s="18"/>
      <c r="Q235" s="18"/>
      <c r="R235" s="18"/>
      <c r="S235" s="18"/>
      <c r="T235" s="18"/>
      <c r="U235" s="18"/>
      <c r="V235" s="18"/>
      <c r="W235" s="18"/>
      <c r="X235" s="18"/>
      <c r="Y235" s="18"/>
      <c r="Z235" s="18"/>
      <c r="AA235" s="18"/>
      <c r="AB235" s="18"/>
      <c r="AC235" s="18"/>
      <c r="AD235" s="18"/>
      <c r="AE235" s="18"/>
      <c r="AF235" s="18"/>
      <c r="AG235" s="18"/>
    </row>
    <row r="236" spans="1:33" x14ac:dyDescent="0.2">
      <c r="A236" s="1279"/>
      <c r="B236" s="1280"/>
      <c r="C236" s="18"/>
      <c r="D236" s="18"/>
      <c r="E236" s="18"/>
      <c r="F236" s="18"/>
      <c r="G236" s="18"/>
      <c r="H236" s="18"/>
      <c r="I236" s="18"/>
      <c r="J236" s="18"/>
      <c r="K236" s="18"/>
      <c r="L236" s="12"/>
      <c r="M236" s="18"/>
      <c r="N236" s="18"/>
      <c r="O236" s="18"/>
      <c r="P236" s="18"/>
      <c r="Q236" s="18"/>
      <c r="R236" s="18"/>
      <c r="S236" s="18"/>
      <c r="T236" s="18"/>
      <c r="U236" s="18"/>
      <c r="V236" s="18"/>
      <c r="W236" s="18"/>
      <c r="X236" s="18"/>
      <c r="Y236" s="18"/>
      <c r="Z236" s="18"/>
      <c r="AA236" s="18"/>
      <c r="AB236" s="18"/>
      <c r="AC236" s="18"/>
      <c r="AD236" s="18"/>
      <c r="AE236" s="18"/>
      <c r="AF236" s="18"/>
      <c r="AG236" s="18"/>
    </row>
    <row r="237" spans="1:33" x14ac:dyDescent="0.2">
      <c r="A237" s="1279"/>
      <c r="B237" s="1280"/>
      <c r="C237" s="18"/>
      <c r="D237" s="18"/>
      <c r="E237" s="18"/>
      <c r="F237" s="18"/>
      <c r="G237" s="18"/>
      <c r="H237" s="18"/>
      <c r="I237" s="18"/>
      <c r="J237" s="18"/>
      <c r="K237" s="18"/>
      <c r="L237" s="12"/>
      <c r="M237" s="18"/>
      <c r="N237" s="18"/>
      <c r="O237" s="18"/>
      <c r="P237" s="18"/>
      <c r="Q237" s="18"/>
      <c r="R237" s="18"/>
      <c r="S237" s="18"/>
      <c r="T237" s="18"/>
      <c r="U237" s="18"/>
      <c r="V237" s="18"/>
      <c r="W237" s="18"/>
      <c r="X237" s="18"/>
      <c r="Y237" s="18"/>
      <c r="Z237" s="18"/>
      <c r="AA237" s="18"/>
      <c r="AB237" s="18"/>
      <c r="AC237" s="18"/>
      <c r="AD237" s="18"/>
      <c r="AE237" s="18"/>
      <c r="AF237" s="18"/>
      <c r="AG237" s="18"/>
    </row>
    <row r="238" spans="1:33" x14ac:dyDescent="0.2">
      <c r="A238" s="1279"/>
      <c r="B238" s="1280"/>
      <c r="C238" s="18"/>
      <c r="D238" s="18"/>
      <c r="E238" s="18"/>
      <c r="F238" s="18"/>
      <c r="G238" s="18"/>
      <c r="H238" s="18"/>
      <c r="I238" s="18"/>
      <c r="J238" s="18"/>
      <c r="K238" s="18"/>
      <c r="L238" s="12"/>
      <c r="M238" s="18"/>
      <c r="N238" s="18"/>
      <c r="O238" s="18"/>
      <c r="P238" s="18"/>
      <c r="Q238" s="18"/>
      <c r="R238" s="18"/>
      <c r="S238" s="18"/>
      <c r="T238" s="18"/>
      <c r="U238" s="18"/>
      <c r="V238" s="18"/>
      <c r="W238" s="18"/>
      <c r="X238" s="18"/>
      <c r="Y238" s="18"/>
      <c r="Z238" s="18"/>
      <c r="AA238" s="18"/>
      <c r="AB238" s="18"/>
      <c r="AC238" s="18"/>
      <c r="AD238" s="18"/>
      <c r="AE238" s="18"/>
      <c r="AF238" s="18"/>
      <c r="AG238" s="18"/>
    </row>
    <row r="239" spans="1:33" x14ac:dyDescent="0.2">
      <c r="A239" s="1279"/>
      <c r="B239" s="1280"/>
      <c r="C239" s="18"/>
      <c r="D239" s="18"/>
      <c r="E239" s="18"/>
      <c r="F239" s="18"/>
      <c r="G239" s="18"/>
      <c r="H239" s="18"/>
      <c r="I239" s="18"/>
      <c r="J239" s="18"/>
      <c r="K239" s="18"/>
      <c r="L239" s="12"/>
      <c r="M239" s="18"/>
      <c r="N239" s="18"/>
      <c r="O239" s="18"/>
      <c r="P239" s="18"/>
      <c r="Q239" s="18"/>
      <c r="R239" s="18"/>
      <c r="S239" s="18"/>
      <c r="T239" s="18"/>
      <c r="U239" s="18"/>
      <c r="V239" s="18"/>
      <c r="W239" s="18"/>
      <c r="X239" s="18"/>
      <c r="Y239" s="18"/>
      <c r="Z239" s="18"/>
      <c r="AA239" s="18"/>
      <c r="AB239" s="18"/>
      <c r="AC239" s="18"/>
      <c r="AD239" s="18"/>
      <c r="AE239" s="18"/>
      <c r="AF239" s="18"/>
      <c r="AG239" s="18"/>
    </row>
    <row r="240" spans="1:33" x14ac:dyDescent="0.2">
      <c r="A240" s="1279"/>
      <c r="B240" s="1280"/>
      <c r="C240" s="18"/>
      <c r="D240" s="18"/>
      <c r="E240" s="18"/>
      <c r="F240" s="18"/>
      <c r="G240" s="18"/>
      <c r="H240" s="18"/>
      <c r="I240" s="18"/>
      <c r="J240" s="18"/>
      <c r="K240" s="18"/>
      <c r="L240" s="12"/>
      <c r="M240" s="18"/>
      <c r="N240" s="18"/>
      <c r="O240" s="18"/>
      <c r="P240" s="18"/>
      <c r="Q240" s="18"/>
      <c r="R240" s="18"/>
      <c r="S240" s="18"/>
      <c r="T240" s="18"/>
      <c r="U240" s="18"/>
      <c r="V240" s="18"/>
      <c r="W240" s="18"/>
      <c r="X240" s="18"/>
      <c r="Y240" s="18"/>
      <c r="Z240" s="18"/>
      <c r="AA240" s="18"/>
      <c r="AB240" s="18"/>
      <c r="AC240" s="18"/>
      <c r="AD240" s="18"/>
      <c r="AE240" s="18"/>
      <c r="AF240" s="18"/>
      <c r="AG240" s="18"/>
    </row>
    <row r="241" spans="1:33" x14ac:dyDescent="0.2">
      <c r="A241" s="1279"/>
      <c r="B241" s="1280"/>
      <c r="C241" s="18"/>
      <c r="D241" s="18"/>
      <c r="E241" s="18"/>
      <c r="F241" s="18"/>
      <c r="G241" s="18"/>
      <c r="H241" s="18"/>
      <c r="I241" s="18"/>
      <c r="J241" s="18"/>
      <c r="K241" s="18"/>
      <c r="L241" s="12"/>
      <c r="M241" s="18"/>
      <c r="N241" s="18"/>
      <c r="O241" s="18"/>
      <c r="P241" s="18"/>
      <c r="Q241" s="18"/>
      <c r="R241" s="18"/>
      <c r="S241" s="18"/>
      <c r="T241" s="18"/>
      <c r="U241" s="18"/>
      <c r="V241" s="18"/>
      <c r="W241" s="18"/>
      <c r="X241" s="18"/>
      <c r="Y241" s="18"/>
      <c r="Z241" s="18"/>
      <c r="AA241" s="18"/>
      <c r="AB241" s="18"/>
      <c r="AC241" s="18"/>
      <c r="AD241" s="18"/>
      <c r="AE241" s="18"/>
      <c r="AF241" s="18"/>
      <c r="AG241" s="18"/>
    </row>
    <row r="242" spans="1:33" x14ac:dyDescent="0.2">
      <c r="A242" s="1279"/>
      <c r="B242" s="1280"/>
      <c r="C242" s="18"/>
      <c r="D242" s="18"/>
      <c r="E242" s="18"/>
      <c r="F242" s="18"/>
      <c r="G242" s="18"/>
      <c r="H242" s="18"/>
      <c r="I242" s="18"/>
      <c r="J242" s="18"/>
      <c r="K242" s="18"/>
      <c r="L242" s="12"/>
      <c r="M242" s="18"/>
      <c r="N242" s="18"/>
      <c r="O242" s="18"/>
      <c r="P242" s="18"/>
      <c r="Q242" s="18"/>
      <c r="R242" s="18"/>
      <c r="S242" s="18"/>
      <c r="T242" s="18"/>
      <c r="U242" s="18"/>
      <c r="V242" s="18"/>
      <c r="W242" s="18"/>
      <c r="X242" s="18"/>
      <c r="Y242" s="18"/>
      <c r="Z242" s="18"/>
      <c r="AA242" s="18"/>
      <c r="AB242" s="18"/>
      <c r="AC242" s="18"/>
      <c r="AD242" s="18"/>
      <c r="AE242" s="18"/>
      <c r="AF242" s="18"/>
      <c r="AG242" s="18"/>
    </row>
    <row r="243" spans="1:33" x14ac:dyDescent="0.2">
      <c r="A243" s="1279"/>
      <c r="B243" s="1280"/>
      <c r="C243" s="18"/>
      <c r="D243" s="18"/>
      <c r="E243" s="18"/>
      <c r="F243" s="18"/>
      <c r="G243" s="18"/>
      <c r="H243" s="18"/>
      <c r="I243" s="18"/>
      <c r="J243" s="18"/>
      <c r="K243" s="18"/>
      <c r="L243" s="12"/>
      <c r="M243" s="18"/>
      <c r="N243" s="18"/>
      <c r="O243" s="18"/>
      <c r="P243" s="18"/>
      <c r="Q243" s="18"/>
      <c r="R243" s="18"/>
      <c r="S243" s="18"/>
      <c r="T243" s="18"/>
      <c r="U243" s="18"/>
      <c r="V243" s="18"/>
      <c r="W243" s="18"/>
      <c r="X243" s="18"/>
      <c r="Y243" s="18"/>
      <c r="Z243" s="18"/>
      <c r="AA243" s="18"/>
      <c r="AB243" s="18"/>
      <c r="AC243" s="18"/>
      <c r="AD243" s="18"/>
      <c r="AE243" s="18"/>
      <c r="AF243" s="18"/>
      <c r="AG243" s="18"/>
    </row>
    <row r="244" spans="1:33" x14ac:dyDescent="0.2">
      <c r="A244" s="1279"/>
      <c r="B244" s="1280"/>
      <c r="C244" s="18"/>
      <c r="D244" s="18"/>
      <c r="E244" s="18"/>
      <c r="F244" s="18"/>
      <c r="G244" s="18"/>
      <c r="H244" s="18"/>
      <c r="I244" s="18"/>
      <c r="J244" s="18"/>
      <c r="K244" s="18"/>
      <c r="L244" s="12"/>
      <c r="M244" s="18"/>
      <c r="N244" s="18"/>
      <c r="O244" s="18"/>
      <c r="P244" s="18"/>
      <c r="Q244" s="18"/>
      <c r="R244" s="18"/>
      <c r="S244" s="18"/>
      <c r="T244" s="18"/>
      <c r="U244" s="18"/>
      <c r="V244" s="18"/>
      <c r="W244" s="18"/>
      <c r="X244" s="18"/>
      <c r="Y244" s="18"/>
      <c r="Z244" s="18"/>
      <c r="AA244" s="18"/>
      <c r="AB244" s="18"/>
      <c r="AC244" s="18"/>
      <c r="AD244" s="18"/>
      <c r="AE244" s="18"/>
      <c r="AF244" s="18"/>
      <c r="AG244" s="18"/>
    </row>
    <row r="245" spans="1:33" x14ac:dyDescent="0.2">
      <c r="A245" s="1279"/>
      <c r="B245" s="1280"/>
      <c r="C245" s="18"/>
      <c r="D245" s="18"/>
      <c r="E245" s="18"/>
      <c r="F245" s="18"/>
      <c r="G245" s="18"/>
      <c r="H245" s="18"/>
      <c r="I245" s="18"/>
      <c r="J245" s="18"/>
      <c r="K245" s="18"/>
      <c r="L245" s="12"/>
      <c r="M245" s="18"/>
      <c r="N245" s="18"/>
      <c r="O245" s="18"/>
      <c r="P245" s="18"/>
      <c r="Q245" s="18"/>
      <c r="R245" s="18"/>
      <c r="S245" s="18"/>
      <c r="T245" s="18"/>
      <c r="U245" s="18"/>
      <c r="V245" s="18"/>
      <c r="W245" s="18"/>
      <c r="X245" s="18"/>
      <c r="Y245" s="18"/>
      <c r="Z245" s="18"/>
      <c r="AA245" s="18"/>
      <c r="AB245" s="18"/>
      <c r="AC245" s="18"/>
      <c r="AD245" s="18"/>
      <c r="AE245" s="18"/>
      <c r="AF245" s="18"/>
      <c r="AG245" s="18"/>
    </row>
    <row r="246" spans="1:33" x14ac:dyDescent="0.2">
      <c r="A246" s="1279"/>
      <c r="B246" s="1280"/>
      <c r="C246" s="18"/>
      <c r="D246" s="18"/>
      <c r="E246" s="18"/>
      <c r="F246" s="18"/>
      <c r="G246" s="18"/>
      <c r="H246" s="18"/>
      <c r="I246" s="18"/>
      <c r="J246" s="18"/>
      <c r="K246" s="18"/>
      <c r="L246" s="12"/>
      <c r="M246" s="18"/>
      <c r="N246" s="18"/>
      <c r="O246" s="18"/>
      <c r="P246" s="18"/>
      <c r="Q246" s="18"/>
      <c r="R246" s="18"/>
      <c r="S246" s="18"/>
      <c r="T246" s="18"/>
      <c r="U246" s="18"/>
      <c r="V246" s="18"/>
      <c r="W246" s="18"/>
      <c r="X246" s="18"/>
      <c r="Y246" s="18"/>
      <c r="Z246" s="18"/>
      <c r="AA246" s="18"/>
      <c r="AB246" s="18"/>
      <c r="AC246" s="18"/>
      <c r="AD246" s="18"/>
      <c r="AE246" s="18"/>
      <c r="AF246" s="18"/>
      <c r="AG246" s="18"/>
    </row>
    <row r="247" spans="1:33" x14ac:dyDescent="0.2">
      <c r="A247" s="1279"/>
      <c r="B247" s="1280"/>
      <c r="C247" s="18"/>
      <c r="D247" s="18"/>
      <c r="E247" s="18"/>
      <c r="F247" s="18"/>
      <c r="G247" s="18"/>
      <c r="H247" s="18"/>
      <c r="I247" s="18"/>
      <c r="J247" s="18"/>
      <c r="K247" s="18"/>
      <c r="L247" s="12"/>
      <c r="M247" s="18"/>
      <c r="N247" s="18"/>
      <c r="O247" s="18"/>
      <c r="P247" s="18"/>
      <c r="Q247" s="18"/>
      <c r="R247" s="18"/>
      <c r="S247" s="18"/>
      <c r="T247" s="18"/>
      <c r="U247" s="18"/>
      <c r="V247" s="18"/>
      <c r="W247" s="18"/>
      <c r="X247" s="18"/>
      <c r="Y247" s="18"/>
      <c r="Z247" s="18"/>
      <c r="AA247" s="18"/>
      <c r="AB247" s="18"/>
      <c r="AC247" s="18"/>
      <c r="AD247" s="18"/>
      <c r="AE247" s="18"/>
      <c r="AF247" s="18"/>
      <c r="AG247" s="18"/>
    </row>
    <row r="248" spans="1:33" x14ac:dyDescent="0.2">
      <c r="A248" s="1279"/>
      <c r="B248" s="1280"/>
      <c r="C248" s="18"/>
      <c r="D248" s="18"/>
      <c r="E248" s="18"/>
      <c r="F248" s="18"/>
      <c r="G248" s="18"/>
      <c r="H248" s="18"/>
      <c r="I248" s="18"/>
      <c r="J248" s="18"/>
      <c r="K248" s="18"/>
      <c r="L248" s="12"/>
      <c r="M248" s="18"/>
      <c r="N248" s="18"/>
      <c r="O248" s="18"/>
      <c r="P248" s="18"/>
      <c r="Q248" s="18"/>
      <c r="R248" s="18"/>
      <c r="S248" s="18"/>
      <c r="T248" s="18"/>
      <c r="U248" s="18"/>
      <c r="V248" s="18"/>
      <c r="W248" s="18"/>
      <c r="X248" s="18"/>
      <c r="Y248" s="18"/>
      <c r="Z248" s="18"/>
      <c r="AA248" s="18"/>
      <c r="AB248" s="18"/>
      <c r="AC248" s="18"/>
      <c r="AD248" s="18"/>
      <c r="AE248" s="18"/>
      <c r="AF248" s="18"/>
      <c r="AG248" s="18"/>
    </row>
    <row r="249" spans="1:33" x14ac:dyDescent="0.2">
      <c r="A249" s="1279"/>
      <c r="B249" s="1280"/>
      <c r="C249" s="18"/>
      <c r="D249" s="18"/>
      <c r="E249" s="18"/>
      <c r="F249" s="18"/>
      <c r="G249" s="18"/>
      <c r="H249" s="18"/>
      <c r="I249" s="18"/>
      <c r="J249" s="18"/>
      <c r="K249" s="18"/>
      <c r="L249" s="12"/>
      <c r="M249" s="18"/>
      <c r="N249" s="18"/>
      <c r="O249" s="18"/>
      <c r="P249" s="18"/>
      <c r="Q249" s="18"/>
      <c r="R249" s="18"/>
      <c r="S249" s="18"/>
      <c r="T249" s="18"/>
      <c r="U249" s="18"/>
      <c r="V249" s="18"/>
      <c r="W249" s="18"/>
      <c r="X249" s="18"/>
      <c r="Y249" s="18"/>
      <c r="Z249" s="18"/>
      <c r="AA249" s="18"/>
      <c r="AB249" s="18"/>
      <c r="AC249" s="18"/>
      <c r="AD249" s="18"/>
      <c r="AE249" s="18"/>
      <c r="AF249" s="18"/>
      <c r="AG249" s="18"/>
    </row>
    <row r="250" spans="1:33" x14ac:dyDescent="0.2">
      <c r="A250" s="1279"/>
      <c r="B250" s="1280"/>
      <c r="C250" s="18"/>
      <c r="D250" s="18"/>
      <c r="E250" s="18"/>
      <c r="F250" s="18"/>
      <c r="G250" s="18"/>
      <c r="H250" s="18"/>
      <c r="I250" s="18"/>
      <c r="J250" s="18"/>
      <c r="K250" s="18"/>
      <c r="L250" s="12"/>
      <c r="M250" s="18"/>
      <c r="N250" s="18"/>
      <c r="O250" s="18"/>
      <c r="P250" s="18"/>
      <c r="Q250" s="18"/>
      <c r="R250" s="18"/>
      <c r="S250" s="18"/>
      <c r="T250" s="18"/>
      <c r="U250" s="18"/>
      <c r="V250" s="18"/>
      <c r="W250" s="18"/>
      <c r="X250" s="18"/>
      <c r="Y250" s="18"/>
      <c r="Z250" s="18"/>
      <c r="AA250" s="18"/>
      <c r="AB250" s="18"/>
      <c r="AC250" s="18"/>
      <c r="AD250" s="18"/>
      <c r="AE250" s="18"/>
      <c r="AF250" s="18"/>
      <c r="AG250" s="18"/>
    </row>
    <row r="251" spans="1:33" x14ac:dyDescent="0.2">
      <c r="A251" s="1279"/>
      <c r="B251" s="1280"/>
      <c r="C251" s="18"/>
      <c r="D251" s="18"/>
      <c r="E251" s="18"/>
      <c r="F251" s="18"/>
      <c r="G251" s="18"/>
      <c r="H251" s="18"/>
      <c r="I251" s="18"/>
      <c r="J251" s="18"/>
      <c r="K251" s="18"/>
      <c r="L251" s="12"/>
      <c r="M251" s="18"/>
      <c r="N251" s="18"/>
      <c r="O251" s="18"/>
      <c r="P251" s="18"/>
      <c r="Q251" s="18"/>
      <c r="R251" s="18"/>
      <c r="S251" s="18"/>
      <c r="T251" s="18"/>
      <c r="U251" s="18"/>
      <c r="V251" s="18"/>
      <c r="W251" s="18"/>
      <c r="X251" s="18"/>
      <c r="Y251" s="18"/>
      <c r="Z251" s="18"/>
      <c r="AA251" s="18"/>
      <c r="AB251" s="18"/>
      <c r="AC251" s="18"/>
      <c r="AD251" s="18"/>
      <c r="AE251" s="18"/>
      <c r="AF251" s="18"/>
      <c r="AG251" s="18"/>
    </row>
    <row r="252" spans="1:33" x14ac:dyDescent="0.2">
      <c r="A252" s="1279"/>
      <c r="B252" s="1280"/>
      <c r="C252" s="18"/>
      <c r="D252" s="18"/>
      <c r="E252" s="18"/>
      <c r="F252" s="18"/>
      <c r="G252" s="18"/>
      <c r="H252" s="18"/>
      <c r="I252" s="18"/>
      <c r="J252" s="18"/>
      <c r="K252" s="18"/>
      <c r="L252" s="12"/>
      <c r="M252" s="18"/>
      <c r="N252" s="18"/>
      <c r="O252" s="18"/>
      <c r="P252" s="18"/>
      <c r="Q252" s="18"/>
      <c r="R252" s="18"/>
      <c r="S252" s="18"/>
      <c r="T252" s="18"/>
      <c r="U252" s="18"/>
      <c r="V252" s="18"/>
      <c r="W252" s="18"/>
      <c r="X252" s="18"/>
      <c r="Y252" s="18"/>
      <c r="Z252" s="18"/>
      <c r="AA252" s="18"/>
      <c r="AB252" s="18"/>
      <c r="AC252" s="18"/>
      <c r="AD252" s="18"/>
      <c r="AE252" s="18"/>
      <c r="AF252" s="18"/>
      <c r="AG252" s="18"/>
    </row>
    <row r="253" spans="1:33" x14ac:dyDescent="0.2">
      <c r="A253" s="1279"/>
      <c r="B253" s="1280"/>
      <c r="C253" s="18"/>
      <c r="D253" s="18"/>
      <c r="E253" s="18"/>
      <c r="F253" s="18"/>
      <c r="G253" s="18"/>
      <c r="H253" s="18"/>
      <c r="I253" s="18"/>
      <c r="J253" s="18"/>
      <c r="K253" s="18"/>
      <c r="L253" s="12"/>
      <c r="M253" s="18"/>
      <c r="N253" s="18"/>
      <c r="O253" s="18"/>
      <c r="P253" s="18"/>
      <c r="Q253" s="18"/>
      <c r="R253" s="18"/>
      <c r="S253" s="18"/>
      <c r="T253" s="18"/>
      <c r="U253" s="18"/>
      <c r="V253" s="18"/>
      <c r="W253" s="18"/>
      <c r="X253" s="18"/>
      <c r="Y253" s="18"/>
      <c r="Z253" s="18"/>
      <c r="AA253" s="18"/>
      <c r="AB253" s="18"/>
      <c r="AC253" s="18"/>
      <c r="AD253" s="18"/>
      <c r="AE253" s="18"/>
      <c r="AF253" s="18"/>
      <c r="AG253" s="18"/>
    </row>
    <row r="254" spans="1:33" x14ac:dyDescent="0.2">
      <c r="A254" s="1279"/>
      <c r="B254" s="1280"/>
      <c r="C254" s="18"/>
      <c r="D254" s="18"/>
      <c r="E254" s="18"/>
      <c r="F254" s="18"/>
      <c r="G254" s="18"/>
      <c r="H254" s="18"/>
      <c r="I254" s="18"/>
      <c r="J254" s="18"/>
      <c r="K254" s="18"/>
      <c r="L254" s="12"/>
      <c r="M254" s="18"/>
      <c r="N254" s="18"/>
      <c r="O254" s="18"/>
      <c r="P254" s="18"/>
      <c r="Q254" s="18"/>
      <c r="R254" s="18"/>
      <c r="S254" s="18"/>
      <c r="T254" s="18"/>
      <c r="U254" s="18"/>
      <c r="V254" s="18"/>
      <c r="W254" s="18"/>
      <c r="X254" s="18"/>
      <c r="Y254" s="18"/>
      <c r="Z254" s="18"/>
      <c r="AA254" s="18"/>
      <c r="AB254" s="18"/>
      <c r="AC254" s="18"/>
      <c r="AD254" s="18"/>
      <c r="AE254" s="18"/>
      <c r="AF254" s="18"/>
      <c r="AG254" s="18"/>
    </row>
    <row r="255" spans="1:33" x14ac:dyDescent="0.2">
      <c r="A255" s="1279"/>
      <c r="B255" s="1280"/>
      <c r="C255" s="18"/>
      <c r="D255" s="18"/>
      <c r="E255" s="18"/>
      <c r="F255" s="18"/>
      <c r="G255" s="18"/>
      <c r="H255" s="18"/>
      <c r="I255" s="18"/>
      <c r="J255" s="18"/>
      <c r="K255" s="18"/>
      <c r="L255" s="12"/>
      <c r="M255" s="18"/>
      <c r="N255" s="18"/>
      <c r="O255" s="18"/>
      <c r="P255" s="18"/>
      <c r="Q255" s="18"/>
      <c r="R255" s="18"/>
      <c r="S255" s="18"/>
      <c r="T255" s="18"/>
      <c r="U255" s="18"/>
      <c r="V255" s="18"/>
      <c r="W255" s="18"/>
      <c r="X255" s="18"/>
      <c r="Y255" s="18"/>
      <c r="Z255" s="18"/>
      <c r="AA255" s="18"/>
      <c r="AB255" s="18"/>
      <c r="AC255" s="18"/>
      <c r="AD255" s="18"/>
      <c r="AE255" s="18"/>
      <c r="AF255" s="18"/>
      <c r="AG255" s="18"/>
    </row>
    <row r="256" spans="1:33" x14ac:dyDescent="0.2">
      <c r="A256" s="1279"/>
      <c r="B256" s="1280"/>
      <c r="C256" s="18"/>
      <c r="D256" s="18"/>
      <c r="E256" s="18"/>
      <c r="F256" s="18"/>
      <c r="G256" s="18"/>
      <c r="H256" s="18"/>
      <c r="I256" s="18"/>
      <c r="J256" s="18"/>
      <c r="K256" s="18"/>
      <c r="L256" s="12"/>
      <c r="M256" s="18"/>
      <c r="N256" s="18"/>
      <c r="O256" s="18"/>
      <c r="P256" s="18"/>
      <c r="Q256" s="18"/>
      <c r="R256" s="18"/>
      <c r="S256" s="18"/>
      <c r="T256" s="18"/>
      <c r="U256" s="18"/>
      <c r="V256" s="18"/>
      <c r="W256" s="18"/>
      <c r="X256" s="18"/>
      <c r="Y256" s="18"/>
      <c r="Z256" s="18"/>
      <c r="AA256" s="18"/>
      <c r="AB256" s="18"/>
      <c r="AC256" s="18"/>
      <c r="AD256" s="18"/>
      <c r="AE256" s="18"/>
      <c r="AF256" s="18"/>
      <c r="AG256" s="18"/>
    </row>
    <row r="257" spans="1:33" x14ac:dyDescent="0.2">
      <c r="A257" s="1279"/>
      <c r="B257" s="1280"/>
      <c r="C257" s="18"/>
      <c r="D257" s="18"/>
      <c r="E257" s="18"/>
      <c r="F257" s="18"/>
      <c r="G257" s="18"/>
      <c r="H257" s="18"/>
      <c r="I257" s="18"/>
      <c r="J257" s="18"/>
      <c r="K257" s="18"/>
      <c r="L257" s="12"/>
      <c r="M257" s="18"/>
      <c r="N257" s="18"/>
      <c r="O257" s="18"/>
      <c r="P257" s="18"/>
      <c r="Q257" s="18"/>
      <c r="R257" s="18"/>
      <c r="S257" s="18"/>
      <c r="T257" s="18"/>
      <c r="U257" s="18"/>
      <c r="V257" s="18"/>
      <c r="W257" s="18"/>
      <c r="X257" s="18"/>
      <c r="Y257" s="18"/>
      <c r="Z257" s="18"/>
      <c r="AA257" s="18"/>
      <c r="AB257" s="18"/>
      <c r="AC257" s="18"/>
      <c r="AD257" s="18"/>
      <c r="AE257" s="18"/>
      <c r="AF257" s="18"/>
      <c r="AG257" s="18"/>
    </row>
    <row r="258" spans="1:33" x14ac:dyDescent="0.2">
      <c r="A258" s="1279"/>
      <c r="B258" s="1280"/>
      <c r="C258" s="18"/>
      <c r="D258" s="18"/>
      <c r="E258" s="18"/>
      <c r="F258" s="18"/>
      <c r="G258" s="18"/>
      <c r="H258" s="18"/>
      <c r="I258" s="18"/>
      <c r="J258" s="18"/>
      <c r="K258" s="18"/>
      <c r="L258" s="12"/>
      <c r="M258" s="18"/>
      <c r="N258" s="18"/>
      <c r="O258" s="18"/>
      <c r="P258" s="18"/>
      <c r="Q258" s="18"/>
      <c r="R258" s="18"/>
      <c r="S258" s="18"/>
      <c r="T258" s="18"/>
      <c r="U258" s="18"/>
      <c r="V258" s="18"/>
      <c r="W258" s="18"/>
      <c r="X258" s="18"/>
      <c r="Y258" s="18"/>
      <c r="Z258" s="18"/>
      <c r="AA258" s="18"/>
      <c r="AB258" s="18"/>
      <c r="AC258" s="18"/>
      <c r="AD258" s="18"/>
      <c r="AE258" s="18"/>
      <c r="AF258" s="18"/>
      <c r="AG258" s="18"/>
    </row>
    <row r="259" spans="1:33" x14ac:dyDescent="0.2">
      <c r="A259" s="1279"/>
      <c r="B259" s="1280"/>
      <c r="C259" s="18"/>
      <c r="D259" s="18"/>
      <c r="E259" s="18"/>
      <c r="F259" s="18"/>
      <c r="G259" s="18"/>
      <c r="H259" s="18"/>
      <c r="I259" s="18"/>
      <c r="J259" s="18"/>
      <c r="K259" s="18"/>
      <c r="L259" s="12"/>
      <c r="M259" s="18"/>
      <c r="N259" s="18"/>
      <c r="O259" s="18"/>
      <c r="P259" s="18"/>
      <c r="Q259" s="18"/>
      <c r="R259" s="18"/>
      <c r="S259" s="18"/>
      <c r="T259" s="18"/>
      <c r="U259" s="18"/>
      <c r="V259" s="18"/>
      <c r="W259" s="18"/>
      <c r="X259" s="18"/>
      <c r="Y259" s="18"/>
      <c r="Z259" s="18"/>
      <c r="AA259" s="18"/>
      <c r="AB259" s="18"/>
      <c r="AC259" s="18"/>
      <c r="AD259" s="18"/>
      <c r="AE259" s="18"/>
      <c r="AF259" s="18"/>
      <c r="AG259" s="18"/>
    </row>
    <row r="260" spans="1:33" x14ac:dyDescent="0.2">
      <c r="A260" s="1279"/>
      <c r="B260" s="1280"/>
      <c r="C260" s="18"/>
      <c r="D260" s="18"/>
      <c r="E260" s="18"/>
      <c r="F260" s="18"/>
      <c r="G260" s="18"/>
      <c r="H260" s="18"/>
      <c r="I260" s="18"/>
      <c r="J260" s="18"/>
      <c r="K260" s="18"/>
      <c r="L260" s="12"/>
      <c r="M260" s="18"/>
      <c r="N260" s="18"/>
      <c r="O260" s="18"/>
      <c r="P260" s="18"/>
      <c r="Q260" s="18"/>
      <c r="R260" s="18"/>
      <c r="S260" s="18"/>
      <c r="T260" s="18"/>
      <c r="U260" s="18"/>
      <c r="V260" s="18"/>
      <c r="W260" s="18"/>
      <c r="X260" s="18"/>
      <c r="Y260" s="18"/>
      <c r="Z260" s="18"/>
      <c r="AA260" s="18"/>
      <c r="AB260" s="18"/>
      <c r="AC260" s="18"/>
      <c r="AD260" s="18"/>
      <c r="AE260" s="18"/>
      <c r="AF260" s="18"/>
      <c r="AG260" s="18"/>
    </row>
    <row r="261" spans="1:33" x14ac:dyDescent="0.2">
      <c r="A261" s="1279"/>
      <c r="B261" s="1280"/>
      <c r="C261" s="18"/>
      <c r="D261" s="18"/>
      <c r="E261" s="18"/>
      <c r="F261" s="18"/>
      <c r="G261" s="18"/>
      <c r="H261" s="18"/>
      <c r="I261" s="18"/>
      <c r="J261" s="18"/>
      <c r="K261" s="18"/>
      <c r="L261" s="12"/>
      <c r="M261" s="18"/>
      <c r="N261" s="18"/>
      <c r="O261" s="18"/>
      <c r="P261" s="18"/>
      <c r="Q261" s="18"/>
      <c r="R261" s="18"/>
      <c r="S261" s="18"/>
      <c r="T261" s="18"/>
      <c r="U261" s="18"/>
      <c r="V261" s="18"/>
      <c r="W261" s="18"/>
      <c r="X261" s="18"/>
      <c r="Y261" s="18"/>
      <c r="Z261" s="18"/>
      <c r="AA261" s="18"/>
      <c r="AB261" s="18"/>
      <c r="AC261" s="18"/>
      <c r="AD261" s="18"/>
      <c r="AE261" s="18"/>
      <c r="AF261" s="18"/>
      <c r="AG261" s="18"/>
    </row>
    <row r="262" spans="1:33" x14ac:dyDescent="0.2">
      <c r="A262" s="1279"/>
      <c r="B262" s="1280"/>
      <c r="C262" s="18"/>
      <c r="D262" s="18"/>
      <c r="E262" s="18"/>
      <c r="F262" s="18"/>
      <c r="G262" s="18"/>
      <c r="H262" s="18"/>
      <c r="I262" s="18"/>
      <c r="J262" s="18"/>
      <c r="K262" s="18"/>
      <c r="L262" s="12"/>
      <c r="M262" s="18"/>
      <c r="N262" s="18"/>
      <c r="O262" s="18"/>
      <c r="P262" s="18"/>
      <c r="Q262" s="18"/>
      <c r="R262" s="18"/>
      <c r="S262" s="18"/>
      <c r="T262" s="18"/>
      <c r="U262" s="18"/>
      <c r="V262" s="18"/>
      <c r="W262" s="18"/>
      <c r="X262" s="18"/>
      <c r="Y262" s="18"/>
      <c r="Z262" s="18"/>
      <c r="AA262" s="18"/>
      <c r="AB262" s="18"/>
      <c r="AC262" s="18"/>
      <c r="AD262" s="18"/>
      <c r="AE262" s="18"/>
      <c r="AF262" s="18"/>
      <c r="AG262" s="18"/>
    </row>
    <row r="263" spans="1:33" x14ac:dyDescent="0.2">
      <c r="A263" s="1279"/>
      <c r="B263" s="1280"/>
      <c r="C263" s="18"/>
      <c r="D263" s="18"/>
      <c r="E263" s="18"/>
      <c r="F263" s="18"/>
      <c r="G263" s="18"/>
      <c r="H263" s="18"/>
      <c r="I263" s="18"/>
      <c r="J263" s="18"/>
      <c r="K263" s="18"/>
      <c r="L263" s="12"/>
      <c r="M263" s="18"/>
      <c r="N263" s="18"/>
      <c r="O263" s="18"/>
      <c r="P263" s="18"/>
      <c r="Q263" s="18"/>
      <c r="R263" s="18"/>
      <c r="S263" s="18"/>
      <c r="T263" s="18"/>
      <c r="U263" s="18"/>
      <c r="V263" s="18"/>
      <c r="W263" s="18"/>
      <c r="X263" s="18"/>
      <c r="Y263" s="18"/>
      <c r="Z263" s="18"/>
      <c r="AA263" s="18"/>
      <c r="AB263" s="18"/>
      <c r="AC263" s="18"/>
      <c r="AD263" s="18"/>
      <c r="AE263" s="18"/>
      <c r="AF263" s="18"/>
      <c r="AG263" s="18"/>
    </row>
    <row r="264" spans="1:33" x14ac:dyDescent="0.2">
      <c r="A264" s="1279"/>
      <c r="B264" s="1280"/>
      <c r="C264" s="18"/>
      <c r="D264" s="18"/>
      <c r="E264" s="18"/>
      <c r="F264" s="18"/>
      <c r="G264" s="18"/>
      <c r="H264" s="18"/>
      <c r="I264" s="18"/>
      <c r="J264" s="18"/>
      <c r="K264" s="18"/>
      <c r="L264" s="12"/>
      <c r="M264" s="18"/>
      <c r="N264" s="18"/>
      <c r="O264" s="18"/>
      <c r="P264" s="18"/>
      <c r="Q264" s="18"/>
      <c r="R264" s="18"/>
      <c r="S264" s="18"/>
      <c r="T264" s="18"/>
      <c r="U264" s="18"/>
      <c r="V264" s="18"/>
      <c r="W264" s="18"/>
      <c r="X264" s="18"/>
      <c r="Y264" s="18"/>
      <c r="Z264" s="18"/>
      <c r="AA264" s="18"/>
      <c r="AB264" s="18"/>
      <c r="AC264" s="18"/>
      <c r="AD264" s="18"/>
      <c r="AE264" s="18"/>
      <c r="AF264" s="18"/>
      <c r="AG264" s="18"/>
    </row>
    <row r="265" spans="1:33" x14ac:dyDescent="0.2">
      <c r="A265" s="1279"/>
      <c r="B265" s="1280"/>
      <c r="C265" s="18"/>
      <c r="D265" s="18"/>
      <c r="E265" s="18"/>
      <c r="F265" s="18"/>
      <c r="G265" s="18"/>
      <c r="H265" s="18"/>
      <c r="I265" s="18"/>
      <c r="J265" s="18"/>
      <c r="K265" s="18"/>
      <c r="L265" s="12"/>
      <c r="M265" s="18"/>
      <c r="N265" s="18"/>
      <c r="O265" s="18"/>
      <c r="P265" s="18"/>
      <c r="Q265" s="18"/>
      <c r="R265" s="18"/>
      <c r="S265" s="18"/>
      <c r="T265" s="18"/>
      <c r="U265" s="18"/>
      <c r="V265" s="18"/>
      <c r="W265" s="18"/>
      <c r="X265" s="18"/>
      <c r="Y265" s="18"/>
      <c r="Z265" s="18"/>
      <c r="AA265" s="18"/>
      <c r="AB265" s="18"/>
      <c r="AC265" s="18"/>
      <c r="AD265" s="18"/>
      <c r="AE265" s="18"/>
      <c r="AF265" s="18"/>
      <c r="AG265" s="18"/>
    </row>
    <row r="266" spans="1:33" x14ac:dyDescent="0.2">
      <c r="A266" s="1279"/>
      <c r="B266" s="1280"/>
      <c r="C266" s="18"/>
      <c r="D266" s="18"/>
      <c r="E266" s="18"/>
      <c r="F266" s="18"/>
      <c r="G266" s="18"/>
      <c r="H266" s="18"/>
      <c r="I266" s="18"/>
      <c r="J266" s="18"/>
      <c r="K266" s="18"/>
      <c r="L266" s="12"/>
      <c r="M266" s="18"/>
      <c r="N266" s="18"/>
      <c r="O266" s="18"/>
      <c r="P266" s="18"/>
      <c r="Q266" s="18"/>
      <c r="R266" s="18"/>
      <c r="S266" s="18"/>
      <c r="T266" s="18"/>
      <c r="U266" s="18"/>
      <c r="V266" s="18"/>
      <c r="W266" s="18"/>
      <c r="X266" s="18"/>
      <c r="Y266" s="18"/>
      <c r="Z266" s="18"/>
      <c r="AA266" s="18"/>
      <c r="AB266" s="18"/>
      <c r="AC266" s="18"/>
      <c r="AD266" s="18"/>
      <c r="AE266" s="18"/>
      <c r="AF266" s="18"/>
      <c r="AG266" s="18"/>
    </row>
    <row r="267" spans="1:33" x14ac:dyDescent="0.2">
      <c r="A267" s="1279"/>
      <c r="B267" s="1280"/>
      <c r="C267" s="18"/>
      <c r="D267" s="18"/>
      <c r="E267" s="18"/>
      <c r="F267" s="18"/>
      <c r="G267" s="18"/>
      <c r="H267" s="18"/>
      <c r="I267" s="18"/>
      <c r="J267" s="18"/>
      <c r="K267" s="18"/>
      <c r="L267" s="12"/>
      <c r="M267" s="18"/>
      <c r="N267" s="18"/>
      <c r="O267" s="18"/>
      <c r="P267" s="18"/>
      <c r="Q267" s="18"/>
      <c r="R267" s="18"/>
      <c r="S267" s="18"/>
      <c r="T267" s="18"/>
      <c r="U267" s="18"/>
      <c r="V267" s="18"/>
      <c r="W267" s="18"/>
      <c r="X267" s="18"/>
      <c r="Y267" s="18"/>
      <c r="Z267" s="18"/>
      <c r="AA267" s="18"/>
      <c r="AB267" s="18"/>
      <c r="AC267" s="18"/>
      <c r="AD267" s="18"/>
      <c r="AE267" s="18"/>
      <c r="AF267" s="18"/>
      <c r="AG267" s="18"/>
    </row>
    <row r="268" spans="1:33" x14ac:dyDescent="0.2">
      <c r="A268" s="1279"/>
      <c r="B268" s="1280"/>
      <c r="C268" s="18"/>
      <c r="D268" s="18"/>
      <c r="E268" s="18"/>
      <c r="F268" s="18"/>
      <c r="G268" s="18"/>
      <c r="H268" s="18"/>
      <c r="I268" s="18"/>
      <c r="J268" s="18"/>
      <c r="K268" s="18"/>
      <c r="L268" s="12"/>
      <c r="M268" s="18"/>
      <c r="N268" s="18"/>
      <c r="O268" s="18"/>
      <c r="P268" s="18"/>
      <c r="Q268" s="18"/>
      <c r="R268" s="18"/>
      <c r="S268" s="18"/>
      <c r="T268" s="18"/>
      <c r="U268" s="18"/>
      <c r="V268" s="18"/>
      <c r="W268" s="18"/>
      <c r="X268" s="18"/>
      <c r="Y268" s="18"/>
      <c r="Z268" s="18"/>
      <c r="AA268" s="18"/>
      <c r="AB268" s="18"/>
      <c r="AC268" s="18"/>
      <c r="AD268" s="18"/>
      <c r="AE268" s="18"/>
      <c r="AF268" s="18"/>
      <c r="AG268" s="18"/>
    </row>
    <row r="269" spans="1:33" x14ac:dyDescent="0.2">
      <c r="A269" s="1279"/>
      <c r="B269" s="1280"/>
      <c r="C269" s="18"/>
      <c r="D269" s="18"/>
      <c r="E269" s="18"/>
      <c r="F269" s="18"/>
      <c r="G269" s="18"/>
      <c r="H269" s="18"/>
      <c r="I269" s="18"/>
      <c r="J269" s="18"/>
      <c r="K269" s="18"/>
      <c r="L269" s="12"/>
      <c r="M269" s="18"/>
      <c r="N269" s="18"/>
      <c r="O269" s="18"/>
      <c r="P269" s="18"/>
      <c r="Q269" s="18"/>
      <c r="R269" s="18"/>
      <c r="S269" s="18"/>
      <c r="T269" s="18"/>
      <c r="U269" s="18"/>
      <c r="V269" s="18"/>
      <c r="W269" s="18"/>
      <c r="X269" s="18"/>
      <c r="Y269" s="18"/>
      <c r="Z269" s="18"/>
      <c r="AA269" s="18"/>
      <c r="AB269" s="18"/>
      <c r="AC269" s="18"/>
      <c r="AD269" s="18"/>
      <c r="AE269" s="18"/>
      <c r="AF269" s="18"/>
      <c r="AG269" s="18"/>
    </row>
    <row r="270" spans="1:33" x14ac:dyDescent="0.2">
      <c r="A270" s="1279"/>
      <c r="B270" s="1280"/>
      <c r="C270" s="18"/>
      <c r="D270" s="18"/>
      <c r="E270" s="18"/>
      <c r="F270" s="18"/>
      <c r="G270" s="18"/>
      <c r="H270" s="18"/>
      <c r="I270" s="18"/>
      <c r="J270" s="18"/>
      <c r="K270" s="18"/>
      <c r="L270" s="12"/>
      <c r="M270" s="18"/>
      <c r="N270" s="18"/>
      <c r="O270" s="18"/>
      <c r="P270" s="18"/>
      <c r="Q270" s="18"/>
      <c r="R270" s="18"/>
      <c r="S270" s="18"/>
      <c r="T270" s="18"/>
      <c r="U270" s="18"/>
      <c r="V270" s="18"/>
      <c r="W270" s="18"/>
      <c r="X270" s="18"/>
      <c r="Y270" s="18"/>
      <c r="Z270" s="18"/>
      <c r="AA270" s="18"/>
      <c r="AB270" s="18"/>
      <c r="AC270" s="18"/>
      <c r="AD270" s="18"/>
      <c r="AE270" s="18"/>
      <c r="AF270" s="18"/>
      <c r="AG270" s="18"/>
    </row>
    <row r="271" spans="1:33" x14ac:dyDescent="0.2">
      <c r="A271" s="1279"/>
      <c r="B271" s="1280"/>
      <c r="C271" s="18"/>
      <c r="D271" s="18"/>
      <c r="E271" s="18"/>
      <c r="F271" s="18"/>
      <c r="G271" s="18"/>
      <c r="H271" s="18"/>
      <c r="I271" s="18"/>
      <c r="J271" s="18"/>
      <c r="K271" s="18"/>
      <c r="L271" s="12"/>
      <c r="M271" s="18"/>
      <c r="N271" s="18"/>
      <c r="O271" s="18"/>
      <c r="P271" s="18"/>
      <c r="Q271" s="18"/>
      <c r="R271" s="18"/>
      <c r="S271" s="18"/>
      <c r="T271" s="18"/>
      <c r="U271" s="18"/>
      <c r="V271" s="18"/>
      <c r="W271" s="18"/>
      <c r="X271" s="18"/>
      <c r="Y271" s="18"/>
      <c r="Z271" s="18"/>
      <c r="AA271" s="18"/>
      <c r="AB271" s="18"/>
      <c r="AC271" s="18"/>
      <c r="AD271" s="18"/>
      <c r="AE271" s="18"/>
      <c r="AF271" s="18"/>
      <c r="AG271" s="18"/>
    </row>
    <row r="272" spans="1:33" x14ac:dyDescent="0.2">
      <c r="A272" s="1279"/>
      <c r="B272" s="1280"/>
      <c r="C272" s="18"/>
      <c r="D272" s="18"/>
      <c r="E272" s="18"/>
      <c r="F272" s="18"/>
      <c r="G272" s="18"/>
      <c r="H272" s="18"/>
      <c r="I272" s="18"/>
      <c r="J272" s="18"/>
      <c r="K272" s="18"/>
      <c r="L272" s="12"/>
      <c r="M272" s="18"/>
      <c r="N272" s="18"/>
      <c r="O272" s="18"/>
      <c r="P272" s="18"/>
      <c r="Q272" s="18"/>
      <c r="R272" s="18"/>
      <c r="S272" s="18"/>
      <c r="T272" s="18"/>
      <c r="U272" s="18"/>
      <c r="V272" s="18"/>
      <c r="W272" s="18"/>
      <c r="X272" s="18"/>
      <c r="Y272" s="18"/>
      <c r="Z272" s="18"/>
      <c r="AA272" s="18"/>
      <c r="AB272" s="18"/>
      <c r="AC272" s="18"/>
      <c r="AD272" s="18"/>
      <c r="AE272" s="18"/>
      <c r="AF272" s="18"/>
      <c r="AG272" s="18"/>
    </row>
    <row r="273" spans="1:33" x14ac:dyDescent="0.2">
      <c r="A273" s="1279"/>
      <c r="B273" s="1280"/>
      <c r="C273" s="18"/>
      <c r="D273" s="18"/>
      <c r="E273" s="18"/>
      <c r="F273" s="18"/>
      <c r="G273" s="18"/>
      <c r="H273" s="18"/>
      <c r="I273" s="18"/>
      <c r="J273" s="18"/>
      <c r="K273" s="18"/>
      <c r="L273" s="12"/>
      <c r="M273" s="18"/>
      <c r="N273" s="18"/>
      <c r="O273" s="18"/>
      <c r="P273" s="18"/>
      <c r="Q273" s="18"/>
      <c r="R273" s="18"/>
      <c r="S273" s="18"/>
      <c r="T273" s="18"/>
      <c r="U273" s="18"/>
      <c r="V273" s="18"/>
      <c r="W273" s="18"/>
      <c r="X273" s="18"/>
      <c r="Y273" s="18"/>
      <c r="Z273" s="18"/>
      <c r="AA273" s="18"/>
      <c r="AB273" s="18"/>
      <c r="AC273" s="18"/>
      <c r="AD273" s="18"/>
      <c r="AE273" s="18"/>
      <c r="AF273" s="18"/>
      <c r="AG273" s="18"/>
    </row>
    <row r="274" spans="1:33" x14ac:dyDescent="0.2">
      <c r="A274" s="1279"/>
      <c r="B274" s="1280"/>
      <c r="C274" s="18"/>
      <c r="D274" s="18"/>
      <c r="E274" s="18"/>
      <c r="F274" s="18"/>
      <c r="G274" s="18"/>
      <c r="H274" s="18"/>
      <c r="I274" s="18"/>
      <c r="J274" s="18"/>
      <c r="K274" s="18"/>
      <c r="L274" s="12"/>
      <c r="M274" s="18"/>
      <c r="N274" s="18"/>
      <c r="O274" s="18"/>
      <c r="P274" s="18"/>
      <c r="Q274" s="18"/>
      <c r="R274" s="18"/>
      <c r="S274" s="18"/>
      <c r="T274" s="18"/>
      <c r="U274" s="18"/>
      <c r="V274" s="18"/>
      <c r="W274" s="18"/>
      <c r="X274" s="18"/>
      <c r="Y274" s="18"/>
      <c r="Z274" s="18"/>
      <c r="AA274" s="18"/>
      <c r="AB274" s="18"/>
      <c r="AC274" s="18"/>
      <c r="AD274" s="18"/>
      <c r="AE274" s="18"/>
      <c r="AF274" s="18"/>
      <c r="AG274" s="18"/>
    </row>
    <row r="275" spans="1:33" x14ac:dyDescent="0.2">
      <c r="A275" s="1279"/>
      <c r="B275" s="1280"/>
      <c r="C275" s="18"/>
      <c r="D275" s="18"/>
      <c r="E275" s="18"/>
      <c r="F275" s="18"/>
      <c r="G275" s="18"/>
      <c r="H275" s="18"/>
      <c r="I275" s="18"/>
      <c r="J275" s="18"/>
      <c r="K275" s="18"/>
      <c r="L275" s="12"/>
      <c r="M275" s="18"/>
      <c r="N275" s="18"/>
      <c r="O275" s="18"/>
      <c r="P275" s="18"/>
      <c r="Q275" s="18"/>
      <c r="R275" s="18"/>
      <c r="S275" s="18"/>
      <c r="T275" s="18"/>
      <c r="U275" s="18"/>
      <c r="V275" s="18"/>
      <c r="W275" s="18"/>
      <c r="X275" s="18"/>
      <c r="Y275" s="18"/>
      <c r="Z275" s="18"/>
      <c r="AA275" s="18"/>
      <c r="AB275" s="18"/>
      <c r="AC275" s="18"/>
      <c r="AD275" s="18"/>
      <c r="AE275" s="18"/>
      <c r="AF275" s="18"/>
      <c r="AG275" s="18"/>
    </row>
    <row r="276" spans="1:33" x14ac:dyDescent="0.2">
      <c r="A276" s="1279"/>
      <c r="B276" s="1280"/>
      <c r="C276" s="18"/>
      <c r="D276" s="18"/>
      <c r="E276" s="18"/>
      <c r="F276" s="18"/>
      <c r="G276" s="18"/>
      <c r="H276" s="18"/>
      <c r="I276" s="18"/>
      <c r="J276" s="18"/>
      <c r="K276" s="18"/>
      <c r="L276" s="12"/>
      <c r="M276" s="18"/>
      <c r="N276" s="18"/>
      <c r="O276" s="18"/>
      <c r="P276" s="18"/>
      <c r="Q276" s="18"/>
      <c r="R276" s="18"/>
      <c r="S276" s="18"/>
      <c r="T276" s="18"/>
      <c r="U276" s="18"/>
      <c r="V276" s="18"/>
      <c r="W276" s="18"/>
      <c r="X276" s="18"/>
      <c r="Y276" s="18"/>
      <c r="Z276" s="18"/>
      <c r="AA276" s="18"/>
      <c r="AB276" s="18"/>
      <c r="AC276" s="18"/>
      <c r="AD276" s="18"/>
      <c r="AE276" s="18"/>
      <c r="AF276" s="18"/>
      <c r="AG276" s="18"/>
    </row>
    <row r="277" spans="1:33" x14ac:dyDescent="0.2">
      <c r="A277" s="1279"/>
      <c r="B277" s="1280"/>
      <c r="C277" s="18"/>
      <c r="D277" s="18"/>
      <c r="E277" s="18"/>
      <c r="F277" s="18"/>
      <c r="G277" s="18"/>
      <c r="H277" s="18"/>
      <c r="I277" s="18"/>
      <c r="J277" s="18"/>
      <c r="K277" s="18"/>
      <c r="L277" s="12"/>
      <c r="M277" s="18"/>
      <c r="N277" s="18"/>
      <c r="O277" s="18"/>
      <c r="P277" s="18"/>
      <c r="Q277" s="18"/>
      <c r="R277" s="18"/>
      <c r="S277" s="18"/>
      <c r="T277" s="18"/>
      <c r="U277" s="18"/>
      <c r="V277" s="18"/>
      <c r="W277" s="18"/>
      <c r="X277" s="18"/>
      <c r="Y277" s="18"/>
      <c r="Z277" s="18"/>
      <c r="AA277" s="18"/>
      <c r="AB277" s="18"/>
      <c r="AC277" s="18"/>
      <c r="AD277" s="18"/>
      <c r="AE277" s="18"/>
      <c r="AF277" s="18"/>
      <c r="AG277" s="18"/>
    </row>
    <row r="278" spans="1:33" x14ac:dyDescent="0.2">
      <c r="A278" s="1279"/>
      <c r="B278" s="1280"/>
      <c r="C278" s="18"/>
      <c r="D278" s="18"/>
      <c r="E278" s="18"/>
      <c r="F278" s="18"/>
      <c r="G278" s="18"/>
      <c r="H278" s="18"/>
      <c r="I278" s="18"/>
      <c r="J278" s="18"/>
      <c r="K278" s="18"/>
      <c r="L278" s="12"/>
      <c r="M278" s="18"/>
      <c r="N278" s="18"/>
      <c r="O278" s="18"/>
      <c r="P278" s="18"/>
      <c r="Q278" s="18"/>
      <c r="R278" s="18"/>
      <c r="S278" s="18"/>
      <c r="T278" s="18"/>
      <c r="U278" s="18"/>
      <c r="V278" s="18"/>
      <c r="W278" s="18"/>
      <c r="X278" s="18"/>
      <c r="Y278" s="18"/>
      <c r="Z278" s="18"/>
      <c r="AA278" s="18"/>
      <c r="AB278" s="18"/>
      <c r="AC278" s="18"/>
      <c r="AD278" s="18"/>
      <c r="AE278" s="18"/>
      <c r="AF278" s="18"/>
      <c r="AG278" s="18"/>
    </row>
    <row r="279" spans="1:33" x14ac:dyDescent="0.2">
      <c r="A279" s="1279"/>
      <c r="B279" s="1280"/>
      <c r="C279" s="18"/>
      <c r="D279" s="18"/>
      <c r="E279" s="18"/>
      <c r="F279" s="18"/>
      <c r="G279" s="18"/>
      <c r="H279" s="18"/>
      <c r="I279" s="18"/>
      <c r="J279" s="18"/>
      <c r="K279" s="18"/>
      <c r="L279" s="12"/>
      <c r="M279" s="18"/>
      <c r="N279" s="18"/>
      <c r="O279" s="18"/>
      <c r="P279" s="18"/>
      <c r="Q279" s="18"/>
      <c r="R279" s="18"/>
      <c r="S279" s="18"/>
      <c r="T279" s="18"/>
      <c r="U279" s="18"/>
      <c r="V279" s="18"/>
      <c r="W279" s="18"/>
      <c r="X279" s="18"/>
      <c r="Y279" s="18"/>
      <c r="Z279" s="18"/>
      <c r="AA279" s="18"/>
      <c r="AB279" s="18"/>
      <c r="AC279" s="18"/>
      <c r="AD279" s="18"/>
      <c r="AE279" s="18"/>
      <c r="AF279" s="18"/>
      <c r="AG279" s="18"/>
    </row>
    <row r="280" spans="1:33" x14ac:dyDescent="0.2">
      <c r="A280" s="1279"/>
      <c r="B280" s="1280"/>
      <c r="C280" s="18"/>
      <c r="D280" s="18"/>
      <c r="E280" s="18"/>
      <c r="F280" s="18"/>
      <c r="G280" s="18"/>
      <c r="H280" s="18"/>
      <c r="I280" s="18"/>
      <c r="J280" s="18"/>
      <c r="K280" s="18"/>
      <c r="L280" s="12"/>
      <c r="M280" s="18"/>
      <c r="N280" s="18"/>
      <c r="O280" s="18"/>
      <c r="P280" s="18"/>
      <c r="Q280" s="18"/>
      <c r="R280" s="18"/>
      <c r="S280" s="18"/>
      <c r="T280" s="18"/>
      <c r="U280" s="18"/>
      <c r="V280" s="18"/>
      <c r="W280" s="18"/>
      <c r="X280" s="18"/>
      <c r="Y280" s="18"/>
      <c r="Z280" s="18"/>
      <c r="AA280" s="18"/>
      <c r="AB280" s="18"/>
      <c r="AC280" s="18"/>
      <c r="AD280" s="18"/>
      <c r="AE280" s="18"/>
      <c r="AF280" s="18"/>
      <c r="AG280" s="18"/>
    </row>
    <row r="281" spans="1:33" x14ac:dyDescent="0.2">
      <c r="A281" s="1279"/>
      <c r="B281" s="1280"/>
      <c r="C281" s="18"/>
      <c r="D281" s="18"/>
      <c r="E281" s="18"/>
      <c r="F281" s="18"/>
      <c r="G281" s="18"/>
      <c r="H281" s="18"/>
      <c r="I281" s="18"/>
      <c r="J281" s="18"/>
      <c r="K281" s="18"/>
      <c r="L281" s="12"/>
      <c r="M281" s="18"/>
      <c r="N281" s="18"/>
      <c r="O281" s="18"/>
      <c r="P281" s="18"/>
      <c r="Q281" s="18"/>
      <c r="R281" s="18"/>
      <c r="S281" s="18"/>
      <c r="T281" s="18"/>
      <c r="U281" s="18"/>
      <c r="V281" s="18"/>
      <c r="W281" s="18"/>
      <c r="X281" s="18"/>
      <c r="Y281" s="18"/>
      <c r="Z281" s="18"/>
      <c r="AA281" s="18"/>
      <c r="AB281" s="18"/>
      <c r="AC281" s="18"/>
      <c r="AD281" s="18"/>
      <c r="AE281" s="18"/>
      <c r="AF281" s="18"/>
      <c r="AG281" s="18"/>
    </row>
    <row r="282" spans="1:33" x14ac:dyDescent="0.2">
      <c r="A282" s="1279"/>
      <c r="B282" s="1280"/>
      <c r="C282" s="18"/>
      <c r="D282" s="18"/>
      <c r="E282" s="18"/>
      <c r="F282" s="18"/>
      <c r="G282" s="18"/>
      <c r="H282" s="18"/>
      <c r="I282" s="18"/>
      <c r="J282" s="18"/>
      <c r="K282" s="18"/>
      <c r="L282" s="12"/>
      <c r="M282" s="18"/>
      <c r="N282" s="18"/>
      <c r="O282" s="18"/>
      <c r="P282" s="18"/>
      <c r="Q282" s="18"/>
      <c r="R282" s="18"/>
      <c r="S282" s="18"/>
      <c r="T282" s="18"/>
      <c r="U282" s="18"/>
      <c r="V282" s="18"/>
      <c r="W282" s="18"/>
      <c r="X282" s="18"/>
      <c r="Y282" s="18"/>
      <c r="Z282" s="18"/>
      <c r="AA282" s="18"/>
      <c r="AB282" s="18"/>
      <c r="AC282" s="18"/>
      <c r="AD282" s="18"/>
      <c r="AE282" s="18"/>
      <c r="AF282" s="18"/>
      <c r="AG282" s="18"/>
    </row>
    <row r="283" spans="1:33" x14ac:dyDescent="0.2">
      <c r="A283" s="1279"/>
      <c r="B283" s="1280"/>
      <c r="C283" s="18"/>
      <c r="D283" s="18"/>
      <c r="E283" s="18"/>
      <c r="F283" s="18"/>
      <c r="G283" s="18"/>
      <c r="H283" s="18"/>
      <c r="I283" s="18"/>
      <c r="J283" s="18"/>
      <c r="K283" s="18"/>
      <c r="L283" s="12"/>
      <c r="M283" s="18"/>
      <c r="N283" s="18"/>
      <c r="O283" s="18"/>
      <c r="P283" s="18"/>
      <c r="Q283" s="18"/>
      <c r="R283" s="18"/>
      <c r="S283" s="18"/>
      <c r="T283" s="18"/>
      <c r="U283" s="18"/>
      <c r="V283" s="18"/>
      <c r="W283" s="18"/>
      <c r="X283" s="18"/>
      <c r="Y283" s="18"/>
      <c r="Z283" s="18"/>
      <c r="AA283" s="18"/>
      <c r="AB283" s="18"/>
      <c r="AC283" s="18"/>
      <c r="AD283" s="18"/>
      <c r="AE283" s="18"/>
      <c r="AF283" s="18"/>
      <c r="AG283" s="18"/>
    </row>
    <row r="284" spans="1:33" x14ac:dyDescent="0.2">
      <c r="A284" s="1279"/>
      <c r="B284" s="1280"/>
      <c r="C284" s="18"/>
      <c r="D284" s="18"/>
      <c r="E284" s="18"/>
      <c r="F284" s="18"/>
      <c r="G284" s="18"/>
      <c r="H284" s="18"/>
      <c r="I284" s="18"/>
      <c r="J284" s="18"/>
      <c r="K284" s="18"/>
      <c r="L284" s="12"/>
      <c r="M284" s="18"/>
      <c r="N284" s="18"/>
      <c r="O284" s="18"/>
      <c r="P284" s="18"/>
      <c r="Q284" s="18"/>
      <c r="R284" s="18"/>
      <c r="S284" s="18"/>
      <c r="T284" s="18"/>
      <c r="U284" s="18"/>
      <c r="V284" s="18"/>
      <c r="W284" s="18"/>
      <c r="X284" s="18"/>
      <c r="Y284" s="18"/>
      <c r="Z284" s="18"/>
      <c r="AA284" s="18"/>
      <c r="AB284" s="18"/>
      <c r="AC284" s="18"/>
      <c r="AD284" s="18"/>
      <c r="AE284" s="18"/>
      <c r="AF284" s="18"/>
      <c r="AG284" s="18"/>
    </row>
    <row r="285" spans="1:33" x14ac:dyDescent="0.2">
      <c r="A285" s="1279"/>
      <c r="B285" s="1280"/>
      <c r="C285" s="18"/>
      <c r="D285" s="18"/>
      <c r="E285" s="18"/>
      <c r="F285" s="18"/>
      <c r="G285" s="18"/>
      <c r="H285" s="18"/>
      <c r="I285" s="18"/>
      <c r="J285" s="18"/>
      <c r="K285" s="18"/>
      <c r="L285" s="12"/>
      <c r="M285" s="18"/>
      <c r="N285" s="18"/>
      <c r="O285" s="18"/>
      <c r="P285" s="18"/>
      <c r="Q285" s="18"/>
      <c r="R285" s="18"/>
      <c r="S285" s="18"/>
      <c r="T285" s="18"/>
      <c r="U285" s="18"/>
      <c r="V285" s="18"/>
      <c r="W285" s="18"/>
      <c r="X285" s="18"/>
      <c r="Y285" s="18"/>
      <c r="Z285" s="18"/>
      <c r="AA285" s="18"/>
      <c r="AB285" s="18"/>
      <c r="AC285" s="18"/>
      <c r="AD285" s="18"/>
      <c r="AE285" s="18"/>
      <c r="AF285" s="18"/>
      <c r="AG285" s="18"/>
    </row>
    <row r="286" spans="1:33" x14ac:dyDescent="0.2">
      <c r="A286" s="1279"/>
      <c r="B286" s="1280"/>
      <c r="C286" s="18"/>
      <c r="D286" s="18"/>
      <c r="E286" s="18"/>
      <c r="F286" s="18"/>
      <c r="G286" s="18"/>
      <c r="H286" s="18"/>
      <c r="I286" s="18"/>
      <c r="J286" s="18"/>
      <c r="K286" s="18"/>
      <c r="L286" s="12"/>
      <c r="M286" s="18"/>
      <c r="N286" s="18"/>
      <c r="O286" s="18"/>
      <c r="P286" s="18"/>
      <c r="Q286" s="18"/>
      <c r="R286" s="18"/>
      <c r="S286" s="18"/>
      <c r="T286" s="18"/>
      <c r="U286" s="18"/>
      <c r="V286" s="18"/>
      <c r="W286" s="18"/>
      <c r="X286" s="18"/>
      <c r="Y286" s="18"/>
      <c r="Z286" s="18"/>
      <c r="AA286" s="18"/>
      <c r="AB286" s="18"/>
      <c r="AC286" s="18"/>
      <c r="AD286" s="18"/>
      <c r="AE286" s="18"/>
      <c r="AF286" s="18"/>
      <c r="AG286" s="18"/>
    </row>
    <row r="287" spans="1:33" x14ac:dyDescent="0.2">
      <c r="A287" s="1279"/>
      <c r="B287" s="1280"/>
      <c r="C287" s="18"/>
      <c r="D287" s="18"/>
      <c r="E287" s="18"/>
      <c r="F287" s="18"/>
      <c r="G287" s="18"/>
      <c r="H287" s="18"/>
      <c r="I287" s="18"/>
      <c r="J287" s="18"/>
      <c r="K287" s="18"/>
      <c r="L287" s="12"/>
      <c r="M287" s="18"/>
      <c r="N287" s="18"/>
      <c r="O287" s="18"/>
      <c r="P287" s="18"/>
      <c r="Q287" s="18"/>
      <c r="R287" s="18"/>
      <c r="S287" s="18"/>
      <c r="T287" s="18"/>
      <c r="U287" s="18"/>
      <c r="V287" s="18"/>
      <c r="W287" s="18"/>
      <c r="X287" s="18"/>
      <c r="Y287" s="18"/>
      <c r="Z287" s="18"/>
      <c r="AA287" s="18"/>
      <c r="AB287" s="18"/>
      <c r="AC287" s="18"/>
      <c r="AD287" s="18"/>
      <c r="AE287" s="18"/>
      <c r="AF287" s="18"/>
      <c r="AG287" s="18"/>
    </row>
    <row r="288" spans="1:33" x14ac:dyDescent="0.2">
      <c r="A288" s="1279"/>
      <c r="B288" s="1280"/>
      <c r="C288" s="18"/>
      <c r="D288" s="18"/>
      <c r="E288" s="18"/>
      <c r="F288" s="18"/>
      <c r="G288" s="18"/>
      <c r="H288" s="18"/>
      <c r="I288" s="18"/>
      <c r="J288" s="18"/>
      <c r="K288" s="18"/>
      <c r="L288" s="12"/>
      <c r="M288" s="18"/>
      <c r="N288" s="18"/>
      <c r="O288" s="18"/>
      <c r="P288" s="18"/>
      <c r="Q288" s="18"/>
      <c r="R288" s="18"/>
      <c r="S288" s="18"/>
      <c r="T288" s="18"/>
      <c r="U288" s="18"/>
      <c r="V288" s="18"/>
      <c r="W288" s="18"/>
      <c r="X288" s="18"/>
      <c r="Y288" s="18"/>
      <c r="Z288" s="18"/>
      <c r="AA288" s="18"/>
      <c r="AB288" s="18"/>
      <c r="AC288" s="18"/>
      <c r="AD288" s="18"/>
      <c r="AE288" s="18"/>
      <c r="AF288" s="18"/>
      <c r="AG288" s="18"/>
    </row>
    <row r="289" spans="1:33" x14ac:dyDescent="0.2">
      <c r="A289" s="1279"/>
      <c r="B289" s="1280"/>
      <c r="C289" s="18"/>
      <c r="D289" s="18"/>
      <c r="E289" s="18"/>
      <c r="F289" s="18"/>
      <c r="G289" s="18"/>
      <c r="H289" s="18"/>
      <c r="I289" s="18"/>
      <c r="J289" s="18"/>
      <c r="K289" s="18"/>
      <c r="L289" s="12"/>
      <c r="M289" s="18"/>
      <c r="N289" s="18"/>
      <c r="O289" s="18"/>
      <c r="P289" s="18"/>
      <c r="Q289" s="18"/>
      <c r="R289" s="18"/>
      <c r="S289" s="18"/>
      <c r="T289" s="18"/>
      <c r="U289" s="18"/>
      <c r="V289" s="18"/>
      <c r="W289" s="18"/>
      <c r="X289" s="18"/>
      <c r="Y289" s="18"/>
      <c r="Z289" s="18"/>
      <c r="AA289" s="18"/>
      <c r="AB289" s="18"/>
      <c r="AC289" s="18"/>
      <c r="AD289" s="18"/>
      <c r="AE289" s="18"/>
      <c r="AF289" s="18"/>
      <c r="AG289" s="18"/>
    </row>
    <row r="290" spans="1:33" x14ac:dyDescent="0.2">
      <c r="A290" s="1279"/>
      <c r="B290" s="1280"/>
      <c r="C290" s="18"/>
      <c r="D290" s="18"/>
      <c r="E290" s="18"/>
      <c r="F290" s="18"/>
      <c r="G290" s="18"/>
      <c r="H290" s="18"/>
      <c r="I290" s="18"/>
      <c r="J290" s="18"/>
      <c r="K290" s="18"/>
      <c r="L290" s="12"/>
      <c r="M290" s="18"/>
      <c r="N290" s="18"/>
      <c r="O290" s="18"/>
      <c r="P290" s="18"/>
      <c r="Q290" s="18"/>
      <c r="R290" s="18"/>
      <c r="S290" s="18"/>
      <c r="T290" s="18"/>
      <c r="U290" s="18"/>
      <c r="V290" s="18"/>
      <c r="W290" s="18"/>
      <c r="X290" s="18"/>
      <c r="Y290" s="18"/>
      <c r="Z290" s="18"/>
      <c r="AA290" s="18"/>
      <c r="AB290" s="18"/>
      <c r="AC290" s="18"/>
      <c r="AD290" s="18"/>
      <c r="AE290" s="18"/>
      <c r="AF290" s="18"/>
      <c r="AG290" s="18"/>
    </row>
    <row r="291" spans="1:33" x14ac:dyDescent="0.2">
      <c r="A291" s="1279"/>
      <c r="B291" s="1280"/>
      <c r="C291" s="18"/>
      <c r="D291" s="18"/>
      <c r="E291" s="18"/>
      <c r="F291" s="18"/>
      <c r="G291" s="18"/>
      <c r="H291" s="18"/>
      <c r="I291" s="18"/>
      <c r="J291" s="18"/>
      <c r="K291" s="18"/>
      <c r="L291" s="12"/>
      <c r="M291" s="18"/>
      <c r="N291" s="18"/>
      <c r="O291" s="18"/>
      <c r="P291" s="18"/>
      <c r="Q291" s="18"/>
      <c r="R291" s="18"/>
      <c r="S291" s="18"/>
      <c r="T291" s="18"/>
      <c r="U291" s="18"/>
      <c r="V291" s="18"/>
      <c r="W291" s="18"/>
      <c r="X291" s="18"/>
      <c r="Y291" s="18"/>
      <c r="Z291" s="18"/>
      <c r="AA291" s="18"/>
      <c r="AB291" s="18"/>
      <c r="AC291" s="18"/>
      <c r="AD291" s="18"/>
      <c r="AE291" s="18"/>
      <c r="AF291" s="18"/>
      <c r="AG291" s="18"/>
    </row>
    <row r="292" spans="1:33" x14ac:dyDescent="0.2">
      <c r="A292" s="1279"/>
      <c r="B292" s="1280"/>
      <c r="C292" s="18"/>
      <c r="D292" s="18"/>
      <c r="E292" s="18"/>
      <c r="F292" s="18"/>
      <c r="G292" s="18"/>
      <c r="H292" s="18"/>
      <c r="I292" s="18"/>
      <c r="J292" s="18"/>
      <c r="K292" s="18"/>
      <c r="L292" s="12"/>
      <c r="M292" s="18"/>
      <c r="N292" s="18"/>
      <c r="O292" s="18"/>
      <c r="P292" s="18"/>
      <c r="Q292" s="18"/>
      <c r="R292" s="18"/>
      <c r="S292" s="18"/>
      <c r="T292" s="18"/>
      <c r="U292" s="18"/>
      <c r="V292" s="18"/>
      <c r="W292" s="18"/>
      <c r="X292" s="18"/>
      <c r="Y292" s="18"/>
      <c r="Z292" s="18"/>
      <c r="AA292" s="18"/>
      <c r="AB292" s="18"/>
      <c r="AC292" s="18"/>
      <c r="AD292" s="18"/>
      <c r="AE292" s="18"/>
      <c r="AF292" s="18"/>
      <c r="AG292" s="18"/>
    </row>
    <row r="293" spans="1:33" x14ac:dyDescent="0.2">
      <c r="A293" s="1279"/>
      <c r="B293" s="1280"/>
      <c r="C293" s="18"/>
      <c r="D293" s="18"/>
      <c r="E293" s="18"/>
      <c r="F293" s="18"/>
      <c r="G293" s="18"/>
      <c r="H293" s="18"/>
      <c r="I293" s="18"/>
      <c r="J293" s="18"/>
      <c r="K293" s="18"/>
      <c r="L293" s="12"/>
      <c r="M293" s="18"/>
      <c r="N293" s="18"/>
      <c r="O293" s="18"/>
      <c r="P293" s="18"/>
      <c r="Q293" s="18"/>
      <c r="R293" s="18"/>
      <c r="S293" s="18"/>
      <c r="T293" s="18"/>
      <c r="U293" s="18"/>
      <c r="V293" s="18"/>
      <c r="W293" s="18"/>
      <c r="X293" s="18"/>
      <c r="Y293" s="18"/>
      <c r="Z293" s="18"/>
      <c r="AA293" s="18"/>
      <c r="AB293" s="18"/>
      <c r="AC293" s="18"/>
      <c r="AD293" s="18"/>
      <c r="AE293" s="18"/>
      <c r="AF293" s="18"/>
      <c r="AG293" s="18"/>
    </row>
    <row r="294" spans="1:33" x14ac:dyDescent="0.2">
      <c r="A294" s="1279"/>
      <c r="B294" s="1280"/>
      <c r="C294" s="18"/>
      <c r="D294" s="18"/>
      <c r="E294" s="18"/>
      <c r="F294" s="18"/>
      <c r="G294" s="18"/>
      <c r="H294" s="18"/>
      <c r="I294" s="18"/>
      <c r="J294" s="18"/>
      <c r="K294" s="18"/>
      <c r="L294" s="12"/>
      <c r="M294" s="18"/>
      <c r="N294" s="18"/>
      <c r="O294" s="18"/>
      <c r="P294" s="18"/>
      <c r="Q294" s="18"/>
      <c r="R294" s="18"/>
      <c r="S294" s="18"/>
      <c r="T294" s="18"/>
      <c r="U294" s="18"/>
      <c r="V294" s="18"/>
      <c r="W294" s="18"/>
      <c r="X294" s="18"/>
      <c r="Y294" s="18"/>
      <c r="Z294" s="18"/>
      <c r="AA294" s="18"/>
      <c r="AB294" s="18"/>
      <c r="AC294" s="18"/>
      <c r="AD294" s="18"/>
      <c r="AE294" s="18"/>
      <c r="AF294" s="18"/>
      <c r="AG294" s="18"/>
    </row>
    <row r="295" spans="1:33" x14ac:dyDescent="0.2">
      <c r="A295" s="1279"/>
      <c r="B295" s="1280"/>
      <c r="C295" s="18"/>
      <c r="D295" s="18"/>
      <c r="E295" s="18"/>
      <c r="F295" s="18"/>
      <c r="G295" s="18"/>
      <c r="H295" s="18"/>
      <c r="I295" s="18"/>
      <c r="J295" s="18"/>
      <c r="K295" s="18"/>
      <c r="L295" s="12"/>
      <c r="M295" s="18"/>
      <c r="N295" s="18"/>
      <c r="O295" s="18"/>
      <c r="P295" s="18"/>
      <c r="Q295" s="18"/>
      <c r="R295" s="18"/>
      <c r="S295" s="18"/>
      <c r="T295" s="18"/>
      <c r="U295" s="18"/>
      <c r="V295" s="18"/>
      <c r="W295" s="18"/>
      <c r="X295" s="18"/>
      <c r="Y295" s="18"/>
      <c r="Z295" s="18"/>
      <c r="AA295" s="18"/>
      <c r="AB295" s="18"/>
      <c r="AC295" s="18"/>
      <c r="AD295" s="18"/>
      <c r="AE295" s="18"/>
      <c r="AF295" s="18"/>
      <c r="AG295" s="18"/>
    </row>
    <row r="296" spans="1:33" x14ac:dyDescent="0.2">
      <c r="A296" s="1279"/>
      <c r="B296" s="1280"/>
      <c r="C296" s="18"/>
      <c r="D296" s="18"/>
      <c r="E296" s="18"/>
      <c r="F296" s="18"/>
      <c r="G296" s="18"/>
      <c r="H296" s="18"/>
      <c r="I296" s="18"/>
      <c r="J296" s="18"/>
      <c r="K296" s="18"/>
      <c r="L296" s="12"/>
      <c r="M296" s="18"/>
      <c r="N296" s="18"/>
      <c r="O296" s="18"/>
      <c r="P296" s="18"/>
      <c r="Q296" s="18"/>
      <c r="R296" s="18"/>
      <c r="S296" s="18"/>
      <c r="T296" s="18"/>
      <c r="U296" s="18"/>
      <c r="V296" s="18"/>
      <c r="W296" s="18"/>
      <c r="X296" s="18"/>
      <c r="Y296" s="18"/>
      <c r="Z296" s="18"/>
      <c r="AA296" s="18"/>
      <c r="AB296" s="18"/>
      <c r="AC296" s="18"/>
      <c r="AD296" s="18"/>
      <c r="AE296" s="18"/>
      <c r="AF296" s="18"/>
      <c r="AG296" s="18"/>
    </row>
    <row r="297" spans="1:33" x14ac:dyDescent="0.2">
      <c r="A297" s="1279"/>
      <c r="B297" s="1280"/>
      <c r="C297" s="18"/>
      <c r="D297" s="18"/>
      <c r="E297" s="18"/>
      <c r="F297" s="18"/>
      <c r="G297" s="18"/>
      <c r="H297" s="18"/>
      <c r="I297" s="18"/>
      <c r="J297" s="18"/>
      <c r="K297" s="18"/>
      <c r="L297" s="12"/>
      <c r="M297" s="18"/>
      <c r="N297" s="18"/>
      <c r="O297" s="18"/>
      <c r="P297" s="18"/>
      <c r="Q297" s="18"/>
      <c r="R297" s="18"/>
      <c r="S297" s="18"/>
      <c r="T297" s="18"/>
      <c r="U297" s="18"/>
      <c r="V297" s="18"/>
      <c r="W297" s="18"/>
      <c r="X297" s="18"/>
      <c r="Y297" s="18"/>
      <c r="Z297" s="18"/>
      <c r="AA297" s="18"/>
      <c r="AB297" s="18"/>
      <c r="AC297" s="18"/>
      <c r="AD297" s="18"/>
      <c r="AE297" s="18"/>
      <c r="AF297" s="18"/>
      <c r="AG297" s="18"/>
    </row>
    <row r="298" spans="1:33" x14ac:dyDescent="0.2">
      <c r="A298" s="1279"/>
      <c r="B298" s="1280"/>
      <c r="C298" s="18"/>
      <c r="D298" s="18"/>
      <c r="E298" s="18"/>
      <c r="F298" s="18"/>
      <c r="G298" s="18"/>
      <c r="H298" s="18"/>
      <c r="I298" s="18"/>
      <c r="J298" s="18"/>
      <c r="K298" s="18"/>
      <c r="L298" s="12"/>
      <c r="M298" s="18"/>
      <c r="N298" s="18"/>
      <c r="O298" s="18"/>
      <c r="P298" s="18"/>
      <c r="Q298" s="18"/>
      <c r="R298" s="18"/>
      <c r="S298" s="18"/>
      <c r="T298" s="18"/>
      <c r="U298" s="18"/>
      <c r="V298" s="18"/>
      <c r="W298" s="18"/>
      <c r="X298" s="18"/>
      <c r="Y298" s="18"/>
      <c r="Z298" s="18"/>
      <c r="AA298" s="18"/>
      <c r="AB298" s="18"/>
      <c r="AC298" s="18"/>
      <c r="AD298" s="18"/>
      <c r="AE298" s="18"/>
      <c r="AF298" s="18"/>
      <c r="AG298" s="18"/>
    </row>
    <row r="299" spans="1:33" x14ac:dyDescent="0.2">
      <c r="A299" s="1279"/>
      <c r="B299" s="1280"/>
      <c r="C299" s="18"/>
      <c r="D299" s="18"/>
      <c r="E299" s="18"/>
      <c r="F299" s="18"/>
      <c r="G299" s="18"/>
      <c r="H299" s="18"/>
      <c r="I299" s="18"/>
      <c r="J299" s="18"/>
      <c r="K299" s="18"/>
      <c r="L299" s="12"/>
      <c r="M299" s="18"/>
      <c r="N299" s="18"/>
      <c r="O299" s="18"/>
      <c r="P299" s="18"/>
      <c r="Q299" s="18"/>
      <c r="R299" s="18"/>
      <c r="S299" s="18"/>
      <c r="T299" s="18"/>
      <c r="U299" s="18"/>
      <c r="V299" s="18"/>
      <c r="W299" s="18"/>
      <c r="X299" s="18"/>
      <c r="Y299" s="18"/>
      <c r="Z299" s="18"/>
      <c r="AA299" s="18"/>
      <c r="AB299" s="18"/>
      <c r="AC299" s="18"/>
      <c r="AD299" s="18"/>
      <c r="AE299" s="18"/>
      <c r="AF299" s="18"/>
      <c r="AG299" s="18"/>
    </row>
    <row r="300" spans="1:33" x14ac:dyDescent="0.2">
      <c r="A300" s="1279"/>
      <c r="B300" s="1280"/>
      <c r="C300" s="18"/>
      <c r="D300" s="18"/>
      <c r="E300" s="18"/>
      <c r="F300" s="18"/>
      <c r="G300" s="18"/>
      <c r="H300" s="18"/>
      <c r="I300" s="18"/>
      <c r="J300" s="18"/>
      <c r="K300" s="18"/>
      <c r="L300" s="12"/>
      <c r="M300" s="18"/>
      <c r="N300" s="18"/>
      <c r="O300" s="18"/>
      <c r="P300" s="18"/>
      <c r="Q300" s="18"/>
      <c r="R300" s="18"/>
      <c r="S300" s="18"/>
      <c r="T300" s="18"/>
      <c r="U300" s="18"/>
      <c r="V300" s="18"/>
      <c r="W300" s="18"/>
      <c r="X300" s="18"/>
      <c r="Y300" s="18"/>
      <c r="Z300" s="18"/>
      <c r="AA300" s="18"/>
      <c r="AB300" s="18"/>
      <c r="AC300" s="18"/>
      <c r="AD300" s="18"/>
      <c r="AE300" s="18"/>
      <c r="AF300" s="18"/>
      <c r="AG300" s="18"/>
    </row>
    <row r="301" spans="1:33" x14ac:dyDescent="0.2">
      <c r="A301" s="1279"/>
      <c r="B301" s="1280"/>
      <c r="C301" s="18"/>
      <c r="D301" s="18"/>
      <c r="E301" s="18"/>
      <c r="F301" s="18"/>
      <c r="G301" s="18"/>
      <c r="H301" s="18"/>
      <c r="I301" s="18"/>
      <c r="J301" s="18"/>
      <c r="K301" s="18"/>
      <c r="L301" s="12"/>
      <c r="M301" s="18"/>
      <c r="N301" s="18"/>
      <c r="O301" s="18"/>
      <c r="P301" s="18"/>
      <c r="Q301" s="18"/>
      <c r="R301" s="18"/>
      <c r="S301" s="18"/>
      <c r="T301" s="18"/>
      <c r="U301" s="18"/>
      <c r="V301" s="18"/>
      <c r="W301" s="18"/>
      <c r="X301" s="18"/>
      <c r="Y301" s="18"/>
      <c r="Z301" s="18"/>
      <c r="AA301" s="18"/>
      <c r="AB301" s="18"/>
      <c r="AC301" s="18"/>
      <c r="AD301" s="18"/>
      <c r="AE301" s="18"/>
      <c r="AF301" s="18"/>
      <c r="AG301" s="18"/>
    </row>
    <row r="302" spans="1:33" x14ac:dyDescent="0.2">
      <c r="A302" s="1279"/>
      <c r="B302" s="1280"/>
      <c r="C302" s="18"/>
      <c r="D302" s="18"/>
      <c r="E302" s="18"/>
      <c r="F302" s="18"/>
      <c r="G302" s="18"/>
      <c r="H302" s="18"/>
      <c r="I302" s="18"/>
      <c r="J302" s="18"/>
      <c r="K302" s="18"/>
      <c r="L302" s="12"/>
      <c r="M302" s="18"/>
      <c r="N302" s="18"/>
      <c r="O302" s="18"/>
      <c r="P302" s="18"/>
      <c r="Q302" s="18"/>
      <c r="R302" s="18"/>
      <c r="S302" s="18"/>
      <c r="T302" s="18"/>
      <c r="U302" s="18"/>
      <c r="V302" s="18"/>
      <c r="W302" s="18"/>
      <c r="X302" s="18"/>
      <c r="Y302" s="18"/>
      <c r="Z302" s="18"/>
      <c r="AA302" s="18"/>
      <c r="AB302" s="18"/>
      <c r="AC302" s="18"/>
      <c r="AD302" s="18"/>
      <c r="AE302" s="18"/>
      <c r="AF302" s="18"/>
      <c r="AG302" s="18"/>
    </row>
    <row r="303" spans="1:33" x14ac:dyDescent="0.2">
      <c r="A303" s="1279"/>
      <c r="B303" s="1280"/>
      <c r="C303" s="18"/>
      <c r="D303" s="18"/>
      <c r="E303" s="18"/>
      <c r="F303" s="18"/>
      <c r="G303" s="18"/>
      <c r="H303" s="18"/>
      <c r="I303" s="18"/>
      <c r="J303" s="18"/>
      <c r="K303" s="18"/>
      <c r="L303" s="12"/>
      <c r="M303" s="18"/>
      <c r="N303" s="18"/>
      <c r="O303" s="18"/>
      <c r="P303" s="18"/>
      <c r="Q303" s="18"/>
      <c r="R303" s="18"/>
      <c r="S303" s="18"/>
      <c r="T303" s="18"/>
      <c r="U303" s="18"/>
      <c r="V303" s="18"/>
      <c r="W303" s="18"/>
      <c r="X303" s="18"/>
      <c r="Y303" s="18"/>
      <c r="Z303" s="18"/>
      <c r="AA303" s="18"/>
      <c r="AB303" s="18"/>
      <c r="AC303" s="18"/>
      <c r="AD303" s="18"/>
      <c r="AE303" s="18"/>
      <c r="AF303" s="18"/>
      <c r="AG303" s="18"/>
    </row>
    <row r="304" spans="1:33" x14ac:dyDescent="0.2">
      <c r="A304" s="1279"/>
      <c r="B304" s="1280"/>
      <c r="C304" s="18"/>
      <c r="D304" s="18"/>
      <c r="E304" s="18"/>
      <c r="F304" s="18"/>
      <c r="G304" s="18"/>
      <c r="H304" s="18"/>
      <c r="I304" s="18"/>
      <c r="J304" s="18"/>
      <c r="K304" s="18"/>
      <c r="L304" s="12"/>
      <c r="M304" s="18"/>
      <c r="N304" s="18"/>
      <c r="O304" s="18"/>
      <c r="P304" s="18"/>
      <c r="Q304" s="18"/>
      <c r="R304" s="18"/>
      <c r="S304" s="18"/>
      <c r="T304" s="18"/>
      <c r="U304" s="18"/>
      <c r="V304" s="18"/>
      <c r="W304" s="18"/>
      <c r="X304" s="18"/>
      <c r="Y304" s="18"/>
      <c r="Z304" s="18"/>
      <c r="AA304" s="18"/>
      <c r="AB304" s="18"/>
      <c r="AC304" s="18"/>
      <c r="AD304" s="18"/>
      <c r="AE304" s="18"/>
      <c r="AF304" s="18"/>
      <c r="AG304" s="18"/>
    </row>
    <row r="305" spans="1:33" x14ac:dyDescent="0.2">
      <c r="A305" s="1279"/>
      <c r="B305" s="1280"/>
      <c r="C305" s="18"/>
      <c r="D305" s="18"/>
      <c r="E305" s="18"/>
      <c r="F305" s="18"/>
      <c r="G305" s="18"/>
      <c r="H305" s="18"/>
      <c r="I305" s="18"/>
      <c r="J305" s="18"/>
      <c r="K305" s="18"/>
      <c r="L305" s="12"/>
      <c r="M305" s="18"/>
      <c r="N305" s="18"/>
      <c r="O305" s="18"/>
      <c r="P305" s="18"/>
      <c r="Q305" s="18"/>
      <c r="R305" s="18"/>
      <c r="S305" s="18"/>
      <c r="T305" s="18"/>
      <c r="U305" s="18"/>
      <c r="V305" s="18"/>
      <c r="W305" s="18"/>
      <c r="X305" s="18"/>
      <c r="Y305" s="18"/>
      <c r="Z305" s="18"/>
      <c r="AA305" s="18"/>
      <c r="AB305" s="18"/>
      <c r="AC305" s="18"/>
      <c r="AD305" s="18"/>
      <c r="AE305" s="18"/>
      <c r="AF305" s="18"/>
      <c r="AG305" s="18"/>
    </row>
    <row r="306" spans="1:33" x14ac:dyDescent="0.2">
      <c r="A306" s="1279"/>
      <c r="B306" s="1280"/>
      <c r="C306" s="18"/>
      <c r="D306" s="18"/>
      <c r="E306" s="18"/>
      <c r="F306" s="18"/>
      <c r="G306" s="18"/>
      <c r="H306" s="18"/>
      <c r="I306" s="18"/>
      <c r="J306" s="18"/>
      <c r="K306" s="18"/>
      <c r="L306" s="12"/>
      <c r="M306" s="18"/>
      <c r="N306" s="18"/>
      <c r="O306" s="18"/>
      <c r="P306" s="18"/>
      <c r="Q306" s="18"/>
      <c r="R306" s="18"/>
      <c r="S306" s="18"/>
      <c r="T306" s="18"/>
      <c r="U306" s="18"/>
      <c r="V306" s="18"/>
      <c r="W306" s="18"/>
      <c r="X306" s="18"/>
      <c r="Y306" s="18"/>
      <c r="Z306" s="18"/>
      <c r="AA306" s="18"/>
      <c r="AB306" s="18"/>
      <c r="AC306" s="18"/>
      <c r="AD306" s="18"/>
      <c r="AE306" s="18"/>
      <c r="AF306" s="18"/>
      <c r="AG306" s="18"/>
    </row>
    <row r="307" spans="1:33" x14ac:dyDescent="0.2">
      <c r="A307" s="1279"/>
      <c r="B307" s="1280"/>
      <c r="C307" s="18"/>
      <c r="D307" s="18"/>
      <c r="E307" s="18"/>
      <c r="F307" s="18"/>
      <c r="G307" s="18"/>
      <c r="H307" s="18"/>
      <c r="I307" s="18"/>
      <c r="J307" s="18"/>
      <c r="K307" s="18"/>
      <c r="L307" s="12"/>
      <c r="M307" s="18"/>
      <c r="N307" s="18"/>
      <c r="O307" s="18"/>
      <c r="P307" s="18"/>
      <c r="Q307" s="18"/>
      <c r="R307" s="18"/>
      <c r="S307" s="18"/>
      <c r="T307" s="18"/>
      <c r="U307" s="18"/>
      <c r="V307" s="18"/>
      <c r="W307" s="18"/>
      <c r="X307" s="18"/>
      <c r="Y307" s="18"/>
      <c r="Z307" s="18"/>
      <c r="AA307" s="18"/>
      <c r="AB307" s="18"/>
      <c r="AC307" s="18"/>
      <c r="AD307" s="18"/>
      <c r="AE307" s="18"/>
      <c r="AF307" s="18"/>
      <c r="AG307" s="18"/>
    </row>
    <row r="308" spans="1:33" x14ac:dyDescent="0.2">
      <c r="A308" s="1279"/>
      <c r="B308" s="1280"/>
      <c r="C308" s="18"/>
      <c r="D308" s="18"/>
      <c r="E308" s="18"/>
      <c r="F308" s="18"/>
      <c r="G308" s="18"/>
      <c r="H308" s="18"/>
      <c r="I308" s="18"/>
      <c r="J308" s="18"/>
      <c r="K308" s="18"/>
      <c r="L308" s="12"/>
      <c r="M308" s="18"/>
      <c r="N308" s="18"/>
      <c r="O308" s="18"/>
      <c r="P308" s="18"/>
      <c r="Q308" s="18"/>
      <c r="R308" s="18"/>
      <c r="S308" s="18"/>
      <c r="T308" s="18"/>
      <c r="U308" s="18"/>
      <c r="V308" s="18"/>
      <c r="W308" s="18"/>
      <c r="X308" s="18"/>
      <c r="Y308" s="18"/>
      <c r="Z308" s="18"/>
      <c r="AA308" s="18"/>
      <c r="AB308" s="18"/>
      <c r="AC308" s="18"/>
      <c r="AD308" s="18"/>
      <c r="AE308" s="18"/>
      <c r="AF308" s="18"/>
      <c r="AG308" s="18"/>
    </row>
    <row r="309" spans="1:33" x14ac:dyDescent="0.2">
      <c r="A309" s="1279"/>
      <c r="B309" s="1280"/>
      <c r="C309" s="18"/>
      <c r="D309" s="18"/>
      <c r="E309" s="18"/>
      <c r="F309" s="18"/>
      <c r="G309" s="18"/>
      <c r="H309" s="18"/>
      <c r="I309" s="18"/>
      <c r="J309" s="18"/>
      <c r="K309" s="18"/>
      <c r="L309" s="12"/>
      <c r="M309" s="18"/>
      <c r="N309" s="18"/>
      <c r="O309" s="18"/>
      <c r="P309" s="18"/>
      <c r="Q309" s="18"/>
      <c r="R309" s="18"/>
      <c r="S309" s="18"/>
      <c r="T309" s="18"/>
      <c r="U309" s="18"/>
      <c r="V309" s="18"/>
      <c r="W309" s="18"/>
      <c r="X309" s="18"/>
      <c r="Y309" s="18"/>
      <c r="Z309" s="18"/>
      <c r="AA309" s="18"/>
      <c r="AB309" s="18"/>
      <c r="AC309" s="18"/>
      <c r="AD309" s="18"/>
      <c r="AE309" s="18"/>
      <c r="AF309" s="18"/>
      <c r="AG309" s="18"/>
    </row>
    <row r="310" spans="1:33" x14ac:dyDescent="0.2">
      <c r="A310" s="1279"/>
      <c r="B310" s="1280"/>
      <c r="C310" s="18"/>
      <c r="D310" s="18"/>
      <c r="E310" s="18"/>
      <c r="F310" s="18"/>
      <c r="G310" s="18"/>
      <c r="H310" s="18"/>
      <c r="I310" s="18"/>
      <c r="J310" s="18"/>
      <c r="K310" s="18"/>
      <c r="L310" s="12"/>
      <c r="M310" s="18"/>
      <c r="N310" s="18"/>
      <c r="O310" s="18"/>
      <c r="P310" s="18"/>
      <c r="Q310" s="18"/>
      <c r="R310" s="18"/>
      <c r="S310" s="18"/>
      <c r="T310" s="18"/>
      <c r="U310" s="18"/>
      <c r="V310" s="18"/>
      <c r="W310" s="18"/>
      <c r="X310" s="18"/>
      <c r="Y310" s="18"/>
      <c r="Z310" s="18"/>
      <c r="AA310" s="18"/>
      <c r="AB310" s="18"/>
      <c r="AC310" s="18"/>
      <c r="AD310" s="18"/>
      <c r="AE310" s="18"/>
      <c r="AF310" s="18"/>
      <c r="AG310" s="18"/>
    </row>
    <row r="311" spans="1:33" x14ac:dyDescent="0.2">
      <c r="A311" s="1279"/>
      <c r="B311" s="1280"/>
      <c r="C311" s="18"/>
      <c r="D311" s="18"/>
      <c r="E311" s="18"/>
      <c r="F311" s="18"/>
      <c r="G311" s="18"/>
      <c r="H311" s="18"/>
      <c r="I311" s="18"/>
      <c r="J311" s="18"/>
      <c r="K311" s="18"/>
      <c r="L311" s="12"/>
      <c r="M311" s="18"/>
      <c r="N311" s="18"/>
      <c r="O311" s="18"/>
      <c r="P311" s="18"/>
      <c r="Q311" s="18"/>
      <c r="R311" s="18"/>
      <c r="S311" s="18"/>
      <c r="T311" s="18"/>
      <c r="U311" s="18"/>
      <c r="V311" s="18"/>
      <c r="W311" s="18"/>
      <c r="X311" s="18"/>
      <c r="Y311" s="18"/>
      <c r="Z311" s="18"/>
      <c r="AA311" s="18"/>
      <c r="AB311" s="18"/>
      <c r="AC311" s="18"/>
      <c r="AD311" s="18"/>
      <c r="AE311" s="18"/>
      <c r="AF311" s="18"/>
      <c r="AG311" s="18"/>
    </row>
    <row r="312" spans="1:33" x14ac:dyDescent="0.2">
      <c r="A312" s="1279"/>
      <c r="B312" s="1280"/>
      <c r="C312" s="18"/>
      <c r="D312" s="18"/>
      <c r="E312" s="18"/>
      <c r="F312" s="18"/>
      <c r="G312" s="18"/>
      <c r="H312" s="18"/>
      <c r="I312" s="18"/>
      <c r="J312" s="18"/>
      <c r="K312" s="18"/>
      <c r="L312" s="12"/>
      <c r="M312" s="18"/>
      <c r="N312" s="18"/>
      <c r="O312" s="18"/>
      <c r="P312" s="18"/>
      <c r="Q312" s="18"/>
      <c r="R312" s="18"/>
      <c r="S312" s="18"/>
      <c r="T312" s="18"/>
      <c r="U312" s="18"/>
      <c r="V312" s="18"/>
      <c r="W312" s="18"/>
      <c r="X312" s="18"/>
      <c r="Y312" s="18"/>
      <c r="Z312" s="18"/>
      <c r="AA312" s="18"/>
      <c r="AB312" s="18"/>
      <c r="AC312" s="18"/>
      <c r="AD312" s="18"/>
      <c r="AE312" s="18"/>
      <c r="AF312" s="18"/>
      <c r="AG312" s="18"/>
    </row>
    <row r="313" spans="1:33" x14ac:dyDescent="0.2">
      <c r="A313" s="1279"/>
      <c r="B313" s="1280"/>
      <c r="C313" s="18"/>
      <c r="D313" s="18"/>
      <c r="E313" s="18"/>
      <c r="F313" s="18"/>
      <c r="G313" s="18"/>
      <c r="H313" s="18"/>
      <c r="I313" s="18"/>
      <c r="J313" s="18"/>
      <c r="K313" s="18"/>
      <c r="L313" s="12"/>
      <c r="M313" s="18"/>
      <c r="N313" s="18"/>
      <c r="O313" s="18"/>
      <c r="P313" s="18"/>
      <c r="Q313" s="18"/>
      <c r="R313" s="18"/>
      <c r="S313" s="18"/>
      <c r="T313" s="18"/>
      <c r="U313" s="18"/>
      <c r="V313" s="18"/>
      <c r="W313" s="18"/>
      <c r="X313" s="18"/>
      <c r="Y313" s="18"/>
      <c r="Z313" s="18"/>
      <c r="AA313" s="18"/>
      <c r="AB313" s="18"/>
      <c r="AC313" s="18"/>
      <c r="AD313" s="18"/>
      <c r="AE313" s="18"/>
      <c r="AF313" s="18"/>
      <c r="AG313" s="18"/>
    </row>
    <row r="314" spans="1:33" x14ac:dyDescent="0.2">
      <c r="A314" s="1279"/>
      <c r="B314" s="1280"/>
      <c r="C314" s="18"/>
      <c r="D314" s="18"/>
      <c r="E314" s="18"/>
      <c r="F314" s="18"/>
      <c r="G314" s="18"/>
      <c r="H314" s="18"/>
      <c r="I314" s="18"/>
      <c r="J314" s="18"/>
      <c r="K314" s="18"/>
      <c r="L314" s="12"/>
      <c r="M314" s="18"/>
      <c r="N314" s="18"/>
      <c r="O314" s="18"/>
      <c r="P314" s="18"/>
      <c r="Q314" s="18"/>
      <c r="R314" s="18"/>
      <c r="S314" s="18"/>
      <c r="T314" s="18"/>
      <c r="U314" s="18"/>
      <c r="V314" s="18"/>
      <c r="W314" s="18"/>
      <c r="X314" s="18"/>
      <c r="Y314" s="18"/>
      <c r="Z314" s="18"/>
      <c r="AA314" s="18"/>
      <c r="AB314" s="18"/>
      <c r="AC314" s="18"/>
      <c r="AD314" s="18"/>
      <c r="AE314" s="18"/>
      <c r="AF314" s="18"/>
      <c r="AG314" s="18"/>
    </row>
    <row r="315" spans="1:33" x14ac:dyDescent="0.2">
      <c r="A315" s="1279"/>
      <c r="B315" s="1280"/>
      <c r="C315" s="18"/>
      <c r="D315" s="18"/>
      <c r="E315" s="18"/>
      <c r="F315" s="18"/>
      <c r="G315" s="18"/>
      <c r="H315" s="18"/>
      <c r="I315" s="18"/>
      <c r="J315" s="18"/>
      <c r="K315" s="18"/>
      <c r="L315" s="12"/>
      <c r="M315" s="18"/>
      <c r="N315" s="18"/>
      <c r="O315" s="18"/>
      <c r="P315" s="18"/>
      <c r="Q315" s="18"/>
      <c r="R315" s="18"/>
      <c r="S315" s="18"/>
      <c r="T315" s="18"/>
      <c r="U315" s="18"/>
      <c r="V315" s="18"/>
      <c r="W315" s="18"/>
      <c r="X315" s="18"/>
      <c r="Y315" s="18"/>
      <c r="Z315" s="18"/>
      <c r="AA315" s="18"/>
      <c r="AB315" s="18"/>
      <c r="AC315" s="18"/>
      <c r="AD315" s="18"/>
      <c r="AE315" s="18"/>
      <c r="AF315" s="18"/>
      <c r="AG315" s="18"/>
    </row>
    <row r="316" spans="1:33" x14ac:dyDescent="0.2">
      <c r="A316" s="1279"/>
      <c r="B316" s="1280"/>
      <c r="C316" s="18"/>
      <c r="D316" s="18"/>
      <c r="E316" s="18"/>
      <c r="F316" s="18"/>
      <c r="G316" s="18"/>
      <c r="H316" s="18"/>
      <c r="I316" s="18"/>
      <c r="J316" s="18"/>
      <c r="K316" s="18"/>
      <c r="L316" s="12"/>
      <c r="M316" s="18"/>
      <c r="N316" s="18"/>
      <c r="O316" s="18"/>
      <c r="P316" s="18"/>
      <c r="Q316" s="18"/>
      <c r="R316" s="18"/>
      <c r="S316" s="18"/>
      <c r="T316" s="18"/>
      <c r="U316" s="18"/>
      <c r="V316" s="18"/>
      <c r="W316" s="18"/>
      <c r="X316" s="18"/>
      <c r="Y316" s="18"/>
      <c r="Z316" s="18"/>
      <c r="AA316" s="18"/>
      <c r="AB316" s="18"/>
      <c r="AC316" s="18"/>
      <c r="AD316" s="18"/>
      <c r="AE316" s="18"/>
      <c r="AF316" s="18"/>
      <c r="AG316" s="18"/>
    </row>
    <row r="317" spans="1:33" x14ac:dyDescent="0.2">
      <c r="A317" s="1279"/>
      <c r="B317" s="1280"/>
      <c r="C317" s="18"/>
      <c r="D317" s="18"/>
      <c r="E317" s="18"/>
      <c r="F317" s="18"/>
      <c r="G317" s="18"/>
      <c r="H317" s="18"/>
      <c r="I317" s="18"/>
      <c r="J317" s="18"/>
      <c r="K317" s="18"/>
      <c r="L317" s="12"/>
      <c r="M317" s="18"/>
      <c r="N317" s="18"/>
      <c r="O317" s="18"/>
      <c r="P317" s="18"/>
      <c r="Q317" s="18"/>
      <c r="R317" s="18"/>
      <c r="S317" s="18"/>
      <c r="T317" s="18"/>
      <c r="U317" s="18"/>
      <c r="V317" s="18"/>
      <c r="W317" s="18"/>
      <c r="X317" s="18"/>
      <c r="Y317" s="18"/>
      <c r="Z317" s="18"/>
      <c r="AA317" s="18"/>
      <c r="AB317" s="18"/>
      <c r="AC317" s="18"/>
      <c r="AD317" s="18"/>
      <c r="AE317" s="18"/>
      <c r="AF317" s="18"/>
      <c r="AG317" s="18"/>
    </row>
    <row r="318" spans="1:33" x14ac:dyDescent="0.2">
      <c r="A318" s="1279"/>
      <c r="B318" s="1280"/>
      <c r="C318" s="18"/>
      <c r="D318" s="18"/>
      <c r="E318" s="18"/>
      <c r="F318" s="18"/>
      <c r="G318" s="18"/>
      <c r="H318" s="18"/>
      <c r="I318" s="18"/>
      <c r="J318" s="18"/>
      <c r="K318" s="18"/>
      <c r="L318" s="12"/>
      <c r="M318" s="18"/>
      <c r="N318" s="18"/>
      <c r="O318" s="18"/>
      <c r="P318" s="18"/>
      <c r="Q318" s="18"/>
      <c r="R318" s="18"/>
      <c r="S318" s="18"/>
      <c r="T318" s="18"/>
      <c r="U318" s="18"/>
      <c r="V318" s="18"/>
      <c r="W318" s="18"/>
      <c r="X318" s="18"/>
      <c r="Y318" s="18"/>
      <c r="Z318" s="18"/>
      <c r="AA318" s="18"/>
      <c r="AB318" s="18"/>
      <c r="AC318" s="18"/>
      <c r="AD318" s="18"/>
      <c r="AE318" s="18"/>
      <c r="AF318" s="18"/>
      <c r="AG318" s="18"/>
    </row>
    <row r="319" spans="1:33" x14ac:dyDescent="0.2">
      <c r="A319" s="1279"/>
      <c r="B319" s="1280"/>
      <c r="C319" s="18"/>
      <c r="D319" s="18"/>
      <c r="E319" s="18"/>
      <c r="F319" s="18"/>
      <c r="G319" s="18"/>
      <c r="H319" s="18"/>
      <c r="I319" s="18"/>
      <c r="J319" s="18"/>
      <c r="K319" s="18"/>
      <c r="L319" s="12"/>
      <c r="M319" s="18"/>
      <c r="N319" s="18"/>
      <c r="O319" s="18"/>
      <c r="P319" s="18"/>
      <c r="Q319" s="18"/>
      <c r="R319" s="18"/>
      <c r="S319" s="18"/>
      <c r="T319" s="18"/>
      <c r="U319" s="18"/>
      <c r="V319" s="18"/>
      <c r="W319" s="18"/>
      <c r="X319" s="18"/>
      <c r="Y319" s="18"/>
      <c r="Z319" s="18"/>
      <c r="AA319" s="18"/>
      <c r="AB319" s="18"/>
      <c r="AC319" s="18"/>
      <c r="AD319" s="18"/>
      <c r="AE319" s="18"/>
      <c r="AF319" s="18"/>
      <c r="AG319" s="18"/>
    </row>
    <row r="320" spans="1:33" x14ac:dyDescent="0.2">
      <c r="A320" s="1279"/>
      <c r="B320" s="1280"/>
      <c r="C320" s="18"/>
      <c r="D320" s="18"/>
      <c r="E320" s="18"/>
      <c r="F320" s="18"/>
      <c r="G320" s="18"/>
      <c r="H320" s="18"/>
      <c r="I320" s="18"/>
      <c r="J320" s="18"/>
      <c r="K320" s="18"/>
      <c r="L320" s="12"/>
      <c r="M320" s="18"/>
      <c r="N320" s="18"/>
      <c r="O320" s="18"/>
      <c r="P320" s="18"/>
      <c r="Q320" s="18"/>
      <c r="R320" s="18"/>
      <c r="S320" s="18"/>
      <c r="T320" s="18"/>
      <c r="U320" s="18"/>
      <c r="V320" s="18"/>
      <c r="W320" s="18"/>
      <c r="X320" s="18"/>
      <c r="Y320" s="18"/>
      <c r="Z320" s="18"/>
      <c r="AA320" s="18"/>
      <c r="AB320" s="18"/>
      <c r="AC320" s="18"/>
      <c r="AD320" s="18"/>
      <c r="AE320" s="18"/>
      <c r="AF320" s="18"/>
      <c r="AG320" s="18"/>
    </row>
    <row r="321" spans="1:33" x14ac:dyDescent="0.2">
      <c r="A321" s="1279"/>
      <c r="B321" s="1280"/>
      <c r="C321" s="18"/>
      <c r="D321" s="18"/>
      <c r="E321" s="18"/>
      <c r="F321" s="18"/>
      <c r="G321" s="18"/>
      <c r="H321" s="18"/>
      <c r="I321" s="18"/>
      <c r="J321" s="18"/>
      <c r="K321" s="18"/>
      <c r="L321" s="12"/>
      <c r="M321" s="18"/>
      <c r="N321" s="18"/>
      <c r="O321" s="18"/>
      <c r="P321" s="18"/>
      <c r="Q321" s="18"/>
      <c r="R321" s="18"/>
      <c r="S321" s="18"/>
      <c r="T321" s="18"/>
      <c r="U321" s="18"/>
      <c r="V321" s="18"/>
      <c r="W321" s="18"/>
      <c r="X321" s="18"/>
      <c r="Y321" s="18"/>
      <c r="Z321" s="18"/>
      <c r="AA321" s="18"/>
      <c r="AB321" s="18"/>
      <c r="AC321" s="18"/>
      <c r="AD321" s="18"/>
      <c r="AE321" s="18"/>
      <c r="AF321" s="18"/>
      <c r="AG321" s="18"/>
    </row>
    <row r="322" spans="1:33" x14ac:dyDescent="0.2">
      <c r="A322" s="1279"/>
      <c r="B322" s="1280"/>
      <c r="C322" s="18"/>
      <c r="D322" s="18"/>
      <c r="E322" s="18"/>
      <c r="F322" s="18"/>
      <c r="G322" s="18"/>
      <c r="H322" s="18"/>
      <c r="I322" s="18"/>
      <c r="J322" s="18"/>
      <c r="K322" s="18"/>
      <c r="L322" s="12"/>
      <c r="M322" s="18"/>
      <c r="N322" s="18"/>
      <c r="O322" s="18"/>
      <c r="P322" s="18"/>
      <c r="Q322" s="18"/>
      <c r="R322" s="18"/>
      <c r="S322" s="18"/>
      <c r="T322" s="18"/>
      <c r="U322" s="18"/>
      <c r="V322" s="18"/>
      <c r="W322" s="18"/>
      <c r="X322" s="18"/>
      <c r="Y322" s="18"/>
      <c r="Z322" s="18"/>
      <c r="AA322" s="18"/>
      <c r="AB322" s="18"/>
      <c r="AC322" s="18"/>
      <c r="AD322" s="18"/>
      <c r="AE322" s="18"/>
      <c r="AF322" s="18"/>
      <c r="AG322" s="18"/>
    </row>
    <row r="323" spans="1:33" x14ac:dyDescent="0.2">
      <c r="A323" s="1279"/>
      <c r="B323" s="1280"/>
      <c r="C323" s="18"/>
      <c r="D323" s="18"/>
      <c r="E323" s="18"/>
      <c r="F323" s="18"/>
      <c r="G323" s="18"/>
      <c r="H323" s="18"/>
      <c r="I323" s="18"/>
      <c r="J323" s="18"/>
      <c r="K323" s="18"/>
      <c r="L323" s="12"/>
      <c r="M323" s="18"/>
      <c r="N323" s="18"/>
      <c r="O323" s="18"/>
      <c r="P323" s="18"/>
      <c r="Q323" s="18"/>
      <c r="R323" s="18"/>
      <c r="S323" s="18"/>
      <c r="T323" s="18"/>
      <c r="U323" s="18"/>
      <c r="V323" s="18"/>
      <c r="W323" s="18"/>
      <c r="X323" s="18"/>
      <c r="Y323" s="18"/>
      <c r="Z323" s="18"/>
      <c r="AA323" s="18"/>
      <c r="AB323" s="18"/>
      <c r="AC323" s="18"/>
      <c r="AD323" s="18"/>
      <c r="AE323" s="18"/>
      <c r="AF323" s="18"/>
      <c r="AG323" s="18"/>
    </row>
    <row r="324" spans="1:33" x14ac:dyDescent="0.2">
      <c r="A324" s="1279"/>
      <c r="B324" s="1280"/>
      <c r="C324" s="18"/>
      <c r="D324" s="18"/>
      <c r="E324" s="18"/>
      <c r="F324" s="18"/>
      <c r="G324" s="18"/>
      <c r="H324" s="18"/>
      <c r="I324" s="18"/>
      <c r="J324" s="18"/>
      <c r="K324" s="18"/>
      <c r="L324" s="12"/>
      <c r="M324" s="18"/>
      <c r="N324" s="18"/>
      <c r="O324" s="18"/>
      <c r="P324" s="18"/>
      <c r="Q324" s="18"/>
      <c r="R324" s="18"/>
      <c r="S324" s="18"/>
      <c r="T324" s="18"/>
      <c r="U324" s="18"/>
      <c r="V324" s="18"/>
      <c r="W324" s="18"/>
      <c r="X324" s="18"/>
      <c r="Y324" s="18"/>
      <c r="Z324" s="18"/>
      <c r="AA324" s="18"/>
      <c r="AB324" s="18"/>
      <c r="AC324" s="18"/>
      <c r="AD324" s="18"/>
      <c r="AE324" s="18"/>
      <c r="AF324" s="18"/>
      <c r="AG324" s="18"/>
    </row>
    <row r="325" spans="1:33" x14ac:dyDescent="0.2">
      <c r="A325" s="1279"/>
      <c r="B325" s="1280"/>
      <c r="C325" s="18"/>
      <c r="D325" s="18"/>
      <c r="E325" s="18"/>
      <c r="F325" s="18"/>
      <c r="G325" s="18"/>
      <c r="H325" s="18"/>
      <c r="I325" s="18"/>
      <c r="J325" s="18"/>
      <c r="K325" s="18"/>
      <c r="L325" s="12"/>
      <c r="M325" s="18"/>
      <c r="N325" s="18"/>
      <c r="O325" s="18"/>
      <c r="P325" s="18"/>
      <c r="Q325" s="18"/>
      <c r="R325" s="18"/>
      <c r="S325" s="18"/>
      <c r="T325" s="18"/>
      <c r="U325" s="18"/>
      <c r="V325" s="18"/>
      <c r="W325" s="18"/>
      <c r="X325" s="18"/>
      <c r="Y325" s="18"/>
      <c r="Z325" s="18"/>
      <c r="AA325" s="18"/>
      <c r="AB325" s="18"/>
      <c r="AC325" s="18"/>
      <c r="AD325" s="18"/>
      <c r="AE325" s="18"/>
      <c r="AF325" s="18"/>
      <c r="AG325" s="18"/>
    </row>
    <row r="326" spans="1:33" x14ac:dyDescent="0.2">
      <c r="A326" s="1279"/>
      <c r="B326" s="1280"/>
      <c r="C326" s="18"/>
      <c r="D326" s="18"/>
      <c r="E326" s="18"/>
      <c r="F326" s="18"/>
      <c r="G326" s="18"/>
      <c r="H326" s="18"/>
      <c r="I326" s="18"/>
      <c r="J326" s="18"/>
      <c r="K326" s="18"/>
      <c r="L326" s="12"/>
      <c r="M326" s="18"/>
      <c r="N326" s="18"/>
      <c r="O326" s="18"/>
      <c r="P326" s="18"/>
      <c r="Q326" s="18"/>
      <c r="R326" s="18"/>
      <c r="S326" s="18"/>
      <c r="T326" s="18"/>
      <c r="U326" s="18"/>
      <c r="V326" s="18"/>
      <c r="W326" s="18"/>
      <c r="X326" s="18"/>
      <c r="Y326" s="18"/>
      <c r="Z326" s="18"/>
      <c r="AA326" s="18"/>
      <c r="AB326" s="18"/>
      <c r="AC326" s="18"/>
      <c r="AD326" s="18"/>
      <c r="AE326" s="18"/>
      <c r="AF326" s="18"/>
      <c r="AG326" s="18"/>
    </row>
    <row r="327" spans="1:33" x14ac:dyDescent="0.2">
      <c r="A327" s="1279"/>
      <c r="B327" s="1280"/>
      <c r="C327" s="18"/>
      <c r="D327" s="18"/>
      <c r="E327" s="18"/>
      <c r="F327" s="18"/>
      <c r="G327" s="18"/>
      <c r="H327" s="18"/>
      <c r="I327" s="18"/>
      <c r="J327" s="18"/>
      <c r="K327" s="18"/>
      <c r="L327" s="12"/>
      <c r="M327" s="18"/>
      <c r="N327" s="18"/>
      <c r="O327" s="18"/>
      <c r="P327" s="18"/>
      <c r="Q327" s="18"/>
      <c r="R327" s="18"/>
      <c r="S327" s="18"/>
      <c r="T327" s="18"/>
      <c r="U327" s="18"/>
      <c r="V327" s="18"/>
      <c r="W327" s="18"/>
      <c r="X327" s="18"/>
      <c r="Y327" s="18"/>
      <c r="Z327" s="18"/>
      <c r="AA327" s="18"/>
      <c r="AB327" s="18"/>
      <c r="AC327" s="18"/>
      <c r="AD327" s="18"/>
      <c r="AE327" s="18"/>
      <c r="AF327" s="18"/>
      <c r="AG327" s="18"/>
    </row>
    <row r="328" spans="1:33" x14ac:dyDescent="0.2">
      <c r="A328" s="1279"/>
      <c r="B328" s="1280"/>
      <c r="C328" s="18"/>
      <c r="D328" s="18"/>
      <c r="E328" s="18"/>
      <c r="F328" s="18"/>
      <c r="G328" s="18"/>
      <c r="H328" s="18"/>
      <c r="I328" s="18"/>
      <c r="J328" s="18"/>
      <c r="K328" s="18"/>
      <c r="L328" s="12"/>
      <c r="M328" s="18"/>
      <c r="N328" s="18"/>
      <c r="O328" s="18"/>
      <c r="P328" s="18"/>
      <c r="Q328" s="18"/>
      <c r="R328" s="18"/>
      <c r="S328" s="18"/>
      <c r="T328" s="18"/>
      <c r="U328" s="18"/>
      <c r="V328" s="18"/>
      <c r="W328" s="18"/>
      <c r="X328" s="18"/>
      <c r="Y328" s="18"/>
      <c r="Z328" s="18"/>
      <c r="AA328" s="18"/>
      <c r="AB328" s="18"/>
      <c r="AC328" s="18"/>
      <c r="AD328" s="18"/>
      <c r="AE328" s="18"/>
      <c r="AF328" s="18"/>
      <c r="AG328" s="18"/>
    </row>
    <row r="329" spans="1:33" x14ac:dyDescent="0.2">
      <c r="A329" s="1279"/>
      <c r="B329" s="1280"/>
      <c r="C329" s="18"/>
      <c r="D329" s="18"/>
      <c r="E329" s="18"/>
      <c r="F329" s="18"/>
      <c r="G329" s="18"/>
      <c r="H329" s="18"/>
      <c r="I329" s="18"/>
      <c r="J329" s="18"/>
      <c r="K329" s="18"/>
      <c r="L329" s="12"/>
      <c r="M329" s="18"/>
      <c r="N329" s="18"/>
      <c r="O329" s="18"/>
      <c r="P329" s="18"/>
      <c r="Q329" s="18"/>
      <c r="R329" s="18"/>
      <c r="S329" s="18"/>
      <c r="T329" s="18"/>
      <c r="U329" s="18"/>
      <c r="V329" s="18"/>
      <c r="W329" s="18"/>
      <c r="X329" s="18"/>
      <c r="Y329" s="18"/>
      <c r="Z329" s="18"/>
      <c r="AA329" s="18"/>
      <c r="AB329" s="18"/>
      <c r="AC329" s="18"/>
      <c r="AD329" s="18"/>
      <c r="AE329" s="18"/>
      <c r="AF329" s="18"/>
      <c r="AG329" s="18"/>
    </row>
    <row r="330" spans="1:33" x14ac:dyDescent="0.2">
      <c r="A330" s="1279"/>
      <c r="B330" s="1280"/>
      <c r="C330" s="18"/>
      <c r="D330" s="18"/>
      <c r="E330" s="18"/>
      <c r="F330" s="18"/>
      <c r="G330" s="18"/>
      <c r="H330" s="18"/>
      <c r="I330" s="18"/>
      <c r="J330" s="18"/>
      <c r="K330" s="18"/>
      <c r="L330" s="12"/>
      <c r="M330" s="18"/>
      <c r="N330" s="18"/>
      <c r="O330" s="18"/>
      <c r="P330" s="18"/>
      <c r="Q330" s="18"/>
      <c r="R330" s="18"/>
      <c r="S330" s="18"/>
      <c r="T330" s="18"/>
      <c r="U330" s="18"/>
      <c r="V330" s="18"/>
      <c r="W330" s="18"/>
      <c r="X330" s="18"/>
      <c r="Y330" s="18"/>
      <c r="Z330" s="18"/>
      <c r="AA330" s="18"/>
      <c r="AB330" s="18"/>
      <c r="AC330" s="18"/>
      <c r="AD330" s="18"/>
      <c r="AE330" s="18"/>
      <c r="AF330" s="18"/>
      <c r="AG330" s="18"/>
    </row>
    <row r="331" spans="1:33" x14ac:dyDescent="0.2">
      <c r="A331" s="1279"/>
      <c r="B331" s="1280"/>
      <c r="C331" s="18"/>
      <c r="D331" s="18"/>
      <c r="E331" s="18"/>
      <c r="F331" s="18"/>
      <c r="G331" s="18"/>
      <c r="H331" s="18"/>
      <c r="I331" s="18"/>
      <c r="J331" s="18"/>
      <c r="K331" s="18"/>
      <c r="L331" s="12"/>
      <c r="M331" s="18"/>
      <c r="N331" s="18"/>
      <c r="O331" s="18"/>
      <c r="P331" s="18"/>
      <c r="Q331" s="18"/>
      <c r="R331" s="18"/>
      <c r="S331" s="18"/>
      <c r="T331" s="18"/>
      <c r="U331" s="18"/>
      <c r="V331" s="18"/>
      <c r="W331" s="18"/>
      <c r="X331" s="18"/>
      <c r="Y331" s="18"/>
      <c r="Z331" s="18"/>
      <c r="AA331" s="18"/>
      <c r="AB331" s="18"/>
      <c r="AC331" s="18"/>
      <c r="AD331" s="18"/>
      <c r="AE331" s="18"/>
      <c r="AF331" s="18"/>
      <c r="AG331" s="18"/>
    </row>
    <row r="332" spans="1:33" x14ac:dyDescent="0.2">
      <c r="A332" s="1279"/>
      <c r="B332" s="1280"/>
      <c r="C332" s="18"/>
      <c r="D332" s="18"/>
      <c r="E332" s="18"/>
      <c r="F332" s="18"/>
      <c r="G332" s="18"/>
      <c r="H332" s="18"/>
      <c r="I332" s="18"/>
      <c r="J332" s="18"/>
      <c r="K332" s="18"/>
      <c r="L332" s="12"/>
      <c r="M332" s="18"/>
      <c r="N332" s="18"/>
      <c r="O332" s="18"/>
      <c r="P332" s="18"/>
      <c r="Q332" s="18"/>
      <c r="R332" s="18"/>
      <c r="S332" s="18"/>
      <c r="T332" s="18"/>
      <c r="U332" s="18"/>
      <c r="V332" s="18"/>
      <c r="W332" s="18"/>
      <c r="X332" s="18"/>
      <c r="Y332" s="18"/>
      <c r="Z332" s="18"/>
      <c r="AA332" s="18"/>
      <c r="AB332" s="18"/>
      <c r="AC332" s="18"/>
      <c r="AD332" s="18"/>
      <c r="AE332" s="18"/>
      <c r="AF332" s="18"/>
      <c r="AG332" s="18"/>
    </row>
    <row r="333" spans="1:33" x14ac:dyDescent="0.2">
      <c r="A333" s="1279"/>
      <c r="B333" s="1280"/>
      <c r="C333" s="18"/>
      <c r="D333" s="18"/>
      <c r="E333" s="18"/>
      <c r="F333" s="18"/>
      <c r="G333" s="18"/>
      <c r="H333" s="18"/>
      <c r="I333" s="18"/>
      <c r="J333" s="18"/>
      <c r="K333" s="18"/>
      <c r="L333" s="12"/>
      <c r="M333" s="18"/>
      <c r="N333" s="18"/>
      <c r="O333" s="18"/>
      <c r="P333" s="18"/>
      <c r="Q333" s="18"/>
      <c r="R333" s="18"/>
      <c r="S333" s="18"/>
      <c r="T333" s="18"/>
      <c r="U333" s="18"/>
      <c r="V333" s="18"/>
      <c r="W333" s="18"/>
      <c r="X333" s="18"/>
      <c r="Y333" s="18"/>
      <c r="Z333" s="18"/>
      <c r="AA333" s="18"/>
      <c r="AB333" s="18"/>
      <c r="AC333" s="18"/>
      <c r="AD333" s="18"/>
      <c r="AE333" s="18"/>
      <c r="AF333" s="18"/>
      <c r="AG333" s="18"/>
    </row>
    <row r="334" spans="1:33" x14ac:dyDescent="0.2">
      <c r="A334" s="1279"/>
      <c r="B334" s="1280"/>
      <c r="C334" s="18"/>
      <c r="D334" s="18"/>
      <c r="E334" s="18"/>
      <c r="F334" s="18"/>
      <c r="G334" s="18"/>
      <c r="H334" s="18"/>
      <c r="I334" s="18"/>
      <c r="J334" s="18"/>
      <c r="K334" s="18"/>
      <c r="L334" s="12"/>
      <c r="M334" s="18"/>
      <c r="N334" s="18"/>
      <c r="O334" s="18"/>
      <c r="P334" s="18"/>
      <c r="Q334" s="18"/>
      <c r="R334" s="18"/>
      <c r="S334" s="18"/>
      <c r="T334" s="18"/>
      <c r="U334" s="18"/>
      <c r="V334" s="18"/>
      <c r="W334" s="18"/>
      <c r="X334" s="18"/>
      <c r="Y334" s="18"/>
      <c r="Z334" s="18"/>
      <c r="AA334" s="18"/>
      <c r="AB334" s="18"/>
      <c r="AC334" s="18"/>
      <c r="AD334" s="18"/>
      <c r="AE334" s="18"/>
      <c r="AF334" s="18"/>
      <c r="AG334" s="18"/>
    </row>
    <row r="335" spans="1:33" x14ac:dyDescent="0.2">
      <c r="A335" s="1279"/>
      <c r="B335" s="1280"/>
      <c r="C335" s="18"/>
      <c r="D335" s="18"/>
      <c r="E335" s="18"/>
      <c r="F335" s="18"/>
      <c r="G335" s="18"/>
      <c r="H335" s="18"/>
      <c r="I335" s="18"/>
      <c r="J335" s="18"/>
      <c r="K335" s="18"/>
      <c r="L335" s="12"/>
      <c r="M335" s="18"/>
      <c r="N335" s="18"/>
      <c r="O335" s="18"/>
      <c r="P335" s="18"/>
      <c r="Q335" s="18"/>
      <c r="R335" s="18"/>
      <c r="S335" s="18"/>
      <c r="T335" s="18"/>
      <c r="U335" s="18"/>
      <c r="V335" s="18"/>
      <c r="W335" s="18"/>
      <c r="X335" s="18"/>
      <c r="Y335" s="18"/>
      <c r="Z335" s="18"/>
      <c r="AA335" s="18"/>
      <c r="AB335" s="18"/>
      <c r="AC335" s="18"/>
      <c r="AD335" s="18"/>
      <c r="AE335" s="18"/>
      <c r="AF335" s="18"/>
      <c r="AG335" s="18"/>
    </row>
    <row r="336" spans="1:33" x14ac:dyDescent="0.2">
      <c r="A336" s="1279"/>
      <c r="B336" s="1280"/>
      <c r="C336" s="18"/>
      <c r="D336" s="18"/>
      <c r="E336" s="18"/>
      <c r="F336" s="18"/>
      <c r="G336" s="18"/>
      <c r="H336" s="18"/>
      <c r="I336" s="18"/>
      <c r="J336" s="18"/>
      <c r="K336" s="18"/>
      <c r="L336" s="12"/>
      <c r="M336" s="18"/>
      <c r="N336" s="18"/>
      <c r="O336" s="18"/>
      <c r="P336" s="18"/>
      <c r="Q336" s="18"/>
      <c r="R336" s="18"/>
      <c r="S336" s="18"/>
      <c r="T336" s="18"/>
      <c r="U336" s="18"/>
      <c r="V336" s="18"/>
      <c r="W336" s="18"/>
      <c r="X336" s="18"/>
      <c r="Y336" s="18"/>
      <c r="Z336" s="18"/>
      <c r="AA336" s="18"/>
      <c r="AB336" s="18"/>
      <c r="AC336" s="18"/>
      <c r="AD336" s="18"/>
      <c r="AE336" s="18"/>
      <c r="AF336" s="18"/>
      <c r="AG336" s="18"/>
    </row>
    <row r="337" spans="1:33" x14ac:dyDescent="0.2">
      <c r="A337" s="1279"/>
      <c r="B337" s="1280"/>
      <c r="C337" s="18"/>
      <c r="D337" s="18"/>
      <c r="E337" s="18"/>
      <c r="F337" s="18"/>
      <c r="G337" s="18"/>
      <c r="H337" s="18"/>
      <c r="I337" s="18"/>
      <c r="J337" s="18"/>
      <c r="K337" s="18"/>
      <c r="L337" s="12"/>
      <c r="M337" s="18"/>
      <c r="N337" s="18"/>
      <c r="O337" s="18"/>
      <c r="P337" s="18"/>
      <c r="Q337" s="18"/>
      <c r="R337" s="18"/>
      <c r="S337" s="18"/>
      <c r="T337" s="18"/>
      <c r="U337" s="18"/>
      <c r="V337" s="18"/>
      <c r="W337" s="18"/>
      <c r="X337" s="18"/>
      <c r="Y337" s="18"/>
      <c r="Z337" s="18"/>
      <c r="AA337" s="18"/>
      <c r="AB337" s="18"/>
      <c r="AC337" s="18"/>
      <c r="AD337" s="18"/>
      <c r="AE337" s="18"/>
      <c r="AF337" s="18"/>
      <c r="AG337" s="18"/>
    </row>
    <row r="338" spans="1:33" x14ac:dyDescent="0.2">
      <c r="A338" s="1279"/>
      <c r="B338" s="1280"/>
      <c r="C338" s="18"/>
      <c r="D338" s="18"/>
      <c r="E338" s="18"/>
      <c r="F338" s="18"/>
      <c r="G338" s="18"/>
      <c r="H338" s="18"/>
      <c r="I338" s="18"/>
      <c r="J338" s="18"/>
      <c r="K338" s="18"/>
      <c r="L338" s="12"/>
      <c r="M338" s="18"/>
      <c r="N338" s="18"/>
      <c r="O338" s="18"/>
      <c r="P338" s="18"/>
      <c r="Q338" s="18"/>
      <c r="R338" s="18"/>
      <c r="S338" s="18"/>
      <c r="T338" s="18"/>
      <c r="U338" s="18"/>
      <c r="V338" s="18"/>
      <c r="W338" s="18"/>
      <c r="X338" s="18"/>
      <c r="Y338" s="18"/>
      <c r="Z338" s="18"/>
      <c r="AA338" s="18"/>
      <c r="AB338" s="18"/>
      <c r="AC338" s="18"/>
      <c r="AD338" s="18"/>
      <c r="AE338" s="18"/>
      <c r="AF338" s="18"/>
      <c r="AG338" s="18"/>
    </row>
    <row r="339" spans="1:33" x14ac:dyDescent="0.2">
      <c r="A339" s="1279"/>
      <c r="B339" s="1280"/>
      <c r="C339" s="18"/>
      <c r="D339" s="18"/>
      <c r="E339" s="18"/>
      <c r="F339" s="18"/>
      <c r="G339" s="18"/>
      <c r="H339" s="18"/>
      <c r="I339" s="18"/>
      <c r="J339" s="18"/>
      <c r="K339" s="18"/>
      <c r="L339" s="12"/>
      <c r="M339" s="18"/>
      <c r="N339" s="18"/>
      <c r="O339" s="18"/>
      <c r="P339" s="18"/>
      <c r="Q339" s="18"/>
      <c r="R339" s="18"/>
      <c r="S339" s="18"/>
      <c r="T339" s="18"/>
      <c r="U339" s="18"/>
      <c r="V339" s="18"/>
      <c r="W339" s="18"/>
      <c r="X339" s="18"/>
      <c r="Y339" s="18"/>
      <c r="Z339" s="18"/>
      <c r="AA339" s="18"/>
      <c r="AB339" s="18"/>
      <c r="AC339" s="18"/>
      <c r="AD339" s="18"/>
      <c r="AE339" s="18"/>
      <c r="AF339" s="18"/>
      <c r="AG339" s="18"/>
    </row>
    <row r="340" spans="1:33" x14ac:dyDescent="0.2">
      <c r="A340" s="1279"/>
      <c r="B340" s="1280"/>
      <c r="C340" s="18"/>
      <c r="D340" s="18"/>
      <c r="E340" s="18"/>
      <c r="F340" s="18"/>
      <c r="G340" s="18"/>
      <c r="H340" s="18"/>
      <c r="I340" s="18"/>
      <c r="J340" s="18"/>
      <c r="K340" s="18"/>
      <c r="L340" s="12"/>
      <c r="M340" s="18"/>
      <c r="N340" s="18"/>
      <c r="O340" s="18"/>
      <c r="P340" s="18"/>
      <c r="Q340" s="18"/>
      <c r="R340" s="18"/>
      <c r="S340" s="18"/>
      <c r="T340" s="18"/>
      <c r="U340" s="18"/>
      <c r="V340" s="18"/>
      <c r="W340" s="18"/>
      <c r="X340" s="18"/>
      <c r="Y340" s="18"/>
      <c r="Z340" s="18"/>
      <c r="AA340" s="18"/>
      <c r="AB340" s="18"/>
      <c r="AC340" s="18"/>
      <c r="AD340" s="18"/>
      <c r="AE340" s="18"/>
      <c r="AF340" s="18"/>
      <c r="AG340" s="18"/>
    </row>
    <row r="341" spans="1:33" x14ac:dyDescent="0.2">
      <c r="A341" s="1279"/>
      <c r="B341" s="1280"/>
      <c r="C341" s="18"/>
      <c r="D341" s="18"/>
      <c r="E341" s="18"/>
      <c r="F341" s="18"/>
      <c r="G341" s="18"/>
      <c r="H341" s="18"/>
      <c r="I341" s="18"/>
      <c r="J341" s="18"/>
      <c r="K341" s="18"/>
      <c r="L341" s="12"/>
      <c r="M341" s="18"/>
      <c r="N341" s="18"/>
      <c r="O341" s="18"/>
      <c r="P341" s="18"/>
      <c r="Q341" s="18"/>
      <c r="R341" s="18"/>
      <c r="S341" s="18"/>
      <c r="T341" s="18"/>
      <c r="U341" s="18"/>
      <c r="V341" s="18"/>
      <c r="W341" s="18"/>
      <c r="X341" s="18"/>
      <c r="Y341" s="18"/>
      <c r="Z341" s="18"/>
      <c r="AA341" s="18"/>
      <c r="AB341" s="18"/>
      <c r="AC341" s="18"/>
      <c r="AD341" s="18"/>
      <c r="AE341" s="18"/>
      <c r="AF341" s="18"/>
      <c r="AG341" s="18"/>
    </row>
    <row r="342" spans="1:33" x14ac:dyDescent="0.2">
      <c r="A342" s="1279"/>
      <c r="B342" s="1280"/>
      <c r="C342" s="18"/>
      <c r="D342" s="18"/>
      <c r="E342" s="18"/>
      <c r="F342" s="18"/>
      <c r="G342" s="18"/>
      <c r="H342" s="18"/>
      <c r="I342" s="18"/>
      <c r="J342" s="18"/>
      <c r="K342" s="18"/>
      <c r="L342" s="12"/>
      <c r="M342" s="18"/>
      <c r="N342" s="18"/>
      <c r="O342" s="18"/>
      <c r="P342" s="18"/>
      <c r="Q342" s="18"/>
      <c r="R342" s="18"/>
      <c r="S342" s="18"/>
      <c r="T342" s="18"/>
      <c r="U342" s="18"/>
      <c r="V342" s="18"/>
      <c r="W342" s="18"/>
      <c r="X342" s="18"/>
      <c r="Y342" s="18"/>
      <c r="Z342" s="18"/>
      <c r="AA342" s="18"/>
      <c r="AB342" s="18"/>
      <c r="AC342" s="18"/>
      <c r="AD342" s="18"/>
      <c r="AE342" s="18"/>
      <c r="AF342" s="18"/>
      <c r="AG342" s="18"/>
    </row>
    <row r="343" spans="1:33" x14ac:dyDescent="0.2">
      <c r="A343" s="1279"/>
      <c r="B343" s="1280"/>
      <c r="C343" s="18"/>
      <c r="D343" s="18"/>
      <c r="E343" s="18"/>
      <c r="F343" s="18"/>
      <c r="G343" s="18"/>
      <c r="H343" s="18"/>
      <c r="I343" s="18"/>
      <c r="J343" s="18"/>
      <c r="K343" s="18"/>
      <c r="L343" s="12"/>
      <c r="M343" s="18"/>
      <c r="N343" s="18"/>
      <c r="O343" s="18"/>
      <c r="P343" s="18"/>
      <c r="Q343" s="18"/>
      <c r="R343" s="18"/>
      <c r="S343" s="18"/>
      <c r="T343" s="18"/>
      <c r="U343" s="18"/>
      <c r="V343" s="18"/>
      <c r="W343" s="18"/>
      <c r="X343" s="18"/>
      <c r="Y343" s="18"/>
      <c r="Z343" s="18"/>
      <c r="AA343" s="18"/>
      <c r="AB343" s="18"/>
      <c r="AC343" s="18"/>
      <c r="AD343" s="18"/>
      <c r="AE343" s="18"/>
      <c r="AF343" s="18"/>
      <c r="AG343" s="18"/>
    </row>
    <row r="344" spans="1:33" x14ac:dyDescent="0.2">
      <c r="A344" s="1279"/>
      <c r="B344" s="1280"/>
      <c r="C344" s="18"/>
      <c r="D344" s="18"/>
      <c r="E344" s="18"/>
      <c r="F344" s="18"/>
      <c r="G344" s="18"/>
      <c r="H344" s="18"/>
      <c r="I344" s="18"/>
      <c r="J344" s="18"/>
      <c r="K344" s="18"/>
      <c r="L344" s="12"/>
      <c r="M344" s="18"/>
      <c r="N344" s="18"/>
      <c r="O344" s="18"/>
      <c r="P344" s="18"/>
      <c r="Q344" s="18"/>
      <c r="R344" s="18"/>
      <c r="S344" s="18"/>
      <c r="T344" s="18"/>
      <c r="U344" s="18"/>
      <c r="V344" s="18"/>
      <c r="W344" s="18"/>
      <c r="X344" s="18"/>
      <c r="Y344" s="18"/>
      <c r="Z344" s="18"/>
      <c r="AA344" s="18"/>
      <c r="AB344" s="18"/>
      <c r="AC344" s="18"/>
      <c r="AD344" s="18"/>
      <c r="AE344" s="18"/>
      <c r="AF344" s="18"/>
      <c r="AG344" s="18"/>
    </row>
    <row r="345" spans="1:33" x14ac:dyDescent="0.2">
      <c r="A345" s="1279"/>
      <c r="B345" s="1280"/>
      <c r="C345" s="18"/>
      <c r="D345" s="18"/>
      <c r="E345" s="18"/>
      <c r="F345" s="18"/>
      <c r="G345" s="18"/>
      <c r="H345" s="18"/>
      <c r="I345" s="18"/>
      <c r="J345" s="18"/>
      <c r="K345" s="18"/>
      <c r="L345" s="12"/>
      <c r="M345" s="18"/>
      <c r="N345" s="18"/>
      <c r="O345" s="18"/>
      <c r="P345" s="18"/>
      <c r="Q345" s="18"/>
      <c r="R345" s="18"/>
      <c r="S345" s="18"/>
      <c r="T345" s="18"/>
      <c r="U345" s="18"/>
      <c r="V345" s="18"/>
      <c r="W345" s="18"/>
      <c r="X345" s="18"/>
      <c r="Y345" s="18"/>
      <c r="Z345" s="18"/>
      <c r="AA345" s="18"/>
      <c r="AB345" s="18"/>
      <c r="AC345" s="18"/>
      <c r="AD345" s="18"/>
      <c r="AE345" s="18"/>
      <c r="AF345" s="18"/>
      <c r="AG345" s="18"/>
    </row>
    <row r="346" spans="1:33" x14ac:dyDescent="0.2">
      <c r="A346" s="1279"/>
      <c r="B346" s="1280"/>
      <c r="C346" s="18"/>
      <c r="D346" s="18"/>
      <c r="E346" s="18"/>
      <c r="F346" s="18"/>
      <c r="G346" s="18"/>
      <c r="H346" s="18"/>
      <c r="I346" s="18"/>
      <c r="J346" s="18"/>
      <c r="K346" s="18"/>
      <c r="L346" s="12"/>
      <c r="M346" s="18"/>
      <c r="N346" s="18"/>
      <c r="O346" s="18"/>
      <c r="P346" s="18"/>
      <c r="Q346" s="18"/>
      <c r="R346" s="18"/>
      <c r="S346" s="18"/>
      <c r="T346" s="18"/>
      <c r="U346" s="18"/>
      <c r="V346" s="18"/>
      <c r="W346" s="18"/>
      <c r="X346" s="18"/>
      <c r="Y346" s="18"/>
      <c r="Z346" s="18"/>
      <c r="AA346" s="18"/>
      <c r="AB346" s="18"/>
      <c r="AC346" s="18"/>
      <c r="AD346" s="18"/>
      <c r="AE346" s="18"/>
      <c r="AF346" s="18"/>
      <c r="AG346" s="18"/>
    </row>
    <row r="347" spans="1:33" x14ac:dyDescent="0.2">
      <c r="A347" s="1279"/>
      <c r="B347" s="1280"/>
      <c r="C347" s="18"/>
      <c r="D347" s="18"/>
      <c r="E347" s="18"/>
      <c r="F347" s="18"/>
      <c r="G347" s="18"/>
      <c r="H347" s="18"/>
      <c r="I347" s="18"/>
      <c r="J347" s="18"/>
      <c r="K347" s="18"/>
      <c r="L347" s="12"/>
      <c r="M347" s="18"/>
      <c r="N347" s="18"/>
      <c r="O347" s="18"/>
      <c r="P347" s="18"/>
      <c r="Q347" s="18"/>
      <c r="R347" s="18"/>
      <c r="S347" s="18"/>
      <c r="T347" s="18"/>
      <c r="U347" s="18"/>
      <c r="V347" s="18"/>
      <c r="W347" s="18"/>
      <c r="X347" s="18"/>
      <c r="Y347" s="18"/>
      <c r="Z347" s="18"/>
      <c r="AA347" s="18"/>
      <c r="AB347" s="18"/>
      <c r="AC347" s="18"/>
      <c r="AD347" s="18"/>
      <c r="AE347" s="18"/>
      <c r="AF347" s="18"/>
      <c r="AG347" s="18"/>
    </row>
    <row r="348" spans="1:33" x14ac:dyDescent="0.2">
      <c r="A348" s="1279"/>
      <c r="B348" s="1280"/>
      <c r="C348" s="18"/>
      <c r="D348" s="18"/>
      <c r="E348" s="18"/>
      <c r="F348" s="18"/>
      <c r="G348" s="18"/>
      <c r="H348" s="18"/>
      <c r="I348" s="18"/>
      <c r="J348" s="18"/>
      <c r="K348" s="18"/>
      <c r="L348" s="12"/>
      <c r="M348" s="18"/>
      <c r="N348" s="18"/>
      <c r="O348" s="18"/>
      <c r="P348" s="18"/>
      <c r="Q348" s="18"/>
      <c r="R348" s="18"/>
      <c r="S348" s="18"/>
      <c r="T348" s="18"/>
      <c r="U348" s="18"/>
      <c r="V348" s="18"/>
      <c r="W348" s="18"/>
      <c r="X348" s="18"/>
      <c r="Y348" s="18"/>
      <c r="Z348" s="18"/>
      <c r="AA348" s="18"/>
      <c r="AB348" s="18"/>
      <c r="AC348" s="18"/>
      <c r="AD348" s="18"/>
      <c r="AE348" s="18"/>
      <c r="AF348" s="18"/>
      <c r="AG348" s="18"/>
    </row>
    <row r="349" spans="1:33" x14ac:dyDescent="0.2">
      <c r="A349" s="1279"/>
      <c r="B349" s="1280"/>
      <c r="C349" s="18"/>
      <c r="D349" s="18"/>
      <c r="E349" s="18"/>
      <c r="F349" s="18"/>
      <c r="G349" s="18"/>
      <c r="H349" s="18"/>
      <c r="I349" s="18"/>
      <c r="J349" s="18"/>
      <c r="K349" s="18"/>
      <c r="L349" s="12"/>
      <c r="M349" s="18"/>
      <c r="N349" s="18"/>
      <c r="O349" s="18"/>
      <c r="P349" s="18"/>
      <c r="Q349" s="18"/>
      <c r="R349" s="18"/>
      <c r="S349" s="18"/>
      <c r="T349" s="18"/>
      <c r="U349" s="18"/>
      <c r="V349" s="18"/>
      <c r="W349" s="18"/>
      <c r="X349" s="18"/>
      <c r="Y349" s="18"/>
      <c r="Z349" s="18"/>
      <c r="AA349" s="18"/>
      <c r="AB349" s="18"/>
      <c r="AC349" s="18"/>
      <c r="AD349" s="18"/>
      <c r="AE349" s="18"/>
      <c r="AF349" s="18"/>
      <c r="AG349" s="18"/>
    </row>
    <row r="350" spans="1:33" x14ac:dyDescent="0.2">
      <c r="A350" s="1279"/>
      <c r="B350" s="1280"/>
      <c r="C350" s="18"/>
      <c r="D350" s="18"/>
      <c r="E350" s="18"/>
      <c r="F350" s="18"/>
      <c r="G350" s="18"/>
      <c r="H350" s="18"/>
      <c r="I350" s="18"/>
      <c r="J350" s="18"/>
      <c r="K350" s="18"/>
      <c r="L350" s="12"/>
      <c r="M350" s="18"/>
      <c r="N350" s="18"/>
      <c r="O350" s="18"/>
      <c r="P350" s="18"/>
      <c r="Q350" s="18"/>
      <c r="R350" s="18"/>
      <c r="S350" s="18"/>
      <c r="T350" s="18"/>
      <c r="U350" s="18"/>
      <c r="V350" s="18"/>
      <c r="W350" s="18"/>
      <c r="X350" s="18"/>
      <c r="Y350" s="18"/>
      <c r="Z350" s="18"/>
      <c r="AA350" s="18"/>
      <c r="AB350" s="18"/>
      <c r="AC350" s="18"/>
      <c r="AD350" s="18"/>
      <c r="AE350" s="18"/>
      <c r="AF350" s="18"/>
      <c r="AG350" s="18"/>
    </row>
    <row r="351" spans="1:33" x14ac:dyDescent="0.2">
      <c r="A351" s="1279"/>
      <c r="B351" s="1280"/>
      <c r="C351" s="18"/>
      <c r="D351" s="18"/>
      <c r="E351" s="18"/>
      <c r="F351" s="18"/>
      <c r="G351" s="18"/>
      <c r="H351" s="18"/>
      <c r="I351" s="18"/>
      <c r="J351" s="18"/>
      <c r="K351" s="18"/>
      <c r="L351" s="12"/>
      <c r="M351" s="18"/>
      <c r="N351" s="18"/>
      <c r="O351" s="18"/>
      <c r="P351" s="18"/>
      <c r="Q351" s="18"/>
      <c r="R351" s="18"/>
      <c r="S351" s="18"/>
      <c r="T351" s="18"/>
      <c r="U351" s="18"/>
      <c r="V351" s="18"/>
      <c r="W351" s="18"/>
      <c r="X351" s="18"/>
      <c r="Y351" s="18"/>
      <c r="Z351" s="18"/>
      <c r="AA351" s="18"/>
      <c r="AB351" s="18"/>
      <c r="AC351" s="18"/>
      <c r="AD351" s="18"/>
      <c r="AE351" s="18"/>
      <c r="AF351" s="18"/>
      <c r="AG351" s="18"/>
    </row>
    <row r="352" spans="1:33" x14ac:dyDescent="0.2">
      <c r="A352" s="1279"/>
      <c r="B352" s="1280"/>
      <c r="C352" s="18"/>
      <c r="D352" s="18"/>
      <c r="E352" s="18"/>
      <c r="F352" s="18"/>
      <c r="G352" s="18"/>
      <c r="H352" s="18"/>
      <c r="I352" s="18"/>
      <c r="J352" s="18"/>
      <c r="K352" s="18"/>
      <c r="L352" s="12"/>
      <c r="M352" s="18"/>
      <c r="N352" s="18"/>
      <c r="O352" s="18"/>
      <c r="P352" s="18"/>
      <c r="Q352" s="18"/>
      <c r="R352" s="18"/>
      <c r="S352" s="18"/>
      <c r="T352" s="18"/>
      <c r="U352" s="18"/>
      <c r="V352" s="18"/>
      <c r="W352" s="18"/>
      <c r="X352" s="18"/>
      <c r="Y352" s="18"/>
      <c r="Z352" s="18"/>
      <c r="AA352" s="18"/>
      <c r="AB352" s="18"/>
      <c r="AC352" s="18"/>
      <c r="AD352" s="18"/>
      <c r="AE352" s="18"/>
      <c r="AF352" s="18"/>
      <c r="AG352" s="18"/>
    </row>
    <row r="353" spans="1:33" x14ac:dyDescent="0.2">
      <c r="A353" s="1279"/>
      <c r="B353" s="1280"/>
      <c r="C353" s="18"/>
      <c r="D353" s="18"/>
      <c r="E353" s="18"/>
      <c r="F353" s="18"/>
      <c r="G353" s="18"/>
      <c r="H353" s="18"/>
      <c r="I353" s="18"/>
      <c r="J353" s="18"/>
      <c r="K353" s="18"/>
      <c r="L353" s="12"/>
      <c r="M353" s="18"/>
      <c r="N353" s="18"/>
      <c r="O353" s="18"/>
      <c r="P353" s="18"/>
      <c r="Q353" s="18"/>
      <c r="R353" s="18"/>
      <c r="S353" s="18"/>
      <c r="T353" s="18"/>
      <c r="U353" s="18"/>
      <c r="V353" s="18"/>
      <c r="W353" s="18"/>
      <c r="X353" s="18"/>
      <c r="Y353" s="18"/>
      <c r="Z353" s="18"/>
      <c r="AA353" s="18"/>
      <c r="AB353" s="18"/>
      <c r="AC353" s="18"/>
      <c r="AD353" s="18"/>
      <c r="AE353" s="18"/>
      <c r="AF353" s="18"/>
      <c r="AG353" s="18"/>
    </row>
    <row r="354" spans="1:33" x14ac:dyDescent="0.2">
      <c r="A354" s="1279"/>
      <c r="B354" s="1280"/>
      <c r="C354" s="18"/>
      <c r="D354" s="18"/>
      <c r="E354" s="18"/>
      <c r="F354" s="18"/>
      <c r="G354" s="18"/>
      <c r="H354" s="18"/>
      <c r="I354" s="18"/>
      <c r="J354" s="18"/>
      <c r="K354" s="18"/>
      <c r="L354" s="12"/>
      <c r="M354" s="18"/>
      <c r="N354" s="18"/>
      <c r="O354" s="18"/>
      <c r="P354" s="18"/>
      <c r="Q354" s="18"/>
      <c r="R354" s="18"/>
      <c r="S354" s="18"/>
      <c r="T354" s="18"/>
      <c r="U354" s="18"/>
      <c r="V354" s="18"/>
      <c r="W354" s="18"/>
      <c r="X354" s="18"/>
      <c r="Y354" s="18"/>
      <c r="Z354" s="18"/>
      <c r="AA354" s="18"/>
      <c r="AB354" s="18"/>
      <c r="AC354" s="18"/>
      <c r="AD354" s="18"/>
      <c r="AE354" s="18"/>
      <c r="AF354" s="18"/>
      <c r="AG354" s="18"/>
    </row>
    <row r="355" spans="1:33" x14ac:dyDescent="0.2">
      <c r="A355" s="1279"/>
      <c r="B355" s="1280"/>
      <c r="C355" s="18"/>
      <c r="D355" s="18"/>
      <c r="E355" s="18"/>
      <c r="F355" s="18"/>
      <c r="G355" s="18"/>
      <c r="H355" s="18"/>
      <c r="I355" s="18"/>
      <c r="J355" s="18"/>
      <c r="K355" s="18"/>
      <c r="L355" s="12"/>
      <c r="M355" s="18"/>
      <c r="N355" s="18"/>
      <c r="O355" s="18"/>
      <c r="P355" s="18"/>
      <c r="Q355" s="18"/>
      <c r="R355" s="18"/>
      <c r="S355" s="18"/>
      <c r="T355" s="18"/>
      <c r="U355" s="18"/>
      <c r="V355" s="18"/>
      <c r="W355" s="18"/>
      <c r="X355" s="18"/>
      <c r="Y355" s="18"/>
      <c r="Z355" s="18"/>
      <c r="AA355" s="18"/>
      <c r="AB355" s="18"/>
      <c r="AC355" s="18"/>
      <c r="AD355" s="18"/>
      <c r="AE355" s="18"/>
      <c r="AF355" s="18"/>
      <c r="AG355" s="18"/>
    </row>
    <row r="356" spans="1:33" x14ac:dyDescent="0.2">
      <c r="A356" s="1279"/>
      <c r="B356" s="1280"/>
      <c r="C356" s="18"/>
      <c r="D356" s="18"/>
      <c r="E356" s="18"/>
      <c r="F356" s="18"/>
      <c r="G356" s="18"/>
      <c r="H356" s="18"/>
      <c r="I356" s="18"/>
      <c r="J356" s="18"/>
      <c r="K356" s="18"/>
      <c r="L356" s="12"/>
      <c r="M356" s="18"/>
      <c r="N356" s="18"/>
      <c r="O356" s="18"/>
      <c r="P356" s="18"/>
      <c r="Q356" s="18"/>
      <c r="R356" s="18"/>
      <c r="S356" s="18"/>
      <c r="T356" s="18"/>
      <c r="U356" s="18"/>
      <c r="V356" s="18"/>
      <c r="W356" s="18"/>
      <c r="X356" s="18"/>
      <c r="Y356" s="18"/>
      <c r="Z356" s="18"/>
      <c r="AA356" s="18"/>
      <c r="AB356" s="18"/>
      <c r="AC356" s="18"/>
      <c r="AD356" s="18"/>
      <c r="AE356" s="18"/>
      <c r="AF356" s="18"/>
      <c r="AG356" s="18"/>
    </row>
    <row r="357" spans="1:33" x14ac:dyDescent="0.2">
      <c r="A357" s="1279"/>
      <c r="B357" s="1280"/>
      <c r="C357" s="18"/>
      <c r="D357" s="18"/>
      <c r="E357" s="18"/>
      <c r="F357" s="18"/>
      <c r="G357" s="18"/>
      <c r="H357" s="18"/>
      <c r="I357" s="18"/>
      <c r="J357" s="18"/>
      <c r="K357" s="18"/>
      <c r="L357" s="12"/>
      <c r="M357" s="18"/>
      <c r="N357" s="18"/>
      <c r="O357" s="18"/>
      <c r="P357" s="18"/>
      <c r="Q357" s="18"/>
      <c r="R357" s="18"/>
      <c r="S357" s="18"/>
      <c r="T357" s="18"/>
      <c r="U357" s="18"/>
      <c r="V357" s="18"/>
      <c r="W357" s="18"/>
      <c r="X357" s="18"/>
      <c r="Y357" s="18"/>
      <c r="Z357" s="18"/>
      <c r="AA357" s="18"/>
      <c r="AB357" s="18"/>
      <c r="AC357" s="18"/>
      <c r="AD357" s="18"/>
      <c r="AE357" s="18"/>
      <c r="AF357" s="18"/>
      <c r="AG357" s="18"/>
    </row>
    <row r="358" spans="1:33" x14ac:dyDescent="0.2">
      <c r="A358" s="1279"/>
      <c r="B358" s="1280"/>
      <c r="C358" s="18"/>
      <c r="D358" s="18"/>
      <c r="E358" s="18"/>
      <c r="F358" s="18"/>
      <c r="G358" s="18"/>
      <c r="H358" s="18"/>
      <c r="I358" s="18"/>
      <c r="J358" s="18"/>
      <c r="K358" s="18"/>
      <c r="L358" s="12"/>
      <c r="M358" s="18"/>
      <c r="N358" s="18"/>
      <c r="O358" s="18"/>
      <c r="P358" s="18"/>
      <c r="Q358" s="18"/>
      <c r="R358" s="18"/>
      <c r="S358" s="18"/>
      <c r="T358" s="18"/>
      <c r="U358" s="18"/>
      <c r="V358" s="18"/>
      <c r="W358" s="18"/>
      <c r="X358" s="18"/>
      <c r="Y358" s="18"/>
      <c r="Z358" s="18"/>
      <c r="AA358" s="18"/>
      <c r="AB358" s="18"/>
      <c r="AC358" s="18"/>
      <c r="AD358" s="18"/>
      <c r="AE358" s="18"/>
      <c r="AF358" s="18"/>
      <c r="AG358" s="18"/>
    </row>
    <row r="359" spans="1:33" x14ac:dyDescent="0.2">
      <c r="A359" s="1279"/>
      <c r="B359" s="1280"/>
      <c r="C359" s="18"/>
      <c r="D359" s="18"/>
      <c r="E359" s="18"/>
      <c r="F359" s="18"/>
      <c r="G359" s="18"/>
      <c r="H359" s="18"/>
      <c r="I359" s="18"/>
      <c r="J359" s="18"/>
      <c r="K359" s="18"/>
      <c r="L359" s="12"/>
      <c r="M359" s="18"/>
      <c r="N359" s="18"/>
      <c r="O359" s="18"/>
      <c r="P359" s="18"/>
      <c r="Q359" s="18"/>
      <c r="R359" s="18"/>
      <c r="S359" s="18"/>
      <c r="T359" s="18"/>
      <c r="U359" s="18"/>
      <c r="V359" s="18"/>
      <c r="W359" s="18"/>
      <c r="X359" s="18"/>
      <c r="Y359" s="18"/>
      <c r="Z359" s="18"/>
      <c r="AA359" s="18"/>
      <c r="AB359" s="18"/>
      <c r="AC359" s="18"/>
      <c r="AD359" s="18"/>
      <c r="AE359" s="18"/>
      <c r="AF359" s="18"/>
      <c r="AG359" s="18"/>
    </row>
    <row r="360" spans="1:33" x14ac:dyDescent="0.2">
      <c r="A360" s="1279"/>
      <c r="B360" s="1280"/>
      <c r="C360" s="18"/>
      <c r="D360" s="18"/>
      <c r="E360" s="18"/>
      <c r="F360" s="18"/>
      <c r="G360" s="18"/>
      <c r="H360" s="18"/>
      <c r="I360" s="18"/>
      <c r="J360" s="18"/>
      <c r="K360" s="18"/>
      <c r="L360" s="12"/>
      <c r="M360" s="18"/>
      <c r="N360" s="18"/>
      <c r="O360" s="18"/>
      <c r="P360" s="18"/>
      <c r="Q360" s="18"/>
      <c r="R360" s="18"/>
      <c r="S360" s="18"/>
      <c r="T360" s="18"/>
      <c r="U360" s="18"/>
      <c r="V360" s="18"/>
      <c r="W360" s="18"/>
      <c r="X360" s="18"/>
      <c r="Y360" s="18"/>
      <c r="Z360" s="18"/>
      <c r="AA360" s="18"/>
      <c r="AB360" s="18"/>
      <c r="AC360" s="18"/>
      <c r="AD360" s="18"/>
      <c r="AE360" s="18"/>
      <c r="AF360" s="18"/>
      <c r="AG360" s="18"/>
    </row>
    <row r="361" spans="1:33" x14ac:dyDescent="0.2">
      <c r="A361" s="1279"/>
      <c r="B361" s="1280"/>
      <c r="C361" s="18"/>
      <c r="D361" s="18"/>
      <c r="E361" s="18"/>
      <c r="F361" s="18"/>
      <c r="G361" s="18"/>
      <c r="H361" s="18"/>
      <c r="I361" s="18"/>
      <c r="J361" s="18"/>
      <c r="K361" s="18"/>
      <c r="L361" s="12"/>
      <c r="M361" s="18"/>
      <c r="N361" s="18"/>
      <c r="O361" s="18"/>
      <c r="P361" s="18"/>
      <c r="Q361" s="18"/>
      <c r="R361" s="18"/>
      <c r="S361" s="18"/>
      <c r="T361" s="18"/>
      <c r="U361" s="18"/>
      <c r="V361" s="18"/>
      <c r="W361" s="18"/>
      <c r="X361" s="18"/>
      <c r="Y361" s="18"/>
      <c r="Z361" s="18"/>
      <c r="AA361" s="18"/>
      <c r="AB361" s="18"/>
      <c r="AC361" s="18"/>
      <c r="AD361" s="18"/>
      <c r="AE361" s="18"/>
      <c r="AF361" s="18"/>
      <c r="AG361" s="18"/>
    </row>
    <row r="362" spans="1:33" x14ac:dyDescent="0.2">
      <c r="A362" s="1279"/>
      <c r="B362" s="1280"/>
      <c r="C362" s="18"/>
      <c r="D362" s="18"/>
      <c r="E362" s="18"/>
      <c r="F362" s="18"/>
      <c r="G362" s="18"/>
      <c r="H362" s="18"/>
      <c r="I362" s="18"/>
      <c r="J362" s="18"/>
      <c r="K362" s="18"/>
      <c r="L362" s="12"/>
      <c r="M362" s="18"/>
      <c r="N362" s="18"/>
      <c r="O362" s="18"/>
      <c r="P362" s="18"/>
      <c r="Q362" s="18"/>
      <c r="R362" s="18"/>
      <c r="S362" s="18"/>
      <c r="T362" s="18"/>
      <c r="U362" s="18"/>
      <c r="V362" s="18"/>
      <c r="W362" s="18"/>
      <c r="X362" s="18"/>
      <c r="Y362" s="18"/>
      <c r="Z362" s="18"/>
      <c r="AA362" s="18"/>
      <c r="AB362" s="18"/>
      <c r="AC362" s="18"/>
      <c r="AD362" s="18"/>
      <c r="AE362" s="18"/>
      <c r="AF362" s="18"/>
      <c r="AG362" s="18"/>
    </row>
    <row r="363" spans="1:33" x14ac:dyDescent="0.2">
      <c r="A363" s="1279"/>
      <c r="B363" s="1280"/>
      <c r="C363" s="18"/>
      <c r="D363" s="18"/>
      <c r="E363" s="18"/>
      <c r="F363" s="18"/>
      <c r="G363" s="18"/>
      <c r="H363" s="18"/>
      <c r="I363" s="18"/>
      <c r="J363" s="18"/>
      <c r="K363" s="18"/>
      <c r="L363" s="12"/>
      <c r="M363" s="18"/>
      <c r="N363" s="18"/>
      <c r="O363" s="18"/>
      <c r="P363" s="18"/>
      <c r="Q363" s="18"/>
      <c r="R363" s="18"/>
      <c r="S363" s="18"/>
      <c r="T363" s="18"/>
      <c r="U363" s="18"/>
      <c r="V363" s="18"/>
      <c r="W363" s="18"/>
      <c r="X363" s="18"/>
      <c r="Y363" s="18"/>
      <c r="Z363" s="18"/>
      <c r="AA363" s="18"/>
      <c r="AB363" s="18"/>
      <c r="AC363" s="18"/>
      <c r="AD363" s="18"/>
      <c r="AE363" s="18"/>
      <c r="AF363" s="18"/>
      <c r="AG363" s="18"/>
    </row>
    <row r="364" spans="1:33" x14ac:dyDescent="0.2">
      <c r="A364" s="1279"/>
      <c r="B364" s="1280"/>
      <c r="C364" s="18"/>
      <c r="D364" s="18"/>
      <c r="E364" s="18"/>
      <c r="F364" s="18"/>
      <c r="G364" s="18"/>
      <c r="H364" s="18"/>
      <c r="I364" s="18"/>
      <c r="J364" s="18"/>
      <c r="K364" s="18"/>
      <c r="L364" s="12"/>
      <c r="M364" s="18"/>
      <c r="N364" s="18"/>
      <c r="O364" s="18"/>
      <c r="P364" s="18"/>
      <c r="Q364" s="18"/>
      <c r="R364" s="18"/>
      <c r="S364" s="18"/>
      <c r="T364" s="18"/>
      <c r="U364" s="18"/>
      <c r="V364" s="18"/>
      <c r="W364" s="18"/>
      <c r="X364" s="18"/>
      <c r="Y364" s="18"/>
      <c r="Z364" s="18"/>
      <c r="AA364" s="18"/>
      <c r="AB364" s="18"/>
      <c r="AC364" s="18"/>
      <c r="AD364" s="18"/>
      <c r="AE364" s="18"/>
      <c r="AF364" s="18"/>
      <c r="AG364" s="18"/>
    </row>
    <row r="365" spans="1:33" x14ac:dyDescent="0.2">
      <c r="A365" s="1279"/>
      <c r="B365" s="1280"/>
      <c r="C365" s="18"/>
      <c r="D365" s="18"/>
      <c r="E365" s="18"/>
      <c r="F365" s="18"/>
      <c r="G365" s="18"/>
      <c r="H365" s="18"/>
      <c r="I365" s="18"/>
      <c r="J365" s="18"/>
      <c r="K365" s="18"/>
      <c r="L365" s="12"/>
      <c r="M365" s="18"/>
      <c r="N365" s="18"/>
      <c r="O365" s="18"/>
      <c r="P365" s="18"/>
      <c r="Q365" s="18"/>
      <c r="R365" s="18"/>
      <c r="S365" s="18"/>
      <c r="T365" s="18"/>
      <c r="U365" s="18"/>
      <c r="V365" s="18"/>
      <c r="W365" s="18"/>
      <c r="X365" s="18"/>
      <c r="Y365" s="18"/>
      <c r="Z365" s="18"/>
      <c r="AA365" s="18"/>
      <c r="AB365" s="18"/>
      <c r="AC365" s="18"/>
      <c r="AD365" s="18"/>
      <c r="AE365" s="18"/>
      <c r="AF365" s="18"/>
      <c r="AG365" s="18"/>
    </row>
    <row r="366" spans="1:33" x14ac:dyDescent="0.2">
      <c r="A366" s="1279"/>
      <c r="B366" s="1280"/>
      <c r="C366" s="18"/>
      <c r="D366" s="18"/>
      <c r="E366" s="18"/>
      <c r="F366" s="18"/>
      <c r="G366" s="18"/>
      <c r="H366" s="18"/>
      <c r="I366" s="18"/>
      <c r="J366" s="18"/>
      <c r="K366" s="18"/>
      <c r="L366" s="12"/>
      <c r="M366" s="18"/>
      <c r="N366" s="18"/>
      <c r="O366" s="18"/>
      <c r="P366" s="18"/>
      <c r="Q366" s="18"/>
      <c r="R366" s="18"/>
      <c r="S366" s="18"/>
      <c r="T366" s="18"/>
      <c r="U366" s="18"/>
      <c r="V366" s="18"/>
      <c r="W366" s="18"/>
      <c r="X366" s="18"/>
      <c r="Y366" s="18"/>
      <c r="Z366" s="18"/>
      <c r="AA366" s="18"/>
      <c r="AB366" s="18"/>
      <c r="AC366" s="18"/>
      <c r="AD366" s="18"/>
      <c r="AE366" s="18"/>
      <c r="AF366" s="18"/>
      <c r="AG366" s="18"/>
    </row>
    <row r="367" spans="1:33" x14ac:dyDescent="0.2">
      <c r="A367" s="1279"/>
      <c r="B367" s="1280"/>
      <c r="C367" s="18"/>
      <c r="D367" s="18"/>
      <c r="E367" s="18"/>
      <c r="F367" s="18"/>
      <c r="G367" s="18"/>
      <c r="H367" s="18"/>
      <c r="I367" s="18"/>
      <c r="J367" s="18"/>
      <c r="K367" s="18"/>
      <c r="L367" s="12"/>
      <c r="M367" s="18"/>
      <c r="N367" s="18"/>
      <c r="O367" s="18"/>
      <c r="P367" s="18"/>
      <c r="Q367" s="18"/>
      <c r="R367" s="18"/>
      <c r="S367" s="18"/>
      <c r="T367" s="18"/>
      <c r="U367" s="18"/>
      <c r="V367" s="18"/>
      <c r="W367" s="18"/>
      <c r="X367" s="18"/>
      <c r="Y367" s="18"/>
      <c r="Z367" s="18"/>
      <c r="AA367" s="18"/>
      <c r="AB367" s="18"/>
      <c r="AC367" s="18"/>
      <c r="AD367" s="18"/>
      <c r="AE367" s="18"/>
      <c r="AF367" s="18"/>
      <c r="AG367" s="18"/>
    </row>
    <row r="368" spans="1:33" x14ac:dyDescent="0.2">
      <c r="A368" s="1279"/>
      <c r="B368" s="1280"/>
      <c r="C368" s="18"/>
      <c r="D368" s="18"/>
      <c r="E368" s="18"/>
      <c r="F368" s="18"/>
      <c r="G368" s="18"/>
      <c r="H368" s="18"/>
      <c r="I368" s="18"/>
      <c r="J368" s="18"/>
      <c r="K368" s="18"/>
      <c r="L368" s="12"/>
      <c r="M368" s="18"/>
      <c r="N368" s="18"/>
      <c r="O368" s="18"/>
      <c r="P368" s="18"/>
      <c r="Q368" s="18"/>
      <c r="R368" s="18"/>
      <c r="S368" s="18"/>
      <c r="T368" s="18"/>
      <c r="U368" s="18"/>
      <c r="V368" s="18"/>
      <c r="W368" s="18"/>
      <c r="X368" s="18"/>
      <c r="Y368" s="18"/>
      <c r="Z368" s="18"/>
      <c r="AA368" s="18"/>
      <c r="AB368" s="18"/>
      <c r="AC368" s="18"/>
      <c r="AD368" s="18"/>
      <c r="AE368" s="18"/>
      <c r="AF368" s="18"/>
      <c r="AG368" s="18"/>
    </row>
    <row r="369" spans="1:33" x14ac:dyDescent="0.2">
      <c r="A369" s="1279"/>
      <c r="B369" s="1280"/>
      <c r="C369" s="18"/>
      <c r="D369" s="18"/>
      <c r="E369" s="18"/>
      <c r="F369" s="18"/>
      <c r="G369" s="18"/>
      <c r="H369" s="18"/>
      <c r="I369" s="18"/>
      <c r="J369" s="18"/>
      <c r="K369" s="18"/>
      <c r="L369" s="12"/>
      <c r="M369" s="18"/>
      <c r="N369" s="18"/>
      <c r="O369" s="18"/>
      <c r="P369" s="18"/>
      <c r="Q369" s="18"/>
      <c r="R369" s="18"/>
      <c r="S369" s="18"/>
      <c r="T369" s="18"/>
      <c r="U369" s="18"/>
      <c r="V369" s="18"/>
      <c r="W369" s="18"/>
      <c r="X369" s="18"/>
      <c r="Y369" s="18"/>
      <c r="Z369" s="18"/>
      <c r="AA369" s="18"/>
      <c r="AB369" s="18"/>
      <c r="AC369" s="18"/>
      <c r="AD369" s="18"/>
      <c r="AE369" s="18"/>
      <c r="AF369" s="18"/>
      <c r="AG369" s="18"/>
    </row>
    <row r="370" spans="1:33" x14ac:dyDescent="0.2">
      <c r="A370" s="1279"/>
      <c r="B370" s="1280"/>
      <c r="C370" s="18"/>
      <c r="D370" s="18"/>
      <c r="E370" s="18"/>
      <c r="F370" s="18"/>
      <c r="G370" s="18"/>
      <c r="H370" s="18"/>
      <c r="I370" s="18"/>
      <c r="J370" s="18"/>
      <c r="K370" s="18"/>
      <c r="L370" s="12"/>
      <c r="M370" s="18"/>
      <c r="N370" s="18"/>
      <c r="O370" s="18"/>
      <c r="P370" s="18"/>
      <c r="Q370" s="18"/>
      <c r="R370" s="18"/>
      <c r="S370" s="18"/>
      <c r="T370" s="18"/>
      <c r="U370" s="18"/>
      <c r="V370" s="18"/>
      <c r="W370" s="18"/>
      <c r="X370" s="18"/>
      <c r="Y370" s="18"/>
      <c r="Z370" s="18"/>
      <c r="AA370" s="18"/>
      <c r="AB370" s="18"/>
      <c r="AC370" s="18"/>
      <c r="AD370" s="18"/>
      <c r="AE370" s="18"/>
      <c r="AF370" s="18"/>
      <c r="AG370" s="18"/>
    </row>
    <row r="371" spans="1:33" x14ac:dyDescent="0.2">
      <c r="A371" s="1279"/>
      <c r="B371" s="1280"/>
      <c r="C371" s="18"/>
      <c r="D371" s="18"/>
      <c r="E371" s="18"/>
      <c r="F371" s="18"/>
      <c r="G371" s="18"/>
      <c r="H371" s="18"/>
      <c r="I371" s="18"/>
      <c r="J371" s="18"/>
      <c r="K371" s="18"/>
      <c r="L371" s="12"/>
      <c r="M371" s="18"/>
      <c r="N371" s="18"/>
      <c r="O371" s="18"/>
      <c r="P371" s="18"/>
      <c r="Q371" s="18"/>
      <c r="R371" s="18"/>
      <c r="S371" s="18"/>
      <c r="T371" s="18"/>
      <c r="U371" s="18"/>
      <c r="V371" s="18"/>
      <c r="W371" s="18"/>
      <c r="X371" s="18"/>
      <c r="Y371" s="18"/>
      <c r="Z371" s="18"/>
      <c r="AA371" s="18"/>
      <c r="AB371" s="18"/>
      <c r="AC371" s="18"/>
      <c r="AD371" s="18"/>
      <c r="AE371" s="18"/>
      <c r="AF371" s="18"/>
      <c r="AG371" s="18"/>
    </row>
    <row r="372" spans="1:33" x14ac:dyDescent="0.2">
      <c r="A372" s="1279"/>
      <c r="B372" s="1280"/>
      <c r="C372" s="18"/>
      <c r="D372" s="18"/>
      <c r="E372" s="18"/>
      <c r="F372" s="18"/>
      <c r="G372" s="18"/>
      <c r="H372" s="18"/>
      <c r="I372" s="18"/>
      <c r="J372" s="18"/>
      <c r="K372" s="18"/>
      <c r="L372" s="12"/>
      <c r="M372" s="18"/>
      <c r="N372" s="18"/>
      <c r="O372" s="18"/>
      <c r="P372" s="18"/>
      <c r="Q372" s="18"/>
      <c r="R372" s="18"/>
      <c r="S372" s="18"/>
      <c r="T372" s="18"/>
      <c r="U372" s="18"/>
      <c r="V372" s="18"/>
      <c r="W372" s="18"/>
      <c r="X372" s="18"/>
      <c r="Y372" s="18"/>
      <c r="Z372" s="18"/>
      <c r="AA372" s="18"/>
      <c r="AB372" s="18"/>
      <c r="AC372" s="18"/>
      <c r="AD372" s="18"/>
      <c r="AE372" s="18"/>
      <c r="AF372" s="18"/>
      <c r="AG372" s="18"/>
    </row>
    <row r="373" spans="1:33" x14ac:dyDescent="0.2">
      <c r="A373" s="1279"/>
      <c r="B373" s="1280"/>
      <c r="C373" s="18"/>
      <c r="D373" s="18"/>
      <c r="E373" s="18"/>
      <c r="F373" s="18"/>
      <c r="G373" s="18"/>
      <c r="H373" s="18"/>
      <c r="I373" s="18"/>
      <c r="J373" s="18"/>
      <c r="K373" s="18"/>
      <c r="L373" s="12"/>
      <c r="M373" s="18"/>
      <c r="N373" s="18"/>
      <c r="O373" s="18"/>
      <c r="P373" s="18"/>
      <c r="Q373" s="18"/>
      <c r="R373" s="18"/>
      <c r="S373" s="18"/>
      <c r="T373" s="18"/>
      <c r="U373" s="18"/>
      <c r="V373" s="18"/>
      <c r="W373" s="18"/>
      <c r="X373" s="18"/>
      <c r="Y373" s="18"/>
      <c r="Z373" s="18"/>
      <c r="AA373" s="18"/>
      <c r="AB373" s="18"/>
      <c r="AC373" s="18"/>
      <c r="AD373" s="18"/>
      <c r="AE373" s="18"/>
      <c r="AF373" s="18"/>
      <c r="AG373" s="18"/>
    </row>
    <row r="374" spans="1:33" x14ac:dyDescent="0.2">
      <c r="A374" s="1279"/>
      <c r="B374" s="1280"/>
      <c r="C374" s="18"/>
      <c r="D374" s="18"/>
      <c r="E374" s="18"/>
      <c r="F374" s="18"/>
      <c r="G374" s="18"/>
      <c r="H374" s="18"/>
      <c r="I374" s="18"/>
      <c r="J374" s="18"/>
      <c r="K374" s="18"/>
      <c r="L374" s="12"/>
      <c r="M374" s="18"/>
      <c r="N374" s="18"/>
      <c r="O374" s="18"/>
      <c r="P374" s="18"/>
      <c r="Q374" s="18"/>
      <c r="R374" s="18"/>
      <c r="S374" s="18"/>
      <c r="T374" s="18"/>
      <c r="U374" s="18"/>
      <c r="V374" s="18"/>
      <c r="W374" s="18"/>
      <c r="X374" s="18"/>
      <c r="Y374" s="18"/>
      <c r="Z374" s="18"/>
      <c r="AA374" s="18"/>
      <c r="AB374" s="18"/>
      <c r="AC374" s="18"/>
      <c r="AD374" s="18"/>
      <c r="AE374" s="18"/>
      <c r="AF374" s="18"/>
      <c r="AG374" s="18"/>
    </row>
    <row r="375" spans="1:33" x14ac:dyDescent="0.2">
      <c r="A375" s="1279"/>
      <c r="B375" s="1280"/>
      <c r="C375" s="18"/>
      <c r="D375" s="18"/>
      <c r="E375" s="18"/>
      <c r="F375" s="18"/>
      <c r="G375" s="18"/>
      <c r="H375" s="18"/>
      <c r="I375" s="18"/>
      <c r="J375" s="18"/>
      <c r="K375" s="18"/>
      <c r="L375" s="12"/>
      <c r="M375" s="18"/>
      <c r="N375" s="18"/>
      <c r="O375" s="18"/>
      <c r="P375" s="18"/>
      <c r="Q375" s="18"/>
      <c r="R375" s="18"/>
      <c r="S375" s="18"/>
      <c r="T375" s="18"/>
      <c r="U375" s="18"/>
      <c r="V375" s="18"/>
      <c r="W375" s="18"/>
      <c r="X375" s="18"/>
      <c r="Y375" s="18"/>
      <c r="Z375" s="18"/>
      <c r="AA375" s="18"/>
      <c r="AB375" s="18"/>
      <c r="AC375" s="18"/>
      <c r="AD375" s="18"/>
      <c r="AE375" s="18"/>
      <c r="AF375" s="18"/>
      <c r="AG375" s="18"/>
    </row>
    <row r="376" spans="1:33" x14ac:dyDescent="0.2">
      <c r="A376" s="1279"/>
      <c r="B376" s="1280"/>
      <c r="C376" s="18"/>
      <c r="D376" s="18"/>
      <c r="E376" s="18"/>
      <c r="F376" s="18"/>
      <c r="G376" s="18"/>
      <c r="H376" s="18"/>
      <c r="I376" s="18"/>
      <c r="J376" s="18"/>
      <c r="K376" s="18"/>
      <c r="L376" s="12"/>
      <c r="M376" s="18"/>
      <c r="N376" s="18"/>
      <c r="O376" s="18"/>
      <c r="P376" s="18"/>
      <c r="Q376" s="18"/>
      <c r="R376" s="18"/>
      <c r="S376" s="18"/>
      <c r="T376" s="18"/>
      <c r="U376" s="18"/>
      <c r="V376" s="18"/>
      <c r="W376" s="18"/>
      <c r="X376" s="18"/>
      <c r="Y376" s="18"/>
      <c r="Z376" s="18"/>
      <c r="AA376" s="18"/>
      <c r="AB376" s="18"/>
      <c r="AC376" s="18"/>
      <c r="AD376" s="18"/>
      <c r="AE376" s="18"/>
      <c r="AF376" s="18"/>
      <c r="AG376" s="18"/>
    </row>
    <row r="377" spans="1:33" x14ac:dyDescent="0.2">
      <c r="A377" s="1279"/>
      <c r="B377" s="1280"/>
      <c r="C377" s="18"/>
      <c r="D377" s="18"/>
      <c r="E377" s="18"/>
      <c r="F377" s="18"/>
      <c r="G377" s="18"/>
      <c r="H377" s="18"/>
      <c r="I377" s="18"/>
      <c r="J377" s="18"/>
      <c r="K377" s="18"/>
      <c r="L377" s="12"/>
      <c r="M377" s="18"/>
      <c r="N377" s="18"/>
      <c r="O377" s="18"/>
      <c r="P377" s="18"/>
      <c r="Q377" s="18"/>
      <c r="R377" s="18"/>
      <c r="S377" s="18"/>
      <c r="T377" s="18"/>
      <c r="U377" s="18"/>
      <c r="V377" s="18"/>
      <c r="W377" s="18"/>
      <c r="X377" s="18"/>
      <c r="Y377" s="18"/>
      <c r="Z377" s="18"/>
      <c r="AA377" s="18"/>
      <c r="AB377" s="18"/>
      <c r="AC377" s="18"/>
      <c r="AD377" s="18"/>
      <c r="AE377" s="18"/>
      <c r="AF377" s="18"/>
      <c r="AG377" s="18"/>
    </row>
    <row r="378" spans="1:33" x14ac:dyDescent="0.2">
      <c r="A378" s="1279"/>
      <c r="B378" s="1280"/>
      <c r="C378" s="18"/>
      <c r="D378" s="18"/>
      <c r="E378" s="18"/>
      <c r="F378" s="18"/>
      <c r="G378" s="18"/>
      <c r="H378" s="18"/>
      <c r="I378" s="18"/>
      <c r="J378" s="18"/>
      <c r="K378" s="18"/>
      <c r="L378" s="12"/>
      <c r="M378" s="18"/>
      <c r="N378" s="18"/>
      <c r="O378" s="18"/>
      <c r="P378" s="18"/>
      <c r="Q378" s="18"/>
      <c r="R378" s="18"/>
      <c r="S378" s="18"/>
      <c r="T378" s="18"/>
      <c r="U378" s="18"/>
      <c r="V378" s="18"/>
      <c r="W378" s="18"/>
      <c r="X378" s="18"/>
      <c r="Y378" s="18"/>
      <c r="Z378" s="18"/>
      <c r="AA378" s="18"/>
      <c r="AB378" s="18"/>
      <c r="AC378" s="18"/>
      <c r="AD378" s="18"/>
      <c r="AE378" s="18"/>
      <c r="AF378" s="18"/>
      <c r="AG378" s="18"/>
    </row>
    <row r="379" spans="1:33" x14ac:dyDescent="0.2">
      <c r="A379" s="1279"/>
      <c r="B379" s="1280"/>
      <c r="C379" s="18"/>
      <c r="D379" s="18"/>
      <c r="E379" s="18"/>
      <c r="F379" s="18"/>
      <c r="G379" s="18"/>
      <c r="H379" s="18"/>
      <c r="I379" s="18"/>
      <c r="J379" s="18"/>
      <c r="K379" s="18"/>
      <c r="L379" s="12"/>
      <c r="M379" s="18"/>
      <c r="N379" s="18"/>
      <c r="O379" s="18"/>
      <c r="P379" s="18"/>
      <c r="Q379" s="18"/>
      <c r="R379" s="18"/>
      <c r="S379" s="18"/>
      <c r="T379" s="18"/>
      <c r="U379" s="18"/>
      <c r="V379" s="18"/>
      <c r="W379" s="18"/>
      <c r="X379" s="18"/>
      <c r="Y379" s="18"/>
      <c r="Z379" s="18"/>
      <c r="AA379" s="18"/>
      <c r="AB379" s="18"/>
      <c r="AC379" s="18"/>
      <c r="AD379" s="18"/>
      <c r="AE379" s="18"/>
      <c r="AF379" s="18"/>
      <c r="AG379" s="18"/>
    </row>
    <row r="380" spans="1:33" x14ac:dyDescent="0.2">
      <c r="A380" s="1279"/>
      <c r="B380" s="1280"/>
      <c r="C380" s="18"/>
      <c r="D380" s="18"/>
      <c r="E380" s="18"/>
      <c r="F380" s="18"/>
      <c r="G380" s="18"/>
      <c r="H380" s="18"/>
      <c r="I380" s="18"/>
      <c r="J380" s="18"/>
      <c r="K380" s="18"/>
      <c r="L380" s="12"/>
      <c r="M380" s="18"/>
      <c r="N380" s="18"/>
      <c r="O380" s="18"/>
      <c r="P380" s="18"/>
      <c r="Q380" s="18"/>
      <c r="R380" s="18"/>
      <c r="S380" s="18"/>
      <c r="T380" s="18"/>
      <c r="U380" s="18"/>
      <c r="V380" s="18"/>
      <c r="W380" s="18"/>
      <c r="X380" s="18"/>
      <c r="Y380" s="18"/>
      <c r="Z380" s="18"/>
      <c r="AA380" s="18"/>
      <c r="AB380" s="18"/>
      <c r="AC380" s="18"/>
      <c r="AD380" s="18"/>
      <c r="AE380" s="18"/>
      <c r="AF380" s="18"/>
      <c r="AG380" s="18"/>
    </row>
    <row r="381" spans="1:33" x14ac:dyDescent="0.2">
      <c r="A381" s="1279"/>
      <c r="B381" s="1280"/>
      <c r="C381" s="18"/>
      <c r="D381" s="18"/>
      <c r="E381" s="18"/>
      <c r="F381" s="18"/>
      <c r="G381" s="18"/>
      <c r="H381" s="18"/>
      <c r="I381" s="18"/>
      <c r="J381" s="18"/>
      <c r="K381" s="18"/>
      <c r="L381" s="12"/>
      <c r="M381" s="18"/>
      <c r="N381" s="18"/>
      <c r="O381" s="18"/>
      <c r="P381" s="18"/>
      <c r="Q381" s="18"/>
      <c r="R381" s="18"/>
      <c r="S381" s="18"/>
      <c r="T381" s="18"/>
      <c r="U381" s="18"/>
      <c r="V381" s="18"/>
      <c r="W381" s="18"/>
      <c r="X381" s="18"/>
      <c r="Y381" s="18"/>
      <c r="Z381" s="18"/>
      <c r="AA381" s="18"/>
      <c r="AB381" s="18"/>
      <c r="AC381" s="18"/>
      <c r="AD381" s="18"/>
      <c r="AE381" s="18"/>
      <c r="AF381" s="18"/>
      <c r="AG381" s="18"/>
    </row>
    <row r="382" spans="1:33" x14ac:dyDescent="0.2">
      <c r="A382" s="1279"/>
      <c r="B382" s="1280"/>
      <c r="C382" s="18"/>
      <c r="D382" s="18"/>
      <c r="E382" s="18"/>
      <c r="F382" s="18"/>
      <c r="G382" s="18"/>
      <c r="H382" s="18"/>
      <c r="I382" s="18"/>
      <c r="J382" s="18"/>
      <c r="K382" s="18"/>
      <c r="L382" s="12"/>
      <c r="M382" s="18"/>
      <c r="N382" s="18"/>
      <c r="O382" s="18"/>
      <c r="P382" s="18"/>
      <c r="Q382" s="18"/>
      <c r="R382" s="18"/>
      <c r="S382" s="18"/>
      <c r="T382" s="18"/>
      <c r="U382" s="18"/>
      <c r="V382" s="18"/>
      <c r="W382" s="18"/>
      <c r="X382" s="18"/>
      <c r="Y382" s="18"/>
      <c r="Z382" s="18"/>
      <c r="AA382" s="18"/>
      <c r="AB382" s="18"/>
      <c r="AC382" s="18"/>
      <c r="AD382" s="18"/>
      <c r="AE382" s="18"/>
      <c r="AF382" s="18"/>
      <c r="AG382" s="18"/>
    </row>
    <row r="383" spans="1:33" x14ac:dyDescent="0.2">
      <c r="A383" s="1279"/>
      <c r="B383" s="1280"/>
      <c r="C383" s="18"/>
      <c r="D383" s="18"/>
      <c r="E383" s="18"/>
      <c r="F383" s="18"/>
      <c r="G383" s="18"/>
      <c r="H383" s="18"/>
      <c r="I383" s="18"/>
      <c r="J383" s="18"/>
      <c r="K383" s="18"/>
      <c r="L383" s="12"/>
      <c r="M383" s="18"/>
      <c r="N383" s="18"/>
      <c r="O383" s="18"/>
      <c r="P383" s="18"/>
      <c r="Q383" s="18"/>
      <c r="R383" s="18"/>
      <c r="S383" s="18"/>
      <c r="T383" s="18"/>
      <c r="U383" s="18"/>
      <c r="V383" s="18"/>
      <c r="W383" s="18"/>
      <c r="X383" s="18"/>
      <c r="Y383" s="18"/>
      <c r="Z383" s="18"/>
      <c r="AA383" s="18"/>
      <c r="AB383" s="18"/>
      <c r="AC383" s="18"/>
      <c r="AD383" s="18"/>
      <c r="AE383" s="18"/>
      <c r="AF383" s="18"/>
      <c r="AG383" s="18"/>
    </row>
    <row r="384" spans="1:33" x14ac:dyDescent="0.2">
      <c r="A384" s="1279"/>
      <c r="B384" s="1280"/>
      <c r="C384" s="18"/>
      <c r="D384" s="18"/>
      <c r="E384" s="18"/>
      <c r="F384" s="18"/>
      <c r="G384" s="18"/>
      <c r="H384" s="18"/>
      <c r="I384" s="18"/>
      <c r="J384" s="18"/>
      <c r="K384" s="18"/>
      <c r="L384" s="12"/>
      <c r="M384" s="18"/>
      <c r="N384" s="18"/>
      <c r="O384" s="18"/>
      <c r="P384" s="18"/>
      <c r="Q384" s="18"/>
      <c r="R384" s="18"/>
      <c r="S384" s="18"/>
      <c r="T384" s="18"/>
      <c r="U384" s="18"/>
      <c r="V384" s="18"/>
      <c r="W384" s="18"/>
      <c r="X384" s="18"/>
      <c r="Y384" s="18"/>
      <c r="Z384" s="18"/>
      <c r="AA384" s="18"/>
      <c r="AB384" s="18"/>
      <c r="AC384" s="18"/>
      <c r="AD384" s="18"/>
      <c r="AE384" s="18"/>
      <c r="AF384" s="18"/>
      <c r="AG384" s="18"/>
    </row>
    <row r="385" spans="1:33" x14ac:dyDescent="0.2">
      <c r="A385" s="1279"/>
      <c r="B385" s="1280"/>
      <c r="C385" s="18"/>
      <c r="D385" s="18"/>
      <c r="E385" s="18"/>
      <c r="F385" s="18"/>
      <c r="G385" s="18"/>
      <c r="H385" s="18"/>
      <c r="I385" s="18"/>
      <c r="J385" s="18"/>
      <c r="K385" s="18"/>
      <c r="L385" s="12"/>
      <c r="M385" s="18"/>
      <c r="N385" s="18"/>
      <c r="O385" s="18"/>
      <c r="P385" s="18"/>
      <c r="Q385" s="18"/>
      <c r="R385" s="18"/>
      <c r="S385" s="18"/>
      <c r="T385" s="18"/>
      <c r="U385" s="18"/>
      <c r="V385" s="18"/>
      <c r="W385" s="18"/>
      <c r="X385" s="18"/>
      <c r="Y385" s="18"/>
      <c r="Z385" s="18"/>
      <c r="AA385" s="18"/>
      <c r="AB385" s="18"/>
      <c r="AC385" s="18"/>
      <c r="AD385" s="18"/>
      <c r="AE385" s="18"/>
      <c r="AF385" s="18"/>
      <c r="AG385" s="18"/>
    </row>
    <row r="386" spans="1:33" x14ac:dyDescent="0.2">
      <c r="A386" s="1279"/>
      <c r="B386" s="1280"/>
      <c r="C386" s="18"/>
      <c r="D386" s="18"/>
      <c r="E386" s="18"/>
      <c r="F386" s="18"/>
      <c r="G386" s="18"/>
      <c r="H386" s="18"/>
      <c r="I386" s="18"/>
      <c r="J386" s="18"/>
      <c r="K386" s="18"/>
      <c r="L386" s="12"/>
      <c r="M386" s="18"/>
      <c r="N386" s="18"/>
      <c r="O386" s="18"/>
      <c r="P386" s="18"/>
      <c r="Q386" s="18"/>
      <c r="R386" s="18"/>
      <c r="S386" s="18"/>
      <c r="T386" s="18"/>
      <c r="U386" s="18"/>
      <c r="V386" s="18"/>
      <c r="W386" s="18"/>
      <c r="X386" s="18"/>
      <c r="Y386" s="18"/>
      <c r="Z386" s="18"/>
      <c r="AA386" s="18"/>
      <c r="AB386" s="18"/>
      <c r="AC386" s="18"/>
      <c r="AD386" s="18"/>
      <c r="AE386" s="18"/>
      <c r="AF386" s="18"/>
      <c r="AG386" s="18"/>
    </row>
    <row r="387" spans="1:33" x14ac:dyDescent="0.2">
      <c r="A387" s="1279"/>
      <c r="B387" s="1280"/>
      <c r="C387" s="18"/>
      <c r="D387" s="18"/>
      <c r="E387" s="18"/>
      <c r="F387" s="18"/>
      <c r="G387" s="18"/>
      <c r="H387" s="18"/>
      <c r="I387" s="18"/>
      <c r="J387" s="18"/>
      <c r="K387" s="18"/>
      <c r="L387" s="12"/>
      <c r="M387" s="18"/>
      <c r="N387" s="18"/>
      <c r="O387" s="18"/>
      <c r="P387" s="18"/>
      <c r="Q387" s="18"/>
      <c r="R387" s="18"/>
      <c r="S387" s="18"/>
      <c r="T387" s="18"/>
      <c r="U387" s="18"/>
      <c r="V387" s="18"/>
      <c r="W387" s="18"/>
      <c r="X387" s="18"/>
      <c r="Y387" s="18"/>
      <c r="Z387" s="18"/>
      <c r="AA387" s="18"/>
      <c r="AB387" s="18"/>
      <c r="AC387" s="18"/>
      <c r="AD387" s="18"/>
      <c r="AE387" s="18"/>
      <c r="AF387" s="18"/>
      <c r="AG387" s="18"/>
    </row>
    <row r="388" spans="1:33" x14ac:dyDescent="0.2">
      <c r="A388" s="1279"/>
      <c r="B388" s="1280"/>
      <c r="C388" s="18"/>
      <c r="D388" s="18"/>
      <c r="E388" s="18"/>
      <c r="F388" s="18"/>
      <c r="G388" s="18"/>
      <c r="H388" s="18"/>
      <c r="I388" s="18"/>
      <c r="J388" s="18"/>
      <c r="K388" s="18"/>
      <c r="L388" s="12"/>
      <c r="M388" s="18"/>
      <c r="N388" s="18"/>
      <c r="O388" s="18"/>
      <c r="P388" s="18"/>
      <c r="Q388" s="18"/>
      <c r="R388" s="18"/>
      <c r="S388" s="18"/>
      <c r="T388" s="18"/>
      <c r="U388" s="18"/>
      <c r="V388" s="18"/>
      <c r="W388" s="18"/>
      <c r="X388" s="18"/>
      <c r="Y388" s="18"/>
      <c r="Z388" s="18"/>
      <c r="AA388" s="18"/>
      <c r="AB388" s="18"/>
      <c r="AC388" s="18"/>
      <c r="AD388" s="18"/>
      <c r="AE388" s="18"/>
      <c r="AF388" s="18"/>
      <c r="AG388" s="18"/>
    </row>
    <row r="389" spans="1:33" x14ac:dyDescent="0.2">
      <c r="A389" s="1279"/>
      <c r="B389" s="1280"/>
      <c r="C389" s="18"/>
      <c r="D389" s="18"/>
      <c r="E389" s="18"/>
      <c r="F389" s="18"/>
      <c r="G389" s="18"/>
      <c r="H389" s="18"/>
      <c r="I389" s="18"/>
      <c r="J389" s="18"/>
      <c r="K389" s="18"/>
      <c r="L389" s="12"/>
      <c r="M389" s="18"/>
      <c r="N389" s="18"/>
      <c r="O389" s="18"/>
      <c r="P389" s="18"/>
      <c r="Q389" s="18"/>
      <c r="R389" s="18"/>
      <c r="S389" s="18"/>
      <c r="T389" s="18"/>
      <c r="U389" s="18"/>
      <c r="V389" s="18"/>
      <c r="W389" s="18"/>
      <c r="X389" s="18"/>
      <c r="Y389" s="18"/>
      <c r="Z389" s="18"/>
      <c r="AA389" s="18"/>
      <c r="AB389" s="18"/>
      <c r="AC389" s="18"/>
      <c r="AD389" s="18"/>
      <c r="AE389" s="18"/>
      <c r="AF389" s="18"/>
      <c r="AG389" s="18"/>
    </row>
    <row r="390" spans="1:33" x14ac:dyDescent="0.2">
      <c r="A390" s="1279"/>
      <c r="B390" s="1280"/>
      <c r="C390" s="18"/>
      <c r="D390" s="18"/>
      <c r="E390" s="18"/>
      <c r="F390" s="18"/>
      <c r="G390" s="18"/>
      <c r="H390" s="18"/>
      <c r="I390" s="18"/>
      <c r="J390" s="18"/>
      <c r="K390" s="18"/>
      <c r="L390" s="12"/>
      <c r="M390" s="18"/>
      <c r="N390" s="18"/>
      <c r="O390" s="18"/>
      <c r="P390" s="18"/>
      <c r="Q390" s="18"/>
      <c r="R390" s="18"/>
      <c r="S390" s="18"/>
      <c r="T390" s="18"/>
      <c r="U390" s="18"/>
      <c r="V390" s="18"/>
      <c r="W390" s="18"/>
      <c r="X390" s="18"/>
      <c r="Y390" s="18"/>
      <c r="Z390" s="18"/>
      <c r="AA390" s="18"/>
      <c r="AB390" s="18"/>
      <c r="AC390" s="18"/>
      <c r="AD390" s="18"/>
      <c r="AE390" s="18"/>
      <c r="AF390" s="18"/>
      <c r="AG390" s="18"/>
    </row>
    <row r="391" spans="1:33" x14ac:dyDescent="0.2">
      <c r="A391" s="1279"/>
      <c r="B391" s="1280"/>
      <c r="C391" s="18"/>
      <c r="D391" s="18"/>
      <c r="E391" s="18"/>
      <c r="F391" s="18"/>
      <c r="G391" s="18"/>
      <c r="H391" s="18"/>
      <c r="I391" s="18"/>
      <c r="J391" s="18"/>
      <c r="K391" s="18"/>
      <c r="L391" s="12"/>
      <c r="M391" s="18"/>
      <c r="N391" s="18"/>
      <c r="O391" s="18"/>
      <c r="P391" s="18"/>
      <c r="Q391" s="18"/>
      <c r="R391" s="18"/>
      <c r="S391" s="18"/>
      <c r="T391" s="18"/>
      <c r="U391" s="18"/>
      <c r="V391" s="18"/>
      <c r="W391" s="18"/>
      <c r="X391" s="18"/>
      <c r="Y391" s="18"/>
      <c r="Z391" s="18"/>
      <c r="AA391" s="18"/>
      <c r="AB391" s="18"/>
      <c r="AC391" s="18"/>
      <c r="AD391" s="18"/>
      <c r="AE391" s="18"/>
      <c r="AF391" s="18"/>
      <c r="AG391" s="18"/>
    </row>
    <row r="392" spans="1:33" x14ac:dyDescent="0.2">
      <c r="A392" s="1279"/>
      <c r="B392" s="1280"/>
      <c r="C392" s="18"/>
      <c r="D392" s="18"/>
      <c r="E392" s="18"/>
      <c r="F392" s="18"/>
      <c r="G392" s="18"/>
      <c r="H392" s="18"/>
      <c r="I392" s="18"/>
      <c r="J392" s="18"/>
      <c r="K392" s="18"/>
      <c r="L392" s="12"/>
      <c r="M392" s="18"/>
      <c r="N392" s="18"/>
      <c r="O392" s="18"/>
      <c r="P392" s="18"/>
      <c r="Q392" s="18"/>
      <c r="R392" s="18"/>
      <c r="S392" s="18"/>
      <c r="T392" s="18"/>
      <c r="U392" s="18"/>
      <c r="V392" s="18"/>
      <c r="W392" s="18"/>
      <c r="X392" s="18"/>
      <c r="Y392" s="18"/>
      <c r="Z392" s="18"/>
      <c r="AA392" s="18"/>
      <c r="AB392" s="18"/>
      <c r="AC392" s="18"/>
      <c r="AD392" s="18"/>
      <c r="AE392" s="18"/>
      <c r="AF392" s="18"/>
      <c r="AG392" s="18"/>
    </row>
    <row r="393" spans="1:33" x14ac:dyDescent="0.2">
      <c r="A393" s="1279"/>
      <c r="B393" s="1280"/>
      <c r="C393" s="18"/>
      <c r="D393" s="18"/>
      <c r="E393" s="18"/>
      <c r="F393" s="18"/>
      <c r="G393" s="18"/>
      <c r="H393" s="18"/>
      <c r="I393" s="18"/>
      <c r="J393" s="18"/>
      <c r="K393" s="18"/>
      <c r="L393" s="12"/>
      <c r="M393" s="18"/>
      <c r="N393" s="18"/>
      <c r="O393" s="18"/>
      <c r="P393" s="18"/>
      <c r="Q393" s="18"/>
      <c r="R393" s="18"/>
      <c r="S393" s="18"/>
      <c r="T393" s="18"/>
      <c r="U393" s="18"/>
      <c r="V393" s="18"/>
      <c r="W393" s="18"/>
      <c r="X393" s="18"/>
      <c r="Y393" s="18"/>
      <c r="Z393" s="18"/>
      <c r="AA393" s="18"/>
      <c r="AB393" s="18"/>
      <c r="AC393" s="18"/>
      <c r="AD393" s="18"/>
      <c r="AE393" s="18"/>
      <c r="AF393" s="18"/>
      <c r="AG393" s="18"/>
    </row>
    <row r="394" spans="1:33" x14ac:dyDescent="0.2">
      <c r="A394" s="1279"/>
      <c r="B394" s="1280"/>
      <c r="C394" s="18"/>
      <c r="D394" s="18"/>
      <c r="E394" s="18"/>
      <c r="F394" s="18"/>
      <c r="G394" s="18"/>
      <c r="H394" s="18"/>
      <c r="I394" s="18"/>
      <c r="J394" s="18"/>
      <c r="K394" s="18"/>
      <c r="L394" s="12"/>
      <c r="M394" s="18"/>
      <c r="N394" s="18"/>
      <c r="O394" s="18"/>
      <c r="P394" s="18"/>
      <c r="Q394" s="18"/>
      <c r="R394" s="18"/>
      <c r="S394" s="18"/>
      <c r="T394" s="18"/>
      <c r="U394" s="18"/>
      <c r="V394" s="18"/>
      <c r="W394" s="18"/>
      <c r="X394" s="18"/>
      <c r="Y394" s="18"/>
      <c r="Z394" s="18"/>
      <c r="AA394" s="18"/>
      <c r="AB394" s="18"/>
      <c r="AC394" s="18"/>
      <c r="AD394" s="18"/>
      <c r="AE394" s="18"/>
      <c r="AF394" s="18"/>
      <c r="AG394" s="18"/>
    </row>
    <row r="395" spans="1:33" x14ac:dyDescent="0.2">
      <c r="A395" s="1279"/>
      <c r="B395" s="1280"/>
      <c r="C395" s="18"/>
      <c r="D395" s="18"/>
      <c r="E395" s="18"/>
      <c r="F395" s="18"/>
      <c r="G395" s="18"/>
      <c r="H395" s="18"/>
      <c r="I395" s="18"/>
      <c r="J395" s="18"/>
      <c r="K395" s="18"/>
      <c r="L395" s="12"/>
      <c r="M395" s="18"/>
      <c r="N395" s="18"/>
      <c r="O395" s="18"/>
      <c r="P395" s="18"/>
      <c r="Q395" s="18"/>
      <c r="R395" s="18"/>
      <c r="S395" s="18"/>
      <c r="T395" s="18"/>
      <c r="U395" s="18"/>
      <c r="V395" s="18"/>
      <c r="W395" s="18"/>
      <c r="X395" s="18"/>
      <c r="Y395" s="18"/>
      <c r="Z395" s="18"/>
      <c r="AA395" s="18"/>
      <c r="AB395" s="18"/>
      <c r="AC395" s="18"/>
      <c r="AD395" s="18"/>
      <c r="AE395" s="18"/>
      <c r="AF395" s="18"/>
      <c r="AG395" s="18"/>
    </row>
    <row r="396" spans="1:33" x14ac:dyDescent="0.2">
      <c r="A396" s="1279"/>
      <c r="B396" s="1280"/>
      <c r="C396" s="18"/>
      <c r="D396" s="18"/>
      <c r="E396" s="18"/>
      <c r="F396" s="18"/>
      <c r="G396" s="18"/>
      <c r="H396" s="18"/>
      <c r="I396" s="18"/>
      <c r="J396" s="18"/>
      <c r="K396" s="18"/>
      <c r="L396" s="12"/>
      <c r="M396" s="18"/>
      <c r="N396" s="18"/>
      <c r="O396" s="18"/>
      <c r="P396" s="18"/>
      <c r="Q396" s="18"/>
      <c r="R396" s="18"/>
      <c r="S396" s="18"/>
      <c r="T396" s="18"/>
      <c r="U396" s="18"/>
      <c r="V396" s="18"/>
      <c r="W396" s="18"/>
      <c r="X396" s="18"/>
      <c r="Y396" s="18"/>
      <c r="Z396" s="18"/>
      <c r="AA396" s="18"/>
      <c r="AB396" s="18"/>
      <c r="AC396" s="18"/>
      <c r="AD396" s="18"/>
      <c r="AE396" s="18"/>
      <c r="AF396" s="18"/>
      <c r="AG396" s="18"/>
    </row>
    <row r="397" spans="1:33" x14ac:dyDescent="0.2">
      <c r="A397" s="1279"/>
      <c r="B397" s="1280"/>
      <c r="C397" s="18"/>
      <c r="D397" s="18"/>
      <c r="E397" s="18"/>
      <c r="F397" s="18"/>
      <c r="G397" s="18"/>
      <c r="H397" s="18"/>
      <c r="I397" s="18"/>
      <c r="J397" s="18"/>
      <c r="K397" s="18"/>
      <c r="L397" s="12"/>
      <c r="M397" s="18"/>
      <c r="N397" s="18"/>
      <c r="O397" s="18"/>
      <c r="P397" s="18"/>
      <c r="Q397" s="18"/>
      <c r="R397" s="18"/>
      <c r="S397" s="18"/>
      <c r="T397" s="18"/>
      <c r="U397" s="18"/>
      <c r="V397" s="18"/>
      <c r="W397" s="18"/>
      <c r="X397" s="18"/>
      <c r="Y397" s="18"/>
      <c r="Z397" s="18"/>
      <c r="AA397" s="18"/>
      <c r="AB397" s="18"/>
      <c r="AC397" s="18"/>
      <c r="AD397" s="18"/>
      <c r="AE397" s="18"/>
      <c r="AF397" s="18"/>
      <c r="AG397" s="18"/>
    </row>
    <row r="398" spans="1:33" x14ac:dyDescent="0.2">
      <c r="A398" s="1279"/>
      <c r="B398" s="1280"/>
      <c r="C398" s="18"/>
      <c r="D398" s="18"/>
      <c r="E398" s="18"/>
      <c r="F398" s="18"/>
      <c r="G398" s="18"/>
      <c r="H398" s="18"/>
      <c r="I398" s="18"/>
      <c r="J398" s="18"/>
      <c r="K398" s="18"/>
      <c r="L398" s="12"/>
      <c r="M398" s="18"/>
      <c r="N398" s="18"/>
      <c r="O398" s="18"/>
      <c r="P398" s="18"/>
      <c r="Q398" s="18"/>
      <c r="R398" s="18"/>
      <c r="S398" s="18"/>
      <c r="T398" s="18"/>
      <c r="U398" s="18"/>
      <c r="V398" s="18"/>
      <c r="W398" s="18"/>
      <c r="X398" s="18"/>
      <c r="Y398" s="18"/>
      <c r="Z398" s="18"/>
      <c r="AA398" s="18"/>
      <c r="AB398" s="18"/>
      <c r="AC398" s="18"/>
      <c r="AD398" s="18"/>
      <c r="AE398" s="18"/>
      <c r="AF398" s="18"/>
      <c r="AG398" s="18"/>
    </row>
    <row r="399" spans="1:33" x14ac:dyDescent="0.2">
      <c r="A399" s="1279"/>
      <c r="B399" s="1280"/>
      <c r="C399" s="18"/>
      <c r="D399" s="18"/>
      <c r="E399" s="18"/>
      <c r="F399" s="18"/>
      <c r="G399" s="18"/>
      <c r="H399" s="18"/>
      <c r="I399" s="18"/>
      <c r="J399" s="18"/>
      <c r="K399" s="18"/>
      <c r="L399" s="12"/>
      <c r="M399" s="18"/>
      <c r="N399" s="18"/>
      <c r="O399" s="18"/>
      <c r="P399" s="18"/>
      <c r="Q399" s="18"/>
      <c r="R399" s="18"/>
      <c r="S399" s="18"/>
      <c r="T399" s="18"/>
      <c r="U399" s="18"/>
      <c r="V399" s="18"/>
      <c r="W399" s="18"/>
      <c r="X399" s="18"/>
      <c r="Y399" s="18"/>
      <c r="Z399" s="18"/>
      <c r="AA399" s="18"/>
      <c r="AB399" s="18"/>
      <c r="AC399" s="18"/>
      <c r="AD399" s="18"/>
      <c r="AE399" s="18"/>
      <c r="AF399" s="18"/>
      <c r="AG399" s="18"/>
    </row>
    <row r="400" spans="1:33" x14ac:dyDescent="0.2">
      <c r="A400" s="1279"/>
      <c r="B400" s="1280"/>
      <c r="C400" s="18"/>
      <c r="D400" s="18"/>
      <c r="E400" s="18"/>
      <c r="F400" s="18"/>
      <c r="G400" s="18"/>
      <c r="H400" s="18"/>
      <c r="I400" s="18"/>
      <c r="J400" s="18"/>
      <c r="K400" s="18"/>
      <c r="L400" s="12"/>
      <c r="M400" s="18"/>
      <c r="N400" s="18"/>
      <c r="O400" s="18"/>
      <c r="P400" s="18"/>
      <c r="Q400" s="18"/>
      <c r="R400" s="18"/>
      <c r="S400" s="18"/>
      <c r="T400" s="18"/>
      <c r="U400" s="18"/>
      <c r="V400" s="18"/>
      <c r="W400" s="18"/>
      <c r="X400" s="18"/>
      <c r="Y400" s="18"/>
      <c r="Z400" s="18"/>
      <c r="AA400" s="18"/>
      <c r="AB400" s="18"/>
      <c r="AC400" s="18"/>
      <c r="AD400" s="18"/>
      <c r="AE400" s="18"/>
      <c r="AF400" s="18"/>
      <c r="AG400" s="18"/>
    </row>
    <row r="401" spans="1:33" x14ac:dyDescent="0.2">
      <c r="A401" s="1279"/>
      <c r="B401" s="1280"/>
      <c r="C401" s="18"/>
      <c r="D401" s="18"/>
      <c r="E401" s="18"/>
      <c r="F401" s="18"/>
      <c r="G401" s="18"/>
      <c r="H401" s="18"/>
      <c r="I401" s="18"/>
      <c r="J401" s="18"/>
      <c r="K401" s="18"/>
      <c r="L401" s="12"/>
      <c r="M401" s="18"/>
      <c r="N401" s="18"/>
      <c r="O401" s="18"/>
      <c r="P401" s="18"/>
      <c r="Q401" s="18"/>
      <c r="R401" s="18"/>
      <c r="S401" s="18"/>
      <c r="T401" s="18"/>
      <c r="U401" s="18"/>
      <c r="V401" s="18"/>
      <c r="W401" s="18"/>
      <c r="X401" s="18"/>
      <c r="Y401" s="18"/>
      <c r="Z401" s="18"/>
      <c r="AA401" s="18"/>
      <c r="AB401" s="18"/>
      <c r="AC401" s="18"/>
      <c r="AD401" s="18"/>
      <c r="AE401" s="18"/>
      <c r="AF401" s="18"/>
      <c r="AG401" s="18"/>
    </row>
    <row r="402" spans="1:33" x14ac:dyDescent="0.2">
      <c r="A402" s="1279"/>
      <c r="B402" s="1280"/>
      <c r="C402" s="18"/>
      <c r="D402" s="18"/>
      <c r="E402" s="18"/>
      <c r="F402" s="18"/>
      <c r="G402" s="18"/>
      <c r="H402" s="18"/>
      <c r="I402" s="18"/>
      <c r="J402" s="18"/>
      <c r="K402" s="18"/>
      <c r="L402" s="12"/>
      <c r="M402" s="18"/>
      <c r="N402" s="18"/>
      <c r="O402" s="18"/>
      <c r="P402" s="18"/>
      <c r="Q402" s="18"/>
      <c r="R402" s="18"/>
      <c r="S402" s="18"/>
      <c r="T402" s="18"/>
      <c r="U402" s="18"/>
      <c r="V402" s="18"/>
      <c r="W402" s="18"/>
      <c r="X402" s="18"/>
      <c r="Y402" s="18"/>
      <c r="Z402" s="18"/>
      <c r="AA402" s="18"/>
      <c r="AB402" s="18"/>
      <c r="AC402" s="18"/>
      <c r="AD402" s="18"/>
      <c r="AE402" s="18"/>
      <c r="AF402" s="18"/>
      <c r="AG402" s="18"/>
    </row>
    <row r="403" spans="1:33" x14ac:dyDescent="0.2">
      <c r="A403" s="1279"/>
      <c r="B403" s="1280"/>
      <c r="C403" s="18"/>
      <c r="D403" s="18"/>
      <c r="E403" s="18"/>
      <c r="F403" s="18"/>
      <c r="G403" s="18"/>
      <c r="H403" s="18"/>
      <c r="I403" s="18"/>
      <c r="J403" s="18"/>
      <c r="K403" s="18"/>
      <c r="L403" s="12"/>
      <c r="M403" s="18"/>
      <c r="N403" s="18"/>
      <c r="O403" s="18"/>
      <c r="P403" s="18"/>
      <c r="Q403" s="18"/>
      <c r="R403" s="18"/>
      <c r="S403" s="18"/>
      <c r="T403" s="18"/>
      <c r="U403" s="18"/>
      <c r="V403" s="18"/>
      <c r="W403" s="18"/>
      <c r="X403" s="18"/>
      <c r="Y403" s="18"/>
      <c r="Z403" s="18"/>
      <c r="AA403" s="18"/>
      <c r="AB403" s="18"/>
      <c r="AC403" s="18"/>
      <c r="AD403" s="18"/>
      <c r="AE403" s="18"/>
      <c r="AF403" s="18"/>
      <c r="AG403" s="18"/>
    </row>
    <row r="404" spans="1:33" x14ac:dyDescent="0.2">
      <c r="A404" s="1279"/>
      <c r="B404" s="1280"/>
      <c r="C404" s="18"/>
      <c r="D404" s="18"/>
      <c r="E404" s="18"/>
      <c r="F404" s="18"/>
      <c r="G404" s="18"/>
      <c r="H404" s="18"/>
      <c r="I404" s="18"/>
      <c r="J404" s="18"/>
      <c r="K404" s="18"/>
      <c r="L404" s="12"/>
      <c r="M404" s="18"/>
      <c r="N404" s="18"/>
      <c r="O404" s="18"/>
      <c r="P404" s="18"/>
      <c r="Q404" s="18"/>
      <c r="R404" s="18"/>
      <c r="S404" s="18"/>
      <c r="T404" s="18"/>
      <c r="U404" s="18"/>
      <c r="V404" s="18"/>
      <c r="W404" s="18"/>
      <c r="X404" s="18"/>
      <c r="Y404" s="18"/>
      <c r="Z404" s="18"/>
      <c r="AA404" s="18"/>
      <c r="AB404" s="18"/>
      <c r="AC404" s="18"/>
      <c r="AD404" s="18"/>
      <c r="AE404" s="18"/>
      <c r="AF404" s="18"/>
      <c r="AG404" s="18"/>
    </row>
    <row r="405" spans="1:33" x14ac:dyDescent="0.2">
      <c r="A405" s="1279"/>
      <c r="B405" s="1280"/>
      <c r="C405" s="18"/>
      <c r="D405" s="18"/>
      <c r="E405" s="18"/>
      <c r="F405" s="18"/>
      <c r="G405" s="18"/>
      <c r="H405" s="18"/>
      <c r="I405" s="18"/>
      <c r="J405" s="18"/>
      <c r="K405" s="18"/>
      <c r="L405" s="12"/>
      <c r="M405" s="18"/>
      <c r="N405" s="18"/>
      <c r="O405" s="18"/>
      <c r="P405" s="18"/>
      <c r="Q405" s="18"/>
      <c r="R405" s="18"/>
      <c r="S405" s="18"/>
      <c r="T405" s="18"/>
      <c r="U405" s="18"/>
      <c r="V405" s="18"/>
      <c r="W405" s="18"/>
      <c r="X405" s="18"/>
      <c r="Y405" s="18"/>
      <c r="Z405" s="18"/>
      <c r="AA405" s="18"/>
      <c r="AB405" s="18"/>
      <c r="AC405" s="18"/>
      <c r="AD405" s="18"/>
      <c r="AE405" s="18"/>
      <c r="AF405" s="18"/>
      <c r="AG405" s="18"/>
    </row>
    <row r="406" spans="1:33" x14ac:dyDescent="0.2">
      <c r="A406" s="1279"/>
      <c r="B406" s="1280"/>
      <c r="C406" s="18"/>
      <c r="D406" s="18"/>
      <c r="E406" s="18"/>
      <c r="F406" s="18"/>
      <c r="G406" s="18"/>
      <c r="H406" s="18"/>
      <c r="I406" s="18"/>
      <c r="J406" s="18"/>
      <c r="K406" s="18"/>
      <c r="L406" s="12"/>
      <c r="M406" s="18"/>
      <c r="N406" s="18"/>
      <c r="O406" s="18"/>
      <c r="P406" s="18"/>
      <c r="Q406" s="18"/>
      <c r="R406" s="18"/>
      <c r="S406" s="18"/>
      <c r="T406" s="18"/>
      <c r="U406" s="18"/>
      <c r="V406" s="18"/>
      <c r="W406" s="18"/>
      <c r="X406" s="18"/>
      <c r="Y406" s="18"/>
      <c r="Z406" s="18"/>
      <c r="AA406" s="18"/>
      <c r="AB406" s="18"/>
      <c r="AC406" s="18"/>
      <c r="AD406" s="18"/>
      <c r="AE406" s="18"/>
      <c r="AF406" s="18"/>
      <c r="AG406" s="18"/>
    </row>
    <row r="407" spans="1:33" x14ac:dyDescent="0.2">
      <c r="A407" s="1279"/>
      <c r="B407" s="1280"/>
      <c r="C407" s="18"/>
      <c r="D407" s="18"/>
      <c r="E407" s="18"/>
      <c r="F407" s="18"/>
      <c r="G407" s="18"/>
      <c r="H407" s="18"/>
      <c r="I407" s="18"/>
      <c r="J407" s="18"/>
      <c r="K407" s="18"/>
      <c r="L407" s="12"/>
      <c r="M407" s="18"/>
      <c r="N407" s="18"/>
      <c r="O407" s="18"/>
      <c r="P407" s="18"/>
      <c r="Q407" s="18"/>
      <c r="R407" s="18"/>
      <c r="S407" s="18"/>
      <c r="T407" s="18"/>
      <c r="U407" s="18"/>
      <c r="V407" s="18"/>
      <c r="W407" s="18"/>
      <c r="X407" s="18"/>
      <c r="Y407" s="18"/>
      <c r="Z407" s="18"/>
      <c r="AA407" s="18"/>
      <c r="AB407" s="18"/>
      <c r="AC407" s="18"/>
      <c r="AD407" s="18"/>
      <c r="AE407" s="18"/>
      <c r="AF407" s="18"/>
      <c r="AG407" s="18"/>
    </row>
    <row r="408" spans="1:33" x14ac:dyDescent="0.2">
      <c r="A408" s="1279"/>
      <c r="B408" s="1280"/>
      <c r="C408" s="18"/>
      <c r="D408" s="18"/>
      <c r="E408" s="18"/>
      <c r="F408" s="18"/>
      <c r="G408" s="18"/>
      <c r="H408" s="18"/>
      <c r="I408" s="18"/>
      <c r="J408" s="18"/>
      <c r="K408" s="18"/>
      <c r="L408" s="12"/>
      <c r="M408" s="18"/>
      <c r="N408" s="18"/>
      <c r="O408" s="18"/>
      <c r="P408" s="18"/>
      <c r="Q408" s="18"/>
      <c r="R408" s="18"/>
      <c r="S408" s="18"/>
      <c r="T408" s="18"/>
      <c r="U408" s="18"/>
      <c r="V408" s="18"/>
      <c r="W408" s="18"/>
      <c r="X408" s="18"/>
      <c r="Y408" s="18"/>
      <c r="Z408" s="18"/>
      <c r="AA408" s="18"/>
      <c r="AB408" s="18"/>
      <c r="AC408" s="18"/>
      <c r="AD408" s="18"/>
      <c r="AE408" s="18"/>
      <c r="AF408" s="18"/>
      <c r="AG408" s="18"/>
    </row>
    <row r="409" spans="1:33" x14ac:dyDescent="0.2">
      <c r="A409" s="1279"/>
      <c r="B409" s="1280"/>
      <c r="C409" s="18"/>
      <c r="D409" s="18"/>
      <c r="E409" s="18"/>
      <c r="F409" s="18"/>
      <c r="G409" s="18"/>
      <c r="H409" s="18"/>
      <c r="I409" s="18"/>
      <c r="J409" s="18"/>
      <c r="K409" s="18"/>
      <c r="L409" s="12"/>
      <c r="M409" s="18"/>
      <c r="N409" s="18"/>
      <c r="O409" s="18"/>
      <c r="P409" s="18"/>
      <c r="Q409" s="18"/>
      <c r="R409" s="18"/>
      <c r="S409" s="18"/>
      <c r="T409" s="18"/>
      <c r="U409" s="18"/>
      <c r="V409" s="18"/>
      <c r="W409" s="18"/>
      <c r="X409" s="18"/>
      <c r="Y409" s="18"/>
      <c r="Z409" s="18"/>
      <c r="AA409" s="18"/>
      <c r="AB409" s="18"/>
      <c r="AC409" s="18"/>
      <c r="AD409" s="18"/>
      <c r="AE409" s="18"/>
      <c r="AF409" s="18"/>
      <c r="AG409" s="18"/>
    </row>
    <row r="410" spans="1:33" x14ac:dyDescent="0.2">
      <c r="A410" s="1279"/>
      <c r="B410" s="1280"/>
      <c r="C410" s="18"/>
      <c r="D410" s="18"/>
      <c r="E410" s="18"/>
      <c r="F410" s="18"/>
      <c r="G410" s="18"/>
      <c r="H410" s="18"/>
      <c r="I410" s="18"/>
      <c r="J410" s="18"/>
      <c r="K410" s="18"/>
      <c r="L410" s="12"/>
      <c r="M410" s="18"/>
      <c r="N410" s="18"/>
      <c r="O410" s="18"/>
      <c r="P410" s="18"/>
      <c r="Q410" s="18"/>
      <c r="R410" s="18"/>
      <c r="S410" s="18"/>
      <c r="T410" s="18"/>
      <c r="U410" s="18"/>
      <c r="V410" s="18"/>
      <c r="W410" s="18"/>
      <c r="X410" s="18"/>
      <c r="Y410" s="18"/>
      <c r="Z410" s="18"/>
      <c r="AA410" s="18"/>
      <c r="AB410" s="18"/>
      <c r="AC410" s="18"/>
      <c r="AD410" s="18"/>
      <c r="AE410" s="18"/>
      <c r="AF410" s="18"/>
      <c r="AG410" s="18"/>
    </row>
    <row r="411" spans="1:33" x14ac:dyDescent="0.2">
      <c r="A411" s="1279"/>
      <c r="B411" s="1280"/>
      <c r="C411" s="18"/>
      <c r="D411" s="18"/>
      <c r="E411" s="18"/>
      <c r="F411" s="18"/>
      <c r="G411" s="18"/>
      <c r="H411" s="18"/>
      <c r="I411" s="18"/>
      <c r="J411" s="18"/>
      <c r="K411" s="18"/>
      <c r="L411" s="12"/>
      <c r="M411" s="18"/>
      <c r="N411" s="18"/>
      <c r="O411" s="18"/>
      <c r="P411" s="18"/>
      <c r="Q411" s="18"/>
      <c r="R411" s="18"/>
      <c r="S411" s="18"/>
      <c r="T411" s="18"/>
      <c r="U411" s="18"/>
      <c r="V411" s="18"/>
      <c r="W411" s="18"/>
      <c r="X411" s="18"/>
      <c r="Y411" s="18"/>
      <c r="Z411" s="18"/>
      <c r="AA411" s="18"/>
      <c r="AB411" s="18"/>
      <c r="AC411" s="18"/>
      <c r="AD411" s="18"/>
      <c r="AE411" s="18"/>
      <c r="AF411" s="18"/>
      <c r="AG411" s="18"/>
    </row>
    <row r="412" spans="1:33" x14ac:dyDescent="0.2">
      <c r="A412" s="1279"/>
      <c r="B412" s="1280"/>
      <c r="C412" s="18"/>
      <c r="D412" s="18"/>
      <c r="E412" s="18"/>
      <c r="F412" s="18"/>
      <c r="G412" s="18"/>
      <c r="H412" s="18"/>
      <c r="I412" s="18"/>
      <c r="J412" s="18"/>
      <c r="K412" s="18"/>
      <c r="L412" s="12"/>
      <c r="M412" s="18"/>
      <c r="N412" s="18"/>
      <c r="O412" s="18"/>
      <c r="P412" s="18"/>
      <c r="Q412" s="18"/>
      <c r="R412" s="18"/>
      <c r="S412" s="18"/>
      <c r="T412" s="18"/>
      <c r="U412" s="18"/>
      <c r="V412" s="18"/>
      <c r="W412" s="18"/>
      <c r="X412" s="18"/>
      <c r="Y412" s="18"/>
      <c r="Z412" s="18"/>
      <c r="AA412" s="18"/>
      <c r="AB412" s="18"/>
      <c r="AC412" s="18"/>
      <c r="AD412" s="18"/>
      <c r="AE412" s="18"/>
      <c r="AF412" s="18"/>
      <c r="AG412" s="18"/>
    </row>
    <row r="413" spans="1:33" x14ac:dyDescent="0.2">
      <c r="A413" s="1279"/>
      <c r="B413" s="1280"/>
      <c r="C413" s="18"/>
      <c r="D413" s="18"/>
      <c r="E413" s="18"/>
      <c r="F413" s="18"/>
      <c r="G413" s="18"/>
      <c r="H413" s="18"/>
      <c r="I413" s="18"/>
      <c r="J413" s="18"/>
      <c r="K413" s="18"/>
      <c r="L413" s="12"/>
      <c r="M413" s="18"/>
      <c r="N413" s="18"/>
      <c r="O413" s="18"/>
      <c r="P413" s="18"/>
      <c r="Q413" s="18"/>
      <c r="R413" s="18"/>
      <c r="S413" s="18"/>
      <c r="T413" s="18"/>
      <c r="U413" s="18"/>
      <c r="V413" s="18"/>
      <c r="W413" s="18"/>
      <c r="X413" s="18"/>
      <c r="Y413" s="18"/>
      <c r="Z413" s="18"/>
      <c r="AA413" s="18"/>
      <c r="AB413" s="18"/>
      <c r="AC413" s="18"/>
      <c r="AD413" s="18"/>
      <c r="AE413" s="18"/>
      <c r="AF413" s="18"/>
      <c r="AG413" s="18"/>
    </row>
    <row r="414" spans="1:33" x14ac:dyDescent="0.2">
      <c r="A414" s="1279"/>
      <c r="B414" s="1280"/>
      <c r="C414" s="18"/>
      <c r="D414" s="18"/>
      <c r="E414" s="18"/>
      <c r="F414" s="18"/>
      <c r="G414" s="18"/>
      <c r="H414" s="18"/>
      <c r="I414" s="18"/>
      <c r="J414" s="18"/>
      <c r="K414" s="18"/>
      <c r="L414" s="12"/>
      <c r="M414" s="18"/>
      <c r="N414" s="18"/>
      <c r="O414" s="18"/>
      <c r="P414" s="18"/>
      <c r="Q414" s="18"/>
      <c r="R414" s="18"/>
      <c r="S414" s="18"/>
      <c r="T414" s="18"/>
      <c r="U414" s="18"/>
      <c r="V414" s="18"/>
      <c r="W414" s="18"/>
      <c r="X414" s="18"/>
      <c r="Y414" s="18"/>
      <c r="Z414" s="18"/>
      <c r="AA414" s="18"/>
      <c r="AB414" s="18"/>
      <c r="AC414" s="18"/>
      <c r="AD414" s="18"/>
      <c r="AE414" s="18"/>
      <c r="AF414" s="18"/>
      <c r="AG414" s="18"/>
    </row>
    <row r="415" spans="1:33" x14ac:dyDescent="0.2">
      <c r="A415" s="1279"/>
      <c r="B415" s="1280"/>
      <c r="C415" s="18"/>
      <c r="D415" s="18"/>
      <c r="E415" s="18"/>
      <c r="F415" s="18"/>
      <c r="G415" s="18"/>
      <c r="H415" s="18"/>
      <c r="I415" s="18"/>
      <c r="J415" s="18"/>
      <c r="K415" s="18"/>
      <c r="L415" s="12"/>
      <c r="M415" s="18"/>
      <c r="N415" s="18"/>
      <c r="O415" s="18"/>
      <c r="P415" s="18"/>
      <c r="Q415" s="18"/>
      <c r="R415" s="18"/>
      <c r="S415" s="18"/>
      <c r="T415" s="18"/>
      <c r="U415" s="18"/>
      <c r="V415" s="18"/>
      <c r="W415" s="18"/>
      <c r="X415" s="18"/>
      <c r="Y415" s="18"/>
      <c r="Z415" s="18"/>
      <c r="AA415" s="18"/>
      <c r="AB415" s="18"/>
      <c r="AC415" s="18"/>
      <c r="AD415" s="18"/>
      <c r="AE415" s="18"/>
      <c r="AF415" s="18"/>
      <c r="AG415" s="18"/>
    </row>
    <row r="416" spans="1:33" x14ac:dyDescent="0.2">
      <c r="A416" s="1279"/>
      <c r="B416" s="1280"/>
      <c r="C416" s="18"/>
      <c r="D416" s="18"/>
      <c r="E416" s="18"/>
      <c r="F416" s="18"/>
      <c r="G416" s="18"/>
      <c r="H416" s="18"/>
      <c r="I416" s="18"/>
      <c r="J416" s="18"/>
      <c r="K416" s="18"/>
      <c r="L416" s="12"/>
      <c r="M416" s="18"/>
      <c r="N416" s="18"/>
      <c r="O416" s="18"/>
      <c r="P416" s="18"/>
      <c r="Q416" s="18"/>
      <c r="R416" s="18"/>
      <c r="S416" s="18"/>
      <c r="T416" s="18"/>
      <c r="U416" s="18"/>
      <c r="V416" s="18"/>
      <c r="W416" s="18"/>
      <c r="X416" s="18"/>
      <c r="Y416" s="18"/>
      <c r="Z416" s="18"/>
      <c r="AA416" s="18"/>
      <c r="AB416" s="18"/>
      <c r="AC416" s="18"/>
      <c r="AD416" s="18"/>
      <c r="AE416" s="18"/>
      <c r="AF416" s="18"/>
      <c r="AG416" s="18"/>
    </row>
    <row r="417" spans="1:33" x14ac:dyDescent="0.2">
      <c r="A417" s="1279"/>
      <c r="B417" s="1280"/>
      <c r="C417" s="18"/>
      <c r="D417" s="18"/>
      <c r="E417" s="18"/>
      <c r="F417" s="18"/>
      <c r="G417" s="18"/>
      <c r="H417" s="18"/>
      <c r="I417" s="18"/>
      <c r="J417" s="18"/>
      <c r="K417" s="18"/>
      <c r="L417" s="12"/>
      <c r="M417" s="18"/>
      <c r="N417" s="18"/>
      <c r="O417" s="18"/>
      <c r="P417" s="18"/>
      <c r="Q417" s="18"/>
      <c r="R417" s="18"/>
      <c r="S417" s="18"/>
      <c r="T417" s="18"/>
      <c r="U417" s="18"/>
      <c r="V417" s="18"/>
      <c r="W417" s="18"/>
      <c r="X417" s="18"/>
      <c r="Y417" s="18"/>
      <c r="Z417" s="18"/>
      <c r="AA417" s="18"/>
      <c r="AB417" s="18"/>
      <c r="AC417" s="18"/>
      <c r="AD417" s="18"/>
      <c r="AE417" s="18"/>
      <c r="AF417" s="18"/>
      <c r="AG417" s="18"/>
    </row>
    <row r="418" spans="1:33" x14ac:dyDescent="0.2">
      <c r="A418" s="1279"/>
      <c r="B418" s="1280"/>
      <c r="C418" s="18"/>
      <c r="D418" s="18"/>
      <c r="E418" s="18"/>
      <c r="F418" s="18"/>
      <c r="G418" s="18"/>
      <c r="H418" s="18"/>
      <c r="I418" s="18"/>
      <c r="J418" s="18"/>
      <c r="K418" s="18"/>
      <c r="L418" s="12"/>
      <c r="M418" s="18"/>
      <c r="N418" s="18"/>
      <c r="O418" s="18"/>
      <c r="P418" s="18"/>
      <c r="Q418" s="18"/>
      <c r="R418" s="18"/>
      <c r="S418" s="18"/>
      <c r="T418" s="18"/>
      <c r="U418" s="18"/>
      <c r="V418" s="18"/>
      <c r="W418" s="18"/>
      <c r="X418" s="18"/>
      <c r="Y418" s="18"/>
      <c r="Z418" s="18"/>
      <c r="AA418" s="18"/>
      <c r="AB418" s="18"/>
      <c r="AC418" s="18"/>
      <c r="AD418" s="18"/>
      <c r="AE418" s="18"/>
      <c r="AF418" s="18"/>
      <c r="AG418" s="18"/>
    </row>
    <row r="419" spans="1:33" x14ac:dyDescent="0.2">
      <c r="A419" s="1279"/>
      <c r="B419" s="1280"/>
      <c r="C419" s="18"/>
      <c r="D419" s="18"/>
      <c r="E419" s="18"/>
      <c r="F419" s="18"/>
      <c r="G419" s="18"/>
      <c r="H419" s="18"/>
      <c r="I419" s="18"/>
      <c r="J419" s="18"/>
      <c r="K419" s="18"/>
      <c r="L419" s="12"/>
      <c r="M419" s="18"/>
      <c r="N419" s="18"/>
      <c r="O419" s="18"/>
      <c r="P419" s="18"/>
      <c r="Q419" s="18"/>
      <c r="R419" s="18"/>
      <c r="S419" s="18"/>
      <c r="T419" s="18"/>
      <c r="U419" s="18"/>
      <c r="V419" s="18"/>
      <c r="W419" s="18"/>
      <c r="X419" s="18"/>
      <c r="Y419" s="18"/>
      <c r="Z419" s="18"/>
      <c r="AA419" s="18"/>
      <c r="AB419" s="18"/>
      <c r="AC419" s="18"/>
      <c r="AD419" s="18"/>
      <c r="AE419" s="18"/>
      <c r="AF419" s="18"/>
      <c r="AG419" s="18"/>
    </row>
    <row r="420" spans="1:33" x14ac:dyDescent="0.2">
      <c r="A420" s="1279"/>
      <c r="B420" s="1280"/>
      <c r="C420" s="18"/>
      <c r="D420" s="18"/>
      <c r="E420" s="18"/>
      <c r="F420" s="18"/>
      <c r="G420" s="18"/>
      <c r="H420" s="18"/>
      <c r="I420" s="18"/>
      <c r="J420" s="18"/>
      <c r="K420" s="18"/>
      <c r="L420" s="12"/>
      <c r="M420" s="18"/>
      <c r="N420" s="18"/>
      <c r="O420" s="18"/>
      <c r="P420" s="18"/>
      <c r="Q420" s="18"/>
      <c r="R420" s="18"/>
      <c r="S420" s="18"/>
      <c r="T420" s="18"/>
      <c r="U420" s="18"/>
      <c r="V420" s="18"/>
      <c r="W420" s="18"/>
      <c r="X420" s="18"/>
      <c r="Y420" s="18"/>
      <c r="Z420" s="18"/>
      <c r="AA420" s="18"/>
      <c r="AB420" s="18"/>
      <c r="AC420" s="18"/>
      <c r="AD420" s="18"/>
      <c r="AE420" s="18"/>
      <c r="AF420" s="18"/>
      <c r="AG420" s="18"/>
    </row>
    <row r="421" spans="1:33" x14ac:dyDescent="0.2">
      <c r="A421" s="1279"/>
      <c r="B421" s="1280"/>
      <c r="C421" s="18"/>
      <c r="D421" s="18"/>
      <c r="E421" s="18"/>
      <c r="F421" s="18"/>
      <c r="G421" s="18"/>
      <c r="H421" s="18"/>
      <c r="I421" s="18"/>
      <c r="J421" s="18"/>
      <c r="K421" s="18"/>
      <c r="L421" s="12"/>
      <c r="M421" s="18"/>
      <c r="N421" s="18"/>
      <c r="O421" s="18"/>
      <c r="P421" s="18"/>
      <c r="Q421" s="18"/>
      <c r="R421" s="18"/>
      <c r="S421" s="18"/>
      <c r="T421" s="18"/>
      <c r="U421" s="18"/>
      <c r="V421" s="18"/>
      <c r="W421" s="18"/>
      <c r="X421" s="18"/>
      <c r="Y421" s="18"/>
      <c r="Z421" s="18"/>
      <c r="AA421" s="18"/>
      <c r="AB421" s="18"/>
      <c r="AC421" s="18"/>
      <c r="AD421" s="18"/>
      <c r="AE421" s="18"/>
      <c r="AF421" s="18"/>
      <c r="AG421" s="18"/>
    </row>
    <row r="422" spans="1:33" x14ac:dyDescent="0.2">
      <c r="A422" s="1279"/>
      <c r="B422" s="1280"/>
      <c r="C422" s="18"/>
      <c r="D422" s="18"/>
      <c r="E422" s="18"/>
      <c r="F422" s="18"/>
      <c r="G422" s="18"/>
      <c r="H422" s="18"/>
      <c r="I422" s="18"/>
      <c r="J422" s="18"/>
      <c r="K422" s="18"/>
      <c r="L422" s="12"/>
      <c r="M422" s="18"/>
      <c r="N422" s="18"/>
      <c r="O422" s="18"/>
      <c r="P422" s="18"/>
      <c r="Q422" s="18"/>
      <c r="R422" s="18"/>
      <c r="S422" s="18"/>
      <c r="T422" s="18"/>
      <c r="U422" s="18"/>
      <c r="V422" s="18"/>
      <c r="W422" s="18"/>
      <c r="X422" s="18"/>
      <c r="Y422" s="18"/>
      <c r="Z422" s="18"/>
      <c r="AA422" s="18"/>
      <c r="AB422" s="18"/>
      <c r="AC422" s="18"/>
      <c r="AD422" s="18"/>
      <c r="AE422" s="18"/>
      <c r="AF422" s="18"/>
      <c r="AG422" s="18"/>
    </row>
    <row r="423" spans="1:33" x14ac:dyDescent="0.2">
      <c r="A423" s="1279"/>
      <c r="B423" s="1280"/>
      <c r="C423" s="18"/>
      <c r="D423" s="18"/>
      <c r="E423" s="18"/>
      <c r="F423" s="18"/>
      <c r="G423" s="18"/>
      <c r="H423" s="18"/>
      <c r="I423" s="18"/>
      <c r="J423" s="18"/>
      <c r="K423" s="18"/>
      <c r="L423" s="12"/>
      <c r="M423" s="18"/>
      <c r="N423" s="18"/>
      <c r="O423" s="18"/>
      <c r="P423" s="18"/>
      <c r="Q423" s="18"/>
      <c r="R423" s="18"/>
      <c r="S423" s="18"/>
      <c r="T423" s="18"/>
      <c r="U423" s="18"/>
      <c r="V423" s="18"/>
      <c r="W423" s="18"/>
      <c r="X423" s="18"/>
      <c r="Y423" s="18"/>
      <c r="Z423" s="18"/>
      <c r="AA423" s="18"/>
      <c r="AB423" s="18"/>
      <c r="AC423" s="18"/>
      <c r="AD423" s="18"/>
      <c r="AE423" s="18"/>
      <c r="AF423" s="18"/>
      <c r="AG423" s="18"/>
    </row>
    <row r="424" spans="1:33" x14ac:dyDescent="0.2">
      <c r="A424" s="1279"/>
      <c r="B424" s="1280"/>
      <c r="C424" s="18"/>
      <c r="D424" s="18"/>
      <c r="E424" s="18"/>
      <c r="F424" s="18"/>
      <c r="G424" s="18"/>
      <c r="H424" s="18"/>
      <c r="I424" s="18"/>
      <c r="J424" s="18"/>
      <c r="K424" s="18"/>
      <c r="L424" s="12"/>
      <c r="M424" s="18"/>
      <c r="N424" s="18"/>
      <c r="O424" s="18"/>
      <c r="P424" s="18"/>
      <c r="Q424" s="18"/>
      <c r="R424" s="18"/>
      <c r="S424" s="18"/>
      <c r="T424" s="18"/>
      <c r="U424" s="18"/>
      <c r="V424" s="18"/>
      <c r="W424" s="18"/>
      <c r="X424" s="18"/>
      <c r="Y424" s="18"/>
      <c r="Z424" s="18"/>
      <c r="AA424" s="18"/>
      <c r="AB424" s="18"/>
      <c r="AC424" s="18"/>
      <c r="AD424" s="18"/>
      <c r="AE424" s="18"/>
      <c r="AF424" s="18"/>
      <c r="AG424" s="18"/>
    </row>
    <row r="425" spans="1:33" x14ac:dyDescent="0.2">
      <c r="A425" s="1279"/>
      <c r="B425" s="1280"/>
      <c r="C425" s="18"/>
      <c r="D425" s="18"/>
      <c r="E425" s="18"/>
      <c r="F425" s="18"/>
      <c r="G425" s="18"/>
      <c r="H425" s="18"/>
      <c r="I425" s="18"/>
      <c r="J425" s="18"/>
      <c r="K425" s="18"/>
      <c r="L425" s="12"/>
      <c r="M425" s="18"/>
      <c r="N425" s="18"/>
      <c r="O425" s="18"/>
      <c r="P425" s="18"/>
      <c r="Q425" s="18"/>
      <c r="R425" s="18"/>
      <c r="S425" s="18"/>
      <c r="T425" s="18"/>
      <c r="U425" s="18"/>
      <c r="V425" s="18"/>
      <c r="W425" s="18"/>
      <c r="X425" s="18"/>
      <c r="Y425" s="18"/>
      <c r="Z425" s="18"/>
      <c r="AA425" s="18"/>
      <c r="AB425" s="18"/>
      <c r="AC425" s="18"/>
      <c r="AD425" s="18"/>
      <c r="AE425" s="18"/>
      <c r="AF425" s="18"/>
      <c r="AG425" s="18"/>
    </row>
    <row r="426" spans="1:33" x14ac:dyDescent="0.2">
      <c r="A426" s="1279"/>
      <c r="B426" s="1280"/>
      <c r="C426" s="18"/>
      <c r="D426" s="18"/>
      <c r="E426" s="18"/>
      <c r="F426" s="18"/>
      <c r="G426" s="18"/>
      <c r="H426" s="18"/>
      <c r="I426" s="18"/>
      <c r="J426" s="18"/>
      <c r="K426" s="18"/>
      <c r="L426" s="12"/>
      <c r="M426" s="18"/>
      <c r="N426" s="18"/>
      <c r="O426" s="18"/>
      <c r="P426" s="18"/>
      <c r="Q426" s="18"/>
      <c r="R426" s="18"/>
      <c r="S426" s="18"/>
      <c r="T426" s="18"/>
      <c r="U426" s="18"/>
      <c r="V426" s="18"/>
      <c r="W426" s="18"/>
      <c r="X426" s="18"/>
      <c r="Y426" s="18"/>
      <c r="Z426" s="18"/>
      <c r="AA426" s="18"/>
      <c r="AB426" s="18"/>
      <c r="AC426" s="18"/>
      <c r="AD426" s="18"/>
      <c r="AE426" s="18"/>
      <c r="AF426" s="18"/>
      <c r="AG426" s="18"/>
    </row>
    <row r="427" spans="1:33" x14ac:dyDescent="0.2">
      <c r="A427" s="1279"/>
      <c r="B427" s="1280"/>
      <c r="C427" s="18"/>
      <c r="D427" s="18"/>
      <c r="E427" s="18"/>
      <c r="F427" s="18"/>
      <c r="G427" s="18"/>
      <c r="H427" s="18"/>
      <c r="I427" s="18"/>
      <c r="J427" s="18"/>
      <c r="K427" s="18"/>
      <c r="L427" s="12"/>
      <c r="M427" s="18"/>
      <c r="N427" s="18"/>
      <c r="O427" s="18"/>
      <c r="P427" s="18"/>
      <c r="Q427" s="18"/>
      <c r="R427" s="18"/>
      <c r="S427" s="18"/>
      <c r="T427" s="18"/>
      <c r="U427" s="18"/>
      <c r="V427" s="18"/>
      <c r="W427" s="18"/>
      <c r="X427" s="18"/>
      <c r="Y427" s="18"/>
      <c r="Z427" s="18"/>
      <c r="AA427" s="18"/>
      <c r="AB427" s="18"/>
      <c r="AC427" s="18"/>
      <c r="AD427" s="18"/>
      <c r="AE427" s="18"/>
      <c r="AF427" s="18"/>
      <c r="AG427" s="18"/>
    </row>
    <row r="428" spans="1:33" x14ac:dyDescent="0.2">
      <c r="A428" s="1279"/>
      <c r="B428" s="1280"/>
      <c r="C428" s="18"/>
      <c r="D428" s="18"/>
      <c r="E428" s="18"/>
      <c r="F428" s="18"/>
      <c r="G428" s="18"/>
      <c r="H428" s="18"/>
      <c r="I428" s="18"/>
      <c r="J428" s="18"/>
      <c r="K428" s="18"/>
      <c r="L428" s="12"/>
      <c r="M428" s="18"/>
      <c r="N428" s="18"/>
      <c r="O428" s="18"/>
      <c r="P428" s="18"/>
      <c r="Q428" s="18"/>
      <c r="R428" s="18"/>
      <c r="S428" s="18"/>
      <c r="T428" s="18"/>
      <c r="U428" s="18"/>
      <c r="V428" s="18"/>
      <c r="W428" s="18"/>
      <c r="X428" s="18"/>
      <c r="Y428" s="18"/>
      <c r="Z428" s="18"/>
      <c r="AA428" s="18"/>
      <c r="AB428" s="18"/>
      <c r="AC428" s="18"/>
      <c r="AD428" s="18"/>
      <c r="AE428" s="18"/>
      <c r="AF428" s="18"/>
      <c r="AG428" s="18"/>
    </row>
    <row r="429" spans="1:33" x14ac:dyDescent="0.2">
      <c r="A429" s="1279"/>
      <c r="B429" s="1280"/>
      <c r="C429" s="18"/>
      <c r="D429" s="18"/>
      <c r="E429" s="18"/>
      <c r="F429" s="18"/>
      <c r="G429" s="18"/>
      <c r="H429" s="18"/>
      <c r="I429" s="18"/>
      <c r="J429" s="18"/>
      <c r="K429" s="18"/>
      <c r="L429" s="12"/>
      <c r="M429" s="18"/>
      <c r="N429" s="18"/>
      <c r="O429" s="18"/>
      <c r="P429" s="18"/>
      <c r="Q429" s="18"/>
      <c r="R429" s="18"/>
      <c r="S429" s="18"/>
      <c r="T429" s="18"/>
      <c r="U429" s="18"/>
      <c r="V429" s="18"/>
      <c r="W429" s="18"/>
      <c r="X429" s="18"/>
      <c r="Y429" s="18"/>
      <c r="Z429" s="18"/>
      <c r="AA429" s="18"/>
      <c r="AB429" s="18"/>
      <c r="AC429" s="18"/>
      <c r="AD429" s="18"/>
      <c r="AE429" s="18"/>
      <c r="AF429" s="18"/>
      <c r="AG429" s="18"/>
    </row>
    <row r="430" spans="1:33" x14ac:dyDescent="0.2">
      <c r="A430" s="1279"/>
      <c r="B430" s="1280"/>
      <c r="C430" s="18"/>
      <c r="D430" s="18"/>
      <c r="E430" s="18"/>
      <c r="F430" s="18"/>
      <c r="G430" s="18"/>
      <c r="H430" s="18"/>
      <c r="I430" s="18"/>
      <c r="J430" s="18"/>
      <c r="K430" s="18"/>
      <c r="L430" s="12"/>
      <c r="M430" s="18"/>
      <c r="N430" s="18"/>
      <c r="O430" s="18"/>
      <c r="P430" s="18"/>
      <c r="Q430" s="18"/>
      <c r="R430" s="18"/>
      <c r="S430" s="18"/>
      <c r="T430" s="18"/>
      <c r="U430" s="18"/>
      <c r="V430" s="18"/>
      <c r="W430" s="18"/>
      <c r="X430" s="18"/>
      <c r="Y430" s="18"/>
      <c r="Z430" s="18"/>
      <c r="AA430" s="18"/>
      <c r="AB430" s="18"/>
      <c r="AC430" s="18"/>
      <c r="AD430" s="18"/>
      <c r="AE430" s="18"/>
      <c r="AF430" s="18"/>
      <c r="AG430" s="18"/>
    </row>
    <row r="431" spans="1:33" x14ac:dyDescent="0.2">
      <c r="A431" s="1279"/>
      <c r="B431" s="1280"/>
      <c r="C431" s="18"/>
      <c r="D431" s="18"/>
      <c r="E431" s="18"/>
      <c r="F431" s="18"/>
      <c r="G431" s="18"/>
      <c r="H431" s="18"/>
      <c r="I431" s="18"/>
      <c r="J431" s="18"/>
      <c r="K431" s="18"/>
      <c r="L431" s="12"/>
      <c r="M431" s="18"/>
      <c r="N431" s="18"/>
      <c r="O431" s="18"/>
      <c r="P431" s="18"/>
      <c r="Q431" s="18"/>
      <c r="R431" s="18"/>
      <c r="S431" s="18"/>
      <c r="T431" s="18"/>
      <c r="U431" s="18"/>
      <c r="V431" s="18"/>
      <c r="W431" s="18"/>
      <c r="X431" s="18"/>
      <c r="Y431" s="18"/>
      <c r="Z431" s="18"/>
      <c r="AA431" s="18"/>
      <c r="AB431" s="18"/>
      <c r="AC431" s="18"/>
      <c r="AD431" s="18"/>
      <c r="AE431" s="18"/>
      <c r="AF431" s="18"/>
      <c r="AG431" s="18"/>
    </row>
    <row r="432" spans="1:33" x14ac:dyDescent="0.2">
      <c r="A432" s="1279"/>
      <c r="B432" s="1280"/>
      <c r="C432" s="18"/>
      <c r="D432" s="18"/>
      <c r="E432" s="18"/>
      <c r="F432" s="18"/>
      <c r="G432" s="18"/>
      <c r="H432" s="18"/>
      <c r="I432" s="18"/>
      <c r="J432" s="18"/>
      <c r="K432" s="18"/>
      <c r="L432" s="12"/>
      <c r="M432" s="18"/>
      <c r="N432" s="18"/>
      <c r="O432" s="18"/>
      <c r="P432" s="18"/>
      <c r="Q432" s="18"/>
      <c r="R432" s="18"/>
      <c r="S432" s="18"/>
      <c r="T432" s="18"/>
      <c r="U432" s="18"/>
      <c r="V432" s="18"/>
      <c r="W432" s="18"/>
      <c r="X432" s="18"/>
      <c r="Y432" s="18"/>
      <c r="Z432" s="18"/>
      <c r="AA432" s="18"/>
      <c r="AB432" s="18"/>
      <c r="AC432" s="18"/>
      <c r="AD432" s="18"/>
      <c r="AE432" s="18"/>
      <c r="AF432" s="18"/>
      <c r="AG432" s="18"/>
    </row>
    <row r="433" spans="1:33" x14ac:dyDescent="0.2">
      <c r="A433" s="1279"/>
      <c r="B433" s="1280"/>
      <c r="C433" s="18"/>
      <c r="D433" s="18"/>
      <c r="E433" s="18"/>
      <c r="F433" s="18"/>
      <c r="G433" s="18"/>
      <c r="H433" s="18"/>
      <c r="I433" s="18"/>
      <c r="J433" s="18"/>
      <c r="K433" s="18"/>
      <c r="L433" s="12"/>
      <c r="M433" s="18"/>
      <c r="N433" s="18"/>
      <c r="O433" s="18"/>
      <c r="P433" s="18"/>
      <c r="Q433" s="18"/>
      <c r="R433" s="18"/>
      <c r="S433" s="18"/>
      <c r="T433" s="18"/>
      <c r="U433" s="18"/>
      <c r="V433" s="18"/>
      <c r="W433" s="18"/>
      <c r="X433" s="18"/>
      <c r="Y433" s="18"/>
      <c r="Z433" s="18"/>
      <c r="AA433" s="18"/>
      <c r="AB433" s="18"/>
      <c r="AC433" s="18"/>
      <c r="AD433" s="18"/>
      <c r="AE433" s="18"/>
      <c r="AF433" s="18"/>
      <c r="AG433" s="18"/>
    </row>
    <row r="434" spans="1:33" x14ac:dyDescent="0.2">
      <c r="A434" s="1279"/>
      <c r="B434" s="1280"/>
      <c r="C434" s="18"/>
      <c r="D434" s="18"/>
      <c r="E434" s="18"/>
      <c r="F434" s="18"/>
      <c r="G434" s="18"/>
      <c r="H434" s="18"/>
      <c r="I434" s="18"/>
      <c r="J434" s="18"/>
      <c r="K434" s="18"/>
      <c r="L434" s="12"/>
      <c r="M434" s="18"/>
      <c r="N434" s="18"/>
      <c r="O434" s="18"/>
      <c r="P434" s="18"/>
      <c r="Q434" s="18"/>
      <c r="R434" s="18"/>
      <c r="S434" s="18"/>
      <c r="T434" s="18"/>
      <c r="U434" s="18"/>
      <c r="V434" s="18"/>
      <c r="W434" s="18"/>
      <c r="X434" s="18"/>
      <c r="Y434" s="18"/>
      <c r="Z434" s="18"/>
      <c r="AA434" s="18"/>
      <c r="AB434" s="18"/>
      <c r="AC434" s="18"/>
      <c r="AD434" s="18"/>
      <c r="AE434" s="18"/>
      <c r="AF434" s="18"/>
      <c r="AG434" s="18"/>
    </row>
    <row r="435" spans="1:33" x14ac:dyDescent="0.2">
      <c r="A435" s="1279"/>
      <c r="B435" s="1280"/>
      <c r="C435" s="18"/>
      <c r="D435" s="18"/>
      <c r="E435" s="18"/>
      <c r="F435" s="18"/>
      <c r="G435" s="18"/>
      <c r="H435" s="18"/>
      <c r="I435" s="18"/>
      <c r="J435" s="18"/>
      <c r="K435" s="18"/>
      <c r="L435" s="12"/>
      <c r="M435" s="18"/>
      <c r="N435" s="18"/>
      <c r="O435" s="18"/>
      <c r="P435" s="18"/>
      <c r="Q435" s="18"/>
      <c r="R435" s="18"/>
      <c r="S435" s="18"/>
      <c r="T435" s="18"/>
      <c r="U435" s="18"/>
      <c r="V435" s="18"/>
      <c r="W435" s="18"/>
      <c r="X435" s="18"/>
      <c r="Y435" s="18"/>
      <c r="Z435" s="18"/>
      <c r="AA435" s="18"/>
      <c r="AB435" s="18"/>
      <c r="AC435" s="18"/>
      <c r="AD435" s="18"/>
      <c r="AE435" s="18"/>
      <c r="AF435" s="18"/>
      <c r="AG435" s="18"/>
    </row>
    <row r="436" spans="1:33" x14ac:dyDescent="0.2">
      <c r="A436" s="1279"/>
      <c r="B436" s="1280"/>
      <c r="C436" s="18"/>
      <c r="D436" s="18"/>
      <c r="E436" s="18"/>
      <c r="F436" s="18"/>
      <c r="G436" s="18"/>
      <c r="H436" s="18"/>
      <c r="I436" s="18"/>
      <c r="J436" s="18"/>
      <c r="K436" s="18"/>
      <c r="L436" s="12"/>
      <c r="M436" s="18"/>
      <c r="N436" s="18"/>
      <c r="O436" s="18"/>
      <c r="P436" s="18"/>
      <c r="Q436" s="18"/>
      <c r="R436" s="18"/>
      <c r="S436" s="18"/>
      <c r="T436" s="18"/>
      <c r="U436" s="18"/>
      <c r="V436" s="18"/>
      <c r="W436" s="18"/>
      <c r="X436" s="18"/>
      <c r="Y436" s="18"/>
      <c r="Z436" s="18"/>
      <c r="AA436" s="18"/>
      <c r="AB436" s="18"/>
      <c r="AC436" s="18"/>
      <c r="AD436" s="18"/>
      <c r="AE436" s="18"/>
      <c r="AF436" s="18"/>
      <c r="AG436" s="18"/>
    </row>
    <row r="437" spans="1:33" x14ac:dyDescent="0.2">
      <c r="A437" s="1279"/>
      <c r="B437" s="1280"/>
      <c r="C437" s="18"/>
      <c r="D437" s="18"/>
      <c r="E437" s="18"/>
      <c r="F437" s="18"/>
      <c r="G437" s="18"/>
      <c r="H437" s="18"/>
      <c r="I437" s="18"/>
      <c r="J437" s="18"/>
      <c r="K437" s="18"/>
      <c r="L437" s="12"/>
      <c r="M437" s="18"/>
      <c r="N437" s="18"/>
      <c r="O437" s="18"/>
      <c r="P437" s="18"/>
      <c r="Q437" s="18"/>
      <c r="R437" s="18"/>
      <c r="S437" s="18"/>
      <c r="T437" s="18"/>
      <c r="U437" s="18"/>
      <c r="V437" s="18"/>
      <c r="W437" s="18"/>
      <c r="X437" s="18"/>
      <c r="Y437" s="18"/>
      <c r="Z437" s="18"/>
      <c r="AA437" s="18"/>
      <c r="AB437" s="18"/>
      <c r="AC437" s="18"/>
      <c r="AD437" s="18"/>
      <c r="AE437" s="18"/>
      <c r="AF437" s="18"/>
      <c r="AG437" s="18"/>
    </row>
    <row r="438" spans="1:33" x14ac:dyDescent="0.2">
      <c r="A438" s="1279"/>
      <c r="B438" s="1280"/>
      <c r="C438" s="18"/>
      <c r="D438" s="18"/>
      <c r="E438" s="18"/>
      <c r="F438" s="18"/>
      <c r="G438" s="18"/>
      <c r="H438" s="18"/>
      <c r="I438" s="18"/>
      <c r="J438" s="18"/>
      <c r="K438" s="18"/>
      <c r="L438" s="12"/>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x14ac:dyDescent="0.2">
      <c r="A439" s="1279"/>
      <c r="B439" s="1280"/>
      <c r="C439" s="18"/>
      <c r="D439" s="18"/>
      <c r="E439" s="18"/>
      <c r="F439" s="18"/>
      <c r="G439" s="18"/>
      <c r="H439" s="18"/>
      <c r="I439" s="18"/>
      <c r="J439" s="18"/>
      <c r="K439" s="18"/>
      <c r="L439" s="12"/>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x14ac:dyDescent="0.2">
      <c r="A440" s="1279"/>
      <c r="B440" s="1280"/>
      <c r="C440" s="18"/>
      <c r="D440" s="18"/>
      <c r="E440" s="18"/>
      <c r="F440" s="18"/>
      <c r="G440" s="18"/>
      <c r="H440" s="18"/>
      <c r="I440" s="18"/>
      <c r="J440" s="18"/>
      <c r="K440" s="18"/>
      <c r="L440" s="12"/>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x14ac:dyDescent="0.2">
      <c r="A441" s="1279"/>
      <c r="B441" s="1280"/>
      <c r="C441" s="18"/>
      <c r="D441" s="18"/>
      <c r="E441" s="18"/>
      <c r="F441" s="18"/>
      <c r="G441" s="18"/>
      <c r="H441" s="18"/>
      <c r="I441" s="18"/>
      <c r="J441" s="18"/>
      <c r="K441" s="18"/>
      <c r="L441" s="12"/>
      <c r="M441" s="18"/>
      <c r="N441" s="18"/>
      <c r="O441" s="18"/>
      <c r="P441" s="18"/>
      <c r="Q441" s="18"/>
      <c r="R441" s="18"/>
      <c r="S441" s="18"/>
      <c r="T441" s="18"/>
      <c r="U441" s="18"/>
      <c r="V441" s="18"/>
      <c r="W441" s="18"/>
      <c r="X441" s="18"/>
      <c r="Y441" s="18"/>
      <c r="Z441" s="18"/>
      <c r="AA441" s="18"/>
      <c r="AB441" s="18"/>
      <c r="AC441" s="18"/>
      <c r="AD441" s="18"/>
      <c r="AE441" s="18"/>
      <c r="AF441" s="18"/>
      <c r="AG441" s="18"/>
    </row>
    <row r="442" spans="1:33" x14ac:dyDescent="0.2">
      <c r="A442" s="1279"/>
      <c r="B442" s="1280"/>
      <c r="C442" s="18"/>
      <c r="D442" s="18"/>
      <c r="E442" s="18"/>
      <c r="F442" s="18"/>
      <c r="G442" s="18"/>
      <c r="H442" s="18"/>
      <c r="I442" s="18"/>
      <c r="J442" s="18"/>
      <c r="K442" s="18"/>
      <c r="L442" s="12"/>
      <c r="M442" s="18"/>
      <c r="N442" s="18"/>
      <c r="O442" s="18"/>
      <c r="P442" s="18"/>
      <c r="Q442" s="18"/>
      <c r="R442" s="18"/>
      <c r="S442" s="18"/>
      <c r="T442" s="18"/>
      <c r="U442" s="18"/>
      <c r="V442" s="18"/>
      <c r="W442" s="18"/>
      <c r="X442" s="18"/>
      <c r="Y442" s="18"/>
      <c r="Z442" s="18"/>
      <c r="AA442" s="18"/>
      <c r="AB442" s="18"/>
      <c r="AC442" s="18"/>
      <c r="AD442" s="18"/>
      <c r="AE442" s="18"/>
      <c r="AF442" s="18"/>
      <c r="AG442" s="18"/>
    </row>
    <row r="443" spans="1:33" x14ac:dyDescent="0.2">
      <c r="A443" s="1279"/>
      <c r="B443" s="1280"/>
      <c r="C443" s="18"/>
      <c r="D443" s="18"/>
      <c r="E443" s="18"/>
      <c r="F443" s="18"/>
      <c r="G443" s="18"/>
      <c r="H443" s="18"/>
      <c r="I443" s="18"/>
      <c r="J443" s="18"/>
      <c r="K443" s="18"/>
      <c r="L443" s="12"/>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x14ac:dyDescent="0.2">
      <c r="A444" s="1279"/>
      <c r="B444" s="1280"/>
      <c r="C444" s="18"/>
      <c r="D444" s="18"/>
      <c r="E444" s="18"/>
      <c r="F444" s="18"/>
      <c r="G444" s="18"/>
      <c r="H444" s="18"/>
      <c r="I444" s="18"/>
      <c r="J444" s="18"/>
      <c r="K444" s="18"/>
      <c r="L444" s="12"/>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x14ac:dyDescent="0.2">
      <c r="A445" s="1279"/>
      <c r="B445" s="1280"/>
      <c r="C445" s="18"/>
      <c r="D445" s="18"/>
      <c r="E445" s="18"/>
      <c r="F445" s="18"/>
      <c r="G445" s="18"/>
      <c r="H445" s="18"/>
      <c r="I445" s="18"/>
      <c r="J445" s="18"/>
      <c r="K445" s="18"/>
      <c r="L445" s="12"/>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x14ac:dyDescent="0.2">
      <c r="A446" s="1279"/>
      <c r="B446" s="1280"/>
      <c r="C446" s="18"/>
      <c r="D446" s="18"/>
      <c r="E446" s="18"/>
      <c r="F446" s="18"/>
      <c r="G446" s="18"/>
      <c r="H446" s="18"/>
      <c r="I446" s="18"/>
      <c r="J446" s="18"/>
      <c r="K446" s="18"/>
      <c r="L446" s="12"/>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x14ac:dyDescent="0.2">
      <c r="A447" s="1279"/>
      <c r="B447" s="1280"/>
      <c r="C447" s="18"/>
      <c r="D447" s="18"/>
      <c r="E447" s="18"/>
      <c r="F447" s="18"/>
      <c r="G447" s="18"/>
      <c r="H447" s="18"/>
      <c r="I447" s="18"/>
      <c r="J447" s="18"/>
      <c r="K447" s="18"/>
      <c r="L447" s="12"/>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x14ac:dyDescent="0.2">
      <c r="A448" s="1279"/>
      <c r="B448" s="1280"/>
      <c r="C448" s="18"/>
      <c r="D448" s="18"/>
      <c r="E448" s="18"/>
      <c r="F448" s="18"/>
      <c r="G448" s="18"/>
      <c r="H448" s="18"/>
      <c r="I448" s="18"/>
      <c r="J448" s="18"/>
      <c r="K448" s="18"/>
      <c r="L448" s="12"/>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x14ac:dyDescent="0.2">
      <c r="A449" s="1279"/>
      <c r="B449" s="1280"/>
      <c r="C449" s="18"/>
      <c r="D449" s="18"/>
      <c r="E449" s="18"/>
      <c r="F449" s="18"/>
      <c r="G449" s="18"/>
      <c r="H449" s="18"/>
      <c r="I449" s="18"/>
      <c r="J449" s="18"/>
      <c r="K449" s="18"/>
      <c r="L449" s="12"/>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x14ac:dyDescent="0.2">
      <c r="A450" s="1279"/>
      <c r="B450" s="1280"/>
      <c r="C450" s="18"/>
      <c r="D450" s="18"/>
      <c r="E450" s="18"/>
      <c r="F450" s="18"/>
      <c r="G450" s="18"/>
      <c r="H450" s="18"/>
      <c r="I450" s="18"/>
      <c r="J450" s="18"/>
      <c r="K450" s="18"/>
      <c r="L450" s="12"/>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x14ac:dyDescent="0.2">
      <c r="A451" s="1279"/>
      <c r="B451" s="1280"/>
      <c r="C451" s="18"/>
      <c r="D451" s="18"/>
      <c r="E451" s="18"/>
      <c r="F451" s="18"/>
      <c r="G451" s="18"/>
      <c r="H451" s="18"/>
      <c r="I451" s="18"/>
      <c r="J451" s="18"/>
      <c r="K451" s="18"/>
      <c r="L451" s="12"/>
      <c r="M451" s="18"/>
      <c r="N451" s="18"/>
      <c r="O451" s="18"/>
      <c r="P451" s="18"/>
      <c r="Q451" s="18"/>
      <c r="R451" s="18"/>
      <c r="S451" s="18"/>
      <c r="T451" s="18"/>
      <c r="U451" s="18"/>
      <c r="V451" s="18"/>
      <c r="W451" s="18"/>
      <c r="X451" s="18"/>
      <c r="Y451" s="18"/>
      <c r="Z451" s="18"/>
      <c r="AA451" s="18"/>
      <c r="AB451" s="18"/>
      <c r="AC451" s="18"/>
      <c r="AD451" s="18"/>
      <c r="AE451" s="18"/>
      <c r="AF451" s="18"/>
      <c r="AG451" s="18"/>
    </row>
    <row r="452" spans="1:33" x14ac:dyDescent="0.2">
      <c r="A452" s="1279"/>
      <c r="B452" s="1280"/>
      <c r="C452" s="18"/>
      <c r="D452" s="18"/>
      <c r="E452" s="18"/>
      <c r="F452" s="18"/>
      <c r="G452" s="18"/>
      <c r="H452" s="18"/>
      <c r="I452" s="18"/>
      <c r="J452" s="18"/>
      <c r="K452" s="18"/>
      <c r="L452" s="12"/>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x14ac:dyDescent="0.2">
      <c r="A453" s="1279"/>
      <c r="B453" s="1280"/>
      <c r="C453" s="18"/>
      <c r="D453" s="18"/>
      <c r="E453" s="18"/>
      <c r="F453" s="18"/>
      <c r="G453" s="18"/>
      <c r="H453" s="18"/>
      <c r="I453" s="18"/>
      <c r="J453" s="18"/>
      <c r="K453" s="18"/>
      <c r="L453" s="12"/>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x14ac:dyDescent="0.2">
      <c r="A454" s="1279"/>
      <c r="B454" s="1280"/>
      <c r="C454" s="18"/>
      <c r="D454" s="18"/>
      <c r="E454" s="18"/>
      <c r="F454" s="18"/>
      <c r="G454" s="18"/>
      <c r="H454" s="18"/>
      <c r="I454" s="18"/>
      <c r="J454" s="18"/>
      <c r="K454" s="18"/>
      <c r="L454" s="12"/>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x14ac:dyDescent="0.2">
      <c r="A455" s="1279"/>
      <c r="B455" s="1280"/>
      <c r="C455" s="18"/>
      <c r="D455" s="18"/>
      <c r="E455" s="18"/>
      <c r="F455" s="18"/>
      <c r="G455" s="18"/>
      <c r="H455" s="18"/>
      <c r="I455" s="18"/>
      <c r="J455" s="18"/>
      <c r="K455" s="18"/>
      <c r="L455" s="12"/>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x14ac:dyDescent="0.2">
      <c r="A456" s="1279"/>
      <c r="B456" s="1280"/>
      <c r="C456" s="18"/>
      <c r="D456" s="18"/>
      <c r="E456" s="18"/>
      <c r="F456" s="18"/>
      <c r="G456" s="18"/>
      <c r="H456" s="18"/>
      <c r="I456" s="18"/>
      <c r="J456" s="18"/>
      <c r="K456" s="18"/>
      <c r="L456" s="12"/>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x14ac:dyDescent="0.2">
      <c r="A457" s="1279"/>
      <c r="B457" s="1280"/>
      <c r="C457" s="18"/>
      <c r="D457" s="18"/>
      <c r="E457" s="18"/>
      <c r="F457" s="18"/>
      <c r="G457" s="18"/>
      <c r="H457" s="18"/>
      <c r="I457" s="18"/>
      <c r="J457" s="18"/>
      <c r="K457" s="18"/>
      <c r="L457" s="12"/>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x14ac:dyDescent="0.2">
      <c r="A458" s="1279"/>
      <c r="B458" s="1280"/>
      <c r="C458" s="18"/>
      <c r="D458" s="18"/>
      <c r="E458" s="18"/>
      <c r="F458" s="18"/>
      <c r="G458" s="18"/>
      <c r="H458" s="18"/>
      <c r="I458" s="18"/>
      <c r="J458" s="18"/>
      <c r="K458" s="18"/>
      <c r="L458" s="12"/>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x14ac:dyDescent="0.2">
      <c r="A459" s="1279"/>
      <c r="B459" s="1280"/>
      <c r="C459" s="18"/>
      <c r="D459" s="18"/>
      <c r="E459" s="18"/>
      <c r="F459" s="18"/>
      <c r="G459" s="18"/>
      <c r="H459" s="18"/>
      <c r="I459" s="18"/>
      <c r="J459" s="18"/>
      <c r="K459" s="18"/>
      <c r="L459" s="12"/>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x14ac:dyDescent="0.2">
      <c r="A460" s="1279"/>
      <c r="B460" s="1280"/>
      <c r="C460" s="18"/>
      <c r="D460" s="18"/>
      <c r="E460" s="18"/>
      <c r="F460" s="18"/>
      <c r="G460" s="18"/>
      <c r="H460" s="18"/>
      <c r="I460" s="18"/>
      <c r="J460" s="18"/>
      <c r="K460" s="18"/>
      <c r="L460" s="12"/>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x14ac:dyDescent="0.2">
      <c r="A461" s="1279"/>
      <c r="B461" s="1280"/>
      <c r="C461" s="18"/>
      <c r="D461" s="18"/>
      <c r="E461" s="18"/>
      <c r="F461" s="18"/>
      <c r="G461" s="18"/>
      <c r="H461" s="18"/>
      <c r="I461" s="18"/>
      <c r="J461" s="18"/>
      <c r="K461" s="18"/>
      <c r="L461" s="12"/>
      <c r="M461" s="18"/>
      <c r="N461" s="18"/>
      <c r="O461" s="18"/>
      <c r="P461" s="18"/>
      <c r="Q461" s="18"/>
      <c r="R461" s="18"/>
      <c r="S461" s="18"/>
      <c r="T461" s="18"/>
      <c r="U461" s="18"/>
      <c r="V461" s="18"/>
      <c r="W461" s="18"/>
      <c r="X461" s="18"/>
      <c r="Y461" s="18"/>
      <c r="Z461" s="18"/>
      <c r="AA461" s="18"/>
      <c r="AB461" s="18"/>
      <c r="AC461" s="18"/>
      <c r="AD461" s="18"/>
      <c r="AE461" s="18"/>
      <c r="AF461" s="18"/>
      <c r="AG461" s="18"/>
    </row>
    <row r="462" spans="1:33" x14ac:dyDescent="0.2">
      <c r="A462" s="1279"/>
      <c r="B462" s="1280"/>
      <c r="C462" s="18"/>
      <c r="D462" s="18"/>
      <c r="E462" s="18"/>
      <c r="F462" s="18"/>
      <c r="G462" s="18"/>
      <c r="H462" s="18"/>
      <c r="I462" s="18"/>
      <c r="J462" s="18"/>
      <c r="K462" s="18"/>
      <c r="L462" s="12"/>
      <c r="M462" s="18"/>
      <c r="N462" s="18"/>
      <c r="O462" s="18"/>
      <c r="P462" s="18"/>
      <c r="Q462" s="18"/>
      <c r="R462" s="18"/>
      <c r="S462" s="18"/>
      <c r="T462" s="18"/>
      <c r="U462" s="18"/>
      <c r="V462" s="18"/>
      <c r="W462" s="18"/>
      <c r="X462" s="18"/>
      <c r="Y462" s="18"/>
      <c r="Z462" s="18"/>
      <c r="AA462" s="18"/>
      <c r="AB462" s="18"/>
      <c r="AC462" s="18"/>
      <c r="AD462" s="18"/>
      <c r="AE462" s="18"/>
      <c r="AF462" s="18"/>
      <c r="AG462" s="18"/>
    </row>
    <row r="463" spans="1:33" x14ac:dyDescent="0.2">
      <c r="A463" s="1279"/>
      <c r="B463" s="1280"/>
      <c r="C463" s="18"/>
      <c r="D463" s="18"/>
      <c r="E463" s="18"/>
      <c r="F463" s="18"/>
      <c r="G463" s="18"/>
      <c r="H463" s="18"/>
      <c r="I463" s="18"/>
      <c r="J463" s="18"/>
      <c r="K463" s="18"/>
      <c r="L463" s="12"/>
      <c r="M463" s="18"/>
      <c r="N463" s="18"/>
      <c r="O463" s="18"/>
      <c r="P463" s="18"/>
      <c r="Q463" s="18"/>
      <c r="R463" s="18"/>
      <c r="S463" s="18"/>
      <c r="T463" s="18"/>
      <c r="U463" s="18"/>
      <c r="V463" s="18"/>
      <c r="W463" s="18"/>
      <c r="X463" s="18"/>
      <c r="Y463" s="18"/>
      <c r="Z463" s="18"/>
      <c r="AA463" s="18"/>
      <c r="AB463" s="18"/>
      <c r="AC463" s="18"/>
      <c r="AD463" s="18"/>
      <c r="AE463" s="18"/>
      <c r="AF463" s="18"/>
      <c r="AG463" s="18"/>
    </row>
    <row r="464" spans="1:33" x14ac:dyDescent="0.2">
      <c r="A464" s="1279"/>
      <c r="B464" s="1280"/>
      <c r="C464" s="18"/>
      <c r="D464" s="18"/>
      <c r="E464" s="18"/>
      <c r="F464" s="18"/>
      <c r="G464" s="18"/>
      <c r="H464" s="18"/>
      <c r="I464" s="18"/>
      <c r="J464" s="18"/>
      <c r="K464" s="18"/>
      <c r="L464" s="12"/>
      <c r="M464" s="18"/>
      <c r="N464" s="18"/>
      <c r="O464" s="18"/>
      <c r="P464" s="18"/>
      <c r="Q464" s="18"/>
      <c r="R464" s="18"/>
      <c r="S464" s="18"/>
      <c r="T464" s="18"/>
      <c r="U464" s="18"/>
      <c r="V464" s="18"/>
      <c r="W464" s="18"/>
      <c r="X464" s="18"/>
      <c r="Y464" s="18"/>
      <c r="Z464" s="18"/>
      <c r="AA464" s="18"/>
      <c r="AB464" s="18"/>
      <c r="AC464" s="18"/>
      <c r="AD464" s="18"/>
      <c r="AE464" s="18"/>
      <c r="AF464" s="18"/>
      <c r="AG464" s="18"/>
    </row>
    <row r="465" spans="1:33" x14ac:dyDescent="0.2">
      <c r="A465" s="1279"/>
      <c r="B465" s="1280"/>
      <c r="C465" s="18"/>
      <c r="D465" s="18"/>
      <c r="E465" s="18"/>
      <c r="F465" s="18"/>
      <c r="G465" s="18"/>
      <c r="H465" s="18"/>
      <c r="I465" s="18"/>
      <c r="J465" s="18"/>
      <c r="K465" s="18"/>
      <c r="L465" s="12"/>
      <c r="M465" s="18"/>
      <c r="N465" s="18"/>
      <c r="O465" s="18"/>
      <c r="P465" s="18"/>
      <c r="Q465" s="18"/>
      <c r="R465" s="18"/>
      <c r="S465" s="18"/>
      <c r="T465" s="18"/>
      <c r="U465" s="18"/>
      <c r="V465" s="18"/>
      <c r="W465" s="18"/>
      <c r="X465" s="18"/>
      <c r="Y465" s="18"/>
      <c r="Z465" s="18"/>
      <c r="AA465" s="18"/>
      <c r="AB465" s="18"/>
      <c r="AC465" s="18"/>
      <c r="AD465" s="18"/>
      <c r="AE465" s="18"/>
      <c r="AF465" s="18"/>
      <c r="AG465" s="18"/>
    </row>
    <row r="466" spans="1:33" x14ac:dyDescent="0.2">
      <c r="A466" s="1279"/>
      <c r="B466" s="1280"/>
      <c r="C466" s="18"/>
      <c r="D466" s="18"/>
      <c r="E466" s="18"/>
      <c r="F466" s="18"/>
      <c r="G466" s="18"/>
      <c r="H466" s="18"/>
      <c r="I466" s="18"/>
      <c r="J466" s="18"/>
      <c r="K466" s="18"/>
      <c r="L466" s="12"/>
      <c r="M466" s="18"/>
      <c r="N466" s="18"/>
      <c r="O466" s="18"/>
      <c r="P466" s="18"/>
      <c r="Q466" s="18"/>
      <c r="R466" s="18"/>
      <c r="S466" s="18"/>
      <c r="T466" s="18"/>
      <c r="U466" s="18"/>
      <c r="V466" s="18"/>
      <c r="W466" s="18"/>
      <c r="X466" s="18"/>
      <c r="Y466" s="18"/>
      <c r="Z466" s="18"/>
      <c r="AA466" s="18"/>
      <c r="AB466" s="18"/>
      <c r="AC466" s="18"/>
      <c r="AD466" s="18"/>
      <c r="AE466" s="18"/>
      <c r="AF466" s="18"/>
      <c r="AG466" s="18"/>
    </row>
    <row r="467" spans="1:33" x14ac:dyDescent="0.2">
      <c r="A467" s="1279"/>
      <c r="B467" s="1280"/>
      <c r="C467" s="18"/>
      <c r="D467" s="18"/>
      <c r="E467" s="18"/>
      <c r="F467" s="18"/>
      <c r="G467" s="18"/>
      <c r="H467" s="18"/>
      <c r="I467" s="18"/>
      <c r="J467" s="18"/>
      <c r="K467" s="18"/>
      <c r="L467" s="12"/>
      <c r="M467" s="18"/>
      <c r="N467" s="18"/>
      <c r="O467" s="18"/>
      <c r="P467" s="18"/>
      <c r="Q467" s="18"/>
      <c r="R467" s="18"/>
      <c r="S467" s="18"/>
      <c r="T467" s="18"/>
      <c r="U467" s="18"/>
      <c r="V467" s="18"/>
      <c r="W467" s="18"/>
      <c r="X467" s="18"/>
      <c r="Y467" s="18"/>
      <c r="Z467" s="18"/>
      <c r="AA467" s="18"/>
      <c r="AB467" s="18"/>
      <c r="AC467" s="18"/>
      <c r="AD467" s="18"/>
      <c r="AE467" s="18"/>
      <c r="AF467" s="18"/>
      <c r="AG467" s="18"/>
    </row>
    <row r="468" spans="1:33" x14ac:dyDescent="0.2">
      <c r="A468" s="1279"/>
      <c r="B468" s="1280"/>
      <c r="C468" s="18"/>
      <c r="D468" s="18"/>
      <c r="E468" s="18"/>
      <c r="F468" s="18"/>
      <c r="G468" s="18"/>
      <c r="H468" s="18"/>
      <c r="I468" s="18"/>
      <c r="J468" s="18"/>
      <c r="K468" s="18"/>
      <c r="L468" s="12"/>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x14ac:dyDescent="0.2">
      <c r="A469" s="1279"/>
      <c r="B469" s="1280"/>
      <c r="C469" s="18"/>
      <c r="D469" s="18"/>
      <c r="E469" s="18"/>
      <c r="F469" s="18"/>
      <c r="G469" s="18"/>
      <c r="H469" s="18"/>
      <c r="I469" s="18"/>
      <c r="J469" s="18"/>
      <c r="K469" s="18"/>
      <c r="L469" s="12"/>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x14ac:dyDescent="0.2">
      <c r="A470" s="1279"/>
      <c r="B470" s="1280"/>
      <c r="C470" s="18"/>
      <c r="D470" s="18"/>
      <c r="E470" s="18"/>
      <c r="F470" s="18"/>
      <c r="G470" s="18"/>
      <c r="H470" s="18"/>
      <c r="I470" s="18"/>
      <c r="J470" s="18"/>
      <c r="K470" s="18"/>
      <c r="L470" s="12"/>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x14ac:dyDescent="0.2">
      <c r="A471" s="1279"/>
      <c r="B471" s="1280"/>
      <c r="C471" s="18"/>
      <c r="D471" s="18"/>
      <c r="E471" s="18"/>
      <c r="F471" s="18"/>
      <c r="G471" s="18"/>
      <c r="H471" s="18"/>
      <c r="I471" s="18"/>
      <c r="J471" s="18"/>
      <c r="K471" s="18"/>
      <c r="L471" s="12"/>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x14ac:dyDescent="0.2">
      <c r="A472" s="1279"/>
      <c r="B472" s="1280"/>
      <c r="C472" s="18"/>
      <c r="D472" s="18"/>
      <c r="E472" s="18"/>
      <c r="F472" s="18"/>
      <c r="G472" s="18"/>
      <c r="H472" s="18"/>
      <c r="I472" s="18"/>
      <c r="J472" s="18"/>
      <c r="K472" s="18"/>
      <c r="L472" s="12"/>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x14ac:dyDescent="0.2">
      <c r="A473" s="1279"/>
      <c r="B473" s="1280"/>
      <c r="C473" s="18"/>
      <c r="D473" s="18"/>
      <c r="E473" s="18"/>
      <c r="F473" s="18"/>
      <c r="G473" s="18"/>
      <c r="H473" s="18"/>
      <c r="I473" s="18"/>
      <c r="J473" s="18"/>
      <c r="K473" s="18"/>
      <c r="L473" s="12"/>
      <c r="M473" s="18"/>
      <c r="N473" s="18"/>
      <c r="O473" s="18"/>
      <c r="P473" s="18"/>
      <c r="Q473" s="18"/>
      <c r="R473" s="18"/>
      <c r="S473" s="18"/>
      <c r="T473" s="18"/>
      <c r="U473" s="18"/>
      <c r="V473" s="18"/>
      <c r="W473" s="18"/>
      <c r="X473" s="18"/>
      <c r="Y473" s="18"/>
      <c r="Z473" s="18"/>
      <c r="AA473" s="18"/>
      <c r="AB473" s="18"/>
      <c r="AC473" s="18"/>
      <c r="AD473" s="18"/>
      <c r="AE473" s="18"/>
      <c r="AF473" s="18"/>
      <c r="AG473" s="18"/>
    </row>
    <row r="474" spans="1:33" x14ac:dyDescent="0.2">
      <c r="A474" s="1279"/>
      <c r="B474" s="1280"/>
      <c r="C474" s="18"/>
      <c r="D474" s="18"/>
      <c r="E474" s="18"/>
      <c r="F474" s="18"/>
      <c r="G474" s="18"/>
      <c r="H474" s="18"/>
      <c r="I474" s="18"/>
      <c r="J474" s="18"/>
      <c r="K474" s="18"/>
      <c r="L474" s="12"/>
      <c r="M474" s="18"/>
      <c r="N474" s="18"/>
      <c r="O474" s="18"/>
      <c r="P474" s="18"/>
      <c r="Q474" s="18"/>
      <c r="R474" s="18"/>
      <c r="S474" s="18"/>
      <c r="T474" s="18"/>
      <c r="U474" s="18"/>
      <c r="V474" s="18"/>
      <c r="W474" s="18"/>
      <c r="X474" s="18"/>
      <c r="Y474" s="18"/>
      <c r="Z474" s="18"/>
      <c r="AA474" s="18"/>
      <c r="AB474" s="18"/>
      <c r="AC474" s="18"/>
      <c r="AD474" s="18"/>
      <c r="AE474" s="18"/>
      <c r="AF474" s="18"/>
      <c r="AG474" s="18"/>
    </row>
    <row r="475" spans="1:33" x14ac:dyDescent="0.2">
      <c r="A475" s="1279"/>
      <c r="B475" s="1280"/>
      <c r="C475" s="18"/>
      <c r="D475" s="18"/>
      <c r="E475" s="18"/>
      <c r="F475" s="18"/>
      <c r="G475" s="18"/>
      <c r="H475" s="18"/>
      <c r="I475" s="18"/>
      <c r="J475" s="18"/>
      <c r="K475" s="18"/>
      <c r="L475" s="12"/>
      <c r="M475" s="18"/>
      <c r="N475" s="18"/>
      <c r="O475" s="18"/>
      <c r="P475" s="18"/>
      <c r="Q475" s="18"/>
      <c r="R475" s="18"/>
      <c r="S475" s="18"/>
      <c r="T475" s="18"/>
      <c r="U475" s="18"/>
      <c r="V475" s="18"/>
      <c r="W475" s="18"/>
      <c r="X475" s="18"/>
      <c r="Y475" s="18"/>
      <c r="Z475" s="18"/>
      <c r="AA475" s="18"/>
      <c r="AB475" s="18"/>
      <c r="AC475" s="18"/>
      <c r="AD475" s="18"/>
      <c r="AE475" s="18"/>
      <c r="AF475" s="18"/>
      <c r="AG475" s="18"/>
    </row>
    <row r="476" spans="1:33" x14ac:dyDescent="0.2">
      <c r="A476" s="1279"/>
      <c r="B476" s="1280"/>
      <c r="C476" s="18"/>
      <c r="D476" s="18"/>
      <c r="E476" s="18"/>
      <c r="F476" s="18"/>
      <c r="G476" s="18"/>
      <c r="H476" s="18"/>
      <c r="I476" s="18"/>
      <c r="J476" s="18"/>
      <c r="K476" s="18"/>
      <c r="L476" s="12"/>
      <c r="M476" s="18"/>
      <c r="N476" s="18"/>
      <c r="O476" s="18"/>
      <c r="P476" s="18"/>
      <c r="Q476" s="18"/>
      <c r="R476" s="18"/>
      <c r="S476" s="18"/>
      <c r="T476" s="18"/>
      <c r="U476" s="18"/>
      <c r="V476" s="18"/>
      <c r="W476" s="18"/>
      <c r="X476" s="18"/>
      <c r="Y476" s="18"/>
      <c r="Z476" s="18"/>
      <c r="AA476" s="18"/>
      <c r="AB476" s="18"/>
      <c r="AC476" s="18"/>
      <c r="AD476" s="18"/>
      <c r="AE476" s="18"/>
      <c r="AF476" s="18"/>
      <c r="AG476" s="18"/>
    </row>
    <row r="477" spans="1:33" x14ac:dyDescent="0.2">
      <c r="A477" s="1279"/>
      <c r="B477" s="1280"/>
      <c r="C477" s="18"/>
      <c r="D477" s="18"/>
      <c r="E477" s="18"/>
      <c r="F477" s="18"/>
      <c r="G477" s="18"/>
      <c r="H477" s="18"/>
      <c r="I477" s="18"/>
      <c r="J477" s="18"/>
      <c r="K477" s="18"/>
      <c r="L477" s="12"/>
      <c r="M477" s="18"/>
      <c r="N477" s="18"/>
      <c r="O477" s="18"/>
      <c r="P477" s="18"/>
      <c r="Q477" s="18"/>
      <c r="R477" s="18"/>
      <c r="S477" s="18"/>
      <c r="T477" s="18"/>
      <c r="U477" s="18"/>
      <c r="V477" s="18"/>
      <c r="W477" s="18"/>
      <c r="X477" s="18"/>
      <c r="Y477" s="18"/>
      <c r="Z477" s="18"/>
      <c r="AA477" s="18"/>
      <c r="AB477" s="18"/>
      <c r="AC477" s="18"/>
      <c r="AD477" s="18"/>
      <c r="AE477" s="18"/>
      <c r="AF477" s="18"/>
      <c r="AG477" s="18"/>
    </row>
    <row r="478" spans="1:33" x14ac:dyDescent="0.2">
      <c r="A478" s="1279"/>
      <c r="B478" s="1280"/>
      <c r="C478" s="18"/>
      <c r="D478" s="18"/>
      <c r="E478" s="18"/>
      <c r="F478" s="18"/>
      <c r="G478" s="18"/>
      <c r="H478" s="18"/>
      <c r="I478" s="18"/>
      <c r="J478" s="18"/>
      <c r="K478" s="18"/>
      <c r="L478" s="12"/>
      <c r="M478" s="18"/>
      <c r="N478" s="18"/>
      <c r="O478" s="18"/>
      <c r="P478" s="18"/>
      <c r="Q478" s="18"/>
      <c r="R478" s="18"/>
      <c r="S478" s="18"/>
      <c r="T478" s="18"/>
      <c r="U478" s="18"/>
      <c r="V478" s="18"/>
      <c r="W478" s="18"/>
      <c r="X478" s="18"/>
      <c r="Y478" s="18"/>
      <c r="Z478" s="18"/>
      <c r="AA478" s="18"/>
      <c r="AB478" s="18"/>
      <c r="AC478" s="18"/>
      <c r="AD478" s="18"/>
      <c r="AE478" s="18"/>
      <c r="AF478" s="18"/>
      <c r="AG478" s="18"/>
    </row>
    <row r="479" spans="1:33" x14ac:dyDescent="0.2">
      <c r="A479" s="1279"/>
      <c r="B479" s="1280"/>
      <c r="C479" s="18"/>
      <c r="D479" s="18"/>
      <c r="E479" s="18"/>
      <c r="F479" s="18"/>
      <c r="G479" s="18"/>
      <c r="H479" s="18"/>
      <c r="I479" s="18"/>
      <c r="J479" s="18"/>
      <c r="K479" s="18"/>
      <c r="L479" s="12"/>
      <c r="M479" s="18"/>
      <c r="N479" s="18"/>
      <c r="O479" s="18"/>
      <c r="P479" s="18"/>
      <c r="Q479" s="18"/>
      <c r="R479" s="18"/>
      <c r="S479" s="18"/>
      <c r="T479" s="18"/>
      <c r="U479" s="18"/>
      <c r="V479" s="18"/>
      <c r="W479" s="18"/>
      <c r="X479" s="18"/>
      <c r="Y479" s="18"/>
      <c r="Z479" s="18"/>
      <c r="AA479" s="18"/>
      <c r="AB479" s="18"/>
      <c r="AC479" s="18"/>
      <c r="AD479" s="18"/>
      <c r="AE479" s="18"/>
      <c r="AF479" s="18"/>
      <c r="AG479" s="18"/>
    </row>
    <row r="480" spans="1:33" x14ac:dyDescent="0.2">
      <c r="A480" s="1279"/>
      <c r="B480" s="1280"/>
      <c r="C480" s="18"/>
      <c r="D480" s="18"/>
      <c r="E480" s="18"/>
      <c r="F480" s="18"/>
      <c r="G480" s="18"/>
      <c r="H480" s="18"/>
      <c r="I480" s="18"/>
      <c r="J480" s="18"/>
      <c r="K480" s="18"/>
      <c r="L480" s="12"/>
      <c r="M480" s="18"/>
      <c r="N480" s="18"/>
      <c r="O480" s="18"/>
      <c r="P480" s="18"/>
      <c r="Q480" s="18"/>
      <c r="R480" s="18"/>
      <c r="S480" s="18"/>
      <c r="T480" s="18"/>
      <c r="U480" s="18"/>
      <c r="V480" s="18"/>
      <c r="W480" s="18"/>
      <c r="X480" s="18"/>
      <c r="Y480" s="18"/>
      <c r="Z480" s="18"/>
      <c r="AA480" s="18"/>
      <c r="AB480" s="18"/>
      <c r="AC480" s="18"/>
      <c r="AD480" s="18"/>
      <c r="AE480" s="18"/>
      <c r="AF480" s="18"/>
      <c r="AG480" s="18"/>
    </row>
    <row r="481" spans="1:33" x14ac:dyDescent="0.2">
      <c r="A481" s="1279"/>
      <c r="B481" s="1280"/>
      <c r="C481" s="18"/>
      <c r="D481" s="18"/>
      <c r="E481" s="18"/>
      <c r="F481" s="18"/>
      <c r="G481" s="18"/>
      <c r="H481" s="18"/>
      <c r="I481" s="18"/>
      <c r="J481" s="18"/>
      <c r="K481" s="18"/>
      <c r="L481" s="12"/>
      <c r="M481" s="18"/>
      <c r="N481" s="18"/>
      <c r="O481" s="18"/>
      <c r="P481" s="18"/>
      <c r="Q481" s="18"/>
      <c r="R481" s="18"/>
      <c r="S481" s="18"/>
      <c r="T481" s="18"/>
      <c r="U481" s="18"/>
      <c r="V481" s="18"/>
      <c r="W481" s="18"/>
      <c r="X481" s="18"/>
      <c r="Y481" s="18"/>
      <c r="Z481" s="18"/>
      <c r="AA481" s="18"/>
      <c r="AB481" s="18"/>
      <c r="AC481" s="18"/>
      <c r="AD481" s="18"/>
      <c r="AE481" s="18"/>
      <c r="AF481" s="18"/>
      <c r="AG481" s="18"/>
    </row>
    <row r="482" spans="1:33" x14ac:dyDescent="0.2">
      <c r="A482" s="1279"/>
      <c r="B482" s="1280"/>
      <c r="C482" s="18"/>
      <c r="D482" s="18"/>
      <c r="E482" s="18"/>
      <c r="F482" s="18"/>
      <c r="G482" s="18"/>
      <c r="H482" s="18"/>
      <c r="I482" s="18"/>
      <c r="J482" s="18"/>
      <c r="K482" s="18"/>
      <c r="L482" s="12"/>
      <c r="M482" s="18"/>
      <c r="N482" s="18"/>
      <c r="O482" s="18"/>
      <c r="P482" s="18"/>
      <c r="Q482" s="18"/>
      <c r="R482" s="18"/>
      <c r="S482" s="18"/>
      <c r="T482" s="18"/>
      <c r="U482" s="18"/>
      <c r="V482" s="18"/>
      <c r="W482" s="18"/>
      <c r="X482" s="18"/>
      <c r="Y482" s="18"/>
      <c r="Z482" s="18"/>
      <c r="AA482" s="18"/>
      <c r="AB482" s="18"/>
      <c r="AC482" s="18"/>
      <c r="AD482" s="18"/>
      <c r="AE482" s="18"/>
      <c r="AF482" s="18"/>
      <c r="AG482" s="18"/>
    </row>
    <row r="483" spans="1:33" x14ac:dyDescent="0.2">
      <c r="A483" s="1279"/>
      <c r="B483" s="1280"/>
      <c r="C483" s="18"/>
      <c r="D483" s="18"/>
      <c r="E483" s="18"/>
      <c r="F483" s="18"/>
      <c r="G483" s="18"/>
      <c r="H483" s="18"/>
      <c r="I483" s="18"/>
      <c r="J483" s="18"/>
      <c r="K483" s="18"/>
      <c r="L483" s="12"/>
      <c r="M483" s="18"/>
      <c r="N483" s="18"/>
      <c r="O483" s="18"/>
      <c r="P483" s="18"/>
      <c r="Q483" s="18"/>
      <c r="R483" s="18"/>
      <c r="S483" s="18"/>
      <c r="T483" s="18"/>
      <c r="U483" s="18"/>
      <c r="V483" s="18"/>
      <c r="W483" s="18"/>
      <c r="X483" s="18"/>
      <c r="Y483" s="18"/>
      <c r="Z483" s="18"/>
      <c r="AA483" s="18"/>
      <c r="AB483" s="18"/>
      <c r="AC483" s="18"/>
      <c r="AD483" s="18"/>
      <c r="AE483" s="18"/>
      <c r="AF483" s="18"/>
      <c r="AG483" s="18"/>
    </row>
    <row r="484" spans="1:33" x14ac:dyDescent="0.2">
      <c r="A484" s="1279"/>
      <c r="B484" s="1280"/>
      <c r="C484" s="18"/>
      <c r="D484" s="18"/>
      <c r="E484" s="18"/>
      <c r="F484" s="18"/>
      <c r="G484" s="18"/>
      <c r="H484" s="18"/>
      <c r="I484" s="18"/>
      <c r="J484" s="18"/>
      <c r="K484" s="18"/>
      <c r="L484" s="12"/>
      <c r="M484" s="18"/>
      <c r="N484" s="18"/>
      <c r="O484" s="18"/>
      <c r="P484" s="18"/>
      <c r="Q484" s="18"/>
      <c r="R484" s="18"/>
      <c r="S484" s="18"/>
      <c r="T484" s="18"/>
      <c r="U484" s="18"/>
      <c r="V484" s="18"/>
      <c r="W484" s="18"/>
      <c r="X484" s="18"/>
      <c r="Y484" s="18"/>
      <c r="Z484" s="18"/>
      <c r="AA484" s="18"/>
      <c r="AB484" s="18"/>
      <c r="AC484" s="18"/>
      <c r="AD484" s="18"/>
      <c r="AE484" s="18"/>
      <c r="AF484" s="18"/>
      <c r="AG484" s="18"/>
    </row>
    <row r="485" spans="1:33" x14ac:dyDescent="0.2">
      <c r="A485" s="1279"/>
      <c r="B485" s="1280"/>
      <c r="C485" s="18"/>
      <c r="D485" s="18"/>
      <c r="E485" s="18"/>
      <c r="F485" s="18"/>
      <c r="G485" s="18"/>
      <c r="H485" s="18"/>
      <c r="I485" s="18"/>
      <c r="J485" s="18"/>
      <c r="K485" s="18"/>
      <c r="L485" s="12"/>
      <c r="M485" s="18"/>
      <c r="N485" s="18"/>
      <c r="O485" s="18"/>
      <c r="P485" s="18"/>
      <c r="Q485" s="18"/>
      <c r="R485" s="18"/>
      <c r="S485" s="18"/>
      <c r="T485" s="18"/>
      <c r="U485" s="18"/>
      <c r="V485" s="18"/>
      <c r="W485" s="18"/>
      <c r="X485" s="18"/>
      <c r="Y485" s="18"/>
      <c r="Z485" s="18"/>
      <c r="AA485" s="18"/>
      <c r="AB485" s="18"/>
      <c r="AC485" s="18"/>
      <c r="AD485" s="18"/>
      <c r="AE485" s="18"/>
      <c r="AF485" s="18"/>
      <c r="AG485" s="18"/>
    </row>
    <row r="486" spans="1:33" x14ac:dyDescent="0.2">
      <c r="A486" s="1279"/>
      <c r="B486" s="1280"/>
      <c r="C486" s="18"/>
      <c r="D486" s="18"/>
      <c r="E486" s="18"/>
      <c r="F486" s="18"/>
      <c r="G486" s="18"/>
      <c r="H486" s="18"/>
      <c r="I486" s="18"/>
      <c r="J486" s="18"/>
      <c r="K486" s="18"/>
      <c r="L486" s="12"/>
      <c r="M486" s="18"/>
      <c r="N486" s="18"/>
      <c r="O486" s="18"/>
      <c r="P486" s="18"/>
      <c r="Q486" s="18"/>
      <c r="R486" s="18"/>
      <c r="S486" s="18"/>
      <c r="T486" s="18"/>
      <c r="U486" s="18"/>
      <c r="V486" s="18"/>
      <c r="W486" s="18"/>
      <c r="X486" s="18"/>
      <c r="Y486" s="18"/>
      <c r="Z486" s="18"/>
      <c r="AA486" s="18"/>
      <c r="AB486" s="18"/>
      <c r="AC486" s="18"/>
      <c r="AD486" s="18"/>
      <c r="AE486" s="18"/>
      <c r="AF486" s="18"/>
      <c r="AG486" s="18"/>
    </row>
    <row r="487" spans="1:33" x14ac:dyDescent="0.2">
      <c r="A487" s="1279"/>
      <c r="B487" s="1280"/>
      <c r="C487" s="18"/>
      <c r="D487" s="18"/>
      <c r="E487" s="18"/>
      <c r="F487" s="18"/>
      <c r="G487" s="18"/>
      <c r="H487" s="18"/>
      <c r="I487" s="18"/>
      <c r="J487" s="18"/>
      <c r="K487" s="18"/>
      <c r="L487" s="12"/>
      <c r="M487" s="18"/>
      <c r="N487" s="18"/>
      <c r="O487" s="18"/>
      <c r="P487" s="18"/>
      <c r="Q487" s="18"/>
      <c r="R487" s="18"/>
      <c r="S487" s="18"/>
      <c r="T487" s="18"/>
      <c r="U487" s="18"/>
      <c r="V487" s="18"/>
      <c r="W487" s="18"/>
      <c r="X487" s="18"/>
      <c r="Y487" s="18"/>
      <c r="Z487" s="18"/>
      <c r="AA487" s="18"/>
      <c r="AB487" s="18"/>
      <c r="AC487" s="18"/>
      <c r="AD487" s="18"/>
      <c r="AE487" s="18"/>
      <c r="AF487" s="18"/>
      <c r="AG487" s="18"/>
    </row>
    <row r="488" spans="1:33" x14ac:dyDescent="0.2">
      <c r="A488" s="1279"/>
      <c r="B488" s="1280"/>
      <c r="C488" s="18"/>
      <c r="D488" s="18"/>
      <c r="E488" s="18"/>
      <c r="F488" s="18"/>
      <c r="G488" s="18"/>
      <c r="H488" s="18"/>
      <c r="I488" s="18"/>
      <c r="J488" s="18"/>
      <c r="K488" s="18"/>
      <c r="L488" s="12"/>
      <c r="M488" s="18"/>
      <c r="N488" s="18"/>
      <c r="O488" s="18"/>
      <c r="P488" s="18"/>
      <c r="Q488" s="18"/>
      <c r="R488" s="18"/>
      <c r="S488" s="18"/>
      <c r="T488" s="18"/>
      <c r="U488" s="18"/>
      <c r="V488" s="18"/>
      <c r="W488" s="18"/>
      <c r="X488" s="18"/>
      <c r="Y488" s="18"/>
      <c r="Z488" s="18"/>
      <c r="AA488" s="18"/>
      <c r="AB488" s="18"/>
      <c r="AC488" s="18"/>
      <c r="AD488" s="18"/>
      <c r="AE488" s="18"/>
      <c r="AF488" s="18"/>
      <c r="AG488" s="18"/>
    </row>
    <row r="489" spans="1:33" x14ac:dyDescent="0.2">
      <c r="A489" s="1279"/>
      <c r="B489" s="1280"/>
      <c r="C489" s="18"/>
      <c r="D489" s="18"/>
      <c r="E489" s="18"/>
      <c r="F489" s="18"/>
      <c r="G489" s="18"/>
      <c r="H489" s="18"/>
      <c r="I489" s="18"/>
      <c r="J489" s="18"/>
      <c r="K489" s="18"/>
      <c r="L489" s="12"/>
      <c r="M489" s="18"/>
      <c r="N489" s="18"/>
      <c r="O489" s="18"/>
      <c r="P489" s="18"/>
      <c r="Q489" s="18"/>
      <c r="R489" s="18"/>
      <c r="S489" s="18"/>
      <c r="T489" s="18"/>
      <c r="U489" s="18"/>
      <c r="V489" s="18"/>
      <c r="W489" s="18"/>
      <c r="X489" s="18"/>
      <c r="Y489" s="18"/>
      <c r="Z489" s="18"/>
      <c r="AA489" s="18"/>
      <c r="AB489" s="18"/>
      <c r="AC489" s="18"/>
      <c r="AD489" s="18"/>
      <c r="AE489" s="18"/>
      <c r="AF489" s="18"/>
      <c r="AG489" s="18"/>
    </row>
    <row r="490" spans="1:33" x14ac:dyDescent="0.2">
      <c r="A490" s="1279"/>
      <c r="B490" s="1280"/>
      <c r="C490" s="18"/>
      <c r="D490" s="18"/>
      <c r="E490" s="18"/>
      <c r="F490" s="18"/>
      <c r="G490" s="18"/>
      <c r="H490" s="18"/>
      <c r="I490" s="18"/>
      <c r="J490" s="18"/>
      <c r="K490" s="18"/>
      <c r="L490" s="12"/>
      <c r="M490" s="18"/>
      <c r="N490" s="18"/>
      <c r="O490" s="18"/>
      <c r="P490" s="18"/>
      <c r="Q490" s="18"/>
      <c r="R490" s="18"/>
      <c r="S490" s="18"/>
      <c r="T490" s="18"/>
      <c r="U490" s="18"/>
      <c r="V490" s="18"/>
      <c r="W490" s="18"/>
      <c r="X490" s="18"/>
      <c r="Y490" s="18"/>
      <c r="Z490" s="18"/>
      <c r="AA490" s="18"/>
      <c r="AB490" s="18"/>
      <c r="AC490" s="18"/>
      <c r="AD490" s="18"/>
      <c r="AE490" s="18"/>
      <c r="AF490" s="18"/>
      <c r="AG490" s="18"/>
    </row>
    <row r="491" spans="1:33" x14ac:dyDescent="0.2">
      <c r="A491" s="1279"/>
      <c r="B491" s="1280"/>
      <c r="C491" s="18"/>
      <c r="D491" s="18"/>
      <c r="E491" s="18"/>
      <c r="F491" s="18"/>
      <c r="G491" s="18"/>
      <c r="H491" s="18"/>
      <c r="I491" s="18"/>
      <c r="J491" s="18"/>
      <c r="K491" s="18"/>
      <c r="L491" s="12"/>
      <c r="M491" s="18"/>
      <c r="N491" s="18"/>
      <c r="O491" s="18"/>
      <c r="P491" s="18"/>
      <c r="Q491" s="18"/>
      <c r="R491" s="18"/>
      <c r="S491" s="18"/>
      <c r="T491" s="18"/>
      <c r="U491" s="18"/>
      <c r="V491" s="18"/>
      <c r="W491" s="18"/>
      <c r="X491" s="18"/>
      <c r="Y491" s="18"/>
      <c r="Z491" s="18"/>
      <c r="AA491" s="18"/>
      <c r="AB491" s="18"/>
      <c r="AC491" s="18"/>
      <c r="AD491" s="18"/>
      <c r="AE491" s="18"/>
      <c r="AF491" s="18"/>
      <c r="AG491" s="18"/>
    </row>
    <row r="492" spans="1:33" x14ac:dyDescent="0.2">
      <c r="A492" s="1279"/>
      <c r="B492" s="1280"/>
      <c r="C492" s="18"/>
      <c r="D492" s="18"/>
      <c r="E492" s="18"/>
      <c r="F492" s="18"/>
      <c r="G492" s="18"/>
      <c r="H492" s="18"/>
      <c r="I492" s="18"/>
      <c r="J492" s="18"/>
      <c r="K492" s="18"/>
      <c r="L492" s="12"/>
      <c r="M492" s="18"/>
      <c r="N492" s="18"/>
      <c r="O492" s="18"/>
      <c r="P492" s="18"/>
      <c r="Q492" s="18"/>
      <c r="R492" s="18"/>
      <c r="S492" s="18"/>
      <c r="T492" s="18"/>
      <c r="U492" s="18"/>
      <c r="V492" s="18"/>
      <c r="W492" s="18"/>
      <c r="X492" s="18"/>
      <c r="Y492" s="18"/>
      <c r="Z492" s="18"/>
      <c r="AA492" s="18"/>
      <c r="AB492" s="18"/>
      <c r="AC492" s="18"/>
      <c r="AD492" s="18"/>
      <c r="AE492" s="18"/>
      <c r="AF492" s="18"/>
      <c r="AG492" s="18"/>
    </row>
    <row r="493" spans="1:33" x14ac:dyDescent="0.2">
      <c r="A493" s="1279"/>
      <c r="B493" s="1280"/>
      <c r="C493" s="18"/>
      <c r="D493" s="18"/>
      <c r="E493" s="18"/>
      <c r="F493" s="18"/>
      <c r="G493" s="18"/>
      <c r="H493" s="18"/>
      <c r="I493" s="18"/>
      <c r="J493" s="18"/>
      <c r="K493" s="18"/>
      <c r="L493" s="12"/>
      <c r="M493" s="18"/>
      <c r="N493" s="18"/>
      <c r="O493" s="18"/>
      <c r="P493" s="18"/>
      <c r="Q493" s="18"/>
      <c r="R493" s="18"/>
      <c r="S493" s="18"/>
      <c r="T493" s="18"/>
      <c r="U493" s="18"/>
      <c r="V493" s="18"/>
      <c r="W493" s="18"/>
      <c r="X493" s="18"/>
      <c r="Y493" s="18"/>
      <c r="Z493" s="18"/>
      <c r="AA493" s="18"/>
      <c r="AB493" s="18"/>
      <c r="AC493" s="18"/>
      <c r="AD493" s="18"/>
      <c r="AE493" s="18"/>
      <c r="AF493" s="18"/>
      <c r="AG493" s="18"/>
    </row>
    <row r="494" spans="1:33" x14ac:dyDescent="0.2">
      <c r="A494" s="1279"/>
      <c r="B494" s="1280"/>
      <c r="C494" s="18"/>
      <c r="D494" s="18"/>
      <c r="E494" s="18"/>
      <c r="F494" s="18"/>
      <c r="G494" s="18"/>
      <c r="H494" s="18"/>
      <c r="I494" s="18"/>
      <c r="J494" s="18"/>
      <c r="K494" s="18"/>
      <c r="L494" s="12"/>
      <c r="M494" s="18"/>
      <c r="N494" s="18"/>
      <c r="O494" s="18"/>
      <c r="P494" s="18"/>
      <c r="Q494" s="18"/>
      <c r="R494" s="18"/>
      <c r="S494" s="18"/>
      <c r="T494" s="18"/>
      <c r="U494" s="18"/>
      <c r="V494" s="18"/>
      <c r="W494" s="18"/>
      <c r="X494" s="18"/>
      <c r="Y494" s="18"/>
      <c r="Z494" s="18"/>
      <c r="AA494" s="18"/>
      <c r="AB494" s="18"/>
      <c r="AC494" s="18"/>
      <c r="AD494" s="18"/>
      <c r="AE494" s="18"/>
      <c r="AF494" s="18"/>
      <c r="AG494" s="18"/>
    </row>
    <row r="495" spans="1:33" x14ac:dyDescent="0.2">
      <c r="A495" s="1279"/>
      <c r="B495" s="1280"/>
      <c r="C495" s="18"/>
      <c r="D495" s="18"/>
      <c r="E495" s="18"/>
      <c r="F495" s="18"/>
      <c r="G495" s="18"/>
      <c r="H495" s="18"/>
      <c r="I495" s="18"/>
      <c r="J495" s="18"/>
      <c r="K495" s="18"/>
      <c r="L495" s="12"/>
      <c r="M495" s="18"/>
      <c r="N495" s="18"/>
      <c r="O495" s="18"/>
      <c r="P495" s="18"/>
      <c r="Q495" s="18"/>
      <c r="R495" s="18"/>
      <c r="S495" s="18"/>
      <c r="T495" s="18"/>
      <c r="U495" s="18"/>
      <c r="V495" s="18"/>
      <c r="W495" s="18"/>
      <c r="X495" s="18"/>
      <c r="Y495" s="18"/>
      <c r="Z495" s="18"/>
      <c r="AA495" s="18"/>
      <c r="AB495" s="18"/>
      <c r="AC495" s="18"/>
      <c r="AD495" s="18"/>
      <c r="AE495" s="18"/>
      <c r="AF495" s="18"/>
      <c r="AG495" s="18"/>
    </row>
    <row r="496" spans="1:33" x14ac:dyDescent="0.2">
      <c r="A496" s="1279"/>
      <c r="B496" s="1280"/>
      <c r="C496" s="18"/>
      <c r="D496" s="18"/>
      <c r="E496" s="18"/>
      <c r="F496" s="18"/>
      <c r="G496" s="18"/>
      <c r="H496" s="18"/>
      <c r="I496" s="18"/>
      <c r="J496" s="18"/>
      <c r="K496" s="18"/>
      <c r="L496" s="12"/>
      <c r="M496" s="18"/>
      <c r="N496" s="18"/>
      <c r="O496" s="18"/>
      <c r="P496" s="18"/>
      <c r="Q496" s="18"/>
      <c r="R496" s="18"/>
      <c r="S496" s="18"/>
      <c r="T496" s="18"/>
      <c r="U496" s="18"/>
      <c r="V496" s="18"/>
      <c r="W496" s="18"/>
      <c r="X496" s="18"/>
      <c r="Y496" s="18"/>
      <c r="Z496" s="18"/>
      <c r="AA496" s="18"/>
      <c r="AB496" s="18"/>
      <c r="AC496" s="18"/>
      <c r="AD496" s="18"/>
      <c r="AE496" s="18"/>
      <c r="AF496" s="18"/>
      <c r="AG496" s="18"/>
    </row>
    <row r="497" spans="1:33" x14ac:dyDescent="0.2">
      <c r="A497" s="1279"/>
      <c r="B497" s="1280"/>
      <c r="C497" s="18"/>
      <c r="D497" s="18"/>
      <c r="E497" s="18"/>
      <c r="F497" s="18"/>
      <c r="G497" s="18"/>
      <c r="H497" s="18"/>
      <c r="I497" s="18"/>
      <c r="J497" s="18"/>
      <c r="K497" s="18"/>
      <c r="L497" s="12"/>
      <c r="M497" s="18"/>
      <c r="N497" s="18"/>
      <c r="O497" s="18"/>
      <c r="P497" s="18"/>
      <c r="Q497" s="18"/>
      <c r="R497" s="18"/>
      <c r="S497" s="18"/>
      <c r="T497" s="18"/>
      <c r="U497" s="18"/>
      <c r="V497" s="18"/>
      <c r="W497" s="18"/>
      <c r="X497" s="18"/>
      <c r="Y497" s="18"/>
      <c r="Z497" s="18"/>
      <c r="AA497" s="18"/>
      <c r="AB497" s="18"/>
      <c r="AC497" s="18"/>
      <c r="AD497" s="18"/>
      <c r="AE497" s="18"/>
      <c r="AF497" s="18"/>
      <c r="AG497" s="18"/>
    </row>
    <row r="498" spans="1:33" x14ac:dyDescent="0.2">
      <c r="A498" s="1279"/>
      <c r="B498" s="1280"/>
      <c r="C498" s="18"/>
      <c r="D498" s="18"/>
      <c r="E498" s="18"/>
      <c r="F498" s="18"/>
      <c r="G498" s="18"/>
      <c r="H498" s="18"/>
      <c r="I498" s="18"/>
      <c r="J498" s="18"/>
      <c r="K498" s="18"/>
      <c r="L498" s="12"/>
      <c r="M498" s="18"/>
      <c r="N498" s="18"/>
      <c r="O498" s="18"/>
      <c r="P498" s="18"/>
      <c r="Q498" s="18"/>
      <c r="R498" s="18"/>
      <c r="S498" s="18"/>
      <c r="T498" s="18"/>
      <c r="U498" s="18"/>
      <c r="V498" s="18"/>
      <c r="W498" s="18"/>
      <c r="X498" s="18"/>
      <c r="Y498" s="18"/>
      <c r="Z498" s="18"/>
      <c r="AA498" s="18"/>
      <c r="AB498" s="18"/>
      <c r="AC498" s="18"/>
      <c r="AD498" s="18"/>
      <c r="AE498" s="18"/>
      <c r="AF498" s="18"/>
      <c r="AG498" s="18"/>
    </row>
    <row r="499" spans="1:33" x14ac:dyDescent="0.2">
      <c r="A499" s="1279"/>
      <c r="B499" s="1280"/>
      <c r="C499" s="18"/>
      <c r="D499" s="18"/>
      <c r="E499" s="18"/>
      <c r="F499" s="18"/>
      <c r="G499" s="18"/>
      <c r="H499" s="18"/>
      <c r="I499" s="18"/>
      <c r="J499" s="18"/>
      <c r="K499" s="18"/>
      <c r="L499" s="12"/>
      <c r="M499" s="18"/>
      <c r="N499" s="18"/>
      <c r="O499" s="18"/>
      <c r="P499" s="18"/>
      <c r="Q499" s="18"/>
      <c r="R499" s="18"/>
      <c r="S499" s="18"/>
      <c r="T499" s="18"/>
      <c r="U499" s="18"/>
      <c r="V499" s="18"/>
      <c r="W499" s="18"/>
      <c r="X499" s="18"/>
      <c r="Y499" s="18"/>
      <c r="Z499" s="18"/>
      <c r="AA499" s="18"/>
      <c r="AB499" s="18"/>
      <c r="AC499" s="18"/>
      <c r="AD499" s="18"/>
      <c r="AE499" s="18"/>
      <c r="AF499" s="18"/>
      <c r="AG499" s="18"/>
    </row>
    <row r="500" spans="1:33" x14ac:dyDescent="0.2">
      <c r="A500" s="1279"/>
      <c r="B500" s="1280"/>
      <c r="C500" s="18"/>
      <c r="D500" s="18"/>
      <c r="E500" s="18"/>
      <c r="F500" s="18"/>
      <c r="G500" s="18"/>
      <c r="H500" s="18"/>
      <c r="I500" s="18"/>
      <c r="J500" s="18"/>
      <c r="K500" s="18"/>
      <c r="L500" s="12"/>
      <c r="M500" s="18"/>
      <c r="N500" s="18"/>
      <c r="O500" s="18"/>
      <c r="P500" s="18"/>
      <c r="Q500" s="18"/>
      <c r="R500" s="18"/>
      <c r="S500" s="18"/>
      <c r="T500" s="18"/>
      <c r="U500" s="18"/>
      <c r="V500" s="18"/>
      <c r="W500" s="18"/>
      <c r="X500" s="18"/>
      <c r="Y500" s="18"/>
      <c r="Z500" s="18"/>
      <c r="AA500" s="18"/>
      <c r="AB500" s="18"/>
      <c r="AC500" s="18"/>
      <c r="AD500" s="18"/>
      <c r="AE500" s="18"/>
      <c r="AF500" s="18"/>
      <c r="AG500" s="18"/>
    </row>
    <row r="501" spans="1:33" x14ac:dyDescent="0.2">
      <c r="A501" s="1279"/>
      <c r="B501" s="1280"/>
      <c r="C501" s="18"/>
      <c r="D501" s="18"/>
      <c r="E501" s="18"/>
      <c r="F501" s="18"/>
      <c r="G501" s="18"/>
      <c r="H501" s="18"/>
      <c r="I501" s="18"/>
      <c r="J501" s="18"/>
      <c r="K501" s="18"/>
      <c r="L501" s="12"/>
      <c r="M501" s="18"/>
      <c r="N501" s="18"/>
      <c r="O501" s="18"/>
      <c r="P501" s="18"/>
      <c r="Q501" s="18"/>
      <c r="R501" s="18"/>
      <c r="S501" s="18"/>
      <c r="T501" s="18"/>
      <c r="U501" s="18"/>
      <c r="V501" s="18"/>
      <c r="W501" s="18"/>
      <c r="X501" s="18"/>
      <c r="Y501" s="18"/>
      <c r="Z501" s="18"/>
      <c r="AA501" s="18"/>
      <c r="AB501" s="18"/>
      <c r="AC501" s="18"/>
      <c r="AD501" s="18"/>
      <c r="AE501" s="18"/>
      <c r="AF501" s="18"/>
      <c r="AG501" s="18"/>
    </row>
    <row r="502" spans="1:33" x14ac:dyDescent="0.2">
      <c r="A502" s="1279"/>
      <c r="B502" s="1280"/>
      <c r="C502" s="18"/>
      <c r="D502" s="18"/>
      <c r="E502" s="18"/>
      <c r="F502" s="18"/>
      <c r="G502" s="18"/>
      <c r="H502" s="18"/>
      <c r="I502" s="18"/>
      <c r="J502" s="18"/>
      <c r="K502" s="18"/>
      <c r="L502" s="12"/>
      <c r="M502" s="18"/>
      <c r="N502" s="18"/>
      <c r="O502" s="18"/>
      <c r="P502" s="18"/>
      <c r="Q502" s="18"/>
      <c r="R502" s="18"/>
      <c r="S502" s="18"/>
      <c r="T502" s="18"/>
      <c r="U502" s="18"/>
      <c r="V502" s="18"/>
      <c r="W502" s="18"/>
      <c r="X502" s="18"/>
      <c r="Y502" s="18"/>
      <c r="Z502" s="18"/>
      <c r="AA502" s="18"/>
      <c r="AB502" s="18"/>
      <c r="AC502" s="18"/>
      <c r="AD502" s="18"/>
      <c r="AE502" s="18"/>
      <c r="AF502" s="18"/>
      <c r="AG502" s="18"/>
    </row>
    <row r="503" spans="1:33" x14ac:dyDescent="0.2">
      <c r="A503" s="1279"/>
      <c r="B503" s="1280"/>
      <c r="C503" s="18"/>
      <c r="D503" s="18"/>
      <c r="E503" s="18"/>
      <c r="F503" s="18"/>
      <c r="G503" s="18"/>
      <c r="H503" s="18"/>
      <c r="I503" s="18"/>
      <c r="J503" s="18"/>
      <c r="K503" s="18"/>
      <c r="L503" s="12"/>
      <c r="M503" s="18"/>
      <c r="N503" s="18"/>
      <c r="O503" s="18"/>
      <c r="P503" s="18"/>
      <c r="Q503" s="18"/>
      <c r="R503" s="18"/>
      <c r="S503" s="18"/>
      <c r="T503" s="18"/>
      <c r="U503" s="18"/>
      <c r="V503" s="18"/>
      <c r="W503" s="18"/>
      <c r="X503" s="18"/>
      <c r="Y503" s="18"/>
      <c r="Z503" s="18"/>
      <c r="AA503" s="18"/>
      <c r="AB503" s="18"/>
      <c r="AC503" s="18"/>
      <c r="AD503" s="18"/>
      <c r="AE503" s="18"/>
      <c r="AF503" s="18"/>
      <c r="AG503" s="18"/>
    </row>
    <row r="504" spans="1:33" x14ac:dyDescent="0.2">
      <c r="A504" s="1279"/>
      <c r="B504" s="1280"/>
      <c r="C504" s="18"/>
      <c r="D504" s="18"/>
      <c r="E504" s="18"/>
      <c r="F504" s="18"/>
      <c r="G504" s="18"/>
      <c r="H504" s="18"/>
      <c r="I504" s="18"/>
      <c r="J504" s="18"/>
      <c r="K504" s="18"/>
      <c r="L504" s="12"/>
      <c r="M504" s="18"/>
      <c r="N504" s="18"/>
      <c r="O504" s="18"/>
      <c r="P504" s="18"/>
      <c r="Q504" s="18"/>
      <c r="R504" s="18"/>
      <c r="S504" s="18"/>
      <c r="T504" s="18"/>
      <c r="U504" s="18"/>
      <c r="V504" s="18"/>
      <c r="W504" s="18"/>
      <c r="X504" s="18"/>
      <c r="Y504" s="18"/>
      <c r="Z504" s="18"/>
      <c r="AA504" s="18"/>
      <c r="AB504" s="18"/>
      <c r="AC504" s="18"/>
      <c r="AD504" s="18"/>
      <c r="AE504" s="18"/>
      <c r="AF504" s="18"/>
      <c r="AG504" s="18"/>
    </row>
    <row r="505" spans="1:33" x14ac:dyDescent="0.2">
      <c r="A505" s="1279"/>
      <c r="B505" s="1280"/>
      <c r="C505" s="18"/>
      <c r="D505" s="18"/>
      <c r="E505" s="18"/>
      <c r="F505" s="18"/>
      <c r="G505" s="18"/>
      <c r="H505" s="18"/>
      <c r="I505" s="18"/>
      <c r="J505" s="18"/>
      <c r="K505" s="18"/>
      <c r="L505" s="12"/>
      <c r="M505" s="18"/>
      <c r="N505" s="18"/>
      <c r="O505" s="18"/>
      <c r="P505" s="18"/>
      <c r="Q505" s="18"/>
      <c r="R505" s="18"/>
      <c r="S505" s="18"/>
      <c r="T505" s="18"/>
      <c r="U505" s="18"/>
      <c r="V505" s="18"/>
      <c r="W505" s="18"/>
      <c r="X505" s="18"/>
      <c r="Y505" s="18"/>
      <c r="Z505" s="18"/>
      <c r="AA505" s="18"/>
      <c r="AB505" s="18"/>
      <c r="AC505" s="18"/>
      <c r="AD505" s="18"/>
      <c r="AE505" s="18"/>
      <c r="AF505" s="18"/>
      <c r="AG505" s="18"/>
    </row>
    <row r="506" spans="1:33" x14ac:dyDescent="0.2">
      <c r="A506" s="1279"/>
      <c r="B506" s="1280"/>
      <c r="C506" s="18"/>
      <c r="D506" s="18"/>
      <c r="E506" s="18"/>
      <c r="F506" s="18"/>
      <c r="G506" s="18"/>
      <c r="H506" s="18"/>
      <c r="I506" s="18"/>
      <c r="J506" s="18"/>
      <c r="K506" s="18"/>
      <c r="L506" s="12"/>
      <c r="M506" s="18"/>
      <c r="N506" s="18"/>
      <c r="O506" s="18"/>
      <c r="P506" s="18"/>
      <c r="Q506" s="18"/>
      <c r="R506" s="18"/>
      <c r="S506" s="18"/>
      <c r="T506" s="18"/>
      <c r="U506" s="18"/>
      <c r="V506" s="18"/>
      <c r="W506" s="18"/>
      <c r="X506" s="18"/>
      <c r="Y506" s="18"/>
      <c r="Z506" s="18"/>
      <c r="AA506" s="18"/>
      <c r="AB506" s="18"/>
      <c r="AC506" s="18"/>
      <c r="AD506" s="18"/>
      <c r="AE506" s="18"/>
      <c r="AF506" s="18"/>
      <c r="AG506" s="18"/>
    </row>
    <row r="507" spans="1:33" x14ac:dyDescent="0.2">
      <c r="A507" s="1279"/>
      <c r="B507" s="1280"/>
      <c r="C507" s="18"/>
      <c r="D507" s="18"/>
      <c r="E507" s="18"/>
      <c r="F507" s="18"/>
      <c r="G507" s="18"/>
      <c r="H507" s="18"/>
      <c r="I507" s="18"/>
      <c r="J507" s="18"/>
      <c r="K507" s="18"/>
      <c r="L507" s="12"/>
      <c r="M507" s="18"/>
      <c r="N507" s="18"/>
      <c r="O507" s="18"/>
      <c r="P507" s="18"/>
      <c r="Q507" s="18"/>
      <c r="R507" s="18"/>
      <c r="S507" s="18"/>
      <c r="T507" s="18"/>
      <c r="U507" s="18"/>
      <c r="V507" s="18"/>
      <c r="W507" s="18"/>
      <c r="X507" s="18"/>
      <c r="Y507" s="18"/>
      <c r="Z507" s="18"/>
      <c r="AA507" s="18"/>
      <c r="AB507" s="18"/>
      <c r="AC507" s="18"/>
      <c r="AD507" s="18"/>
      <c r="AE507" s="18"/>
      <c r="AF507" s="18"/>
      <c r="AG507" s="18"/>
    </row>
    <row r="508" spans="1:33" x14ac:dyDescent="0.2">
      <c r="A508" s="1279"/>
      <c r="B508" s="1280"/>
      <c r="C508" s="18"/>
      <c r="D508" s="18"/>
      <c r="E508" s="18"/>
      <c r="F508" s="18"/>
      <c r="G508" s="18"/>
      <c r="H508" s="18"/>
      <c r="I508" s="18"/>
      <c r="J508" s="18"/>
      <c r="K508" s="18"/>
      <c r="L508" s="12"/>
      <c r="M508" s="18"/>
      <c r="N508" s="18"/>
      <c r="O508" s="18"/>
      <c r="P508" s="18"/>
      <c r="Q508" s="18"/>
      <c r="R508" s="18"/>
      <c r="S508" s="18"/>
      <c r="T508" s="18"/>
      <c r="U508" s="18"/>
      <c r="V508" s="18"/>
      <c r="W508" s="18"/>
      <c r="X508" s="18"/>
      <c r="Y508" s="18"/>
      <c r="Z508" s="18"/>
      <c r="AA508" s="18"/>
      <c r="AB508" s="18"/>
      <c r="AC508" s="18"/>
      <c r="AD508" s="18"/>
      <c r="AE508" s="18"/>
      <c r="AF508" s="18"/>
      <c r="AG508" s="18"/>
    </row>
    <row r="509" spans="1:33" x14ac:dyDescent="0.2">
      <c r="A509" s="1279"/>
      <c r="B509" s="1280"/>
      <c r="C509" s="18"/>
      <c r="D509" s="18"/>
      <c r="E509" s="18"/>
      <c r="F509" s="18"/>
      <c r="G509" s="18"/>
      <c r="H509" s="18"/>
      <c r="I509" s="18"/>
      <c r="J509" s="18"/>
      <c r="K509" s="18"/>
      <c r="L509" s="12"/>
      <c r="M509" s="18"/>
      <c r="N509" s="18"/>
      <c r="O509" s="18"/>
      <c r="P509" s="18"/>
      <c r="Q509" s="18"/>
      <c r="R509" s="18"/>
      <c r="S509" s="18"/>
      <c r="T509" s="18"/>
      <c r="U509" s="18"/>
      <c r="V509" s="18"/>
      <c r="W509" s="18"/>
      <c r="X509" s="18"/>
      <c r="Y509" s="18"/>
      <c r="Z509" s="18"/>
      <c r="AA509" s="18"/>
      <c r="AB509" s="18"/>
      <c r="AC509" s="18"/>
      <c r="AD509" s="18"/>
      <c r="AE509" s="18"/>
      <c r="AF509" s="18"/>
      <c r="AG509" s="18"/>
    </row>
    <row r="510" spans="1:33" x14ac:dyDescent="0.2">
      <c r="A510" s="1279"/>
      <c r="B510" s="1280"/>
      <c r="C510" s="18"/>
      <c r="D510" s="18"/>
      <c r="E510" s="18"/>
      <c r="F510" s="18"/>
      <c r="G510" s="18"/>
      <c r="H510" s="18"/>
      <c r="I510" s="18"/>
      <c r="J510" s="18"/>
      <c r="K510" s="18"/>
      <c r="L510" s="12"/>
      <c r="M510" s="18"/>
      <c r="N510" s="18"/>
      <c r="O510" s="18"/>
      <c r="P510" s="18"/>
      <c r="Q510" s="18"/>
      <c r="R510" s="18"/>
      <c r="S510" s="18"/>
      <c r="T510" s="18"/>
      <c r="U510" s="18"/>
      <c r="V510" s="18"/>
      <c r="W510" s="18"/>
      <c r="X510" s="18"/>
      <c r="Y510" s="18"/>
      <c r="Z510" s="18"/>
      <c r="AA510" s="18"/>
      <c r="AB510" s="18"/>
      <c r="AC510" s="18"/>
      <c r="AD510" s="18"/>
      <c r="AE510" s="18"/>
      <c r="AF510" s="18"/>
      <c r="AG510" s="18"/>
    </row>
    <row r="511" spans="1:33" x14ac:dyDescent="0.2">
      <c r="A511" s="1279"/>
      <c r="B511" s="1280"/>
      <c r="C511" s="18"/>
      <c r="D511" s="18"/>
      <c r="E511" s="18"/>
      <c r="F511" s="18"/>
      <c r="G511" s="18"/>
      <c r="H511" s="18"/>
      <c r="I511" s="18"/>
      <c r="J511" s="18"/>
      <c r="K511" s="18"/>
      <c r="L511" s="12"/>
      <c r="M511" s="18"/>
      <c r="N511" s="18"/>
      <c r="O511" s="18"/>
      <c r="P511" s="18"/>
      <c r="Q511" s="18"/>
      <c r="R511" s="18"/>
      <c r="S511" s="18"/>
      <c r="T511" s="18"/>
      <c r="U511" s="18"/>
      <c r="V511" s="18"/>
      <c r="W511" s="18"/>
      <c r="X511" s="18"/>
      <c r="Y511" s="18"/>
      <c r="Z511" s="18"/>
      <c r="AA511" s="18"/>
      <c r="AB511" s="18"/>
      <c r="AC511" s="18"/>
      <c r="AD511" s="18"/>
      <c r="AE511" s="18"/>
      <c r="AF511" s="18"/>
      <c r="AG511" s="18"/>
    </row>
    <row r="512" spans="1:33" x14ac:dyDescent="0.2">
      <c r="A512" s="1279"/>
      <c r="B512" s="1280"/>
      <c r="C512" s="18"/>
      <c r="D512" s="18"/>
      <c r="E512" s="18"/>
      <c r="F512" s="18"/>
      <c r="G512" s="18"/>
      <c r="H512" s="18"/>
      <c r="I512" s="18"/>
      <c r="J512" s="18"/>
      <c r="K512" s="18"/>
      <c r="L512" s="12"/>
      <c r="M512" s="18"/>
      <c r="N512" s="18"/>
      <c r="O512" s="18"/>
      <c r="P512" s="18"/>
      <c r="Q512" s="18"/>
      <c r="R512" s="18"/>
      <c r="S512" s="18"/>
      <c r="T512" s="18"/>
      <c r="U512" s="18"/>
      <c r="V512" s="18"/>
      <c r="W512" s="18"/>
      <c r="X512" s="18"/>
      <c r="Y512" s="18"/>
      <c r="Z512" s="18"/>
      <c r="AA512" s="18"/>
      <c r="AB512" s="18"/>
      <c r="AC512" s="18"/>
      <c r="AD512" s="18"/>
      <c r="AE512" s="18"/>
      <c r="AF512" s="18"/>
      <c r="AG512" s="18"/>
    </row>
    <row r="513" spans="1:33" x14ac:dyDescent="0.2">
      <c r="A513" s="1279"/>
      <c r="B513" s="1280"/>
      <c r="C513" s="18"/>
      <c r="D513" s="18"/>
      <c r="E513" s="18"/>
      <c r="F513" s="18"/>
      <c r="G513" s="18"/>
      <c r="H513" s="18"/>
      <c r="I513" s="18"/>
      <c r="J513" s="18"/>
      <c r="K513" s="18"/>
      <c r="L513" s="12"/>
      <c r="M513" s="18"/>
      <c r="N513" s="18"/>
      <c r="O513" s="18"/>
      <c r="P513" s="18"/>
      <c r="Q513" s="18"/>
      <c r="R513" s="18"/>
      <c r="S513" s="18"/>
      <c r="T513" s="18"/>
      <c r="U513" s="18"/>
      <c r="V513" s="18"/>
      <c r="W513" s="18"/>
      <c r="X513" s="18"/>
      <c r="Y513" s="18"/>
      <c r="Z513" s="18"/>
      <c r="AA513" s="18"/>
      <c r="AB513" s="18"/>
      <c r="AC513" s="18"/>
      <c r="AD513" s="18"/>
      <c r="AE513" s="18"/>
      <c r="AF513" s="18"/>
      <c r="AG513" s="18"/>
    </row>
    <row r="514" spans="1:33" x14ac:dyDescent="0.2">
      <c r="A514" s="1279"/>
      <c r="B514" s="1280"/>
      <c r="C514" s="18"/>
      <c r="D514" s="18"/>
      <c r="E514" s="18"/>
      <c r="F514" s="18"/>
      <c r="G514" s="18"/>
      <c r="H514" s="18"/>
      <c r="I514" s="18"/>
      <c r="J514" s="18"/>
      <c r="K514" s="18"/>
      <c r="L514" s="12"/>
      <c r="M514" s="18"/>
      <c r="N514" s="18"/>
      <c r="O514" s="18"/>
      <c r="P514" s="18"/>
      <c r="Q514" s="18"/>
      <c r="R514" s="18"/>
      <c r="S514" s="18"/>
      <c r="T514" s="18"/>
      <c r="U514" s="18"/>
      <c r="V514" s="18"/>
      <c r="W514" s="18"/>
      <c r="X514" s="18"/>
      <c r="Y514" s="18"/>
      <c r="Z514" s="18"/>
      <c r="AA514" s="18"/>
      <c r="AB514" s="18"/>
      <c r="AC514" s="18"/>
      <c r="AD514" s="18"/>
      <c r="AE514" s="18"/>
      <c r="AF514" s="18"/>
      <c r="AG514" s="18"/>
    </row>
    <row r="515" spans="1:33" x14ac:dyDescent="0.2">
      <c r="A515" s="1279"/>
      <c r="B515" s="1280"/>
      <c r="C515" s="18"/>
      <c r="D515" s="18"/>
      <c r="E515" s="18"/>
      <c r="F515" s="18"/>
      <c r="G515" s="18"/>
      <c r="H515" s="18"/>
      <c r="I515" s="18"/>
      <c r="J515" s="18"/>
      <c r="K515" s="18"/>
      <c r="L515" s="12"/>
      <c r="M515" s="18"/>
      <c r="N515" s="18"/>
      <c r="O515" s="18"/>
      <c r="P515" s="18"/>
      <c r="Q515" s="18"/>
      <c r="R515" s="18"/>
      <c r="S515" s="18"/>
      <c r="T515" s="18"/>
      <c r="U515" s="18"/>
      <c r="V515" s="18"/>
      <c r="W515" s="18"/>
      <c r="X515" s="18"/>
      <c r="Y515" s="18"/>
      <c r="Z515" s="18"/>
      <c r="AA515" s="18"/>
      <c r="AB515" s="18"/>
      <c r="AC515" s="18"/>
      <c r="AD515" s="18"/>
      <c r="AE515" s="18"/>
      <c r="AF515" s="18"/>
      <c r="AG515" s="18"/>
    </row>
    <row r="516" spans="1:33" x14ac:dyDescent="0.2">
      <c r="A516" s="1279"/>
      <c r="B516" s="1280"/>
      <c r="C516" s="18"/>
      <c r="D516" s="18"/>
      <c r="E516" s="18"/>
      <c r="F516" s="18"/>
      <c r="G516" s="18"/>
      <c r="H516" s="18"/>
      <c r="I516" s="18"/>
      <c r="J516" s="18"/>
      <c r="K516" s="18"/>
      <c r="L516" s="12"/>
      <c r="M516" s="18"/>
      <c r="N516" s="18"/>
      <c r="O516" s="18"/>
      <c r="P516" s="18"/>
      <c r="Q516" s="18"/>
      <c r="R516" s="18"/>
      <c r="S516" s="18"/>
      <c r="T516" s="18"/>
      <c r="U516" s="18"/>
      <c r="V516" s="18"/>
      <c r="W516" s="18"/>
      <c r="X516" s="18"/>
      <c r="Y516" s="18"/>
      <c r="Z516" s="18"/>
      <c r="AA516" s="18"/>
      <c r="AB516" s="18"/>
      <c r="AC516" s="18"/>
      <c r="AD516" s="18"/>
      <c r="AE516" s="18"/>
      <c r="AF516" s="18"/>
      <c r="AG516" s="18"/>
    </row>
    <row r="517" spans="1:33" x14ac:dyDescent="0.2">
      <c r="A517" s="1279"/>
      <c r="B517" s="1280"/>
      <c r="C517" s="18"/>
      <c r="D517" s="18"/>
      <c r="E517" s="18"/>
      <c r="F517" s="18"/>
      <c r="G517" s="18"/>
      <c r="H517" s="18"/>
      <c r="I517" s="18"/>
      <c r="J517" s="18"/>
      <c r="K517" s="18"/>
      <c r="L517" s="12"/>
      <c r="M517" s="18"/>
      <c r="N517" s="18"/>
      <c r="O517" s="18"/>
      <c r="P517" s="18"/>
      <c r="Q517" s="18"/>
      <c r="R517" s="18"/>
      <c r="S517" s="18"/>
      <c r="T517" s="18"/>
      <c r="U517" s="18"/>
      <c r="V517" s="18"/>
      <c r="W517" s="18"/>
      <c r="X517" s="18"/>
      <c r="Y517" s="18"/>
      <c r="Z517" s="18"/>
      <c r="AA517" s="18"/>
      <c r="AB517" s="18"/>
      <c r="AC517" s="18"/>
      <c r="AD517" s="18"/>
      <c r="AE517" s="18"/>
      <c r="AF517" s="18"/>
      <c r="AG517" s="18"/>
    </row>
    <row r="518" spans="1:33" x14ac:dyDescent="0.2">
      <c r="A518" s="1279"/>
      <c r="B518" s="1280"/>
      <c r="C518" s="18"/>
      <c r="D518" s="18"/>
      <c r="E518" s="18"/>
      <c r="F518" s="18"/>
      <c r="G518" s="18"/>
      <c r="H518" s="18"/>
      <c r="I518" s="18"/>
      <c r="J518" s="18"/>
      <c r="K518" s="18"/>
      <c r="L518" s="12"/>
      <c r="M518" s="18"/>
      <c r="N518" s="18"/>
      <c r="O518" s="18"/>
      <c r="P518" s="18"/>
      <c r="Q518" s="18"/>
      <c r="R518" s="18"/>
      <c r="S518" s="18"/>
      <c r="T518" s="18"/>
      <c r="U518" s="18"/>
      <c r="V518" s="18"/>
      <c r="W518" s="18"/>
      <c r="X518" s="18"/>
      <c r="Y518" s="18"/>
      <c r="Z518" s="18"/>
      <c r="AA518" s="18"/>
      <c r="AB518" s="18"/>
      <c r="AC518" s="18"/>
      <c r="AD518" s="18"/>
      <c r="AE518" s="18"/>
      <c r="AF518" s="18"/>
      <c r="AG518" s="18"/>
    </row>
    <row r="519" spans="1:33" x14ac:dyDescent="0.2">
      <c r="A519" s="1279"/>
      <c r="B519" s="1280"/>
      <c r="C519" s="18"/>
      <c r="D519" s="18"/>
      <c r="E519" s="18"/>
      <c r="F519" s="18"/>
      <c r="G519" s="18"/>
      <c r="H519" s="18"/>
      <c r="I519" s="18"/>
      <c r="J519" s="18"/>
      <c r="K519" s="18"/>
      <c r="L519" s="12"/>
      <c r="M519" s="18"/>
      <c r="N519" s="18"/>
      <c r="O519" s="18"/>
      <c r="P519" s="18"/>
      <c r="Q519" s="18"/>
      <c r="R519" s="18"/>
      <c r="S519" s="18"/>
      <c r="T519" s="18"/>
      <c r="U519" s="18"/>
      <c r="V519" s="18"/>
      <c r="W519" s="18"/>
      <c r="X519" s="18"/>
      <c r="Y519" s="18"/>
      <c r="Z519" s="18"/>
      <c r="AA519" s="18"/>
      <c r="AB519" s="18"/>
      <c r="AC519" s="18"/>
      <c r="AD519" s="18"/>
      <c r="AE519" s="18"/>
      <c r="AF519" s="18"/>
      <c r="AG519" s="18"/>
    </row>
    <row r="520" spans="1:33" x14ac:dyDescent="0.2">
      <c r="A520" s="1279"/>
      <c r="B520" s="1280"/>
      <c r="C520" s="18"/>
      <c r="D520" s="18"/>
      <c r="E520" s="18"/>
      <c r="F520" s="18"/>
      <c r="G520" s="18"/>
      <c r="H520" s="18"/>
      <c r="I520" s="18"/>
      <c r="J520" s="18"/>
      <c r="K520" s="18"/>
      <c r="L520" s="12"/>
      <c r="M520" s="18"/>
      <c r="N520" s="18"/>
      <c r="O520" s="18"/>
      <c r="P520" s="18"/>
      <c r="Q520" s="18"/>
      <c r="R520" s="18"/>
      <c r="S520" s="18"/>
      <c r="T520" s="18"/>
      <c r="U520" s="18"/>
      <c r="V520" s="18"/>
      <c r="W520" s="18"/>
      <c r="X520" s="18"/>
      <c r="Y520" s="18"/>
      <c r="Z520" s="18"/>
      <c r="AA520" s="18"/>
      <c r="AB520" s="18"/>
      <c r="AC520" s="18"/>
      <c r="AD520" s="18"/>
      <c r="AE520" s="18"/>
      <c r="AF520" s="18"/>
      <c r="AG520" s="18"/>
    </row>
    <row r="521" spans="1:33" x14ac:dyDescent="0.2">
      <c r="A521" s="1279"/>
      <c r="B521" s="1280"/>
      <c r="C521" s="18"/>
      <c r="D521" s="18"/>
      <c r="E521" s="18"/>
      <c r="F521" s="18"/>
      <c r="G521" s="18"/>
      <c r="H521" s="18"/>
      <c r="I521" s="18"/>
      <c r="J521" s="18"/>
      <c r="K521" s="18"/>
      <c r="L521" s="12"/>
      <c r="M521" s="18"/>
      <c r="N521" s="18"/>
      <c r="O521" s="18"/>
      <c r="P521" s="18"/>
      <c r="Q521" s="18"/>
      <c r="R521" s="18"/>
      <c r="S521" s="18"/>
      <c r="T521" s="18"/>
      <c r="U521" s="18"/>
      <c r="V521" s="18"/>
      <c r="W521" s="18"/>
      <c r="X521" s="18"/>
      <c r="Y521" s="18"/>
      <c r="Z521" s="18"/>
      <c r="AA521" s="18"/>
      <c r="AB521" s="18"/>
      <c r="AC521" s="18"/>
      <c r="AD521" s="18"/>
      <c r="AE521" s="18"/>
      <c r="AF521" s="18"/>
      <c r="AG521" s="18"/>
    </row>
    <row r="522" spans="1:33" x14ac:dyDescent="0.2">
      <c r="A522" s="1279"/>
      <c r="B522" s="1280"/>
      <c r="C522" s="18"/>
      <c r="D522" s="18"/>
      <c r="E522" s="18"/>
      <c r="F522" s="18"/>
      <c r="G522" s="18"/>
      <c r="H522" s="18"/>
      <c r="I522" s="18"/>
      <c r="J522" s="18"/>
      <c r="K522" s="18"/>
      <c r="L522" s="12"/>
      <c r="M522" s="18"/>
      <c r="N522" s="18"/>
      <c r="O522" s="18"/>
      <c r="P522" s="18"/>
      <c r="Q522" s="18"/>
      <c r="R522" s="18"/>
      <c r="S522" s="18"/>
      <c r="T522" s="18"/>
      <c r="U522" s="18"/>
      <c r="V522" s="18"/>
      <c r="W522" s="18"/>
      <c r="X522" s="18"/>
      <c r="Y522" s="18"/>
      <c r="Z522" s="18"/>
      <c r="AA522" s="18"/>
      <c r="AB522" s="18"/>
      <c r="AC522" s="18"/>
      <c r="AD522" s="18"/>
      <c r="AE522" s="18"/>
      <c r="AF522" s="18"/>
      <c r="AG522" s="18"/>
    </row>
    <row r="523" spans="1:33" x14ac:dyDescent="0.2">
      <c r="A523" s="1279"/>
      <c r="B523" s="1280"/>
      <c r="C523" s="18"/>
      <c r="D523" s="18"/>
      <c r="E523" s="18"/>
      <c r="F523" s="18"/>
      <c r="G523" s="18"/>
      <c r="H523" s="18"/>
      <c r="I523" s="18"/>
      <c r="J523" s="18"/>
      <c r="K523" s="18"/>
      <c r="L523" s="12"/>
      <c r="M523" s="18"/>
      <c r="N523" s="18"/>
      <c r="O523" s="18"/>
      <c r="P523" s="18"/>
      <c r="Q523" s="18"/>
      <c r="R523" s="18"/>
      <c r="S523" s="18"/>
      <c r="T523" s="18"/>
      <c r="U523" s="18"/>
      <c r="V523" s="18"/>
      <c r="W523" s="18"/>
      <c r="X523" s="18"/>
      <c r="Y523" s="18"/>
      <c r="Z523" s="18"/>
      <c r="AA523" s="18"/>
      <c r="AB523" s="18"/>
      <c r="AC523" s="18"/>
      <c r="AD523" s="18"/>
      <c r="AE523" s="18"/>
      <c r="AF523" s="18"/>
      <c r="AG523" s="18"/>
    </row>
    <row r="524" spans="1:33" x14ac:dyDescent="0.2">
      <c r="A524" s="1279"/>
      <c r="B524" s="1280"/>
      <c r="C524" s="18"/>
      <c r="D524" s="18"/>
      <c r="E524" s="18"/>
      <c r="F524" s="18"/>
      <c r="G524" s="18"/>
      <c r="H524" s="18"/>
      <c r="I524" s="18"/>
      <c r="J524" s="18"/>
      <c r="K524" s="18"/>
      <c r="L524" s="12"/>
      <c r="M524" s="18"/>
      <c r="N524" s="18"/>
      <c r="O524" s="18"/>
      <c r="P524" s="18"/>
      <c r="Q524" s="18"/>
      <c r="R524" s="18"/>
      <c r="S524" s="18"/>
      <c r="T524" s="18"/>
      <c r="U524" s="18"/>
      <c r="V524" s="18"/>
      <c r="W524" s="18"/>
      <c r="X524" s="18"/>
      <c r="Y524" s="18"/>
      <c r="Z524" s="18"/>
      <c r="AA524" s="18"/>
      <c r="AB524" s="18"/>
      <c r="AC524" s="18"/>
      <c r="AD524" s="18"/>
      <c r="AE524" s="18"/>
      <c r="AF524" s="18"/>
      <c r="AG524" s="18"/>
    </row>
    <row r="525" spans="1:33" x14ac:dyDescent="0.2">
      <c r="A525" s="1279"/>
      <c r="B525" s="1280"/>
      <c r="C525" s="18"/>
      <c r="D525" s="18"/>
      <c r="E525" s="18"/>
      <c r="F525" s="18"/>
      <c r="G525" s="18"/>
      <c r="H525" s="18"/>
      <c r="I525" s="18"/>
      <c r="J525" s="18"/>
      <c r="K525" s="18"/>
      <c r="L525" s="12"/>
      <c r="M525" s="18"/>
      <c r="N525" s="18"/>
      <c r="O525" s="18"/>
      <c r="P525" s="18"/>
      <c r="Q525" s="18"/>
      <c r="R525" s="18"/>
      <c r="S525" s="18"/>
      <c r="T525" s="18"/>
      <c r="U525" s="18"/>
      <c r="V525" s="18"/>
      <c r="W525" s="18"/>
      <c r="X525" s="18"/>
      <c r="Y525" s="18"/>
      <c r="Z525" s="18"/>
      <c r="AA525" s="18"/>
      <c r="AB525" s="18"/>
      <c r="AC525" s="18"/>
      <c r="AD525" s="18"/>
      <c r="AE525" s="18"/>
      <c r="AF525" s="18"/>
      <c r="AG525" s="18"/>
    </row>
    <row r="526" spans="1:33" x14ac:dyDescent="0.2">
      <c r="A526" s="1279"/>
      <c r="B526" s="1280"/>
      <c r="C526" s="18"/>
      <c r="D526" s="18"/>
      <c r="E526" s="18"/>
      <c r="F526" s="18"/>
      <c r="G526" s="18"/>
      <c r="H526" s="18"/>
      <c r="I526" s="18"/>
      <c r="J526" s="18"/>
      <c r="K526" s="18"/>
      <c r="L526" s="12"/>
      <c r="M526" s="18"/>
      <c r="N526" s="18"/>
      <c r="O526" s="18"/>
      <c r="P526" s="18"/>
      <c r="Q526" s="18"/>
      <c r="R526" s="18"/>
      <c r="S526" s="18"/>
      <c r="T526" s="18"/>
      <c r="U526" s="18"/>
      <c r="V526" s="18"/>
      <c r="W526" s="18"/>
      <c r="X526" s="18"/>
      <c r="Y526" s="18"/>
      <c r="Z526" s="18"/>
      <c r="AA526" s="18"/>
      <c r="AB526" s="18"/>
      <c r="AC526" s="18"/>
      <c r="AD526" s="18"/>
      <c r="AE526" s="18"/>
      <c r="AF526" s="18"/>
      <c r="AG526" s="18"/>
    </row>
    <row r="527" spans="1:33" x14ac:dyDescent="0.2">
      <c r="A527" s="1279"/>
      <c r="B527" s="1280"/>
      <c r="C527" s="18"/>
      <c r="D527" s="18"/>
      <c r="E527" s="18"/>
      <c r="F527" s="18"/>
      <c r="G527" s="18"/>
      <c r="H527" s="18"/>
      <c r="I527" s="18"/>
      <c r="J527" s="18"/>
      <c r="K527" s="18"/>
      <c r="L527" s="12"/>
      <c r="M527" s="18"/>
      <c r="N527" s="18"/>
      <c r="O527" s="18"/>
      <c r="P527" s="18"/>
      <c r="Q527" s="18"/>
      <c r="R527" s="18"/>
      <c r="S527" s="18"/>
      <c r="T527" s="18"/>
      <c r="U527" s="18"/>
      <c r="V527" s="18"/>
      <c r="W527" s="18"/>
      <c r="X527" s="18"/>
      <c r="Y527" s="18"/>
      <c r="Z527" s="18"/>
      <c r="AA527" s="18"/>
      <c r="AB527" s="18"/>
      <c r="AC527" s="18"/>
      <c r="AD527" s="18"/>
      <c r="AE527" s="18"/>
      <c r="AF527" s="18"/>
      <c r="AG527" s="18"/>
    </row>
    <row r="528" spans="1:33" x14ac:dyDescent="0.2">
      <c r="A528" s="1279"/>
      <c r="B528" s="1280"/>
      <c r="C528" s="18"/>
      <c r="D528" s="18"/>
      <c r="E528" s="18"/>
      <c r="F528" s="18"/>
      <c r="G528" s="18"/>
      <c r="H528" s="18"/>
      <c r="I528" s="18"/>
      <c r="J528" s="18"/>
      <c r="K528" s="18"/>
      <c r="L528" s="12"/>
      <c r="M528" s="18"/>
      <c r="N528" s="18"/>
      <c r="O528" s="18"/>
      <c r="P528" s="18"/>
      <c r="Q528" s="18"/>
      <c r="R528" s="18"/>
      <c r="S528" s="18"/>
      <c r="T528" s="18"/>
      <c r="U528" s="18"/>
      <c r="V528" s="18"/>
      <c r="W528" s="18"/>
      <c r="X528" s="18"/>
      <c r="Y528" s="18"/>
      <c r="Z528" s="18"/>
      <c r="AA528" s="18"/>
      <c r="AB528" s="18"/>
      <c r="AC528" s="18"/>
      <c r="AD528" s="18"/>
      <c r="AE528" s="18"/>
      <c r="AF528" s="18"/>
      <c r="AG528" s="18"/>
    </row>
    <row r="529" spans="1:33" x14ac:dyDescent="0.2">
      <c r="A529" s="1279"/>
      <c r="B529" s="1280"/>
      <c r="C529" s="18"/>
      <c r="D529" s="18"/>
      <c r="E529" s="18"/>
      <c r="F529" s="18"/>
      <c r="G529" s="18"/>
      <c r="H529" s="18"/>
      <c r="I529" s="18"/>
      <c r="J529" s="18"/>
      <c r="K529" s="18"/>
      <c r="L529" s="12"/>
      <c r="M529" s="18"/>
      <c r="N529" s="18"/>
      <c r="O529" s="18"/>
      <c r="P529" s="18"/>
      <c r="Q529" s="18"/>
      <c r="R529" s="18"/>
      <c r="S529" s="18"/>
      <c r="T529" s="18"/>
      <c r="U529" s="18"/>
      <c r="V529" s="18"/>
      <c r="W529" s="18"/>
      <c r="X529" s="18"/>
      <c r="Y529" s="18"/>
      <c r="Z529" s="18"/>
      <c r="AA529" s="18"/>
      <c r="AB529" s="18"/>
      <c r="AC529" s="18"/>
      <c r="AD529" s="18"/>
      <c r="AE529" s="18"/>
      <c r="AF529" s="18"/>
      <c r="AG529" s="18"/>
    </row>
    <row r="530" spans="1:33" x14ac:dyDescent="0.2">
      <c r="A530" s="1279"/>
      <c r="B530" s="1280"/>
      <c r="C530" s="18"/>
      <c r="D530" s="18"/>
      <c r="E530" s="18"/>
      <c r="F530" s="18"/>
      <c r="G530" s="18"/>
      <c r="H530" s="18"/>
      <c r="I530" s="18"/>
      <c r="J530" s="18"/>
      <c r="K530" s="18"/>
      <c r="L530" s="12"/>
      <c r="M530" s="18"/>
      <c r="N530" s="18"/>
      <c r="O530" s="18"/>
      <c r="P530" s="18"/>
      <c r="Q530" s="18"/>
      <c r="R530" s="18"/>
      <c r="S530" s="18"/>
      <c r="T530" s="18"/>
      <c r="U530" s="18"/>
      <c r="V530" s="18"/>
      <c r="W530" s="18"/>
      <c r="X530" s="18"/>
      <c r="Y530" s="18"/>
      <c r="Z530" s="18"/>
      <c r="AA530" s="18"/>
      <c r="AB530" s="18"/>
      <c r="AC530" s="18"/>
      <c r="AD530" s="18"/>
      <c r="AE530" s="18"/>
      <c r="AF530" s="18"/>
      <c r="AG530" s="18"/>
    </row>
    <row r="531" spans="1:33" x14ac:dyDescent="0.2">
      <c r="A531" s="1279"/>
      <c r="B531" s="1280"/>
      <c r="C531" s="18"/>
      <c r="D531" s="18"/>
      <c r="E531" s="18"/>
      <c r="F531" s="18"/>
      <c r="G531" s="18"/>
      <c r="H531" s="18"/>
      <c r="I531" s="18"/>
      <c r="J531" s="18"/>
      <c r="K531" s="18"/>
      <c r="L531" s="12"/>
      <c r="M531" s="18"/>
      <c r="N531" s="18"/>
      <c r="O531" s="18"/>
      <c r="P531" s="18"/>
      <c r="Q531" s="18"/>
      <c r="R531" s="18"/>
      <c r="S531" s="18"/>
      <c r="T531" s="18"/>
      <c r="U531" s="18"/>
      <c r="V531" s="18"/>
      <c r="W531" s="18"/>
      <c r="X531" s="18"/>
      <c r="Y531" s="18"/>
      <c r="Z531" s="18"/>
      <c r="AA531" s="18"/>
      <c r="AB531" s="18"/>
      <c r="AC531" s="18"/>
      <c r="AD531" s="18"/>
      <c r="AE531" s="18"/>
      <c r="AF531" s="18"/>
      <c r="AG531" s="18"/>
    </row>
    <row r="532" spans="1:33" x14ac:dyDescent="0.2">
      <c r="A532" s="1279"/>
      <c r="B532" s="1280"/>
      <c r="C532" s="18"/>
      <c r="D532" s="18"/>
      <c r="E532" s="18"/>
      <c r="F532" s="18"/>
      <c r="G532" s="18"/>
      <c r="H532" s="18"/>
      <c r="I532" s="18"/>
      <c r="J532" s="18"/>
      <c r="K532" s="18"/>
      <c r="L532" s="12"/>
      <c r="M532" s="18"/>
      <c r="N532" s="18"/>
      <c r="O532" s="18"/>
      <c r="P532" s="18"/>
      <c r="Q532" s="18"/>
      <c r="R532" s="18"/>
      <c r="S532" s="18"/>
      <c r="T532" s="18"/>
      <c r="U532" s="18"/>
      <c r="V532" s="18"/>
      <c r="W532" s="18"/>
      <c r="X532" s="18"/>
      <c r="Y532" s="18"/>
      <c r="Z532" s="18"/>
      <c r="AA532" s="18"/>
      <c r="AB532" s="18"/>
      <c r="AC532" s="18"/>
      <c r="AD532" s="18"/>
      <c r="AE532" s="18"/>
      <c r="AF532" s="18"/>
      <c r="AG532" s="18"/>
    </row>
    <row r="533" spans="1:33" x14ac:dyDescent="0.2">
      <c r="A533" s="1279"/>
      <c r="B533" s="1280"/>
      <c r="C533" s="18"/>
      <c r="D533" s="18"/>
      <c r="E533" s="18"/>
      <c r="F533" s="18"/>
      <c r="G533" s="18"/>
      <c r="H533" s="18"/>
      <c r="I533" s="18"/>
      <c r="J533" s="18"/>
      <c r="K533" s="18"/>
      <c r="L533" s="12"/>
      <c r="M533" s="18"/>
      <c r="N533" s="18"/>
      <c r="O533" s="18"/>
      <c r="P533" s="18"/>
      <c r="Q533" s="18"/>
      <c r="R533" s="18"/>
      <c r="S533" s="18"/>
      <c r="T533" s="18"/>
      <c r="U533" s="18"/>
      <c r="V533" s="18"/>
      <c r="W533" s="18"/>
      <c r="X533" s="18"/>
      <c r="Y533" s="18"/>
      <c r="Z533" s="18"/>
      <c r="AA533" s="18"/>
      <c r="AB533" s="18"/>
      <c r="AC533" s="18"/>
      <c r="AD533" s="18"/>
      <c r="AE533" s="18"/>
      <c r="AF533" s="18"/>
      <c r="AG533" s="18"/>
    </row>
    <row r="534" spans="1:33" x14ac:dyDescent="0.2">
      <c r="A534" s="1279"/>
      <c r="B534" s="1280"/>
      <c r="C534" s="18"/>
      <c r="D534" s="18"/>
      <c r="E534" s="18"/>
      <c r="F534" s="18"/>
      <c r="G534" s="18"/>
      <c r="H534" s="18"/>
      <c r="I534" s="18"/>
      <c r="J534" s="18"/>
      <c r="K534" s="18"/>
      <c r="L534" s="12"/>
      <c r="M534" s="18"/>
      <c r="N534" s="18"/>
      <c r="O534" s="18"/>
      <c r="P534" s="18"/>
      <c r="Q534" s="18"/>
      <c r="R534" s="18"/>
      <c r="S534" s="18"/>
      <c r="T534" s="18"/>
      <c r="U534" s="18"/>
      <c r="V534" s="18"/>
      <c r="W534" s="18"/>
      <c r="X534" s="18"/>
      <c r="Y534" s="18"/>
      <c r="Z534" s="18"/>
      <c r="AA534" s="18"/>
      <c r="AB534" s="18"/>
      <c r="AC534" s="18"/>
      <c r="AD534" s="18"/>
      <c r="AE534" s="18"/>
      <c r="AF534" s="18"/>
      <c r="AG534" s="18"/>
    </row>
    <row r="535" spans="1:33" x14ac:dyDescent="0.2">
      <c r="A535" s="1279"/>
      <c r="B535" s="1280"/>
      <c r="C535" s="18"/>
      <c r="D535" s="18"/>
      <c r="E535" s="18"/>
      <c r="F535" s="18"/>
      <c r="G535" s="18"/>
      <c r="H535" s="18"/>
      <c r="I535" s="18"/>
      <c r="J535" s="18"/>
      <c r="K535" s="18"/>
      <c r="L535" s="12"/>
      <c r="M535" s="18"/>
      <c r="N535" s="18"/>
      <c r="O535" s="18"/>
      <c r="P535" s="18"/>
      <c r="Q535" s="18"/>
      <c r="R535" s="18"/>
      <c r="S535" s="18"/>
      <c r="T535" s="18"/>
      <c r="U535" s="18"/>
      <c r="V535" s="18"/>
      <c r="W535" s="18"/>
      <c r="X535" s="18"/>
      <c r="Y535" s="18"/>
      <c r="Z535" s="18"/>
      <c r="AA535" s="18"/>
      <c r="AB535" s="18"/>
      <c r="AC535" s="18"/>
      <c r="AD535" s="18"/>
      <c r="AE535" s="18"/>
      <c r="AF535" s="18"/>
      <c r="AG535" s="18"/>
    </row>
    <row r="536" spans="1:33" x14ac:dyDescent="0.2">
      <c r="A536" s="1279"/>
      <c r="B536" s="1280"/>
      <c r="C536" s="18"/>
      <c r="D536" s="18"/>
      <c r="E536" s="18"/>
      <c r="F536" s="18"/>
      <c r="G536" s="18"/>
      <c r="H536" s="18"/>
      <c r="I536" s="18"/>
      <c r="J536" s="18"/>
      <c r="K536" s="18"/>
      <c r="L536" s="12"/>
      <c r="M536" s="18"/>
      <c r="N536" s="18"/>
      <c r="O536" s="18"/>
      <c r="P536" s="18"/>
      <c r="Q536" s="18"/>
      <c r="R536" s="18"/>
      <c r="S536" s="18"/>
      <c r="T536" s="18"/>
      <c r="U536" s="18"/>
      <c r="V536" s="18"/>
      <c r="W536" s="18"/>
      <c r="X536" s="18"/>
      <c r="Y536" s="18"/>
      <c r="Z536" s="18"/>
      <c r="AA536" s="18"/>
      <c r="AB536" s="18"/>
      <c r="AC536" s="18"/>
      <c r="AD536" s="18"/>
      <c r="AE536" s="18"/>
      <c r="AF536" s="18"/>
      <c r="AG536" s="18"/>
    </row>
    <row r="537" spans="1:33" x14ac:dyDescent="0.2">
      <c r="A537" s="1279"/>
      <c r="B537" s="1280"/>
      <c r="C537" s="18"/>
      <c r="D537" s="18"/>
      <c r="E537" s="18"/>
      <c r="F537" s="18"/>
      <c r="G537" s="18"/>
      <c r="H537" s="18"/>
      <c r="I537" s="18"/>
      <c r="J537" s="18"/>
      <c r="K537" s="18"/>
      <c r="L537" s="12"/>
      <c r="M537" s="18"/>
      <c r="N537" s="18"/>
      <c r="O537" s="18"/>
      <c r="P537" s="18"/>
      <c r="Q537" s="18"/>
      <c r="R537" s="18"/>
      <c r="S537" s="18"/>
      <c r="T537" s="18"/>
      <c r="U537" s="18"/>
      <c r="V537" s="18"/>
      <c r="W537" s="18"/>
      <c r="X537" s="18"/>
      <c r="Y537" s="18"/>
      <c r="Z537" s="18"/>
      <c r="AA537" s="18"/>
      <c r="AB537" s="18"/>
      <c r="AC537" s="18"/>
      <c r="AD537" s="18"/>
      <c r="AE537" s="18"/>
      <c r="AF537" s="18"/>
      <c r="AG537" s="18"/>
    </row>
    <row r="538" spans="1:33" x14ac:dyDescent="0.2">
      <c r="A538" s="1279"/>
      <c r="B538" s="1280"/>
      <c r="C538" s="18"/>
      <c r="D538" s="18"/>
      <c r="E538" s="18"/>
      <c r="F538" s="18"/>
      <c r="G538" s="18"/>
      <c r="H538" s="18"/>
      <c r="I538" s="18"/>
      <c r="J538" s="18"/>
      <c r="K538" s="18"/>
      <c r="L538" s="12"/>
      <c r="M538" s="18"/>
      <c r="N538" s="18"/>
      <c r="O538" s="18"/>
      <c r="P538" s="18"/>
      <c r="Q538" s="18"/>
      <c r="R538" s="18"/>
      <c r="S538" s="18"/>
      <c r="T538" s="18"/>
      <c r="U538" s="18"/>
      <c r="V538" s="18"/>
      <c r="W538" s="18"/>
      <c r="X538" s="18"/>
      <c r="Y538" s="18"/>
      <c r="Z538" s="18"/>
      <c r="AA538" s="18"/>
      <c r="AB538" s="18"/>
      <c r="AC538" s="18"/>
      <c r="AD538" s="18"/>
      <c r="AE538" s="18"/>
      <c r="AF538" s="18"/>
      <c r="AG538" s="18"/>
    </row>
    <row r="539" spans="1:33" x14ac:dyDescent="0.2">
      <c r="A539" s="1279"/>
      <c r="B539" s="1280"/>
      <c r="C539" s="18"/>
      <c r="D539" s="18"/>
      <c r="E539" s="18"/>
      <c r="F539" s="18"/>
      <c r="G539" s="18"/>
      <c r="H539" s="18"/>
      <c r="I539" s="18"/>
      <c r="J539" s="18"/>
      <c r="K539" s="18"/>
      <c r="L539" s="12"/>
      <c r="M539" s="18"/>
      <c r="N539" s="18"/>
      <c r="O539" s="18"/>
      <c r="P539" s="18"/>
      <c r="Q539" s="18"/>
      <c r="R539" s="18"/>
      <c r="S539" s="18"/>
      <c r="T539" s="18"/>
      <c r="U539" s="18"/>
      <c r="V539" s="18"/>
      <c r="W539" s="18"/>
      <c r="X539" s="18"/>
      <c r="Y539" s="18"/>
      <c r="Z539" s="18"/>
      <c r="AA539" s="18"/>
      <c r="AB539" s="18"/>
      <c r="AC539" s="18"/>
      <c r="AD539" s="18"/>
      <c r="AE539" s="18"/>
      <c r="AF539" s="18"/>
      <c r="AG539" s="18"/>
    </row>
    <row r="540" spans="1:33" x14ac:dyDescent="0.2">
      <c r="A540" s="1279"/>
      <c r="B540" s="1280"/>
      <c r="C540" s="18"/>
      <c r="D540" s="18"/>
      <c r="E540" s="18"/>
      <c r="F540" s="18"/>
      <c r="G540" s="18"/>
      <c r="H540" s="18"/>
      <c r="I540" s="18"/>
      <c r="J540" s="18"/>
      <c r="K540" s="18"/>
      <c r="L540" s="12"/>
      <c r="M540" s="18"/>
      <c r="N540" s="18"/>
      <c r="O540" s="18"/>
      <c r="P540" s="18"/>
      <c r="Q540" s="18"/>
      <c r="R540" s="18"/>
      <c r="S540" s="18"/>
      <c r="T540" s="18"/>
      <c r="U540" s="18"/>
      <c r="V540" s="18"/>
      <c r="W540" s="18"/>
      <c r="X540" s="18"/>
      <c r="Y540" s="18"/>
      <c r="Z540" s="18"/>
      <c r="AA540" s="18"/>
      <c r="AB540" s="18"/>
      <c r="AC540" s="18"/>
      <c r="AD540" s="18"/>
      <c r="AE540" s="18"/>
      <c r="AF540" s="18"/>
      <c r="AG540" s="18"/>
    </row>
    <row r="541" spans="1:33" x14ac:dyDescent="0.2">
      <c r="A541" s="1279"/>
      <c r="B541" s="1280"/>
      <c r="C541" s="18"/>
      <c r="D541" s="18"/>
      <c r="E541" s="18"/>
      <c r="F541" s="18"/>
      <c r="G541" s="18"/>
      <c r="H541" s="18"/>
      <c r="I541" s="18"/>
      <c r="J541" s="18"/>
      <c r="K541" s="18"/>
      <c r="L541" s="12"/>
      <c r="M541" s="18"/>
      <c r="N541" s="18"/>
      <c r="O541" s="18"/>
      <c r="P541" s="18"/>
      <c r="Q541" s="18"/>
      <c r="R541" s="18"/>
      <c r="S541" s="18"/>
      <c r="T541" s="18"/>
      <c r="U541" s="18"/>
      <c r="V541" s="18"/>
      <c r="W541" s="18"/>
      <c r="X541" s="18"/>
      <c r="Y541" s="18"/>
      <c r="Z541" s="18"/>
      <c r="AA541" s="18"/>
      <c r="AB541" s="18"/>
      <c r="AC541" s="18"/>
      <c r="AD541" s="18"/>
      <c r="AE541" s="18"/>
      <c r="AF541" s="18"/>
      <c r="AG541" s="18"/>
    </row>
    <row r="542" spans="1:33" x14ac:dyDescent="0.2">
      <c r="A542" s="1279"/>
      <c r="B542" s="1280"/>
      <c r="C542" s="18"/>
      <c r="D542" s="18"/>
      <c r="E542" s="18"/>
      <c r="F542" s="18"/>
      <c r="G542" s="18"/>
      <c r="H542" s="18"/>
      <c r="I542" s="18"/>
      <c r="J542" s="18"/>
      <c r="K542" s="18"/>
      <c r="L542" s="12"/>
      <c r="M542" s="18"/>
      <c r="N542" s="18"/>
      <c r="O542" s="18"/>
      <c r="P542" s="18"/>
      <c r="Q542" s="18"/>
      <c r="R542" s="18"/>
      <c r="S542" s="18"/>
      <c r="T542" s="18"/>
      <c r="U542" s="18"/>
      <c r="V542" s="18"/>
      <c r="W542" s="18"/>
      <c r="X542" s="18"/>
      <c r="Y542" s="18"/>
      <c r="Z542" s="18"/>
      <c r="AA542" s="18"/>
      <c r="AB542" s="18"/>
      <c r="AC542" s="18"/>
      <c r="AD542" s="18"/>
      <c r="AE542" s="18"/>
      <c r="AF542" s="18"/>
      <c r="AG542" s="18"/>
    </row>
    <row r="543" spans="1:33" x14ac:dyDescent="0.2">
      <c r="A543" s="1279"/>
      <c r="B543" s="1280"/>
      <c r="C543" s="18"/>
      <c r="D543" s="18"/>
      <c r="E543" s="18"/>
      <c r="F543" s="18"/>
      <c r="G543" s="18"/>
      <c r="H543" s="18"/>
      <c r="I543" s="18"/>
      <c r="J543" s="18"/>
      <c r="K543" s="18"/>
      <c r="L543" s="12"/>
      <c r="M543" s="18"/>
      <c r="N543" s="18"/>
      <c r="O543" s="18"/>
      <c r="P543" s="18"/>
      <c r="Q543" s="18"/>
      <c r="R543" s="18"/>
      <c r="S543" s="18"/>
      <c r="T543" s="18"/>
      <c r="U543" s="18"/>
      <c r="V543" s="18"/>
      <c r="W543" s="18"/>
      <c r="X543" s="18"/>
      <c r="Y543" s="18"/>
      <c r="Z543" s="18"/>
      <c r="AA543" s="18"/>
      <c r="AB543" s="18"/>
      <c r="AC543" s="18"/>
      <c r="AD543" s="18"/>
      <c r="AE543" s="18"/>
      <c r="AF543" s="18"/>
      <c r="AG543" s="18"/>
    </row>
    <row r="544" spans="1:33" x14ac:dyDescent="0.2">
      <c r="A544" s="1279"/>
      <c r="B544" s="1280"/>
      <c r="C544" s="18"/>
      <c r="D544" s="18"/>
      <c r="E544" s="18"/>
      <c r="F544" s="18"/>
      <c r="G544" s="18"/>
      <c r="H544" s="18"/>
      <c r="I544" s="18"/>
      <c r="J544" s="18"/>
      <c r="K544" s="18"/>
      <c r="L544" s="12"/>
      <c r="M544" s="18"/>
      <c r="N544" s="18"/>
      <c r="O544" s="18"/>
      <c r="P544" s="18"/>
      <c r="Q544" s="18"/>
      <c r="R544" s="18"/>
      <c r="S544" s="18"/>
      <c r="T544" s="18"/>
      <c r="U544" s="18"/>
      <c r="V544" s="18"/>
      <c r="W544" s="18"/>
      <c r="X544" s="18"/>
      <c r="Y544" s="18"/>
      <c r="Z544" s="18"/>
      <c r="AA544" s="18"/>
      <c r="AB544" s="18"/>
      <c r="AC544" s="18"/>
      <c r="AD544" s="18"/>
      <c r="AE544" s="18"/>
      <c r="AF544" s="18"/>
      <c r="AG544" s="18"/>
    </row>
    <row r="545" spans="1:33" x14ac:dyDescent="0.2">
      <c r="A545" s="1279"/>
      <c r="B545" s="1280"/>
      <c r="C545" s="18"/>
      <c r="D545" s="18"/>
      <c r="E545" s="18"/>
      <c r="F545" s="18"/>
      <c r="G545" s="18"/>
      <c r="H545" s="18"/>
      <c r="I545" s="18"/>
      <c r="J545" s="18"/>
      <c r="K545" s="18"/>
      <c r="L545" s="12"/>
      <c r="M545" s="18"/>
      <c r="N545" s="18"/>
      <c r="O545" s="18"/>
      <c r="P545" s="18"/>
      <c r="Q545" s="18"/>
      <c r="R545" s="18"/>
      <c r="S545" s="18"/>
      <c r="T545" s="18"/>
      <c r="U545" s="18"/>
      <c r="V545" s="18"/>
      <c r="W545" s="18"/>
      <c r="X545" s="18"/>
      <c r="Y545" s="18"/>
      <c r="Z545" s="18"/>
      <c r="AA545" s="18"/>
      <c r="AB545" s="18"/>
      <c r="AC545" s="18"/>
      <c r="AD545" s="18"/>
      <c r="AE545" s="18"/>
      <c r="AF545" s="18"/>
      <c r="AG545" s="18"/>
    </row>
    <row r="546" spans="1:33" x14ac:dyDescent="0.2">
      <c r="A546" s="1279"/>
      <c r="B546" s="1280"/>
      <c r="C546" s="18"/>
      <c r="D546" s="18"/>
      <c r="E546" s="18"/>
      <c r="F546" s="18"/>
      <c r="G546" s="18"/>
      <c r="H546" s="18"/>
      <c r="I546" s="18"/>
      <c r="J546" s="18"/>
      <c r="K546" s="18"/>
      <c r="L546" s="12"/>
      <c r="M546" s="18"/>
      <c r="N546" s="18"/>
      <c r="O546" s="18"/>
      <c r="P546" s="18"/>
      <c r="Q546" s="18"/>
      <c r="R546" s="18"/>
      <c r="S546" s="18"/>
      <c r="T546" s="18"/>
      <c r="U546" s="18"/>
      <c r="V546" s="18"/>
      <c r="W546" s="18"/>
      <c r="X546" s="18"/>
      <c r="Y546" s="18"/>
      <c r="Z546" s="18"/>
      <c r="AA546" s="18"/>
      <c r="AB546" s="18"/>
      <c r="AC546" s="18"/>
      <c r="AD546" s="18"/>
      <c r="AE546" s="18"/>
      <c r="AF546" s="18"/>
      <c r="AG546" s="18"/>
    </row>
    <row r="547" spans="1:33" x14ac:dyDescent="0.2">
      <c r="A547" s="1279"/>
      <c r="B547" s="1280"/>
      <c r="C547" s="18"/>
      <c r="D547" s="18"/>
      <c r="E547" s="18"/>
      <c r="F547" s="18"/>
      <c r="G547" s="18"/>
      <c r="H547" s="18"/>
      <c r="I547" s="18"/>
      <c r="J547" s="18"/>
      <c r="K547" s="18"/>
      <c r="L547" s="12"/>
      <c r="M547" s="18"/>
      <c r="N547" s="18"/>
      <c r="O547" s="18"/>
      <c r="P547" s="18"/>
      <c r="Q547" s="18"/>
      <c r="R547" s="18"/>
      <c r="S547" s="18"/>
      <c r="T547" s="18"/>
      <c r="U547" s="18"/>
      <c r="V547" s="18"/>
      <c r="W547" s="18"/>
      <c r="X547" s="18"/>
      <c r="Y547" s="18"/>
      <c r="Z547" s="18"/>
      <c r="AA547" s="18"/>
      <c r="AB547" s="18"/>
      <c r="AC547" s="18"/>
      <c r="AD547" s="18"/>
      <c r="AE547" s="18"/>
      <c r="AF547" s="18"/>
      <c r="AG547" s="18"/>
    </row>
    <row r="548" spans="1:33" x14ac:dyDescent="0.2">
      <c r="A548" s="1279"/>
      <c r="B548" s="1280"/>
      <c r="C548" s="18"/>
      <c r="D548" s="18"/>
      <c r="E548" s="18"/>
      <c r="F548" s="18"/>
      <c r="G548" s="18"/>
      <c r="H548" s="18"/>
      <c r="I548" s="18"/>
      <c r="J548" s="18"/>
      <c r="K548" s="18"/>
      <c r="L548" s="12"/>
      <c r="M548" s="18"/>
      <c r="N548" s="18"/>
      <c r="O548" s="18"/>
      <c r="P548" s="18"/>
      <c r="Q548" s="18"/>
      <c r="R548" s="18"/>
      <c r="S548" s="18"/>
      <c r="T548" s="18"/>
      <c r="U548" s="18"/>
      <c r="V548" s="18"/>
      <c r="W548" s="18"/>
      <c r="X548" s="18"/>
      <c r="Y548" s="18"/>
      <c r="Z548" s="18"/>
      <c r="AA548" s="18"/>
      <c r="AB548" s="18"/>
      <c r="AC548" s="18"/>
      <c r="AD548" s="18"/>
      <c r="AE548" s="18"/>
      <c r="AF548" s="18"/>
      <c r="AG548" s="18"/>
    </row>
    <row r="549" spans="1:33" x14ac:dyDescent="0.2">
      <c r="A549" s="1279"/>
      <c r="B549" s="1280"/>
      <c r="C549" s="18"/>
      <c r="D549" s="18"/>
      <c r="E549" s="18"/>
      <c r="F549" s="18"/>
      <c r="G549" s="18"/>
      <c r="H549" s="18"/>
      <c r="I549" s="18"/>
      <c r="J549" s="18"/>
      <c r="K549" s="18"/>
      <c r="L549" s="12"/>
      <c r="M549" s="18"/>
      <c r="N549" s="18"/>
      <c r="O549" s="18"/>
      <c r="P549" s="18"/>
      <c r="Q549" s="18"/>
      <c r="R549" s="18"/>
      <c r="S549" s="18"/>
      <c r="T549" s="18"/>
      <c r="U549" s="18"/>
      <c r="V549" s="18"/>
      <c r="W549" s="18"/>
      <c r="X549" s="18"/>
      <c r="Y549" s="18"/>
      <c r="Z549" s="18"/>
      <c r="AA549" s="18"/>
      <c r="AB549" s="18"/>
      <c r="AC549" s="18"/>
      <c r="AD549" s="18"/>
      <c r="AE549" s="18"/>
      <c r="AF549" s="18"/>
      <c r="AG549" s="18"/>
    </row>
    <row r="550" spans="1:33" x14ac:dyDescent="0.2">
      <c r="A550" s="1279"/>
      <c r="B550" s="1280"/>
      <c r="C550" s="18"/>
      <c r="D550" s="18"/>
      <c r="E550" s="18"/>
      <c r="F550" s="18"/>
      <c r="G550" s="18"/>
      <c r="H550" s="18"/>
      <c r="I550" s="18"/>
      <c r="J550" s="18"/>
      <c r="K550" s="18"/>
      <c r="L550" s="12"/>
      <c r="M550" s="18"/>
      <c r="N550" s="18"/>
      <c r="O550" s="18"/>
      <c r="P550" s="18"/>
      <c r="Q550" s="18"/>
      <c r="R550" s="18"/>
      <c r="S550" s="18"/>
      <c r="T550" s="18"/>
      <c r="U550" s="18"/>
      <c r="V550" s="18"/>
      <c r="W550" s="18"/>
      <c r="X550" s="18"/>
      <c r="Y550" s="18"/>
      <c r="Z550" s="18"/>
      <c r="AA550" s="18"/>
      <c r="AB550" s="18"/>
      <c r="AC550" s="18"/>
      <c r="AD550" s="18"/>
      <c r="AE550" s="18"/>
      <c r="AF550" s="18"/>
      <c r="AG550" s="18"/>
    </row>
    <row r="551" spans="1:33" x14ac:dyDescent="0.2">
      <c r="A551" s="1279"/>
      <c r="B551" s="1280"/>
      <c r="C551" s="18"/>
      <c r="D551" s="18"/>
      <c r="E551" s="18"/>
      <c r="F551" s="18"/>
      <c r="G551" s="18"/>
      <c r="H551" s="18"/>
      <c r="I551" s="18"/>
      <c r="J551" s="18"/>
      <c r="K551" s="18"/>
      <c r="L551" s="12"/>
      <c r="M551" s="18"/>
      <c r="N551" s="18"/>
      <c r="O551" s="18"/>
      <c r="P551" s="18"/>
      <c r="Q551" s="18"/>
      <c r="R551" s="18"/>
      <c r="S551" s="18"/>
      <c r="T551" s="18"/>
      <c r="U551" s="18"/>
      <c r="V551" s="18"/>
      <c r="W551" s="18"/>
      <c r="X551" s="18"/>
      <c r="Y551" s="18"/>
      <c r="Z551" s="18"/>
      <c r="AA551" s="18"/>
      <c r="AB551" s="18"/>
      <c r="AC551" s="18"/>
      <c r="AD551" s="18"/>
      <c r="AE551" s="18"/>
      <c r="AF551" s="18"/>
      <c r="AG551" s="18"/>
    </row>
    <row r="552" spans="1:33" x14ac:dyDescent="0.2">
      <c r="A552" s="1279"/>
      <c r="B552" s="1280"/>
      <c r="C552" s="18"/>
      <c r="D552" s="18"/>
      <c r="E552" s="18"/>
      <c r="F552" s="18"/>
      <c r="G552" s="18"/>
      <c r="H552" s="18"/>
      <c r="I552" s="18"/>
      <c r="J552" s="18"/>
      <c r="K552" s="18"/>
      <c r="L552" s="12"/>
      <c r="M552" s="18"/>
      <c r="N552" s="18"/>
      <c r="O552" s="18"/>
      <c r="P552" s="18"/>
      <c r="Q552" s="18"/>
      <c r="R552" s="18"/>
      <c r="S552" s="18"/>
      <c r="T552" s="18"/>
      <c r="U552" s="18"/>
      <c r="V552" s="18"/>
      <c r="W552" s="18"/>
      <c r="X552" s="18"/>
      <c r="Y552" s="18"/>
      <c r="Z552" s="18"/>
      <c r="AA552" s="18"/>
      <c r="AB552" s="18"/>
      <c r="AC552" s="18"/>
      <c r="AD552" s="18"/>
      <c r="AE552" s="18"/>
      <c r="AF552" s="18"/>
      <c r="AG552" s="18"/>
    </row>
    <row r="553" spans="1:33" x14ac:dyDescent="0.2">
      <c r="A553" s="1279"/>
      <c r="B553" s="1280"/>
      <c r="C553" s="18"/>
      <c r="D553" s="18"/>
      <c r="E553" s="18"/>
      <c r="F553" s="18"/>
      <c r="G553" s="18"/>
      <c r="H553" s="18"/>
      <c r="I553" s="18"/>
      <c r="J553" s="18"/>
      <c r="K553" s="18"/>
      <c r="L553" s="12"/>
      <c r="M553" s="18"/>
      <c r="N553" s="18"/>
      <c r="O553" s="18"/>
      <c r="P553" s="18"/>
      <c r="Q553" s="18"/>
      <c r="R553" s="18"/>
      <c r="S553" s="18"/>
      <c r="T553" s="18"/>
      <c r="U553" s="18"/>
      <c r="V553" s="18"/>
      <c r="W553" s="18"/>
      <c r="X553" s="18"/>
      <c r="Y553" s="18"/>
      <c r="Z553" s="18"/>
      <c r="AA553" s="18"/>
      <c r="AB553" s="18"/>
      <c r="AC553" s="18"/>
      <c r="AD553" s="18"/>
      <c r="AE553" s="18"/>
      <c r="AF553" s="18"/>
      <c r="AG553" s="18"/>
    </row>
    <row r="554" spans="1:33" x14ac:dyDescent="0.2">
      <c r="A554" s="1279"/>
      <c r="B554" s="1280"/>
      <c r="C554" s="18"/>
      <c r="D554" s="18"/>
      <c r="E554" s="18"/>
      <c r="F554" s="18"/>
      <c r="G554" s="18"/>
      <c r="H554" s="18"/>
      <c r="I554" s="18"/>
      <c r="J554" s="18"/>
      <c r="K554" s="18"/>
      <c r="L554" s="12"/>
      <c r="M554" s="18"/>
      <c r="N554" s="18"/>
      <c r="O554" s="18"/>
      <c r="P554" s="18"/>
      <c r="Q554" s="18"/>
      <c r="R554" s="18"/>
      <c r="S554" s="18"/>
      <c r="T554" s="18"/>
      <c r="U554" s="18"/>
      <c r="V554" s="18"/>
      <c r="W554" s="18"/>
      <c r="X554" s="18"/>
      <c r="Y554" s="18"/>
      <c r="Z554" s="18"/>
      <c r="AA554" s="18"/>
      <c r="AB554" s="18"/>
      <c r="AC554" s="18"/>
      <c r="AD554" s="18"/>
      <c r="AE554" s="18"/>
      <c r="AF554" s="18"/>
      <c r="AG554" s="18"/>
    </row>
    <row r="555" spans="1:33" x14ac:dyDescent="0.2">
      <c r="A555" s="1279"/>
      <c r="B555" s="1280"/>
      <c r="C555" s="18"/>
      <c r="D555" s="18"/>
      <c r="E555" s="18"/>
      <c r="F555" s="18"/>
      <c r="G555" s="18"/>
      <c r="H555" s="18"/>
      <c r="I555" s="18"/>
      <c r="J555" s="18"/>
      <c r="K555" s="18"/>
      <c r="L555" s="12"/>
      <c r="M555" s="18"/>
      <c r="N555" s="18"/>
      <c r="O555" s="18"/>
      <c r="P555" s="18"/>
      <c r="Q555" s="18"/>
      <c r="R555" s="18"/>
      <c r="S555" s="18"/>
      <c r="T555" s="18"/>
      <c r="U555" s="18"/>
      <c r="V555" s="18"/>
      <c r="W555" s="18"/>
      <c r="X555" s="18"/>
      <c r="Y555" s="18"/>
      <c r="Z555" s="18"/>
      <c r="AA555" s="18"/>
      <c r="AB555" s="18"/>
      <c r="AC555" s="18"/>
      <c r="AD555" s="18"/>
      <c r="AE555" s="18"/>
      <c r="AF555" s="18"/>
      <c r="AG555" s="18"/>
    </row>
    <row r="556" spans="1:33" x14ac:dyDescent="0.2">
      <c r="A556" s="1279"/>
      <c r="B556" s="1280"/>
      <c r="C556" s="18"/>
      <c r="D556" s="18"/>
      <c r="E556" s="18"/>
      <c r="F556" s="18"/>
      <c r="G556" s="18"/>
      <c r="H556" s="18"/>
      <c r="I556" s="18"/>
      <c r="J556" s="18"/>
      <c r="K556" s="18"/>
      <c r="L556" s="12"/>
      <c r="M556" s="18"/>
      <c r="N556" s="18"/>
      <c r="O556" s="18"/>
      <c r="P556" s="18"/>
      <c r="Q556" s="18"/>
      <c r="R556" s="18"/>
      <c r="S556" s="18"/>
      <c r="T556" s="18"/>
      <c r="U556" s="18"/>
      <c r="V556" s="18"/>
      <c r="W556" s="18"/>
      <c r="X556" s="18"/>
      <c r="Y556" s="18"/>
      <c r="Z556" s="18"/>
      <c r="AA556" s="18"/>
      <c r="AB556" s="18"/>
      <c r="AC556" s="18"/>
      <c r="AD556" s="18"/>
      <c r="AE556" s="18"/>
      <c r="AF556" s="18"/>
      <c r="AG556" s="18"/>
    </row>
    <row r="557" spans="1:33" x14ac:dyDescent="0.2">
      <c r="A557" s="1279"/>
      <c r="B557" s="1280"/>
      <c r="C557" s="18"/>
      <c r="D557" s="18"/>
      <c r="E557" s="18"/>
      <c r="F557" s="18"/>
      <c r="G557" s="18"/>
      <c r="H557" s="18"/>
      <c r="I557" s="18"/>
      <c r="J557" s="18"/>
      <c r="K557" s="18"/>
      <c r="L557" s="12"/>
      <c r="M557" s="18"/>
      <c r="N557" s="18"/>
      <c r="O557" s="18"/>
      <c r="P557" s="18"/>
      <c r="Q557" s="18"/>
      <c r="R557" s="18"/>
      <c r="S557" s="18"/>
      <c r="T557" s="18"/>
      <c r="U557" s="18"/>
      <c r="V557" s="18"/>
      <c r="W557" s="18"/>
      <c r="X557" s="18"/>
      <c r="Y557" s="18"/>
      <c r="Z557" s="18"/>
      <c r="AA557" s="18"/>
      <c r="AB557" s="18"/>
      <c r="AC557" s="18"/>
      <c r="AD557" s="18"/>
      <c r="AE557" s="18"/>
      <c r="AF557" s="18"/>
      <c r="AG557" s="18"/>
    </row>
    <row r="558" spans="1:33" x14ac:dyDescent="0.2">
      <c r="A558" s="1279"/>
      <c r="B558" s="1280"/>
      <c r="C558" s="18"/>
      <c r="D558" s="18"/>
      <c r="E558" s="18"/>
      <c r="F558" s="18"/>
      <c r="G558" s="18"/>
      <c r="H558" s="18"/>
      <c r="I558" s="18"/>
      <c r="J558" s="18"/>
      <c r="K558" s="18"/>
      <c r="L558" s="12"/>
      <c r="M558" s="18"/>
      <c r="N558" s="18"/>
      <c r="O558" s="18"/>
      <c r="P558" s="18"/>
      <c r="Q558" s="18"/>
      <c r="R558" s="18"/>
      <c r="S558" s="18"/>
      <c r="T558" s="18"/>
      <c r="U558" s="18"/>
      <c r="V558" s="18"/>
      <c r="W558" s="18"/>
      <c r="X558" s="18"/>
      <c r="Y558" s="18"/>
      <c r="Z558" s="18"/>
      <c r="AA558" s="18"/>
      <c r="AB558" s="18"/>
      <c r="AC558" s="18"/>
      <c r="AD558" s="18"/>
      <c r="AE558" s="18"/>
      <c r="AF558" s="18"/>
      <c r="AG558" s="18"/>
    </row>
    <row r="559" spans="1:33" x14ac:dyDescent="0.2">
      <c r="A559" s="1279"/>
      <c r="B559" s="1280"/>
      <c r="C559" s="18"/>
      <c r="D559" s="18"/>
      <c r="E559" s="18"/>
      <c r="F559" s="18"/>
      <c r="G559" s="18"/>
      <c r="H559" s="18"/>
      <c r="I559" s="18"/>
      <c r="J559" s="18"/>
      <c r="K559" s="18"/>
      <c r="L559" s="12"/>
      <c r="M559" s="18"/>
      <c r="N559" s="18"/>
      <c r="O559" s="18"/>
      <c r="P559" s="18"/>
      <c r="Q559" s="18"/>
      <c r="R559" s="18"/>
      <c r="S559" s="18"/>
      <c r="T559" s="18"/>
      <c r="U559" s="18"/>
      <c r="V559" s="18"/>
      <c r="W559" s="18"/>
      <c r="X559" s="18"/>
      <c r="Y559" s="18"/>
      <c r="Z559" s="18"/>
      <c r="AA559" s="18"/>
      <c r="AB559" s="18"/>
      <c r="AC559" s="18"/>
      <c r="AD559" s="18"/>
      <c r="AE559" s="18"/>
      <c r="AF559" s="18"/>
      <c r="AG559" s="18"/>
    </row>
    <row r="560" spans="1:33" x14ac:dyDescent="0.2">
      <c r="A560" s="1279"/>
      <c r="B560" s="1280"/>
      <c r="C560" s="18"/>
      <c r="D560" s="18"/>
      <c r="E560" s="18"/>
      <c r="F560" s="18"/>
      <c r="G560" s="18"/>
      <c r="H560" s="18"/>
      <c r="I560" s="18"/>
      <c r="J560" s="18"/>
      <c r="K560" s="18"/>
      <c r="L560" s="12"/>
      <c r="M560" s="18"/>
      <c r="N560" s="18"/>
      <c r="O560" s="18"/>
      <c r="P560" s="18"/>
      <c r="Q560" s="18"/>
      <c r="R560" s="18"/>
      <c r="S560" s="18"/>
      <c r="T560" s="18"/>
      <c r="U560" s="18"/>
      <c r="V560" s="18"/>
      <c r="W560" s="18"/>
      <c r="X560" s="18"/>
      <c r="Y560" s="18"/>
      <c r="Z560" s="18"/>
      <c r="AA560" s="18"/>
      <c r="AB560" s="18"/>
      <c r="AC560" s="18"/>
      <c r="AD560" s="18"/>
      <c r="AE560" s="18"/>
      <c r="AF560" s="18"/>
      <c r="AG560" s="18"/>
    </row>
    <row r="561" spans="1:33" x14ac:dyDescent="0.2">
      <c r="A561" s="1279"/>
      <c r="B561" s="1280"/>
      <c r="C561" s="18"/>
      <c r="D561" s="18"/>
      <c r="E561" s="18"/>
      <c r="F561" s="18"/>
      <c r="G561" s="18"/>
      <c r="H561" s="18"/>
      <c r="I561" s="18"/>
      <c r="J561" s="18"/>
      <c r="K561" s="18"/>
      <c r="L561" s="12"/>
      <c r="M561" s="18"/>
      <c r="N561" s="18"/>
      <c r="O561" s="18"/>
      <c r="P561" s="18"/>
      <c r="Q561" s="18"/>
      <c r="R561" s="18"/>
      <c r="S561" s="18"/>
      <c r="T561" s="18"/>
      <c r="U561" s="18"/>
      <c r="V561" s="18"/>
      <c r="W561" s="18"/>
      <c r="X561" s="18"/>
      <c r="Y561" s="18"/>
      <c r="Z561" s="18"/>
      <c r="AA561" s="18"/>
      <c r="AB561" s="18"/>
      <c r="AC561" s="18"/>
      <c r="AD561" s="18"/>
      <c r="AE561" s="18"/>
      <c r="AF561" s="18"/>
      <c r="AG561" s="18"/>
    </row>
    <row r="562" spans="1:33" x14ac:dyDescent="0.2">
      <c r="A562" s="1279"/>
      <c r="B562" s="1280"/>
      <c r="C562" s="18"/>
      <c r="D562" s="18"/>
      <c r="E562" s="18"/>
      <c r="F562" s="18"/>
      <c r="G562" s="18"/>
      <c r="H562" s="18"/>
      <c r="I562" s="18"/>
      <c r="J562" s="18"/>
      <c r="K562" s="18"/>
      <c r="L562" s="12"/>
      <c r="M562" s="18"/>
      <c r="N562" s="18"/>
      <c r="O562" s="18"/>
      <c r="P562" s="18"/>
      <c r="Q562" s="18"/>
      <c r="R562" s="18"/>
      <c r="S562" s="18"/>
      <c r="T562" s="18"/>
      <c r="U562" s="18"/>
      <c r="V562" s="18"/>
      <c r="W562" s="18"/>
      <c r="X562" s="18"/>
      <c r="Y562" s="18"/>
      <c r="Z562" s="18"/>
      <c r="AA562" s="18"/>
      <c r="AB562" s="18"/>
      <c r="AC562" s="18"/>
      <c r="AD562" s="18"/>
      <c r="AE562" s="18"/>
      <c r="AF562" s="18"/>
      <c r="AG562" s="18"/>
    </row>
    <row r="563" spans="1:33" x14ac:dyDescent="0.2">
      <c r="A563" s="1279"/>
      <c r="B563" s="1280"/>
      <c r="C563" s="18"/>
      <c r="D563" s="18"/>
      <c r="E563" s="18"/>
      <c r="F563" s="18"/>
      <c r="G563" s="18"/>
      <c r="H563" s="18"/>
      <c r="I563" s="18"/>
      <c r="J563" s="18"/>
      <c r="K563" s="18"/>
      <c r="L563" s="12"/>
      <c r="M563" s="18"/>
      <c r="N563" s="18"/>
      <c r="O563" s="18"/>
      <c r="P563" s="18"/>
      <c r="Q563" s="18"/>
      <c r="R563" s="18"/>
      <c r="S563" s="18"/>
      <c r="T563" s="18"/>
      <c r="U563" s="18"/>
      <c r="V563" s="18"/>
      <c r="W563" s="18"/>
      <c r="X563" s="18"/>
      <c r="Y563" s="18"/>
      <c r="Z563" s="18"/>
      <c r="AA563" s="18"/>
      <c r="AB563" s="18"/>
      <c r="AC563" s="18"/>
      <c r="AD563" s="18"/>
      <c r="AE563" s="18"/>
      <c r="AF563" s="18"/>
      <c r="AG563" s="18"/>
    </row>
    <row r="564" spans="1:33" x14ac:dyDescent="0.2">
      <c r="A564" s="1279"/>
      <c r="B564" s="1280"/>
      <c r="C564" s="18"/>
      <c r="D564" s="18"/>
      <c r="E564" s="18"/>
      <c r="F564" s="18"/>
      <c r="G564" s="18"/>
      <c r="H564" s="18"/>
      <c r="I564" s="18"/>
      <c r="J564" s="18"/>
      <c r="K564" s="18"/>
      <c r="L564" s="12"/>
      <c r="M564" s="18"/>
      <c r="N564" s="18"/>
      <c r="O564" s="18"/>
      <c r="P564" s="18"/>
      <c r="Q564" s="18"/>
      <c r="R564" s="18"/>
      <c r="S564" s="18"/>
      <c r="T564" s="18"/>
      <c r="U564" s="18"/>
      <c r="V564" s="18"/>
      <c r="W564" s="18"/>
      <c r="X564" s="18"/>
      <c r="Y564" s="18"/>
      <c r="Z564" s="18"/>
      <c r="AA564" s="18"/>
      <c r="AB564" s="18"/>
      <c r="AC564" s="18"/>
      <c r="AD564" s="18"/>
      <c r="AE564" s="18"/>
      <c r="AF564" s="18"/>
      <c r="AG564" s="18"/>
    </row>
    <row r="565" spans="1:33" x14ac:dyDescent="0.2">
      <c r="A565" s="1279"/>
      <c r="B565" s="1280"/>
      <c r="C565" s="18"/>
      <c r="D565" s="18"/>
      <c r="E565" s="18"/>
      <c r="F565" s="18"/>
      <c r="G565" s="18"/>
      <c r="H565" s="18"/>
      <c r="I565" s="18"/>
      <c r="J565" s="18"/>
      <c r="K565" s="18"/>
      <c r="L565" s="12"/>
      <c r="M565" s="18"/>
      <c r="N565" s="18"/>
      <c r="O565" s="18"/>
      <c r="P565" s="18"/>
      <c r="Q565" s="18"/>
      <c r="R565" s="18"/>
      <c r="S565" s="18"/>
      <c r="T565" s="18"/>
      <c r="U565" s="18"/>
      <c r="V565" s="18"/>
      <c r="W565" s="18"/>
      <c r="X565" s="18"/>
      <c r="Y565" s="18"/>
      <c r="Z565" s="18"/>
      <c r="AA565" s="18"/>
      <c r="AB565" s="18"/>
      <c r="AC565" s="18"/>
      <c r="AD565" s="18"/>
      <c r="AE565" s="18"/>
      <c r="AF565" s="18"/>
      <c r="AG565" s="18"/>
    </row>
    <row r="566" spans="1:33" x14ac:dyDescent="0.2">
      <c r="A566" s="1279"/>
      <c r="B566" s="1280"/>
      <c r="C566" s="18"/>
      <c r="D566" s="18"/>
      <c r="E566" s="18"/>
      <c r="F566" s="18"/>
      <c r="G566" s="18"/>
      <c r="H566" s="18"/>
      <c r="I566" s="18"/>
      <c r="J566" s="18"/>
      <c r="K566" s="18"/>
      <c r="L566" s="12"/>
      <c r="M566" s="18"/>
      <c r="N566" s="18"/>
      <c r="O566" s="18"/>
      <c r="P566" s="18"/>
      <c r="Q566" s="18"/>
      <c r="R566" s="18"/>
      <c r="S566" s="18"/>
      <c r="T566" s="18"/>
      <c r="U566" s="18"/>
      <c r="V566" s="18"/>
      <c r="W566" s="18"/>
      <c r="X566" s="18"/>
      <c r="Y566" s="18"/>
      <c r="Z566" s="18"/>
      <c r="AA566" s="18"/>
      <c r="AB566" s="18"/>
      <c r="AC566" s="18"/>
      <c r="AD566" s="18"/>
      <c r="AE566" s="18"/>
      <c r="AF566" s="18"/>
      <c r="AG566" s="18"/>
    </row>
    <row r="567" spans="1:33" x14ac:dyDescent="0.2">
      <c r="A567" s="1279"/>
      <c r="B567" s="1280"/>
      <c r="C567" s="18"/>
      <c r="D567" s="18"/>
      <c r="E567" s="18"/>
      <c r="F567" s="18"/>
      <c r="G567" s="18"/>
      <c r="H567" s="18"/>
      <c r="I567" s="18"/>
      <c r="J567" s="18"/>
      <c r="K567" s="18"/>
      <c r="L567" s="12"/>
      <c r="M567" s="18"/>
      <c r="N567" s="18"/>
      <c r="O567" s="18"/>
      <c r="P567" s="18"/>
      <c r="Q567" s="18"/>
      <c r="R567" s="18"/>
      <c r="S567" s="18"/>
      <c r="T567" s="18"/>
      <c r="U567" s="18"/>
      <c r="V567" s="18"/>
      <c r="W567" s="18"/>
      <c r="X567" s="18"/>
      <c r="Y567" s="18"/>
      <c r="Z567" s="18"/>
      <c r="AA567" s="18"/>
      <c r="AB567" s="18"/>
      <c r="AC567" s="18"/>
      <c r="AD567" s="18"/>
      <c r="AE567" s="18"/>
      <c r="AF567" s="18"/>
      <c r="AG567" s="18"/>
    </row>
    <row r="568" spans="1:33" x14ac:dyDescent="0.2">
      <c r="A568" s="1279"/>
      <c r="B568" s="1280"/>
      <c r="C568" s="18"/>
      <c r="D568" s="18"/>
      <c r="E568" s="18"/>
      <c r="F568" s="18"/>
      <c r="G568" s="18"/>
      <c r="H568" s="18"/>
      <c r="I568" s="18"/>
      <c r="J568" s="18"/>
      <c r="K568" s="18"/>
      <c r="L568" s="12"/>
      <c r="M568" s="18"/>
      <c r="N568" s="18"/>
      <c r="O568" s="18"/>
      <c r="P568" s="18"/>
      <c r="Q568" s="18"/>
      <c r="R568" s="18"/>
      <c r="S568" s="18"/>
      <c r="T568" s="18"/>
      <c r="U568" s="18"/>
      <c r="V568" s="18"/>
      <c r="W568" s="18"/>
      <c r="X568" s="18"/>
      <c r="Y568" s="18"/>
      <c r="Z568" s="18"/>
      <c r="AA568" s="18"/>
      <c r="AB568" s="18"/>
      <c r="AC568" s="18"/>
      <c r="AD568" s="18"/>
      <c r="AE568" s="18"/>
      <c r="AF568" s="18"/>
      <c r="AG568" s="18"/>
    </row>
    <row r="569" spans="1:33" x14ac:dyDescent="0.2">
      <c r="A569" s="1279"/>
      <c r="B569" s="1280"/>
      <c r="C569" s="18"/>
      <c r="D569" s="18"/>
      <c r="E569" s="18"/>
      <c r="F569" s="18"/>
      <c r="G569" s="18"/>
      <c r="H569" s="18"/>
      <c r="I569" s="18"/>
      <c r="J569" s="18"/>
      <c r="K569" s="18"/>
      <c r="L569" s="12"/>
      <c r="M569" s="18"/>
      <c r="N569" s="18"/>
      <c r="O569" s="18"/>
      <c r="P569" s="18"/>
      <c r="Q569" s="18"/>
      <c r="R569" s="18"/>
      <c r="S569" s="18"/>
      <c r="T569" s="18"/>
      <c r="U569" s="18"/>
      <c r="V569" s="18"/>
      <c r="W569" s="18"/>
      <c r="X569" s="18"/>
      <c r="Y569" s="18"/>
      <c r="Z569" s="18"/>
      <c r="AA569" s="18"/>
      <c r="AB569" s="18"/>
      <c r="AC569" s="18"/>
      <c r="AD569" s="18"/>
      <c r="AE569" s="18"/>
      <c r="AF569" s="18"/>
      <c r="AG569" s="18"/>
    </row>
    <row r="570" spans="1:33" x14ac:dyDescent="0.2">
      <c r="A570" s="1279"/>
      <c r="B570" s="1280"/>
      <c r="C570" s="18"/>
      <c r="D570" s="18"/>
      <c r="E570" s="18"/>
      <c r="F570" s="18"/>
      <c r="G570" s="18"/>
      <c r="H570" s="18"/>
      <c r="I570" s="18"/>
      <c r="J570" s="18"/>
      <c r="K570" s="18"/>
      <c r="L570" s="12"/>
      <c r="M570" s="18"/>
      <c r="N570" s="18"/>
      <c r="O570" s="18"/>
      <c r="P570" s="18"/>
      <c r="Q570" s="18"/>
      <c r="R570" s="18"/>
      <c r="S570" s="18"/>
      <c r="T570" s="18"/>
      <c r="U570" s="18"/>
      <c r="V570" s="18"/>
      <c r="W570" s="18"/>
      <c r="X570" s="18"/>
      <c r="Y570" s="18"/>
      <c r="Z570" s="18"/>
      <c r="AA570" s="18"/>
      <c r="AB570" s="18"/>
      <c r="AC570" s="18"/>
      <c r="AD570" s="18"/>
      <c r="AE570" s="18"/>
      <c r="AF570" s="18"/>
      <c r="AG570" s="18"/>
    </row>
    <row r="571" spans="1:33" x14ac:dyDescent="0.2">
      <c r="A571" s="1279"/>
      <c r="B571" s="1280"/>
      <c r="C571" s="18"/>
      <c r="D571" s="18"/>
      <c r="E571" s="18"/>
      <c r="F571" s="18"/>
      <c r="G571" s="18"/>
      <c r="H571" s="18"/>
      <c r="I571" s="18"/>
      <c r="J571" s="18"/>
      <c r="K571" s="18"/>
      <c r="L571" s="12"/>
      <c r="M571" s="18"/>
      <c r="N571" s="18"/>
      <c r="O571" s="18"/>
      <c r="P571" s="18"/>
      <c r="Q571" s="18"/>
      <c r="R571" s="18"/>
      <c r="S571" s="18"/>
      <c r="T571" s="18"/>
      <c r="U571" s="18"/>
      <c r="V571" s="18"/>
      <c r="W571" s="18"/>
      <c r="X571" s="18"/>
      <c r="Y571" s="18"/>
      <c r="Z571" s="18"/>
      <c r="AA571" s="18"/>
      <c r="AB571" s="18"/>
      <c r="AC571" s="18"/>
      <c r="AD571" s="18"/>
      <c r="AE571" s="18"/>
      <c r="AF571" s="18"/>
      <c r="AG571" s="18"/>
    </row>
    <row r="572" spans="1:33" x14ac:dyDescent="0.2">
      <c r="A572" s="1279"/>
      <c r="B572" s="1280"/>
      <c r="C572" s="18"/>
      <c r="D572" s="18"/>
      <c r="E572" s="18"/>
      <c r="F572" s="18"/>
      <c r="G572" s="18"/>
      <c r="H572" s="18"/>
      <c r="I572" s="18"/>
      <c r="J572" s="18"/>
      <c r="K572" s="18"/>
      <c r="L572" s="12"/>
      <c r="M572" s="18"/>
      <c r="N572" s="18"/>
      <c r="O572" s="18"/>
      <c r="P572" s="18"/>
      <c r="Q572" s="18"/>
      <c r="R572" s="18"/>
      <c r="S572" s="18"/>
      <c r="T572" s="18"/>
      <c r="U572" s="18"/>
      <c r="V572" s="18"/>
      <c r="W572" s="18"/>
      <c r="X572" s="18"/>
      <c r="Y572" s="18"/>
      <c r="Z572" s="18"/>
      <c r="AA572" s="18"/>
      <c r="AB572" s="18"/>
      <c r="AC572" s="18"/>
      <c r="AD572" s="18"/>
      <c r="AE572" s="18"/>
      <c r="AF572" s="18"/>
      <c r="AG572" s="18"/>
    </row>
    <row r="573" spans="1:33" x14ac:dyDescent="0.2">
      <c r="A573" s="1279"/>
      <c r="B573" s="1280"/>
      <c r="C573" s="18"/>
      <c r="D573" s="18"/>
      <c r="E573" s="18"/>
      <c r="F573" s="18"/>
      <c r="G573" s="18"/>
      <c r="H573" s="18"/>
      <c r="I573" s="18"/>
      <c r="J573" s="18"/>
      <c r="K573" s="18"/>
      <c r="L573" s="12"/>
      <c r="M573" s="18"/>
      <c r="N573" s="18"/>
      <c r="O573" s="18"/>
      <c r="P573" s="18"/>
      <c r="Q573" s="18"/>
      <c r="R573" s="18"/>
      <c r="S573" s="18"/>
      <c r="T573" s="18"/>
      <c r="U573" s="18"/>
      <c r="V573" s="18"/>
      <c r="W573" s="18"/>
      <c r="X573" s="18"/>
      <c r="Y573" s="18"/>
      <c r="Z573" s="18"/>
      <c r="AA573" s="18"/>
      <c r="AB573" s="18"/>
      <c r="AC573" s="18"/>
      <c r="AD573" s="18"/>
      <c r="AE573" s="18"/>
      <c r="AF573" s="18"/>
      <c r="AG573" s="18"/>
    </row>
    <row r="574" spans="1:33" x14ac:dyDescent="0.2">
      <c r="A574" s="1279"/>
      <c r="B574" s="1280"/>
      <c r="C574" s="18"/>
      <c r="D574" s="18"/>
      <c r="E574" s="18"/>
      <c r="F574" s="18"/>
      <c r="G574" s="18"/>
      <c r="H574" s="18"/>
      <c r="I574" s="18"/>
      <c r="J574" s="18"/>
      <c r="K574" s="18"/>
      <c r="L574" s="12"/>
      <c r="M574" s="18"/>
      <c r="N574" s="18"/>
      <c r="O574" s="18"/>
      <c r="P574" s="18"/>
      <c r="Q574" s="18"/>
      <c r="R574" s="18"/>
      <c r="S574" s="18"/>
      <c r="T574" s="18"/>
      <c r="U574" s="18"/>
      <c r="V574" s="18"/>
      <c r="W574" s="18"/>
      <c r="X574" s="18"/>
      <c r="Y574" s="18"/>
      <c r="Z574" s="18"/>
      <c r="AA574" s="18"/>
      <c r="AB574" s="18"/>
      <c r="AC574" s="18"/>
      <c r="AD574" s="18"/>
      <c r="AE574" s="18"/>
      <c r="AF574" s="18"/>
      <c r="AG574" s="18"/>
    </row>
    <row r="575" spans="1:33" x14ac:dyDescent="0.2">
      <c r="A575" s="1279"/>
      <c r="B575" s="1280"/>
      <c r="C575" s="18"/>
      <c r="D575" s="18"/>
      <c r="E575" s="18"/>
      <c r="F575" s="18"/>
      <c r="G575" s="18"/>
      <c r="H575" s="18"/>
      <c r="I575" s="18"/>
      <c r="J575" s="18"/>
      <c r="K575" s="18"/>
      <c r="L575" s="12"/>
      <c r="M575" s="18"/>
      <c r="N575" s="18"/>
      <c r="O575" s="18"/>
      <c r="P575" s="18"/>
      <c r="Q575" s="18"/>
      <c r="R575" s="18"/>
      <c r="S575" s="18"/>
      <c r="T575" s="18"/>
      <c r="U575" s="18"/>
      <c r="V575" s="18"/>
      <c r="W575" s="18"/>
      <c r="X575" s="18"/>
      <c r="Y575" s="18"/>
      <c r="Z575" s="18"/>
      <c r="AA575" s="18"/>
      <c r="AB575" s="18"/>
      <c r="AC575" s="18"/>
      <c r="AD575" s="18"/>
      <c r="AE575" s="18"/>
      <c r="AF575" s="18"/>
      <c r="AG575" s="18"/>
    </row>
    <row r="576" spans="1:33" x14ac:dyDescent="0.2">
      <c r="A576" s="1279"/>
      <c r="B576" s="1280"/>
      <c r="C576" s="18"/>
      <c r="D576" s="18"/>
      <c r="E576" s="18"/>
      <c r="F576" s="18"/>
      <c r="G576" s="18"/>
      <c r="H576" s="18"/>
      <c r="I576" s="18"/>
      <c r="J576" s="18"/>
      <c r="K576" s="18"/>
      <c r="L576" s="12"/>
      <c r="M576" s="18"/>
      <c r="N576" s="18"/>
      <c r="O576" s="18"/>
      <c r="P576" s="18"/>
      <c r="Q576" s="18"/>
      <c r="R576" s="18"/>
      <c r="S576" s="18"/>
      <c r="T576" s="18"/>
      <c r="U576" s="18"/>
      <c r="V576" s="18"/>
      <c r="W576" s="18"/>
      <c r="X576" s="18"/>
      <c r="Y576" s="18"/>
      <c r="Z576" s="18"/>
      <c r="AA576" s="18"/>
      <c r="AB576" s="18"/>
      <c r="AC576" s="18"/>
      <c r="AD576" s="18"/>
      <c r="AE576" s="18"/>
      <c r="AF576" s="18"/>
      <c r="AG576" s="18"/>
    </row>
    <row r="577" spans="1:33" x14ac:dyDescent="0.2">
      <c r="A577" s="1279"/>
      <c r="B577" s="1280"/>
      <c r="C577" s="18"/>
      <c r="D577" s="18"/>
      <c r="E577" s="18"/>
      <c r="F577" s="18"/>
      <c r="G577" s="18"/>
      <c r="H577" s="18"/>
      <c r="I577" s="18"/>
      <c r="J577" s="18"/>
      <c r="K577" s="18"/>
      <c r="L577" s="12"/>
      <c r="M577" s="18"/>
      <c r="N577" s="18"/>
      <c r="O577" s="18"/>
      <c r="P577" s="18"/>
      <c r="Q577" s="18"/>
      <c r="R577" s="18"/>
      <c r="S577" s="18"/>
      <c r="T577" s="18"/>
      <c r="U577" s="18"/>
      <c r="V577" s="18"/>
      <c r="W577" s="18"/>
      <c r="X577" s="18"/>
      <c r="Y577" s="18"/>
      <c r="Z577" s="18"/>
      <c r="AA577" s="18"/>
      <c r="AB577" s="18"/>
      <c r="AC577" s="18"/>
      <c r="AD577" s="18"/>
      <c r="AE577" s="18"/>
      <c r="AF577" s="18"/>
      <c r="AG577" s="18"/>
    </row>
    <row r="578" spans="1:33" x14ac:dyDescent="0.2">
      <c r="A578" s="1279"/>
      <c r="B578" s="1280"/>
      <c r="C578" s="18"/>
      <c r="D578" s="18"/>
      <c r="E578" s="18"/>
      <c r="F578" s="18"/>
      <c r="G578" s="18"/>
      <c r="H578" s="18"/>
      <c r="I578" s="18"/>
      <c r="J578" s="18"/>
      <c r="K578" s="18"/>
      <c r="L578" s="12"/>
      <c r="M578" s="18"/>
      <c r="N578" s="18"/>
      <c r="O578" s="18"/>
      <c r="P578" s="18"/>
      <c r="Q578" s="18"/>
      <c r="R578" s="18"/>
      <c r="S578" s="18"/>
      <c r="T578" s="18"/>
      <c r="U578" s="18"/>
      <c r="V578" s="18"/>
      <c r="W578" s="18"/>
      <c r="X578" s="18"/>
      <c r="Y578" s="18"/>
      <c r="Z578" s="18"/>
      <c r="AA578" s="18"/>
      <c r="AB578" s="18"/>
      <c r="AC578" s="18"/>
      <c r="AD578" s="18"/>
      <c r="AE578" s="18"/>
      <c r="AF578" s="18"/>
      <c r="AG578" s="18"/>
    </row>
    <row r="579" spans="1:33" x14ac:dyDescent="0.2">
      <c r="A579" s="1279"/>
      <c r="B579" s="1280"/>
      <c r="C579" s="18"/>
      <c r="D579" s="18"/>
      <c r="E579" s="18"/>
      <c r="F579" s="18"/>
      <c r="G579" s="18"/>
      <c r="H579" s="18"/>
      <c r="I579" s="18"/>
      <c r="J579" s="18"/>
      <c r="K579" s="18"/>
      <c r="L579" s="12"/>
      <c r="M579" s="18"/>
      <c r="N579" s="18"/>
      <c r="O579" s="18"/>
      <c r="P579" s="18"/>
      <c r="Q579" s="18"/>
      <c r="R579" s="18"/>
      <c r="S579" s="18"/>
      <c r="T579" s="18"/>
      <c r="U579" s="18"/>
      <c r="V579" s="18"/>
      <c r="W579" s="18"/>
      <c r="X579" s="18"/>
      <c r="Y579" s="18"/>
      <c r="Z579" s="18"/>
      <c r="AA579" s="18"/>
      <c r="AB579" s="18"/>
      <c r="AC579" s="18"/>
      <c r="AD579" s="18"/>
      <c r="AE579" s="18"/>
      <c r="AF579" s="18"/>
      <c r="AG579" s="18"/>
    </row>
    <row r="580" spans="1:33" x14ac:dyDescent="0.2">
      <c r="A580" s="1279"/>
      <c r="B580" s="1280"/>
      <c r="C580" s="18"/>
      <c r="D580" s="18"/>
      <c r="E580" s="18"/>
      <c r="F580" s="18"/>
      <c r="G580" s="18"/>
      <c r="H580" s="18"/>
      <c r="I580" s="18"/>
      <c r="J580" s="18"/>
      <c r="K580" s="18"/>
      <c r="L580" s="12"/>
      <c r="M580" s="18"/>
      <c r="N580" s="18"/>
      <c r="O580" s="18"/>
      <c r="P580" s="18"/>
      <c r="Q580" s="18"/>
      <c r="R580" s="18"/>
      <c r="S580" s="18"/>
      <c r="T580" s="18"/>
      <c r="U580" s="18"/>
      <c r="V580" s="18"/>
      <c r="W580" s="18"/>
      <c r="X580" s="18"/>
      <c r="Y580" s="18"/>
      <c r="Z580" s="18"/>
      <c r="AA580" s="18"/>
      <c r="AB580" s="18"/>
      <c r="AC580" s="18"/>
      <c r="AD580" s="18"/>
      <c r="AE580" s="18"/>
      <c r="AF580" s="18"/>
      <c r="AG580" s="18"/>
    </row>
    <row r="581" spans="1:33" x14ac:dyDescent="0.2">
      <c r="A581" s="1279"/>
      <c r="B581" s="1280"/>
      <c r="C581" s="18"/>
      <c r="D581" s="18"/>
      <c r="E581" s="18"/>
      <c r="F581" s="18"/>
      <c r="G581" s="18"/>
      <c r="H581" s="18"/>
      <c r="I581" s="18"/>
      <c r="J581" s="18"/>
      <c r="K581" s="18"/>
      <c r="L581" s="12"/>
      <c r="M581" s="18"/>
      <c r="N581" s="18"/>
      <c r="O581" s="18"/>
      <c r="P581" s="18"/>
      <c r="Q581" s="18"/>
      <c r="R581" s="18"/>
      <c r="S581" s="18"/>
      <c r="T581" s="18"/>
      <c r="U581" s="18"/>
      <c r="V581" s="18"/>
      <c r="W581" s="18"/>
      <c r="X581" s="18"/>
      <c r="Y581" s="18"/>
      <c r="Z581" s="18"/>
      <c r="AA581" s="18"/>
      <c r="AB581" s="18"/>
      <c r="AC581" s="18"/>
      <c r="AD581" s="18"/>
      <c r="AE581" s="18"/>
      <c r="AF581" s="18"/>
      <c r="AG581" s="18"/>
    </row>
    <row r="582" spans="1:33" x14ac:dyDescent="0.2">
      <c r="A582" s="1279"/>
      <c r="B582" s="1280"/>
      <c r="C582" s="18"/>
      <c r="D582" s="18"/>
      <c r="E582" s="18"/>
      <c r="F582" s="18"/>
      <c r="G582" s="18"/>
      <c r="H582" s="18"/>
      <c r="I582" s="18"/>
      <c r="J582" s="18"/>
      <c r="K582" s="18"/>
      <c r="L582" s="12"/>
      <c r="M582" s="18"/>
      <c r="N582" s="18"/>
      <c r="O582" s="18"/>
      <c r="P582" s="18"/>
      <c r="Q582" s="18"/>
      <c r="R582" s="18"/>
      <c r="S582" s="18"/>
      <c r="T582" s="18"/>
      <c r="U582" s="18"/>
      <c r="V582" s="18"/>
      <c r="W582" s="18"/>
      <c r="X582" s="18"/>
      <c r="Y582" s="18"/>
      <c r="Z582" s="18"/>
      <c r="AA582" s="18"/>
      <c r="AB582" s="18"/>
      <c r="AC582" s="18"/>
      <c r="AD582" s="18"/>
      <c r="AE582" s="18"/>
      <c r="AF582" s="18"/>
      <c r="AG582" s="18"/>
    </row>
    <row r="583" spans="1:33" x14ac:dyDescent="0.2">
      <c r="A583" s="1279"/>
      <c r="B583" s="1280"/>
      <c r="C583" s="18"/>
      <c r="D583" s="18"/>
      <c r="E583" s="18"/>
      <c r="F583" s="18"/>
      <c r="G583" s="18"/>
      <c r="H583" s="18"/>
      <c r="I583" s="18"/>
      <c r="J583" s="18"/>
      <c r="K583" s="18"/>
      <c r="L583" s="12"/>
      <c r="M583" s="18"/>
      <c r="N583" s="18"/>
      <c r="O583" s="18"/>
      <c r="P583" s="18"/>
      <c r="Q583" s="18"/>
      <c r="R583" s="18"/>
      <c r="S583" s="18"/>
      <c r="T583" s="18"/>
      <c r="U583" s="18"/>
      <c r="V583" s="18"/>
      <c r="W583" s="18"/>
      <c r="X583" s="18"/>
      <c r="Y583" s="18"/>
      <c r="Z583" s="18"/>
      <c r="AA583" s="18"/>
      <c r="AB583" s="18"/>
      <c r="AC583" s="18"/>
      <c r="AD583" s="18"/>
      <c r="AE583" s="18"/>
      <c r="AF583" s="18"/>
      <c r="AG583" s="18"/>
    </row>
    <row r="584" spans="1:33" x14ac:dyDescent="0.2">
      <c r="A584" s="1279"/>
      <c r="B584" s="1280"/>
      <c r="C584" s="18"/>
      <c r="D584" s="18"/>
      <c r="E584" s="18"/>
      <c r="F584" s="18"/>
      <c r="G584" s="18"/>
      <c r="H584" s="18"/>
      <c r="I584" s="18"/>
      <c r="J584" s="18"/>
      <c r="K584" s="18"/>
      <c r="L584" s="12"/>
      <c r="M584" s="18"/>
      <c r="N584" s="18"/>
      <c r="O584" s="18"/>
      <c r="P584" s="18"/>
      <c r="Q584" s="18"/>
      <c r="R584" s="18"/>
      <c r="S584" s="18"/>
      <c r="T584" s="18"/>
      <c r="U584" s="18"/>
      <c r="V584" s="18"/>
      <c r="W584" s="18"/>
      <c r="X584" s="18"/>
      <c r="Y584" s="18"/>
      <c r="Z584" s="18"/>
      <c r="AA584" s="18"/>
      <c r="AB584" s="18"/>
      <c r="AC584" s="18"/>
      <c r="AD584" s="18"/>
      <c r="AE584" s="18"/>
      <c r="AF584" s="18"/>
      <c r="AG584" s="18"/>
    </row>
    <row r="585" spans="1:33" x14ac:dyDescent="0.2">
      <c r="A585" s="1279"/>
      <c r="B585" s="1280"/>
      <c r="C585" s="18"/>
      <c r="D585" s="18"/>
      <c r="E585" s="18"/>
      <c r="F585" s="18"/>
      <c r="G585" s="18"/>
      <c r="H585" s="18"/>
      <c r="I585" s="18"/>
      <c r="J585" s="18"/>
      <c r="K585" s="18"/>
      <c r="L585" s="12"/>
      <c r="M585" s="18"/>
      <c r="N585" s="18"/>
      <c r="O585" s="18"/>
      <c r="P585" s="18"/>
      <c r="Q585" s="18"/>
      <c r="R585" s="18"/>
      <c r="S585" s="18"/>
      <c r="T585" s="18"/>
      <c r="U585" s="18"/>
      <c r="V585" s="18"/>
      <c r="W585" s="18"/>
      <c r="X585" s="18"/>
      <c r="Y585" s="18"/>
      <c r="Z585" s="18"/>
      <c r="AA585" s="18"/>
      <c r="AB585" s="18"/>
      <c r="AC585" s="18"/>
      <c r="AD585" s="18"/>
      <c r="AE585" s="18"/>
      <c r="AF585" s="18"/>
      <c r="AG585" s="18"/>
    </row>
    <row r="586" spans="1:33" x14ac:dyDescent="0.2">
      <c r="A586" s="1279"/>
      <c r="B586" s="1280"/>
      <c r="C586" s="18"/>
      <c r="D586" s="18"/>
      <c r="E586" s="18"/>
      <c r="F586" s="18"/>
      <c r="G586" s="18"/>
      <c r="H586" s="18"/>
      <c r="I586" s="18"/>
      <c r="J586" s="18"/>
      <c r="K586" s="18"/>
      <c r="L586" s="12"/>
      <c r="M586" s="18"/>
      <c r="N586" s="18"/>
      <c r="O586" s="18"/>
      <c r="P586" s="18"/>
      <c r="Q586" s="18"/>
      <c r="R586" s="18"/>
      <c r="S586" s="18"/>
      <c r="T586" s="18"/>
      <c r="U586" s="18"/>
      <c r="V586" s="18"/>
      <c r="W586" s="18"/>
      <c r="X586" s="18"/>
      <c r="Y586" s="18"/>
      <c r="Z586" s="18"/>
      <c r="AA586" s="18"/>
      <c r="AB586" s="18"/>
      <c r="AC586" s="18"/>
      <c r="AD586" s="18"/>
      <c r="AE586" s="18"/>
      <c r="AF586" s="18"/>
      <c r="AG586" s="18"/>
    </row>
    <row r="587" spans="1:33" x14ac:dyDescent="0.2">
      <c r="A587" s="1279"/>
      <c r="B587" s="1280"/>
      <c r="C587" s="18"/>
      <c r="D587" s="18"/>
      <c r="E587" s="18"/>
      <c r="F587" s="18"/>
      <c r="G587" s="18"/>
      <c r="H587" s="18"/>
      <c r="I587" s="18"/>
      <c r="J587" s="18"/>
      <c r="K587" s="18"/>
      <c r="L587" s="12"/>
      <c r="M587" s="18"/>
      <c r="N587" s="18"/>
      <c r="O587" s="18"/>
      <c r="P587" s="18"/>
      <c r="Q587" s="18"/>
      <c r="R587" s="18"/>
      <c r="S587" s="18"/>
      <c r="T587" s="18"/>
      <c r="U587" s="18"/>
      <c r="V587" s="18"/>
      <c r="W587" s="18"/>
      <c r="X587" s="18"/>
      <c r="Y587" s="18"/>
      <c r="Z587" s="18"/>
      <c r="AA587" s="18"/>
      <c r="AB587" s="18"/>
      <c r="AC587" s="18"/>
      <c r="AD587" s="18"/>
      <c r="AE587" s="18"/>
      <c r="AF587" s="18"/>
      <c r="AG587" s="18"/>
    </row>
    <row r="588" spans="1:33" x14ac:dyDescent="0.2">
      <c r="A588" s="1279"/>
      <c r="B588" s="1280"/>
      <c r="C588" s="18"/>
      <c r="D588" s="18"/>
      <c r="E588" s="18"/>
      <c r="F588" s="18"/>
      <c r="G588" s="18"/>
      <c r="H588" s="18"/>
      <c r="I588" s="18"/>
      <c r="J588" s="18"/>
      <c r="K588" s="18"/>
      <c r="L588" s="12"/>
      <c r="M588" s="18"/>
      <c r="N588" s="18"/>
      <c r="O588" s="18"/>
      <c r="P588" s="18"/>
      <c r="Q588" s="18"/>
      <c r="R588" s="18"/>
      <c r="S588" s="18"/>
      <c r="T588" s="18"/>
      <c r="U588" s="18"/>
      <c r="V588" s="18"/>
      <c r="W588" s="18"/>
      <c r="X588" s="18"/>
      <c r="Y588" s="18"/>
      <c r="Z588" s="18"/>
      <c r="AA588" s="18"/>
      <c r="AB588" s="18"/>
      <c r="AC588" s="18"/>
      <c r="AD588" s="18"/>
      <c r="AE588" s="18"/>
      <c r="AF588" s="18"/>
      <c r="AG588" s="18"/>
    </row>
    <row r="589" spans="1:33" x14ac:dyDescent="0.2">
      <c r="A589" s="1279"/>
      <c r="B589" s="1280"/>
      <c r="C589" s="18"/>
      <c r="D589" s="18"/>
      <c r="E589" s="18"/>
      <c r="F589" s="18"/>
      <c r="G589" s="18"/>
      <c r="H589" s="18"/>
      <c r="I589" s="18"/>
      <c r="J589" s="18"/>
      <c r="K589" s="18"/>
      <c r="L589" s="12"/>
      <c r="M589" s="18"/>
      <c r="N589" s="18"/>
      <c r="O589" s="18"/>
      <c r="P589" s="18"/>
      <c r="Q589" s="18"/>
      <c r="R589" s="18"/>
      <c r="S589" s="18"/>
      <c r="T589" s="18"/>
      <c r="U589" s="18"/>
      <c r="V589" s="18"/>
      <c r="W589" s="18"/>
      <c r="X589" s="18"/>
      <c r="Y589" s="18"/>
      <c r="Z589" s="18"/>
      <c r="AA589" s="18"/>
      <c r="AB589" s="18"/>
      <c r="AC589" s="18"/>
      <c r="AD589" s="18"/>
      <c r="AE589" s="18"/>
      <c r="AF589" s="18"/>
      <c r="AG589" s="18"/>
    </row>
    <row r="590" spans="1:33" x14ac:dyDescent="0.2">
      <c r="A590" s="1279"/>
      <c r="B590" s="1280"/>
      <c r="C590" s="18"/>
      <c r="D590" s="18"/>
      <c r="E590" s="18"/>
      <c r="F590" s="18"/>
      <c r="G590" s="18"/>
      <c r="H590" s="18"/>
      <c r="I590" s="18"/>
      <c r="J590" s="18"/>
      <c r="K590" s="18"/>
      <c r="L590" s="12"/>
      <c r="M590" s="18"/>
      <c r="N590" s="18"/>
      <c r="O590" s="18"/>
      <c r="P590" s="18"/>
      <c r="Q590" s="18"/>
      <c r="R590" s="18"/>
      <c r="S590" s="18"/>
      <c r="T590" s="18"/>
      <c r="U590" s="18"/>
      <c r="V590" s="18"/>
      <c r="W590" s="18"/>
      <c r="X590" s="18"/>
      <c r="Y590" s="18"/>
      <c r="Z590" s="18"/>
      <c r="AA590" s="18"/>
      <c r="AB590" s="18"/>
      <c r="AC590" s="18"/>
      <c r="AD590" s="18"/>
      <c r="AE590" s="18"/>
      <c r="AF590" s="18"/>
      <c r="AG590" s="18"/>
    </row>
    <row r="591" spans="1:33" x14ac:dyDescent="0.2">
      <c r="A591" s="1279"/>
      <c r="B591" s="1280"/>
      <c r="C591" s="18"/>
      <c r="D591" s="18"/>
      <c r="E591" s="18"/>
      <c r="F591" s="18"/>
      <c r="G591" s="18"/>
      <c r="H591" s="18"/>
      <c r="I591" s="18"/>
      <c r="J591" s="18"/>
      <c r="K591" s="18"/>
      <c r="L591" s="12"/>
      <c r="M591" s="18"/>
      <c r="N591" s="18"/>
      <c r="O591" s="18"/>
      <c r="P591" s="18"/>
      <c r="Q591" s="18"/>
      <c r="R591" s="18"/>
      <c r="S591" s="18"/>
      <c r="T591" s="18"/>
      <c r="U591" s="18"/>
      <c r="V591" s="18"/>
      <c r="W591" s="18"/>
      <c r="X591" s="18"/>
      <c r="Y591" s="18"/>
      <c r="Z591" s="18"/>
      <c r="AA591" s="18"/>
      <c r="AB591" s="18"/>
      <c r="AC591" s="18"/>
      <c r="AD591" s="18"/>
      <c r="AE591" s="18"/>
      <c r="AF591" s="18"/>
      <c r="AG591" s="18"/>
    </row>
    <row r="592" spans="1:33" x14ac:dyDescent="0.2">
      <c r="A592" s="1279"/>
      <c r="B592" s="1280"/>
      <c r="C592" s="18"/>
      <c r="D592" s="18"/>
      <c r="E592" s="18"/>
      <c r="F592" s="18"/>
      <c r="G592" s="18"/>
      <c r="H592" s="18"/>
      <c r="I592" s="18"/>
      <c r="J592" s="18"/>
      <c r="K592" s="18"/>
      <c r="L592" s="12"/>
      <c r="M592" s="18"/>
      <c r="N592" s="18"/>
      <c r="O592" s="18"/>
      <c r="P592" s="18"/>
      <c r="Q592" s="18"/>
      <c r="R592" s="18"/>
      <c r="S592" s="18"/>
      <c r="T592" s="18"/>
      <c r="U592" s="18"/>
      <c r="V592" s="18"/>
      <c r="W592" s="18"/>
      <c r="X592" s="18"/>
      <c r="Y592" s="18"/>
      <c r="Z592" s="18"/>
      <c r="AA592" s="18"/>
      <c r="AB592" s="18"/>
      <c r="AC592" s="18"/>
      <c r="AD592" s="18"/>
      <c r="AE592" s="18"/>
      <c r="AF592" s="18"/>
      <c r="AG592" s="18"/>
    </row>
    <row r="593" spans="1:33" x14ac:dyDescent="0.2">
      <c r="A593" s="1279"/>
      <c r="B593" s="1280"/>
      <c r="C593" s="18"/>
      <c r="D593" s="18"/>
      <c r="E593" s="18"/>
      <c r="F593" s="18"/>
      <c r="G593" s="18"/>
      <c r="H593" s="18"/>
      <c r="I593" s="18"/>
      <c r="J593" s="18"/>
      <c r="K593" s="18"/>
      <c r="L593" s="12"/>
      <c r="M593" s="18"/>
      <c r="N593" s="18"/>
      <c r="O593" s="18"/>
      <c r="P593" s="18"/>
      <c r="Q593" s="18"/>
      <c r="R593" s="18"/>
      <c r="S593" s="18"/>
      <c r="T593" s="18"/>
      <c r="U593" s="18"/>
      <c r="V593" s="18"/>
      <c r="W593" s="18"/>
      <c r="X593" s="18"/>
      <c r="Y593" s="18"/>
      <c r="Z593" s="18"/>
      <c r="AA593" s="18"/>
      <c r="AB593" s="18"/>
      <c r="AC593" s="18"/>
      <c r="AD593" s="18"/>
      <c r="AE593" s="18"/>
      <c r="AF593" s="18"/>
      <c r="AG593" s="18"/>
    </row>
    <row r="594" spans="1:33" x14ac:dyDescent="0.2">
      <c r="A594" s="1279"/>
      <c r="B594" s="1280"/>
      <c r="C594" s="18"/>
      <c r="D594" s="18"/>
      <c r="E594" s="18"/>
      <c r="F594" s="18"/>
      <c r="G594" s="18"/>
      <c r="H594" s="18"/>
      <c r="I594" s="18"/>
      <c r="J594" s="18"/>
      <c r="K594" s="18"/>
      <c r="L594" s="12"/>
      <c r="M594" s="18"/>
      <c r="N594" s="18"/>
      <c r="O594" s="18"/>
      <c r="P594" s="18"/>
      <c r="Q594" s="18"/>
      <c r="R594" s="18"/>
      <c r="S594" s="18"/>
      <c r="T594" s="18"/>
      <c r="U594" s="18"/>
      <c r="V594" s="18"/>
      <c r="W594" s="18"/>
      <c r="X594" s="18"/>
      <c r="Y594" s="18"/>
      <c r="Z594" s="18"/>
      <c r="AA594" s="18"/>
      <c r="AB594" s="18"/>
      <c r="AC594" s="18"/>
      <c r="AD594" s="18"/>
      <c r="AE594" s="18"/>
      <c r="AF594" s="18"/>
      <c r="AG594" s="18"/>
    </row>
    <row r="595" spans="1:33" x14ac:dyDescent="0.2">
      <c r="A595" s="1279"/>
      <c r="B595" s="1280"/>
      <c r="C595" s="18"/>
      <c r="D595" s="18"/>
      <c r="E595" s="18"/>
      <c r="F595" s="18"/>
      <c r="G595" s="18"/>
      <c r="H595" s="18"/>
      <c r="I595" s="18"/>
      <c r="J595" s="18"/>
      <c r="K595" s="18"/>
      <c r="L595" s="12"/>
      <c r="M595" s="18"/>
      <c r="N595" s="18"/>
      <c r="O595" s="18"/>
      <c r="P595" s="18"/>
      <c r="Q595" s="18"/>
      <c r="R595" s="18"/>
      <c r="S595" s="18"/>
      <c r="T595" s="18"/>
      <c r="U595" s="18"/>
      <c r="V595" s="18"/>
      <c r="W595" s="18"/>
      <c r="X595" s="18"/>
      <c r="Y595" s="18"/>
      <c r="Z595" s="18"/>
      <c r="AA595" s="18"/>
      <c r="AB595" s="18"/>
      <c r="AC595" s="18"/>
      <c r="AD595" s="18"/>
      <c r="AE595" s="18"/>
      <c r="AF595" s="18"/>
      <c r="AG595" s="18"/>
    </row>
    <row r="596" spans="1:33" x14ac:dyDescent="0.2">
      <c r="A596" s="1279"/>
      <c r="B596" s="1280"/>
      <c r="C596" s="18"/>
      <c r="D596" s="18"/>
      <c r="E596" s="18"/>
      <c r="F596" s="18"/>
      <c r="G596" s="18"/>
      <c r="H596" s="18"/>
      <c r="I596" s="18"/>
      <c r="J596" s="18"/>
      <c r="K596" s="18"/>
      <c r="L596" s="12"/>
      <c r="M596" s="18"/>
      <c r="N596" s="18"/>
      <c r="O596" s="18"/>
      <c r="P596" s="18"/>
      <c r="Q596" s="18"/>
      <c r="R596" s="18"/>
      <c r="S596" s="18"/>
      <c r="T596" s="18"/>
      <c r="U596" s="18"/>
      <c r="V596" s="18"/>
      <c r="W596" s="18"/>
      <c r="X596" s="18"/>
      <c r="Y596" s="18"/>
      <c r="Z596" s="18"/>
      <c r="AA596" s="18"/>
      <c r="AB596" s="18"/>
      <c r="AC596" s="18"/>
      <c r="AD596" s="18"/>
      <c r="AE596" s="18"/>
      <c r="AF596" s="18"/>
      <c r="AG596" s="18"/>
    </row>
    <row r="597" spans="1:33" x14ac:dyDescent="0.2">
      <c r="A597" s="1279"/>
      <c r="B597" s="1280"/>
      <c r="C597" s="18"/>
      <c r="D597" s="18"/>
      <c r="E597" s="18"/>
      <c r="F597" s="18"/>
      <c r="G597" s="18"/>
      <c r="H597" s="18"/>
      <c r="I597" s="18"/>
      <c r="J597" s="18"/>
      <c r="K597" s="18"/>
      <c r="L597" s="12"/>
      <c r="M597" s="18"/>
      <c r="N597" s="18"/>
      <c r="O597" s="18"/>
      <c r="P597" s="18"/>
      <c r="Q597" s="18"/>
      <c r="R597" s="18"/>
      <c r="S597" s="18"/>
      <c r="T597" s="18"/>
      <c r="U597" s="18"/>
      <c r="V597" s="18"/>
      <c r="W597" s="18"/>
      <c r="X597" s="18"/>
      <c r="Y597" s="18"/>
      <c r="Z597" s="18"/>
      <c r="AA597" s="18"/>
      <c r="AB597" s="18"/>
      <c r="AC597" s="18"/>
      <c r="AD597" s="18"/>
      <c r="AE597" s="18"/>
      <c r="AF597" s="18"/>
      <c r="AG597" s="18"/>
    </row>
    <row r="598" spans="1:33" x14ac:dyDescent="0.2">
      <c r="A598" s="1279"/>
      <c r="B598" s="1280"/>
      <c r="C598" s="18"/>
      <c r="D598" s="18"/>
      <c r="E598" s="18"/>
      <c r="F598" s="18"/>
      <c r="G598" s="18"/>
      <c r="H598" s="18"/>
      <c r="I598" s="18"/>
      <c r="J598" s="18"/>
      <c r="K598" s="18"/>
      <c r="L598" s="12"/>
      <c r="M598" s="18"/>
      <c r="N598" s="18"/>
      <c r="O598" s="18"/>
      <c r="P598" s="18"/>
      <c r="Q598" s="18"/>
      <c r="R598" s="18"/>
      <c r="S598" s="18"/>
      <c r="T598" s="18"/>
      <c r="U598" s="18"/>
      <c r="V598" s="18"/>
      <c r="W598" s="18"/>
      <c r="X598" s="18"/>
      <c r="Y598" s="18"/>
      <c r="Z598" s="18"/>
      <c r="AA598" s="18"/>
      <c r="AB598" s="18"/>
      <c r="AC598" s="18"/>
      <c r="AD598" s="18"/>
      <c r="AE598" s="18"/>
      <c r="AF598" s="18"/>
      <c r="AG598" s="18"/>
    </row>
    <row r="599" spans="1:33" x14ac:dyDescent="0.2">
      <c r="A599" s="1279"/>
      <c r="B599" s="1280"/>
      <c r="C599" s="18"/>
      <c r="D599" s="18"/>
      <c r="E599" s="18"/>
      <c r="F599" s="18"/>
      <c r="G599" s="18"/>
      <c r="H599" s="18"/>
      <c r="I599" s="18"/>
      <c r="J599" s="18"/>
      <c r="K599" s="18"/>
      <c r="L599" s="12"/>
      <c r="M599" s="18"/>
      <c r="N599" s="18"/>
      <c r="O599" s="18"/>
      <c r="P599" s="18"/>
      <c r="Q599" s="18"/>
      <c r="R599" s="18"/>
      <c r="S599" s="18"/>
      <c r="T599" s="18"/>
      <c r="U599" s="18"/>
      <c r="V599" s="18"/>
      <c r="W599" s="18"/>
      <c r="X599" s="18"/>
      <c r="Y599" s="18"/>
      <c r="Z599" s="18"/>
      <c r="AA599" s="18"/>
      <c r="AB599" s="18"/>
      <c r="AC599" s="18"/>
      <c r="AD599" s="18"/>
      <c r="AE599" s="18"/>
      <c r="AF599" s="18"/>
      <c r="AG599" s="18"/>
    </row>
    <row r="600" spans="1:33" x14ac:dyDescent="0.2">
      <c r="A600" s="1279"/>
      <c r="B600" s="1280"/>
      <c r="C600" s="18"/>
      <c r="D600" s="18"/>
      <c r="E600" s="18"/>
      <c r="F600" s="18"/>
      <c r="G600" s="18"/>
      <c r="H600" s="18"/>
      <c r="I600" s="18"/>
      <c r="J600" s="18"/>
      <c r="K600" s="18"/>
      <c r="L600" s="12"/>
      <c r="M600" s="18"/>
      <c r="N600" s="18"/>
      <c r="O600" s="18"/>
      <c r="P600" s="18"/>
      <c r="Q600" s="18"/>
      <c r="R600" s="18"/>
      <c r="S600" s="18"/>
      <c r="T600" s="18"/>
      <c r="U600" s="18"/>
      <c r="V600" s="18"/>
      <c r="W600" s="18"/>
      <c r="X600" s="18"/>
      <c r="Y600" s="18"/>
      <c r="Z600" s="18"/>
      <c r="AA600" s="18"/>
      <c r="AB600" s="18"/>
      <c r="AC600" s="18"/>
      <c r="AD600" s="18"/>
      <c r="AE600" s="18"/>
      <c r="AF600" s="18"/>
      <c r="AG600" s="18"/>
    </row>
    <row r="601" spans="1:33" x14ac:dyDescent="0.2">
      <c r="A601" s="1279"/>
      <c r="B601" s="1280"/>
      <c r="C601" s="18"/>
      <c r="D601" s="18"/>
      <c r="E601" s="18"/>
      <c r="F601" s="18"/>
      <c r="G601" s="18"/>
      <c r="H601" s="18"/>
      <c r="I601" s="18"/>
      <c r="J601" s="18"/>
      <c r="K601" s="18"/>
      <c r="L601" s="12"/>
      <c r="M601" s="18"/>
      <c r="N601" s="18"/>
      <c r="O601" s="18"/>
      <c r="P601" s="18"/>
      <c r="Q601" s="18"/>
      <c r="R601" s="18"/>
      <c r="S601" s="18"/>
      <c r="T601" s="18"/>
      <c r="U601" s="18"/>
      <c r="V601" s="18"/>
      <c r="W601" s="18"/>
      <c r="X601" s="18"/>
      <c r="Y601" s="18"/>
      <c r="Z601" s="18"/>
      <c r="AA601" s="18"/>
      <c r="AB601" s="18"/>
      <c r="AC601" s="18"/>
      <c r="AD601" s="18"/>
      <c r="AE601" s="18"/>
      <c r="AF601" s="18"/>
      <c r="AG601" s="18"/>
    </row>
    <row r="602" spans="1:33" x14ac:dyDescent="0.2">
      <c r="A602" s="1279"/>
      <c r="B602" s="1280"/>
      <c r="C602" s="18"/>
      <c r="D602" s="18"/>
      <c r="E602" s="18"/>
      <c r="F602" s="18"/>
      <c r="G602" s="18"/>
      <c r="H602" s="18"/>
      <c r="I602" s="18"/>
      <c r="J602" s="18"/>
      <c r="K602" s="18"/>
      <c r="L602" s="12"/>
      <c r="M602" s="18"/>
      <c r="N602" s="18"/>
      <c r="O602" s="18"/>
      <c r="P602" s="18"/>
      <c r="Q602" s="18"/>
      <c r="R602" s="18"/>
      <c r="S602" s="18"/>
      <c r="T602" s="18"/>
      <c r="U602" s="18"/>
      <c r="V602" s="18"/>
      <c r="W602" s="18"/>
      <c r="X602" s="18"/>
      <c r="Y602" s="18"/>
      <c r="Z602" s="18"/>
      <c r="AA602" s="18"/>
      <c r="AB602" s="18"/>
      <c r="AC602" s="18"/>
      <c r="AD602" s="18"/>
      <c r="AE602" s="18"/>
      <c r="AF602" s="18"/>
      <c r="AG602" s="18"/>
    </row>
    <row r="603" spans="1:33" x14ac:dyDescent="0.2">
      <c r="A603" s="1279"/>
      <c r="B603" s="1280"/>
      <c r="C603" s="18"/>
      <c r="D603" s="18"/>
      <c r="E603" s="18"/>
      <c r="F603" s="18"/>
      <c r="G603" s="18"/>
      <c r="H603" s="18"/>
      <c r="I603" s="18"/>
      <c r="J603" s="18"/>
      <c r="K603" s="18"/>
      <c r="L603" s="12"/>
      <c r="M603" s="18"/>
      <c r="N603" s="18"/>
      <c r="O603" s="18"/>
      <c r="P603" s="18"/>
      <c r="Q603" s="18"/>
      <c r="R603" s="18"/>
      <c r="S603" s="18"/>
      <c r="T603" s="18"/>
      <c r="U603" s="18"/>
      <c r="V603" s="18"/>
      <c r="W603" s="18"/>
      <c r="X603" s="18"/>
      <c r="Y603" s="18"/>
      <c r="Z603" s="18"/>
      <c r="AA603" s="18"/>
      <c r="AB603" s="18"/>
      <c r="AC603" s="18"/>
      <c r="AD603" s="18"/>
      <c r="AE603" s="18"/>
      <c r="AF603" s="18"/>
      <c r="AG603" s="18"/>
    </row>
    <row r="604" spans="1:33" x14ac:dyDescent="0.2">
      <c r="A604" s="1279"/>
      <c r="B604" s="1280"/>
      <c r="C604" s="18"/>
      <c r="D604" s="18"/>
      <c r="E604" s="18"/>
      <c r="F604" s="18"/>
      <c r="G604" s="18"/>
      <c r="H604" s="18"/>
      <c r="I604" s="18"/>
      <c r="J604" s="18"/>
      <c r="K604" s="18"/>
      <c r="L604" s="12"/>
      <c r="M604" s="18"/>
      <c r="N604" s="18"/>
      <c r="O604" s="18"/>
      <c r="P604" s="18"/>
      <c r="Q604" s="18"/>
      <c r="R604" s="18"/>
      <c r="S604" s="18"/>
      <c r="T604" s="18"/>
      <c r="U604" s="18"/>
      <c r="V604" s="18"/>
      <c r="W604" s="18"/>
      <c r="X604" s="18"/>
      <c r="Y604" s="18"/>
      <c r="Z604" s="18"/>
      <c r="AA604" s="18"/>
      <c r="AB604" s="18"/>
      <c r="AC604" s="18"/>
      <c r="AD604" s="18"/>
      <c r="AE604" s="18"/>
      <c r="AF604" s="18"/>
      <c r="AG604" s="18"/>
    </row>
    <row r="605" spans="1:33" x14ac:dyDescent="0.2">
      <c r="A605" s="1279"/>
      <c r="B605" s="1280"/>
      <c r="C605" s="18"/>
      <c r="D605" s="18"/>
      <c r="E605" s="18"/>
      <c r="F605" s="18"/>
      <c r="G605" s="18"/>
      <c r="H605" s="18"/>
      <c r="I605" s="18"/>
      <c r="J605" s="18"/>
      <c r="K605" s="18"/>
      <c r="L605" s="12"/>
      <c r="M605" s="18"/>
      <c r="N605" s="18"/>
      <c r="O605" s="18"/>
      <c r="P605" s="18"/>
      <c r="Q605" s="18"/>
      <c r="R605" s="18"/>
      <c r="S605" s="18"/>
      <c r="T605" s="18"/>
      <c r="U605" s="18"/>
      <c r="V605" s="18"/>
      <c r="W605" s="18"/>
      <c r="X605" s="18"/>
      <c r="Y605" s="18"/>
      <c r="Z605" s="18"/>
      <c r="AA605" s="18"/>
      <c r="AB605" s="18"/>
      <c r="AC605" s="18"/>
      <c r="AD605" s="18"/>
      <c r="AE605" s="18"/>
      <c r="AF605" s="18"/>
      <c r="AG605" s="18"/>
    </row>
    <row r="606" spans="1:33" x14ac:dyDescent="0.2">
      <c r="A606" s="1279"/>
      <c r="B606" s="1280"/>
      <c r="C606" s="18"/>
      <c r="D606" s="18"/>
      <c r="E606" s="18"/>
      <c r="F606" s="18"/>
      <c r="G606" s="18"/>
      <c r="H606" s="18"/>
      <c r="I606" s="18"/>
      <c r="J606" s="18"/>
      <c r="K606" s="18"/>
      <c r="L606" s="12"/>
      <c r="M606" s="18"/>
      <c r="N606" s="18"/>
      <c r="O606" s="18"/>
      <c r="P606" s="18"/>
      <c r="Q606" s="18"/>
      <c r="R606" s="18"/>
      <c r="S606" s="18"/>
      <c r="T606" s="18"/>
      <c r="U606" s="18"/>
      <c r="V606" s="18"/>
      <c r="W606" s="18"/>
      <c r="X606" s="18"/>
      <c r="Y606" s="18"/>
      <c r="Z606" s="18"/>
      <c r="AA606" s="18"/>
      <c r="AB606" s="18"/>
      <c r="AC606" s="18"/>
      <c r="AD606" s="18"/>
      <c r="AE606" s="18"/>
      <c r="AF606" s="18"/>
      <c r="AG606" s="18"/>
    </row>
    <row r="607" spans="1:33" x14ac:dyDescent="0.2">
      <c r="A607" s="1279"/>
      <c r="B607" s="1280"/>
      <c r="C607" s="18"/>
      <c r="D607" s="18"/>
      <c r="E607" s="18"/>
      <c r="F607" s="18"/>
      <c r="G607" s="18"/>
      <c r="H607" s="18"/>
      <c r="I607" s="18"/>
      <c r="J607" s="18"/>
      <c r="K607" s="18"/>
      <c r="L607" s="12"/>
      <c r="M607" s="18"/>
      <c r="N607" s="18"/>
      <c r="O607" s="18"/>
      <c r="P607" s="18"/>
      <c r="Q607" s="18"/>
      <c r="R607" s="18"/>
      <c r="S607" s="18"/>
      <c r="T607" s="18"/>
      <c r="U607" s="18"/>
      <c r="V607" s="18"/>
      <c r="W607" s="18"/>
      <c r="X607" s="18"/>
      <c r="Y607" s="18"/>
      <c r="Z607" s="18"/>
      <c r="AA607" s="18"/>
      <c r="AB607" s="18"/>
      <c r="AC607" s="18"/>
      <c r="AD607" s="18"/>
      <c r="AE607" s="18"/>
      <c r="AF607" s="18"/>
      <c r="AG607" s="18"/>
    </row>
    <row r="608" spans="1:33" x14ac:dyDescent="0.2">
      <c r="A608" s="1279"/>
      <c r="B608" s="1280"/>
      <c r="C608" s="18"/>
      <c r="D608" s="18"/>
      <c r="E608" s="18"/>
      <c r="F608" s="18"/>
      <c r="G608" s="18"/>
      <c r="H608" s="18"/>
      <c r="I608" s="18"/>
      <c r="J608" s="18"/>
      <c r="K608" s="18"/>
      <c r="L608" s="12"/>
      <c r="M608" s="18"/>
      <c r="N608" s="18"/>
      <c r="O608" s="18"/>
      <c r="P608" s="18"/>
      <c r="Q608" s="18"/>
      <c r="R608" s="18"/>
      <c r="S608" s="18"/>
      <c r="T608" s="18"/>
      <c r="U608" s="18"/>
      <c r="V608" s="18"/>
      <c r="W608" s="18"/>
      <c r="X608" s="18"/>
      <c r="Y608" s="18"/>
      <c r="Z608" s="18"/>
      <c r="AA608" s="18"/>
      <c r="AB608" s="18"/>
      <c r="AC608" s="18"/>
      <c r="AD608" s="18"/>
      <c r="AE608" s="18"/>
      <c r="AF608" s="18"/>
      <c r="AG608" s="18"/>
    </row>
    <row r="609" spans="1:33" x14ac:dyDescent="0.2">
      <c r="A609" s="1279"/>
      <c r="B609" s="1280"/>
      <c r="C609" s="18"/>
      <c r="D609" s="18"/>
      <c r="E609" s="18"/>
      <c r="F609" s="18"/>
      <c r="G609" s="18"/>
      <c r="H609" s="18"/>
      <c r="I609" s="18"/>
      <c r="J609" s="18"/>
      <c r="K609" s="18"/>
      <c r="L609" s="12"/>
      <c r="M609" s="18"/>
      <c r="N609" s="18"/>
      <c r="O609" s="18"/>
      <c r="P609" s="18"/>
      <c r="Q609" s="18"/>
      <c r="R609" s="18"/>
      <c r="S609" s="18"/>
      <c r="T609" s="18"/>
      <c r="U609" s="18"/>
      <c r="V609" s="18"/>
      <c r="W609" s="18"/>
      <c r="X609" s="18"/>
      <c r="Y609" s="18"/>
      <c r="Z609" s="18"/>
      <c r="AA609" s="18"/>
      <c r="AB609" s="18"/>
      <c r="AC609" s="18"/>
      <c r="AD609" s="18"/>
      <c r="AE609" s="18"/>
      <c r="AF609" s="18"/>
      <c r="AG609" s="18"/>
    </row>
    <row r="610" spans="1:33" x14ac:dyDescent="0.2">
      <c r="A610" s="1279"/>
      <c r="B610" s="1280"/>
      <c r="C610" s="18"/>
      <c r="D610" s="18"/>
      <c r="E610" s="18"/>
      <c r="F610" s="18"/>
      <c r="G610" s="18"/>
      <c r="H610" s="18"/>
      <c r="I610" s="18"/>
      <c r="J610" s="18"/>
      <c r="K610" s="18"/>
      <c r="L610" s="12"/>
      <c r="M610" s="18"/>
      <c r="N610" s="18"/>
      <c r="O610" s="18"/>
      <c r="P610" s="18"/>
      <c r="Q610" s="18"/>
      <c r="R610" s="18"/>
      <c r="S610" s="18"/>
      <c r="T610" s="18"/>
      <c r="U610" s="18"/>
      <c r="V610" s="18"/>
      <c r="W610" s="18"/>
      <c r="X610" s="18"/>
      <c r="Y610" s="18"/>
      <c r="Z610" s="18"/>
      <c r="AA610" s="18"/>
      <c r="AB610" s="18"/>
      <c r="AC610" s="18"/>
      <c r="AD610" s="18"/>
      <c r="AE610" s="18"/>
      <c r="AF610" s="18"/>
      <c r="AG610" s="18"/>
    </row>
    <row r="611" spans="1:33" x14ac:dyDescent="0.2">
      <c r="A611" s="1279"/>
      <c r="B611" s="1280"/>
      <c r="C611" s="18"/>
      <c r="D611" s="18"/>
      <c r="E611" s="18"/>
      <c r="F611" s="18"/>
      <c r="G611" s="18"/>
      <c r="H611" s="18"/>
      <c r="I611" s="18"/>
      <c r="J611" s="18"/>
      <c r="K611" s="18"/>
      <c r="L611" s="12"/>
      <c r="M611" s="18"/>
      <c r="N611" s="18"/>
      <c r="O611" s="18"/>
      <c r="P611" s="18"/>
      <c r="Q611" s="18"/>
      <c r="R611" s="18"/>
      <c r="S611" s="18"/>
      <c r="T611" s="18"/>
      <c r="U611" s="18"/>
      <c r="V611" s="18"/>
      <c r="W611" s="18"/>
      <c r="X611" s="18"/>
      <c r="Y611" s="18"/>
      <c r="Z611" s="18"/>
      <c r="AA611" s="18"/>
      <c r="AB611" s="18"/>
      <c r="AC611" s="18"/>
      <c r="AD611" s="18"/>
      <c r="AE611" s="18"/>
      <c r="AF611" s="18"/>
      <c r="AG611" s="18"/>
    </row>
    <row r="612" spans="1:33" x14ac:dyDescent="0.2">
      <c r="A612" s="1279"/>
      <c r="B612" s="1280"/>
      <c r="C612" s="18"/>
      <c r="D612" s="18"/>
      <c r="E612" s="18"/>
      <c r="F612" s="18"/>
      <c r="G612" s="18"/>
      <c r="H612" s="18"/>
      <c r="I612" s="18"/>
      <c r="J612" s="18"/>
      <c r="K612" s="18"/>
      <c r="L612" s="12"/>
      <c r="M612" s="18"/>
      <c r="N612" s="18"/>
      <c r="O612" s="18"/>
      <c r="P612" s="18"/>
      <c r="Q612" s="18"/>
      <c r="R612" s="18"/>
      <c r="S612" s="18"/>
      <c r="T612" s="18"/>
      <c r="U612" s="18"/>
      <c r="V612" s="18"/>
      <c r="W612" s="18"/>
      <c r="X612" s="18"/>
      <c r="Y612" s="18"/>
      <c r="Z612" s="18"/>
      <c r="AA612" s="18"/>
      <c r="AB612" s="18"/>
      <c r="AC612" s="18"/>
      <c r="AD612" s="18"/>
      <c r="AE612" s="18"/>
      <c r="AF612" s="18"/>
      <c r="AG612" s="18"/>
    </row>
    <row r="613" spans="1:33" x14ac:dyDescent="0.2">
      <c r="A613" s="1279"/>
      <c r="B613" s="1280"/>
      <c r="C613" s="18"/>
      <c r="D613" s="18"/>
      <c r="E613" s="18"/>
      <c r="F613" s="18"/>
      <c r="G613" s="18"/>
      <c r="H613" s="18"/>
      <c r="I613" s="18"/>
      <c r="J613" s="18"/>
      <c r="K613" s="18"/>
      <c r="L613" s="12"/>
      <c r="M613" s="18"/>
      <c r="N613" s="18"/>
      <c r="O613" s="18"/>
      <c r="P613" s="18"/>
      <c r="Q613" s="18"/>
      <c r="R613" s="18"/>
      <c r="S613" s="18"/>
      <c r="T613" s="18"/>
      <c r="U613" s="18"/>
      <c r="V613" s="18"/>
      <c r="W613" s="18"/>
      <c r="X613" s="18"/>
      <c r="Y613" s="18"/>
      <c r="Z613" s="18"/>
      <c r="AA613" s="18"/>
      <c r="AB613" s="18"/>
      <c r="AC613" s="18"/>
      <c r="AD613" s="18"/>
      <c r="AE613" s="18"/>
      <c r="AF613" s="18"/>
      <c r="AG613" s="18"/>
    </row>
    <row r="614" spans="1:33" x14ac:dyDescent="0.2">
      <c r="A614" s="1279"/>
      <c r="B614" s="1280"/>
      <c r="C614" s="18"/>
      <c r="D614" s="18"/>
      <c r="E614" s="18"/>
      <c r="F614" s="18"/>
      <c r="G614" s="18"/>
      <c r="H614" s="18"/>
      <c r="I614" s="18"/>
      <c r="J614" s="18"/>
      <c r="K614" s="18"/>
      <c r="L614" s="12"/>
      <c r="M614" s="18"/>
      <c r="N614" s="18"/>
      <c r="O614" s="18"/>
      <c r="P614" s="18"/>
      <c r="Q614" s="18"/>
      <c r="R614" s="18"/>
      <c r="S614" s="18"/>
      <c r="T614" s="18"/>
      <c r="U614" s="18"/>
      <c r="V614" s="18"/>
      <c r="W614" s="18"/>
      <c r="X614" s="18"/>
      <c r="Y614" s="18"/>
      <c r="Z614" s="18"/>
      <c r="AA614" s="18"/>
      <c r="AB614" s="18"/>
      <c r="AC614" s="18"/>
      <c r="AD614" s="18"/>
      <c r="AE614" s="18"/>
      <c r="AF614" s="18"/>
      <c r="AG614" s="18"/>
    </row>
    <row r="615" spans="1:33" x14ac:dyDescent="0.2">
      <c r="A615" s="1279"/>
      <c r="B615" s="1280"/>
      <c r="C615" s="18"/>
      <c r="D615" s="18"/>
      <c r="E615" s="18"/>
      <c r="F615" s="18"/>
      <c r="G615" s="18"/>
      <c r="H615" s="18"/>
      <c r="I615" s="18"/>
      <c r="J615" s="18"/>
      <c r="K615" s="18"/>
      <c r="L615" s="12"/>
      <c r="M615" s="18"/>
      <c r="N615" s="18"/>
      <c r="O615" s="18"/>
      <c r="P615" s="18"/>
      <c r="Q615" s="18"/>
      <c r="R615" s="18"/>
      <c r="S615" s="18"/>
      <c r="T615" s="18"/>
      <c r="U615" s="18"/>
      <c r="V615" s="18"/>
      <c r="W615" s="18"/>
      <c r="X615" s="18"/>
      <c r="Y615" s="18"/>
      <c r="Z615" s="18"/>
      <c r="AA615" s="18"/>
      <c r="AB615" s="18"/>
      <c r="AC615" s="18"/>
      <c r="AD615" s="18"/>
      <c r="AE615" s="18"/>
      <c r="AF615" s="18"/>
      <c r="AG615" s="18"/>
    </row>
    <row r="616" spans="1:33" x14ac:dyDescent="0.2">
      <c r="A616" s="1279"/>
      <c r="B616" s="1280"/>
      <c r="C616" s="18"/>
      <c r="D616" s="18"/>
      <c r="E616" s="18"/>
      <c r="F616" s="18"/>
      <c r="G616" s="18"/>
      <c r="H616" s="18"/>
      <c r="I616" s="18"/>
      <c r="J616" s="18"/>
      <c r="K616" s="18"/>
      <c r="L616" s="12"/>
      <c r="M616" s="18"/>
      <c r="N616" s="18"/>
      <c r="O616" s="18"/>
      <c r="P616" s="18"/>
      <c r="Q616" s="18"/>
      <c r="R616" s="18"/>
      <c r="S616" s="18"/>
      <c r="T616" s="18"/>
      <c r="U616" s="18"/>
      <c r="V616" s="18"/>
      <c r="W616" s="18"/>
      <c r="X616" s="18"/>
      <c r="Y616" s="18"/>
      <c r="Z616" s="18"/>
      <c r="AA616" s="18"/>
      <c r="AB616" s="18"/>
      <c r="AC616" s="18"/>
      <c r="AD616" s="18"/>
      <c r="AE616" s="18"/>
      <c r="AF616" s="18"/>
      <c r="AG616" s="18"/>
    </row>
    <row r="617" spans="1:33" x14ac:dyDescent="0.2">
      <c r="A617" s="1279"/>
      <c r="B617" s="1280"/>
      <c r="C617" s="18"/>
      <c r="D617" s="18"/>
      <c r="E617" s="18"/>
      <c r="F617" s="18"/>
      <c r="G617" s="18"/>
      <c r="H617" s="18"/>
      <c r="I617" s="18"/>
      <c r="J617" s="18"/>
      <c r="K617" s="18"/>
      <c r="L617" s="12"/>
      <c r="M617" s="18"/>
      <c r="N617" s="18"/>
      <c r="O617" s="18"/>
      <c r="P617" s="18"/>
      <c r="Q617" s="18"/>
      <c r="R617" s="18"/>
      <c r="S617" s="18"/>
      <c r="T617" s="18"/>
      <c r="U617" s="18"/>
      <c r="V617" s="18"/>
      <c r="W617" s="18"/>
      <c r="X617" s="18"/>
      <c r="Y617" s="18"/>
      <c r="Z617" s="18"/>
      <c r="AA617" s="18"/>
      <c r="AB617" s="18"/>
      <c r="AC617" s="18"/>
      <c r="AD617" s="18"/>
      <c r="AE617" s="18"/>
      <c r="AF617" s="18"/>
      <c r="AG617" s="18"/>
    </row>
    <row r="618" spans="1:33" x14ac:dyDescent="0.2">
      <c r="A618" s="1279"/>
      <c r="B618" s="1280"/>
      <c r="C618" s="18"/>
      <c r="D618" s="18"/>
      <c r="E618" s="18"/>
      <c r="F618" s="18"/>
      <c r="G618" s="18"/>
      <c r="H618" s="18"/>
      <c r="I618" s="18"/>
      <c r="J618" s="18"/>
      <c r="K618" s="18"/>
      <c r="L618" s="12"/>
      <c r="M618" s="18"/>
      <c r="N618" s="18"/>
      <c r="O618" s="18"/>
      <c r="P618" s="18"/>
      <c r="Q618" s="18"/>
      <c r="R618" s="18"/>
      <c r="S618" s="18"/>
      <c r="T618" s="18"/>
      <c r="U618" s="18"/>
      <c r="V618" s="18"/>
      <c r="W618" s="18"/>
      <c r="X618" s="18"/>
      <c r="Y618" s="18"/>
      <c r="Z618" s="18"/>
      <c r="AA618" s="18"/>
      <c r="AB618" s="18"/>
      <c r="AC618" s="18"/>
      <c r="AD618" s="18"/>
      <c r="AE618" s="18"/>
      <c r="AF618" s="18"/>
      <c r="AG618" s="18"/>
    </row>
    <row r="619" spans="1:33" x14ac:dyDescent="0.2">
      <c r="A619" s="1279"/>
      <c r="B619" s="1280"/>
      <c r="C619" s="18"/>
      <c r="D619" s="18"/>
      <c r="E619" s="18"/>
      <c r="F619" s="18"/>
      <c r="G619" s="18"/>
      <c r="H619" s="18"/>
      <c r="I619" s="18"/>
      <c r="J619" s="18"/>
      <c r="K619" s="18"/>
      <c r="L619" s="12"/>
      <c r="M619" s="18"/>
      <c r="N619" s="18"/>
      <c r="O619" s="18"/>
      <c r="P619" s="18"/>
      <c r="Q619" s="18"/>
      <c r="R619" s="18"/>
      <c r="S619" s="18"/>
      <c r="T619" s="18"/>
      <c r="U619" s="18"/>
      <c r="V619" s="18"/>
      <c r="W619" s="18"/>
      <c r="X619" s="18"/>
      <c r="Y619" s="18"/>
      <c r="Z619" s="18"/>
      <c r="AA619" s="18"/>
      <c r="AB619" s="18"/>
      <c r="AC619" s="18"/>
      <c r="AD619" s="18"/>
      <c r="AE619" s="18"/>
      <c r="AF619" s="18"/>
      <c r="AG619" s="18"/>
    </row>
    <row r="620" spans="1:33" x14ac:dyDescent="0.2">
      <c r="A620" s="1279"/>
      <c r="B620" s="1280"/>
      <c r="C620" s="18"/>
      <c r="D620" s="18"/>
      <c r="E620" s="18"/>
      <c r="F620" s="18"/>
      <c r="G620" s="18"/>
      <c r="H620" s="18"/>
      <c r="I620" s="18"/>
      <c r="J620" s="18"/>
      <c r="K620" s="18"/>
      <c r="L620" s="12"/>
      <c r="M620" s="18"/>
      <c r="N620" s="18"/>
      <c r="O620" s="18"/>
      <c r="P620" s="18"/>
      <c r="Q620" s="18"/>
      <c r="R620" s="18"/>
      <c r="S620" s="18"/>
      <c r="T620" s="18"/>
      <c r="U620" s="18"/>
      <c r="V620" s="18"/>
      <c r="W620" s="18"/>
      <c r="X620" s="18"/>
      <c r="Y620" s="18"/>
      <c r="Z620" s="18"/>
      <c r="AA620" s="18"/>
      <c r="AB620" s="18"/>
      <c r="AC620" s="18"/>
      <c r="AD620" s="18"/>
      <c r="AE620" s="18"/>
      <c r="AF620" s="18"/>
      <c r="AG620" s="18"/>
    </row>
    <row r="621" spans="1:33" x14ac:dyDescent="0.2">
      <c r="A621" s="1279"/>
      <c r="B621" s="1280"/>
      <c r="C621" s="18"/>
      <c r="D621" s="18"/>
      <c r="E621" s="18"/>
      <c r="F621" s="18"/>
      <c r="G621" s="18"/>
      <c r="H621" s="18"/>
      <c r="I621" s="18"/>
      <c r="J621" s="18"/>
      <c r="K621" s="18"/>
      <c r="L621" s="12"/>
      <c r="M621" s="18"/>
      <c r="N621" s="18"/>
      <c r="O621" s="18"/>
      <c r="P621" s="18"/>
      <c r="Q621" s="18"/>
      <c r="R621" s="18"/>
      <c r="S621" s="18"/>
      <c r="T621" s="18"/>
      <c r="U621" s="18"/>
      <c r="V621" s="18"/>
      <c r="W621" s="18"/>
      <c r="X621" s="18"/>
      <c r="Y621" s="18"/>
      <c r="Z621" s="18"/>
      <c r="AA621" s="18"/>
      <c r="AB621" s="18"/>
      <c r="AC621" s="18"/>
      <c r="AD621" s="18"/>
      <c r="AE621" s="18"/>
      <c r="AF621" s="18"/>
      <c r="AG621" s="18"/>
    </row>
    <row r="622" spans="1:33" x14ac:dyDescent="0.2">
      <c r="A622" s="1279"/>
      <c r="B622" s="1280"/>
      <c r="C622" s="18"/>
      <c r="D622" s="18"/>
      <c r="E622" s="18"/>
      <c r="F622" s="18"/>
      <c r="G622" s="18"/>
      <c r="H622" s="18"/>
      <c r="I622" s="18"/>
      <c r="J622" s="18"/>
      <c r="K622" s="18"/>
      <c r="L622" s="12"/>
      <c r="M622" s="18"/>
      <c r="N622" s="18"/>
      <c r="O622" s="18"/>
      <c r="P622" s="18"/>
      <c r="Q622" s="18"/>
      <c r="R622" s="18"/>
      <c r="S622" s="18"/>
      <c r="T622" s="18"/>
      <c r="U622" s="18"/>
      <c r="V622" s="18"/>
      <c r="W622" s="18"/>
      <c r="X622" s="18"/>
      <c r="Y622" s="18"/>
      <c r="Z622" s="18"/>
      <c r="AA622" s="18"/>
      <c r="AB622" s="18"/>
      <c r="AC622" s="18"/>
      <c r="AD622" s="18"/>
      <c r="AE622" s="18"/>
      <c r="AF622" s="18"/>
      <c r="AG622" s="18"/>
    </row>
    <row r="623" spans="1:33" x14ac:dyDescent="0.2">
      <c r="A623" s="1279"/>
      <c r="B623" s="1280"/>
      <c r="C623" s="18"/>
      <c r="D623" s="18"/>
      <c r="E623" s="18"/>
      <c r="F623" s="18"/>
      <c r="G623" s="18"/>
      <c r="H623" s="18"/>
      <c r="I623" s="18"/>
      <c r="J623" s="18"/>
      <c r="K623" s="18"/>
      <c r="L623" s="12"/>
      <c r="M623" s="18"/>
      <c r="N623" s="18"/>
      <c r="O623" s="18"/>
      <c r="P623" s="18"/>
      <c r="Q623" s="18"/>
      <c r="R623" s="18"/>
      <c r="S623" s="18"/>
      <c r="T623" s="18"/>
      <c r="U623" s="18"/>
      <c r="V623" s="18"/>
      <c r="W623" s="18"/>
      <c r="X623" s="18"/>
      <c r="Y623" s="18"/>
      <c r="Z623" s="18"/>
      <c r="AA623" s="18"/>
      <c r="AB623" s="18"/>
      <c r="AC623" s="18"/>
      <c r="AD623" s="18"/>
      <c r="AE623" s="18"/>
      <c r="AF623" s="18"/>
      <c r="AG623" s="18"/>
    </row>
    <row r="624" spans="1:33" x14ac:dyDescent="0.2">
      <c r="A624" s="1279"/>
      <c r="B624" s="1280"/>
      <c r="C624" s="18"/>
      <c r="D624" s="18"/>
      <c r="E624" s="18"/>
      <c r="F624" s="18"/>
      <c r="G624" s="18"/>
      <c r="H624" s="18"/>
      <c r="I624" s="18"/>
      <c r="J624" s="18"/>
      <c r="K624" s="18"/>
      <c r="L624" s="12"/>
      <c r="M624" s="18"/>
      <c r="N624" s="18"/>
      <c r="O624" s="18"/>
      <c r="P624" s="18"/>
      <c r="Q624" s="18"/>
      <c r="R624" s="18"/>
      <c r="S624" s="18"/>
      <c r="T624" s="18"/>
      <c r="U624" s="18"/>
      <c r="V624" s="18"/>
      <c r="W624" s="18"/>
      <c r="X624" s="18"/>
      <c r="Y624" s="18"/>
      <c r="Z624" s="18"/>
      <c r="AA624" s="18"/>
      <c r="AB624" s="18"/>
      <c r="AC624" s="18"/>
      <c r="AD624" s="18"/>
      <c r="AE624" s="18"/>
      <c r="AF624" s="18"/>
      <c r="AG624" s="18"/>
    </row>
    <row r="625" spans="1:33" x14ac:dyDescent="0.2">
      <c r="A625" s="1279"/>
      <c r="B625" s="1280"/>
      <c r="C625" s="18"/>
      <c r="D625" s="18"/>
      <c r="E625" s="18"/>
      <c r="F625" s="18"/>
      <c r="G625" s="18"/>
      <c r="H625" s="18"/>
      <c r="I625" s="18"/>
      <c r="J625" s="18"/>
      <c r="K625" s="18"/>
      <c r="L625" s="12"/>
      <c r="M625" s="18"/>
      <c r="N625" s="18"/>
      <c r="O625" s="18"/>
      <c r="P625" s="18"/>
      <c r="Q625" s="18"/>
      <c r="R625" s="18"/>
      <c r="S625" s="18"/>
      <c r="T625" s="18"/>
      <c r="U625" s="18"/>
      <c r="V625" s="18"/>
      <c r="W625" s="18"/>
      <c r="X625" s="18"/>
      <c r="Y625" s="18"/>
      <c r="Z625" s="18"/>
      <c r="AA625" s="18"/>
      <c r="AB625" s="18"/>
      <c r="AC625" s="18"/>
      <c r="AD625" s="18"/>
      <c r="AE625" s="18"/>
      <c r="AF625" s="18"/>
      <c r="AG625" s="18"/>
    </row>
    <row r="626" spans="1:33" x14ac:dyDescent="0.2">
      <c r="A626" s="1279"/>
      <c r="B626" s="1280"/>
      <c r="C626" s="18"/>
      <c r="D626" s="18"/>
      <c r="E626" s="18"/>
      <c r="F626" s="18"/>
      <c r="G626" s="18"/>
      <c r="H626" s="18"/>
      <c r="I626" s="18"/>
      <c r="J626" s="18"/>
      <c r="K626" s="18"/>
      <c r="L626" s="12"/>
      <c r="M626" s="18"/>
      <c r="N626" s="18"/>
      <c r="O626" s="18"/>
      <c r="P626" s="18"/>
      <c r="Q626" s="18"/>
      <c r="R626" s="18"/>
      <c r="S626" s="18"/>
      <c r="T626" s="18"/>
      <c r="U626" s="18"/>
      <c r="V626" s="18"/>
      <c r="W626" s="18"/>
      <c r="X626" s="18"/>
      <c r="Y626" s="18"/>
      <c r="Z626" s="18"/>
      <c r="AA626" s="18"/>
      <c r="AB626" s="18"/>
      <c r="AC626" s="18"/>
      <c r="AD626" s="18"/>
      <c r="AE626" s="18"/>
      <c r="AF626" s="18"/>
      <c r="AG626" s="18"/>
    </row>
    <row r="627" spans="1:33" x14ac:dyDescent="0.2">
      <c r="A627" s="1279"/>
      <c r="B627" s="1280"/>
      <c r="C627" s="18"/>
      <c r="D627" s="18"/>
      <c r="E627" s="18"/>
      <c r="F627" s="18"/>
      <c r="G627" s="18"/>
      <c r="H627" s="18"/>
      <c r="I627" s="18"/>
      <c r="J627" s="18"/>
      <c r="K627" s="18"/>
      <c r="L627" s="12"/>
      <c r="M627" s="18"/>
      <c r="N627" s="18"/>
      <c r="O627" s="18"/>
      <c r="P627" s="18"/>
      <c r="Q627" s="18"/>
      <c r="R627" s="18"/>
      <c r="S627" s="18"/>
      <c r="T627" s="18"/>
      <c r="U627" s="18"/>
      <c r="V627" s="18"/>
      <c r="W627" s="18"/>
      <c r="X627" s="18"/>
      <c r="Y627" s="18"/>
      <c r="Z627" s="18"/>
      <c r="AA627" s="18"/>
      <c r="AB627" s="18"/>
      <c r="AC627" s="18"/>
      <c r="AD627" s="18"/>
      <c r="AE627" s="18"/>
      <c r="AF627" s="18"/>
      <c r="AG627" s="18"/>
    </row>
    <row r="628" spans="1:33" x14ac:dyDescent="0.2">
      <c r="A628" s="1279"/>
      <c r="B628" s="1280"/>
      <c r="C628" s="18"/>
      <c r="D628" s="18"/>
      <c r="E628" s="18"/>
      <c r="F628" s="18"/>
      <c r="G628" s="18"/>
      <c r="H628" s="18"/>
      <c r="I628" s="18"/>
      <c r="J628" s="18"/>
      <c r="K628" s="18"/>
      <c r="L628" s="12"/>
      <c r="M628" s="18"/>
      <c r="N628" s="18"/>
      <c r="O628" s="18"/>
      <c r="P628" s="18"/>
      <c r="Q628" s="18"/>
      <c r="R628" s="18"/>
      <c r="S628" s="18"/>
      <c r="T628" s="18"/>
      <c r="U628" s="18"/>
      <c r="V628" s="18"/>
      <c r="W628" s="18"/>
      <c r="X628" s="18"/>
      <c r="Y628" s="18"/>
      <c r="Z628" s="18"/>
      <c r="AA628" s="18"/>
      <c r="AB628" s="18"/>
      <c r="AC628" s="18"/>
      <c r="AD628" s="18"/>
      <c r="AE628" s="18"/>
      <c r="AF628" s="18"/>
      <c r="AG628" s="18"/>
    </row>
    <row r="629" spans="1:33" x14ac:dyDescent="0.2">
      <c r="A629" s="1279"/>
      <c r="B629" s="1280"/>
      <c r="C629" s="18"/>
      <c r="D629" s="18"/>
      <c r="E629" s="18"/>
      <c r="F629" s="18"/>
      <c r="G629" s="18"/>
      <c r="H629" s="18"/>
      <c r="I629" s="18"/>
      <c r="J629" s="18"/>
      <c r="K629" s="18"/>
      <c r="L629" s="12"/>
      <c r="M629" s="18"/>
      <c r="N629" s="18"/>
      <c r="O629" s="18"/>
      <c r="P629" s="18"/>
      <c r="Q629" s="18"/>
      <c r="R629" s="18"/>
      <c r="S629" s="18"/>
      <c r="T629" s="18"/>
      <c r="U629" s="18"/>
      <c r="V629" s="18"/>
      <c r="W629" s="18"/>
      <c r="X629" s="18"/>
      <c r="Y629" s="18"/>
      <c r="Z629" s="18"/>
      <c r="AA629" s="18"/>
      <c r="AB629" s="18"/>
      <c r="AC629" s="18"/>
      <c r="AD629" s="18"/>
      <c r="AE629" s="18"/>
      <c r="AF629" s="18"/>
      <c r="AG629" s="18"/>
    </row>
    <row r="630" spans="1:33" x14ac:dyDescent="0.2">
      <c r="A630" s="1279"/>
      <c r="B630" s="1280"/>
      <c r="C630" s="18"/>
      <c r="D630" s="18"/>
      <c r="E630" s="18"/>
      <c r="F630" s="18"/>
      <c r="G630" s="18"/>
      <c r="H630" s="18"/>
      <c r="I630" s="18"/>
      <c r="J630" s="18"/>
      <c r="K630" s="18"/>
      <c r="L630" s="12"/>
      <c r="M630" s="18"/>
      <c r="N630" s="18"/>
      <c r="O630" s="18"/>
      <c r="P630" s="18"/>
      <c r="Q630" s="18"/>
      <c r="R630" s="18"/>
      <c r="S630" s="18"/>
      <c r="T630" s="18"/>
      <c r="U630" s="18"/>
      <c r="V630" s="18"/>
      <c r="W630" s="18"/>
      <c r="X630" s="18"/>
      <c r="Y630" s="18"/>
      <c r="Z630" s="18"/>
      <c r="AA630" s="18"/>
      <c r="AB630" s="18"/>
      <c r="AC630" s="18"/>
      <c r="AD630" s="18"/>
      <c r="AE630" s="18"/>
      <c r="AF630" s="18"/>
      <c r="AG630" s="18"/>
    </row>
    <row r="631" spans="1:33" x14ac:dyDescent="0.2">
      <c r="A631" s="1279"/>
      <c r="B631" s="1280"/>
      <c r="C631" s="18"/>
      <c r="D631" s="18"/>
      <c r="E631" s="18"/>
      <c r="F631" s="18"/>
      <c r="G631" s="18"/>
      <c r="H631" s="18"/>
      <c r="I631" s="18"/>
      <c r="J631" s="18"/>
      <c r="K631" s="18"/>
      <c r="L631" s="12"/>
      <c r="M631" s="18"/>
      <c r="N631" s="18"/>
      <c r="O631" s="18"/>
      <c r="P631" s="18"/>
      <c r="Q631" s="18"/>
      <c r="R631" s="18"/>
      <c r="S631" s="18"/>
      <c r="T631" s="18"/>
      <c r="U631" s="18"/>
      <c r="V631" s="18"/>
      <c r="W631" s="18"/>
      <c r="X631" s="18"/>
      <c r="Y631" s="18"/>
      <c r="Z631" s="18"/>
      <c r="AA631" s="18"/>
      <c r="AB631" s="18"/>
      <c r="AC631" s="18"/>
      <c r="AD631" s="18"/>
      <c r="AE631" s="18"/>
      <c r="AF631" s="18"/>
      <c r="AG631" s="18"/>
    </row>
    <row r="632" spans="1:33" x14ac:dyDescent="0.2">
      <c r="A632" s="1279"/>
      <c r="B632" s="1280"/>
      <c r="C632" s="18"/>
      <c r="D632" s="18"/>
      <c r="E632" s="18"/>
      <c r="F632" s="18"/>
      <c r="G632" s="18"/>
      <c r="H632" s="18"/>
      <c r="I632" s="18"/>
      <c r="J632" s="18"/>
      <c r="K632" s="18"/>
      <c r="L632" s="12"/>
      <c r="M632" s="18"/>
      <c r="N632" s="18"/>
      <c r="O632" s="18"/>
      <c r="P632" s="18"/>
      <c r="Q632" s="18"/>
      <c r="R632" s="18"/>
      <c r="S632" s="18"/>
      <c r="T632" s="18"/>
      <c r="U632" s="18"/>
      <c r="V632" s="18"/>
      <c r="W632" s="18"/>
      <c r="X632" s="18"/>
      <c r="Y632" s="18"/>
      <c r="Z632" s="18"/>
      <c r="AA632" s="18"/>
      <c r="AB632" s="18"/>
      <c r="AC632" s="18"/>
      <c r="AD632" s="18"/>
      <c r="AE632" s="18"/>
      <c r="AF632" s="18"/>
      <c r="AG632" s="18"/>
    </row>
    <row r="633" spans="1:33" x14ac:dyDescent="0.2">
      <c r="A633" s="1279"/>
      <c r="B633" s="1280"/>
      <c r="C633" s="18"/>
      <c r="D633" s="18"/>
      <c r="E633" s="18"/>
      <c r="F633" s="18"/>
      <c r="G633" s="18"/>
      <c r="H633" s="18"/>
      <c r="I633" s="18"/>
      <c r="J633" s="18"/>
      <c r="K633" s="18"/>
      <c r="L633" s="12"/>
      <c r="M633" s="18"/>
      <c r="N633" s="18"/>
      <c r="O633" s="18"/>
      <c r="P633" s="18"/>
      <c r="Q633" s="18"/>
      <c r="R633" s="18"/>
      <c r="S633" s="18"/>
      <c r="T633" s="18"/>
      <c r="U633" s="18"/>
      <c r="V633" s="18"/>
      <c r="W633" s="18"/>
      <c r="X633" s="18"/>
      <c r="Y633" s="18"/>
      <c r="Z633" s="18"/>
      <c r="AA633" s="18"/>
      <c r="AB633" s="18"/>
      <c r="AC633" s="18"/>
      <c r="AD633" s="18"/>
      <c r="AE633" s="18"/>
      <c r="AF633" s="18"/>
      <c r="AG633" s="18"/>
    </row>
    <row r="634" spans="1:33" x14ac:dyDescent="0.2">
      <c r="A634" s="1279"/>
      <c r="B634" s="1280"/>
      <c r="C634" s="18"/>
      <c r="D634" s="18"/>
      <c r="E634" s="18"/>
      <c r="F634" s="18"/>
      <c r="G634" s="18"/>
      <c r="H634" s="18"/>
      <c r="I634" s="18"/>
      <c r="J634" s="18"/>
      <c r="K634" s="18"/>
      <c r="L634" s="12"/>
      <c r="M634" s="18"/>
      <c r="N634" s="18"/>
      <c r="O634" s="18"/>
      <c r="P634" s="18"/>
      <c r="Q634" s="18"/>
      <c r="R634" s="18"/>
      <c r="S634" s="18"/>
      <c r="T634" s="18"/>
      <c r="U634" s="18"/>
      <c r="V634" s="18"/>
      <c r="W634" s="18"/>
      <c r="X634" s="18"/>
      <c r="Y634" s="18"/>
      <c r="Z634" s="18"/>
      <c r="AA634" s="18"/>
      <c r="AB634" s="18"/>
      <c r="AC634" s="18"/>
      <c r="AD634" s="18"/>
      <c r="AE634" s="18"/>
      <c r="AF634" s="18"/>
      <c r="AG634" s="18"/>
    </row>
    <row r="635" spans="1:33" x14ac:dyDescent="0.2">
      <c r="A635" s="1279"/>
      <c r="B635" s="1280"/>
      <c r="C635" s="18"/>
      <c r="D635" s="18"/>
      <c r="E635" s="18"/>
      <c r="F635" s="18"/>
      <c r="G635" s="18"/>
      <c r="H635" s="18"/>
      <c r="I635" s="18"/>
      <c r="J635" s="18"/>
      <c r="K635" s="18"/>
      <c r="L635" s="12"/>
      <c r="M635" s="18"/>
      <c r="N635" s="18"/>
      <c r="O635" s="18"/>
      <c r="P635" s="18"/>
      <c r="Q635" s="18"/>
      <c r="R635" s="18"/>
      <c r="S635" s="18"/>
      <c r="T635" s="18"/>
      <c r="U635" s="18"/>
      <c r="V635" s="18"/>
      <c r="W635" s="18"/>
      <c r="X635" s="18"/>
      <c r="Y635" s="18"/>
      <c r="Z635" s="18"/>
      <c r="AA635" s="18"/>
      <c r="AB635" s="18"/>
      <c r="AC635" s="18"/>
      <c r="AD635" s="18"/>
      <c r="AE635" s="18"/>
      <c r="AF635" s="18"/>
      <c r="AG635" s="18"/>
    </row>
    <row r="636" spans="1:33" x14ac:dyDescent="0.2">
      <c r="A636" s="1279"/>
      <c r="B636" s="1280"/>
      <c r="C636" s="18"/>
      <c r="D636" s="18"/>
      <c r="E636" s="18"/>
      <c r="F636" s="18"/>
      <c r="G636" s="18"/>
      <c r="H636" s="18"/>
      <c r="I636" s="18"/>
      <c r="J636" s="18"/>
      <c r="K636" s="18"/>
      <c r="L636" s="12"/>
      <c r="M636" s="18"/>
      <c r="N636" s="18"/>
      <c r="O636" s="18"/>
      <c r="P636" s="18"/>
      <c r="Q636" s="18"/>
      <c r="R636" s="18"/>
      <c r="S636" s="18"/>
      <c r="T636" s="18"/>
      <c r="U636" s="18"/>
      <c r="V636" s="18"/>
      <c r="W636" s="18"/>
      <c r="X636" s="18"/>
      <c r="Y636" s="18"/>
      <c r="Z636" s="18"/>
      <c r="AA636" s="18"/>
      <c r="AB636" s="18"/>
      <c r="AC636" s="18"/>
      <c r="AD636" s="18"/>
      <c r="AE636" s="18"/>
      <c r="AF636" s="18"/>
      <c r="AG636" s="18"/>
    </row>
    <row r="637" spans="1:33" x14ac:dyDescent="0.2">
      <c r="A637" s="1279"/>
      <c r="B637" s="1280"/>
      <c r="C637" s="18"/>
      <c r="D637" s="18"/>
      <c r="E637" s="18"/>
      <c r="F637" s="18"/>
      <c r="G637" s="18"/>
      <c r="H637" s="18"/>
      <c r="I637" s="18"/>
      <c r="J637" s="18"/>
      <c r="K637" s="18"/>
      <c r="L637" s="12"/>
      <c r="M637" s="18"/>
      <c r="N637" s="18"/>
      <c r="O637" s="18"/>
      <c r="P637" s="18"/>
      <c r="Q637" s="18"/>
      <c r="R637" s="18"/>
      <c r="S637" s="18"/>
      <c r="T637" s="18"/>
      <c r="U637" s="18"/>
      <c r="V637" s="18"/>
      <c r="W637" s="18"/>
      <c r="X637" s="18"/>
      <c r="Y637" s="18"/>
      <c r="Z637" s="18"/>
      <c r="AA637" s="18"/>
      <c r="AB637" s="18"/>
      <c r="AC637" s="18"/>
      <c r="AD637" s="18"/>
      <c r="AE637" s="18"/>
      <c r="AF637" s="18"/>
      <c r="AG637" s="18"/>
    </row>
    <row r="638" spans="1:33" x14ac:dyDescent="0.2">
      <c r="A638" s="1279"/>
      <c r="B638" s="1280"/>
      <c r="C638" s="18"/>
      <c r="D638" s="18"/>
      <c r="E638" s="18"/>
      <c r="F638" s="18"/>
      <c r="G638" s="18"/>
      <c r="H638" s="18"/>
      <c r="I638" s="18"/>
      <c r="J638" s="18"/>
      <c r="K638" s="18"/>
      <c r="L638" s="12"/>
      <c r="M638" s="18"/>
      <c r="N638" s="18"/>
      <c r="O638" s="18"/>
      <c r="P638" s="18"/>
      <c r="Q638" s="18"/>
      <c r="R638" s="18"/>
      <c r="S638" s="18"/>
      <c r="T638" s="18"/>
      <c r="U638" s="18"/>
      <c r="V638" s="18"/>
      <c r="W638" s="18"/>
      <c r="X638" s="18"/>
      <c r="Y638" s="18"/>
      <c r="Z638" s="18"/>
      <c r="AA638" s="18"/>
      <c r="AB638" s="18"/>
      <c r="AC638" s="18"/>
      <c r="AD638" s="18"/>
      <c r="AE638" s="18"/>
      <c r="AF638" s="18"/>
      <c r="AG638" s="18"/>
    </row>
    <row r="639" spans="1:33" x14ac:dyDescent="0.2">
      <c r="A639" s="1279"/>
      <c r="B639" s="1280"/>
      <c r="C639" s="18"/>
      <c r="D639" s="18"/>
      <c r="E639" s="18"/>
      <c r="F639" s="18"/>
      <c r="G639" s="18"/>
      <c r="H639" s="18"/>
      <c r="I639" s="18"/>
      <c r="J639" s="18"/>
      <c r="K639" s="18"/>
      <c r="L639" s="12"/>
      <c r="M639" s="18"/>
      <c r="N639" s="18"/>
      <c r="O639" s="18"/>
      <c r="P639" s="18"/>
      <c r="Q639" s="18"/>
      <c r="R639" s="18"/>
      <c r="S639" s="18"/>
      <c r="T639" s="18"/>
      <c r="U639" s="18"/>
      <c r="V639" s="18"/>
      <c r="W639" s="18"/>
      <c r="X639" s="18"/>
      <c r="Y639" s="18"/>
      <c r="Z639" s="18"/>
      <c r="AA639" s="18"/>
      <c r="AB639" s="18"/>
      <c r="AC639" s="18"/>
      <c r="AD639" s="18"/>
      <c r="AE639" s="18"/>
      <c r="AF639" s="18"/>
      <c r="AG639" s="18"/>
    </row>
    <row r="640" spans="1:33" x14ac:dyDescent="0.2">
      <c r="A640" s="1279"/>
      <c r="B640" s="1280"/>
      <c r="C640" s="18"/>
      <c r="D640" s="18"/>
      <c r="E640" s="18"/>
      <c r="F640" s="18"/>
      <c r="G640" s="18"/>
      <c r="H640" s="18"/>
      <c r="I640" s="18"/>
      <c r="J640" s="18"/>
      <c r="K640" s="18"/>
      <c r="L640" s="12"/>
      <c r="M640" s="18"/>
      <c r="N640" s="18"/>
      <c r="O640" s="18"/>
      <c r="P640" s="18"/>
      <c r="Q640" s="18"/>
      <c r="R640" s="18"/>
      <c r="S640" s="18"/>
      <c r="T640" s="18"/>
      <c r="U640" s="18"/>
      <c r="V640" s="18"/>
      <c r="W640" s="18"/>
      <c r="X640" s="18"/>
      <c r="Y640" s="18"/>
      <c r="Z640" s="18"/>
      <c r="AA640" s="18"/>
      <c r="AB640" s="18"/>
      <c r="AC640" s="18"/>
      <c r="AD640" s="18"/>
      <c r="AE640" s="18"/>
      <c r="AF640" s="18"/>
      <c r="AG640" s="18"/>
    </row>
    <row r="641" spans="1:33" x14ac:dyDescent="0.2">
      <c r="A641" s="1279"/>
      <c r="B641" s="1280"/>
      <c r="C641" s="18"/>
      <c r="D641" s="18"/>
      <c r="E641" s="18"/>
      <c r="F641" s="18"/>
      <c r="G641" s="18"/>
      <c r="H641" s="18"/>
      <c r="I641" s="18"/>
      <c r="J641" s="18"/>
      <c r="K641" s="18"/>
      <c r="L641" s="12"/>
      <c r="M641" s="18"/>
      <c r="N641" s="18"/>
      <c r="O641" s="18"/>
      <c r="P641" s="18"/>
      <c r="Q641" s="18"/>
      <c r="R641" s="18"/>
      <c r="S641" s="18"/>
      <c r="T641" s="18"/>
      <c r="U641" s="18"/>
      <c r="V641" s="18"/>
      <c r="W641" s="18"/>
      <c r="X641" s="18"/>
      <c r="Y641" s="18"/>
      <c r="Z641" s="18"/>
      <c r="AA641" s="18"/>
      <c r="AB641" s="18"/>
      <c r="AC641" s="18"/>
      <c r="AD641" s="18"/>
      <c r="AE641" s="18"/>
      <c r="AF641" s="18"/>
      <c r="AG641" s="18"/>
    </row>
    <row r="642" spans="1:33" x14ac:dyDescent="0.2">
      <c r="A642" s="1279"/>
      <c r="B642" s="1280"/>
      <c r="C642" s="18"/>
      <c r="D642" s="18"/>
      <c r="E642" s="18"/>
      <c r="F642" s="18"/>
      <c r="G642" s="18"/>
      <c r="H642" s="18"/>
      <c r="I642" s="18"/>
      <c r="J642" s="18"/>
      <c r="K642" s="18"/>
      <c r="L642" s="12"/>
      <c r="M642" s="18"/>
      <c r="N642" s="18"/>
      <c r="O642" s="18"/>
      <c r="P642" s="18"/>
      <c r="Q642" s="18"/>
      <c r="R642" s="18"/>
      <c r="S642" s="18"/>
      <c r="T642" s="18"/>
      <c r="U642" s="18"/>
      <c r="V642" s="18"/>
      <c r="W642" s="18"/>
      <c r="X642" s="18"/>
      <c r="Y642" s="18"/>
      <c r="Z642" s="18"/>
      <c r="AA642" s="18"/>
      <c r="AB642" s="18"/>
      <c r="AC642" s="18"/>
      <c r="AD642" s="18"/>
      <c r="AE642" s="18"/>
      <c r="AF642" s="18"/>
      <c r="AG642" s="18"/>
    </row>
    <row r="643" spans="1:33" x14ac:dyDescent="0.2">
      <c r="A643" s="1279"/>
      <c r="B643" s="1280"/>
      <c r="C643" s="18"/>
      <c r="D643" s="18"/>
      <c r="E643" s="18"/>
      <c r="F643" s="18"/>
      <c r="G643" s="18"/>
      <c r="H643" s="18"/>
      <c r="I643" s="18"/>
      <c r="J643" s="18"/>
      <c r="K643" s="18"/>
      <c r="L643" s="12"/>
      <c r="M643" s="18"/>
      <c r="N643" s="18"/>
      <c r="O643" s="18"/>
      <c r="P643" s="18"/>
      <c r="Q643" s="18"/>
      <c r="R643" s="18"/>
      <c r="S643" s="18"/>
      <c r="T643" s="18"/>
      <c r="U643" s="18"/>
      <c r="V643" s="18"/>
      <c r="W643" s="18"/>
      <c r="X643" s="18"/>
      <c r="Y643" s="18"/>
      <c r="Z643" s="18"/>
      <c r="AA643" s="18"/>
      <c r="AB643" s="18"/>
      <c r="AC643" s="18"/>
      <c r="AD643" s="18"/>
      <c r="AE643" s="18"/>
      <c r="AF643" s="18"/>
      <c r="AG643" s="18"/>
    </row>
    <row r="644" spans="1:33" x14ac:dyDescent="0.2">
      <c r="A644" s="1279"/>
      <c r="B644" s="1280"/>
      <c r="C644" s="18"/>
      <c r="D644" s="18"/>
      <c r="E644" s="18"/>
      <c r="F644" s="18"/>
      <c r="G644" s="18"/>
      <c r="H644" s="18"/>
      <c r="I644" s="18"/>
      <c r="J644" s="18"/>
      <c r="K644" s="18"/>
      <c r="L644" s="12"/>
      <c r="M644" s="18"/>
      <c r="N644" s="18"/>
      <c r="O644" s="18"/>
      <c r="P644" s="18"/>
      <c r="Q644" s="18"/>
      <c r="R644" s="18"/>
      <c r="S644" s="18"/>
      <c r="T644" s="18"/>
      <c r="U644" s="18"/>
      <c r="V644" s="18"/>
      <c r="W644" s="18"/>
      <c r="X644" s="18"/>
      <c r="Y644" s="18"/>
      <c r="Z644" s="18"/>
      <c r="AA644" s="18"/>
      <c r="AB644" s="18"/>
      <c r="AC644" s="18"/>
      <c r="AD644" s="18"/>
      <c r="AE644" s="18"/>
      <c r="AF644" s="18"/>
      <c r="AG644" s="18"/>
    </row>
    <row r="645" spans="1:33" x14ac:dyDescent="0.2">
      <c r="A645" s="1279"/>
      <c r="B645" s="1280"/>
      <c r="C645" s="18"/>
      <c r="D645" s="18"/>
      <c r="E645" s="18"/>
      <c r="F645" s="18"/>
      <c r="G645" s="18"/>
      <c r="H645" s="18"/>
      <c r="I645" s="18"/>
      <c r="J645" s="18"/>
      <c r="K645" s="18"/>
      <c r="L645" s="12"/>
      <c r="M645" s="18"/>
      <c r="N645" s="18"/>
      <c r="O645" s="18"/>
      <c r="P645" s="18"/>
      <c r="Q645" s="18"/>
      <c r="R645" s="18"/>
      <c r="S645" s="18"/>
      <c r="T645" s="18"/>
      <c r="U645" s="18"/>
      <c r="V645" s="18"/>
      <c r="W645" s="18"/>
      <c r="X645" s="18"/>
      <c r="Y645" s="18"/>
      <c r="Z645" s="18"/>
      <c r="AA645" s="18"/>
      <c r="AB645" s="18"/>
      <c r="AC645" s="18"/>
      <c r="AD645" s="18"/>
      <c r="AE645" s="18"/>
      <c r="AF645" s="18"/>
      <c r="AG645" s="18"/>
    </row>
    <row r="646" spans="1:33" x14ac:dyDescent="0.2">
      <c r="A646" s="1279"/>
      <c r="B646" s="1280"/>
      <c r="C646" s="18"/>
      <c r="D646" s="18"/>
      <c r="E646" s="18"/>
      <c r="F646" s="18"/>
      <c r="G646" s="18"/>
      <c r="H646" s="18"/>
      <c r="I646" s="18"/>
      <c r="J646" s="18"/>
      <c r="K646" s="18"/>
      <c r="L646" s="12"/>
      <c r="M646" s="18"/>
      <c r="N646" s="18"/>
      <c r="O646" s="18"/>
      <c r="P646" s="18"/>
      <c r="Q646" s="18"/>
      <c r="R646" s="18"/>
      <c r="S646" s="18"/>
      <c r="T646" s="18"/>
      <c r="U646" s="18"/>
      <c r="V646" s="18"/>
      <c r="W646" s="18"/>
      <c r="X646" s="18"/>
      <c r="Y646" s="18"/>
      <c r="Z646" s="18"/>
      <c r="AA646" s="18"/>
      <c r="AB646" s="18"/>
      <c r="AC646" s="18"/>
      <c r="AD646" s="18"/>
      <c r="AE646" s="18"/>
      <c r="AF646" s="18"/>
      <c r="AG646" s="18"/>
    </row>
    <row r="647" spans="1:33" x14ac:dyDescent="0.2">
      <c r="A647" s="1279"/>
      <c r="B647" s="1280"/>
      <c r="C647" s="18"/>
      <c r="D647" s="18"/>
      <c r="E647" s="18"/>
      <c r="F647" s="18"/>
      <c r="G647" s="18"/>
      <c r="H647" s="18"/>
      <c r="I647" s="18"/>
      <c r="J647" s="18"/>
      <c r="K647" s="18"/>
      <c r="L647" s="12"/>
      <c r="M647" s="18"/>
      <c r="N647" s="18"/>
      <c r="O647" s="18"/>
      <c r="P647" s="18"/>
      <c r="Q647" s="18"/>
      <c r="R647" s="18"/>
      <c r="S647" s="18"/>
      <c r="T647" s="18"/>
      <c r="U647" s="18"/>
      <c r="V647" s="18"/>
      <c r="W647" s="18"/>
      <c r="X647" s="18"/>
      <c r="Y647" s="18"/>
      <c r="Z647" s="18"/>
      <c r="AA647" s="18"/>
      <c r="AB647" s="18"/>
      <c r="AC647" s="18"/>
      <c r="AD647" s="18"/>
      <c r="AE647" s="18"/>
      <c r="AF647" s="18"/>
      <c r="AG647" s="18"/>
    </row>
    <row r="648" spans="1:33" x14ac:dyDescent="0.2">
      <c r="A648" s="1279"/>
      <c r="B648" s="1280"/>
      <c r="C648" s="18"/>
      <c r="D648" s="18"/>
      <c r="E648" s="18"/>
      <c r="F648" s="18"/>
      <c r="G648" s="18"/>
      <c r="H648" s="18"/>
      <c r="I648" s="18"/>
      <c r="J648" s="18"/>
      <c r="K648" s="18"/>
      <c r="L648" s="12"/>
      <c r="M648" s="18"/>
      <c r="N648" s="18"/>
      <c r="O648" s="18"/>
      <c r="P648" s="18"/>
      <c r="Q648" s="18"/>
      <c r="R648" s="18"/>
      <c r="S648" s="18"/>
      <c r="T648" s="18"/>
      <c r="U648" s="18"/>
      <c r="V648" s="18"/>
      <c r="W648" s="18"/>
      <c r="X648" s="18"/>
      <c r="Y648" s="18"/>
      <c r="Z648" s="18"/>
      <c r="AA648" s="18"/>
      <c r="AB648" s="18"/>
      <c r="AC648" s="18"/>
      <c r="AD648" s="18"/>
      <c r="AE648" s="18"/>
      <c r="AF648" s="18"/>
      <c r="AG648" s="18"/>
    </row>
    <row r="649" spans="1:33" x14ac:dyDescent="0.2">
      <c r="A649" s="1279"/>
      <c r="B649" s="1280"/>
      <c r="C649" s="18"/>
      <c r="D649" s="18"/>
      <c r="E649" s="18"/>
      <c r="F649" s="18"/>
      <c r="G649" s="18"/>
      <c r="H649" s="18"/>
      <c r="I649" s="18"/>
      <c r="J649" s="18"/>
      <c r="K649" s="18"/>
      <c r="L649" s="12"/>
      <c r="M649" s="18"/>
      <c r="N649" s="18"/>
      <c r="O649" s="18"/>
      <c r="P649" s="18"/>
      <c r="Q649" s="18"/>
      <c r="R649" s="18"/>
      <c r="S649" s="18"/>
      <c r="T649" s="18"/>
      <c r="U649" s="18"/>
      <c r="V649" s="18"/>
      <c r="W649" s="18"/>
      <c r="X649" s="18"/>
      <c r="Y649" s="18"/>
      <c r="Z649" s="18"/>
      <c r="AA649" s="18"/>
      <c r="AB649" s="18"/>
      <c r="AC649" s="18"/>
      <c r="AD649" s="18"/>
      <c r="AE649" s="18"/>
      <c r="AF649" s="18"/>
      <c r="AG649" s="18"/>
    </row>
    <row r="650" spans="1:33" x14ac:dyDescent="0.2">
      <c r="A650" s="1279"/>
      <c r="B650" s="1280"/>
      <c r="C650" s="18"/>
      <c r="D650" s="18"/>
      <c r="E650" s="18"/>
      <c r="F650" s="18"/>
      <c r="G650" s="18"/>
      <c r="H650" s="18"/>
      <c r="I650" s="18"/>
      <c r="J650" s="18"/>
      <c r="K650" s="18"/>
      <c r="L650" s="12"/>
      <c r="M650" s="18"/>
      <c r="N650" s="18"/>
      <c r="O650" s="18"/>
      <c r="P650" s="18"/>
      <c r="Q650" s="18"/>
      <c r="R650" s="18"/>
      <c r="S650" s="18"/>
      <c r="T650" s="18"/>
      <c r="U650" s="18"/>
      <c r="V650" s="18"/>
      <c r="W650" s="18"/>
      <c r="X650" s="18"/>
      <c r="Y650" s="18"/>
      <c r="Z650" s="18"/>
      <c r="AA650" s="18"/>
      <c r="AB650" s="18"/>
      <c r="AC650" s="18"/>
      <c r="AD650" s="18"/>
      <c r="AE650" s="18"/>
      <c r="AF650" s="18"/>
      <c r="AG650" s="18"/>
    </row>
    <row r="651" spans="1:33" x14ac:dyDescent="0.2">
      <c r="A651" s="1279"/>
      <c r="B651" s="1280"/>
      <c r="C651" s="18"/>
      <c r="D651" s="18"/>
      <c r="E651" s="18"/>
      <c r="F651" s="18"/>
      <c r="G651" s="18"/>
      <c r="H651" s="18"/>
      <c r="I651" s="18"/>
      <c r="J651" s="18"/>
      <c r="K651" s="18"/>
      <c r="L651" s="12"/>
      <c r="M651" s="18"/>
      <c r="N651" s="18"/>
      <c r="O651" s="18"/>
      <c r="P651" s="18"/>
      <c r="Q651" s="18"/>
      <c r="R651" s="18"/>
      <c r="S651" s="18"/>
      <c r="T651" s="18"/>
      <c r="U651" s="18"/>
      <c r="V651" s="18"/>
      <c r="W651" s="18"/>
      <c r="X651" s="18"/>
      <c r="Y651" s="18"/>
      <c r="Z651" s="18"/>
      <c r="AA651" s="18"/>
      <c r="AB651" s="18"/>
      <c r="AC651" s="18"/>
      <c r="AD651" s="18"/>
      <c r="AE651" s="18"/>
      <c r="AF651" s="18"/>
      <c r="AG651" s="18"/>
    </row>
    <row r="652" spans="1:33" x14ac:dyDescent="0.2">
      <c r="A652" s="1279"/>
      <c r="B652" s="1280"/>
      <c r="C652" s="18"/>
      <c r="D652" s="18"/>
      <c r="E652" s="18"/>
      <c r="F652" s="18"/>
      <c r="G652" s="18"/>
      <c r="H652" s="18"/>
      <c r="I652" s="18"/>
      <c r="J652" s="18"/>
      <c r="K652" s="18"/>
      <c r="L652" s="12"/>
      <c r="M652" s="18"/>
      <c r="N652" s="18"/>
      <c r="O652" s="18"/>
      <c r="P652" s="18"/>
      <c r="Q652" s="18"/>
      <c r="R652" s="18"/>
      <c r="S652" s="18"/>
      <c r="T652" s="18"/>
      <c r="U652" s="18"/>
      <c r="V652" s="18"/>
      <c r="W652" s="18"/>
      <c r="X652" s="18"/>
      <c r="Y652" s="18"/>
      <c r="Z652" s="18"/>
      <c r="AA652" s="18"/>
      <c r="AB652" s="18"/>
      <c r="AC652" s="18"/>
      <c r="AD652" s="18"/>
      <c r="AE652" s="18"/>
      <c r="AF652" s="18"/>
      <c r="AG652" s="18"/>
    </row>
    <row r="653" spans="1:33" x14ac:dyDescent="0.2">
      <c r="A653" s="1279"/>
      <c r="B653" s="1280"/>
      <c r="C653" s="18"/>
      <c r="D653" s="18"/>
      <c r="E653" s="18"/>
      <c r="F653" s="18"/>
      <c r="G653" s="18"/>
      <c r="H653" s="18"/>
      <c r="I653" s="18"/>
      <c r="J653" s="18"/>
      <c r="K653" s="18"/>
      <c r="L653" s="12"/>
      <c r="M653" s="18"/>
      <c r="N653" s="18"/>
      <c r="O653" s="18"/>
      <c r="P653" s="18"/>
      <c r="Q653" s="18"/>
      <c r="R653" s="18"/>
      <c r="S653" s="18"/>
      <c r="T653" s="18"/>
      <c r="U653" s="18"/>
      <c r="V653" s="18"/>
      <c r="W653" s="18"/>
      <c r="X653" s="18"/>
      <c r="Y653" s="18"/>
      <c r="Z653" s="18"/>
      <c r="AA653" s="18"/>
      <c r="AB653" s="18"/>
      <c r="AC653" s="18"/>
      <c r="AD653" s="18"/>
      <c r="AE653" s="18"/>
      <c r="AF653" s="18"/>
      <c r="AG653" s="18"/>
    </row>
    <row r="654" spans="1:33" x14ac:dyDescent="0.2">
      <c r="A654" s="1279"/>
      <c r="B654" s="1280"/>
      <c r="C654" s="18"/>
      <c r="D654" s="18"/>
      <c r="E654" s="18"/>
      <c r="F654" s="18"/>
      <c r="G654" s="18"/>
      <c r="H654" s="18"/>
      <c r="I654" s="18"/>
      <c r="J654" s="18"/>
      <c r="K654" s="18"/>
      <c r="L654" s="12"/>
      <c r="M654" s="18"/>
      <c r="N654" s="18"/>
      <c r="O654" s="18"/>
      <c r="P654" s="18"/>
      <c r="Q654" s="18"/>
      <c r="R654" s="18"/>
      <c r="S654" s="18"/>
      <c r="T654" s="18"/>
      <c r="U654" s="18"/>
      <c r="V654" s="18"/>
      <c r="W654" s="18"/>
      <c r="X654" s="18"/>
      <c r="Y654" s="18"/>
      <c r="Z654" s="18"/>
      <c r="AA654" s="18"/>
      <c r="AB654" s="18"/>
      <c r="AC654" s="18"/>
      <c r="AD654" s="18"/>
      <c r="AE654" s="18"/>
      <c r="AF654" s="18"/>
      <c r="AG654" s="18"/>
    </row>
    <row r="655" spans="1:33" x14ac:dyDescent="0.2">
      <c r="A655" s="1279"/>
      <c r="B655" s="1280"/>
      <c r="C655" s="18"/>
      <c r="D655" s="18"/>
      <c r="E655" s="18"/>
      <c r="F655" s="18"/>
      <c r="G655" s="18"/>
      <c r="H655" s="18"/>
      <c r="I655" s="18"/>
      <c r="J655" s="18"/>
      <c r="K655" s="18"/>
      <c r="L655" s="12"/>
      <c r="M655" s="18"/>
      <c r="N655" s="18"/>
      <c r="O655" s="18"/>
      <c r="P655" s="18"/>
      <c r="Q655" s="18"/>
      <c r="R655" s="18"/>
      <c r="S655" s="18"/>
      <c r="T655" s="18"/>
      <c r="U655" s="18"/>
      <c r="V655" s="18"/>
      <c r="W655" s="18"/>
      <c r="X655" s="18"/>
      <c r="Y655" s="18"/>
      <c r="Z655" s="18"/>
      <c r="AA655" s="18"/>
      <c r="AB655" s="18"/>
      <c r="AC655" s="18"/>
      <c r="AD655" s="18"/>
      <c r="AE655" s="18"/>
      <c r="AF655" s="18"/>
      <c r="AG655" s="18"/>
    </row>
    <row r="656" spans="1:33" x14ac:dyDescent="0.2">
      <c r="A656" s="1279"/>
      <c r="B656" s="1280"/>
      <c r="C656" s="18"/>
      <c r="D656" s="18"/>
      <c r="E656" s="18"/>
      <c r="F656" s="18"/>
      <c r="G656" s="18"/>
      <c r="H656" s="18"/>
      <c r="I656" s="18"/>
      <c r="J656" s="18"/>
      <c r="K656" s="18"/>
      <c r="L656" s="12"/>
      <c r="M656" s="18"/>
      <c r="N656" s="18"/>
      <c r="O656" s="18"/>
      <c r="P656" s="18"/>
      <c r="Q656" s="18"/>
      <c r="R656" s="18"/>
      <c r="S656" s="18"/>
      <c r="T656" s="18"/>
      <c r="U656" s="18"/>
      <c r="V656" s="18"/>
      <c r="W656" s="18"/>
      <c r="X656" s="18"/>
      <c r="Y656" s="18"/>
      <c r="Z656" s="18"/>
      <c r="AA656" s="18"/>
      <c r="AB656" s="18"/>
      <c r="AC656" s="18"/>
      <c r="AD656" s="18"/>
      <c r="AE656" s="18"/>
      <c r="AF656" s="18"/>
      <c r="AG656" s="18"/>
    </row>
    <row r="657" spans="1:33" x14ac:dyDescent="0.2">
      <c r="A657" s="1279"/>
      <c r="B657" s="1280"/>
      <c r="C657" s="18"/>
      <c r="D657" s="18"/>
      <c r="E657" s="18"/>
      <c r="F657" s="18"/>
      <c r="G657" s="18"/>
      <c r="H657" s="18"/>
      <c r="I657" s="18"/>
      <c r="J657" s="18"/>
      <c r="K657" s="18"/>
      <c r="L657" s="12"/>
      <c r="M657" s="18"/>
      <c r="N657" s="18"/>
      <c r="O657" s="18"/>
      <c r="P657" s="18"/>
      <c r="Q657" s="18"/>
      <c r="R657" s="18"/>
      <c r="S657" s="18"/>
      <c r="T657" s="18"/>
      <c r="U657" s="18"/>
      <c r="V657" s="18"/>
      <c r="W657" s="18"/>
      <c r="X657" s="18"/>
      <c r="Y657" s="18"/>
      <c r="Z657" s="18"/>
      <c r="AA657" s="18"/>
      <c r="AB657" s="18"/>
      <c r="AC657" s="18"/>
      <c r="AD657" s="18"/>
      <c r="AE657" s="18"/>
      <c r="AF657" s="18"/>
      <c r="AG657" s="18"/>
    </row>
    <row r="658" spans="1:33" x14ac:dyDescent="0.2">
      <c r="A658" s="1279"/>
      <c r="B658" s="1280"/>
      <c r="C658" s="18"/>
      <c r="D658" s="18"/>
      <c r="E658" s="18"/>
      <c r="F658" s="18"/>
      <c r="G658" s="18"/>
      <c r="H658" s="18"/>
      <c r="I658" s="18"/>
      <c r="J658" s="18"/>
      <c r="K658" s="18"/>
      <c r="L658" s="12"/>
      <c r="M658" s="18"/>
      <c r="N658" s="18"/>
      <c r="O658" s="18"/>
      <c r="P658" s="18"/>
      <c r="Q658" s="18"/>
      <c r="R658" s="18"/>
      <c r="S658" s="18"/>
      <c r="T658" s="18"/>
      <c r="U658" s="18"/>
      <c r="V658" s="18"/>
      <c r="W658" s="18"/>
      <c r="X658" s="18"/>
      <c r="Y658" s="18"/>
      <c r="Z658" s="18"/>
      <c r="AA658" s="18"/>
      <c r="AB658" s="18"/>
      <c r="AC658" s="18"/>
      <c r="AD658" s="18"/>
      <c r="AE658" s="18"/>
      <c r="AF658" s="18"/>
      <c r="AG658" s="18"/>
    </row>
    <row r="659" spans="1:33" x14ac:dyDescent="0.2">
      <c r="A659" s="1279"/>
      <c r="B659" s="1280"/>
      <c r="C659" s="18"/>
      <c r="D659" s="18"/>
      <c r="E659" s="18"/>
      <c r="F659" s="18"/>
      <c r="G659" s="18"/>
      <c r="H659" s="18"/>
      <c r="I659" s="18"/>
      <c r="J659" s="18"/>
      <c r="K659" s="18"/>
      <c r="L659" s="12"/>
      <c r="M659" s="18"/>
      <c r="N659" s="18"/>
      <c r="O659" s="18"/>
      <c r="P659" s="18"/>
      <c r="Q659" s="18"/>
      <c r="R659" s="18"/>
      <c r="S659" s="18"/>
      <c r="T659" s="18"/>
      <c r="U659" s="18"/>
      <c r="V659" s="18"/>
      <c r="W659" s="18"/>
      <c r="X659" s="18"/>
      <c r="Y659" s="18"/>
      <c r="Z659" s="18"/>
      <c r="AA659" s="18"/>
      <c r="AB659" s="18"/>
      <c r="AC659" s="18"/>
      <c r="AD659" s="18"/>
      <c r="AE659" s="18"/>
      <c r="AF659" s="18"/>
      <c r="AG659" s="18"/>
    </row>
    <row r="660" spans="1:33" x14ac:dyDescent="0.2">
      <c r="A660" s="1279"/>
      <c r="B660" s="1280"/>
      <c r="C660" s="18"/>
      <c r="D660" s="18"/>
      <c r="E660" s="18"/>
      <c r="F660" s="18"/>
      <c r="G660" s="18"/>
      <c r="H660" s="18"/>
      <c r="I660" s="18"/>
      <c r="J660" s="18"/>
      <c r="K660" s="18"/>
      <c r="L660" s="12"/>
      <c r="M660" s="18"/>
      <c r="N660" s="18"/>
      <c r="O660" s="18"/>
      <c r="P660" s="18"/>
      <c r="Q660" s="18"/>
      <c r="R660" s="18"/>
      <c r="S660" s="18"/>
      <c r="T660" s="18"/>
      <c r="U660" s="18"/>
      <c r="V660" s="18"/>
      <c r="W660" s="18"/>
      <c r="X660" s="18"/>
      <c r="Y660" s="18"/>
      <c r="Z660" s="18"/>
      <c r="AA660" s="18"/>
      <c r="AB660" s="18"/>
      <c r="AC660" s="18"/>
      <c r="AD660" s="18"/>
      <c r="AE660" s="18"/>
      <c r="AF660" s="18"/>
      <c r="AG660" s="18"/>
    </row>
    <row r="661" spans="1:33" x14ac:dyDescent="0.2">
      <c r="A661" s="1279"/>
      <c r="B661" s="1280"/>
      <c r="C661" s="18"/>
      <c r="D661" s="18"/>
      <c r="E661" s="18"/>
      <c r="F661" s="18"/>
      <c r="G661" s="18"/>
      <c r="H661" s="18"/>
      <c r="I661" s="18"/>
      <c r="J661" s="18"/>
      <c r="K661" s="18"/>
      <c r="L661" s="12"/>
      <c r="M661" s="18"/>
      <c r="N661" s="18"/>
      <c r="O661" s="18"/>
      <c r="P661" s="18"/>
      <c r="Q661" s="18"/>
      <c r="R661" s="18"/>
      <c r="S661" s="18"/>
      <c r="T661" s="18"/>
      <c r="U661" s="18"/>
      <c r="V661" s="18"/>
      <c r="W661" s="18"/>
      <c r="X661" s="18"/>
      <c r="Y661" s="18"/>
      <c r="Z661" s="18"/>
      <c r="AA661" s="18"/>
      <c r="AB661" s="18"/>
      <c r="AC661" s="18"/>
      <c r="AD661" s="18"/>
      <c r="AE661" s="18"/>
      <c r="AF661" s="18"/>
      <c r="AG661" s="18"/>
    </row>
    <row r="662" spans="1:33" x14ac:dyDescent="0.2">
      <c r="A662" s="1279"/>
      <c r="B662" s="1280"/>
      <c r="C662" s="18"/>
      <c r="D662" s="18"/>
      <c r="E662" s="18"/>
      <c r="F662" s="18"/>
      <c r="G662" s="18"/>
      <c r="H662" s="18"/>
      <c r="I662" s="18"/>
      <c r="J662" s="18"/>
      <c r="K662" s="18"/>
      <c r="L662" s="12"/>
      <c r="M662" s="18"/>
      <c r="N662" s="18"/>
      <c r="O662" s="18"/>
      <c r="P662" s="18"/>
      <c r="Q662" s="18"/>
      <c r="R662" s="18"/>
      <c r="S662" s="18"/>
      <c r="T662" s="18"/>
      <c r="U662" s="18"/>
      <c r="V662" s="18"/>
      <c r="W662" s="18"/>
      <c r="X662" s="18"/>
      <c r="Y662" s="18"/>
      <c r="Z662" s="18"/>
      <c r="AA662" s="18"/>
      <c r="AB662" s="18"/>
      <c r="AC662" s="18"/>
      <c r="AD662" s="18"/>
      <c r="AE662" s="18"/>
      <c r="AF662" s="18"/>
      <c r="AG662" s="18"/>
    </row>
    <row r="663" spans="1:33" x14ac:dyDescent="0.2">
      <c r="A663" s="1279"/>
      <c r="B663" s="1280"/>
      <c r="C663" s="18"/>
      <c r="D663" s="18"/>
      <c r="E663" s="18"/>
      <c r="F663" s="18"/>
      <c r="G663" s="18"/>
      <c r="H663" s="18"/>
      <c r="I663" s="18"/>
      <c r="J663" s="18"/>
      <c r="K663" s="18"/>
      <c r="L663" s="12"/>
      <c r="M663" s="18"/>
      <c r="N663" s="18"/>
      <c r="O663" s="18"/>
      <c r="P663" s="18"/>
      <c r="Q663" s="18"/>
      <c r="R663" s="18"/>
      <c r="S663" s="18"/>
      <c r="T663" s="18"/>
      <c r="U663" s="18"/>
      <c r="V663" s="18"/>
      <c r="W663" s="18"/>
      <c r="X663" s="18"/>
      <c r="Y663" s="18"/>
      <c r="Z663" s="18"/>
      <c r="AA663" s="18"/>
      <c r="AB663" s="18"/>
      <c r="AC663" s="18"/>
      <c r="AD663" s="18"/>
      <c r="AE663" s="18"/>
      <c r="AF663" s="18"/>
      <c r="AG663" s="18"/>
    </row>
    <row r="664" spans="1:33" x14ac:dyDescent="0.2">
      <c r="A664" s="1279"/>
      <c r="B664" s="1280"/>
      <c r="C664" s="18"/>
      <c r="D664" s="18"/>
      <c r="E664" s="18"/>
      <c r="F664" s="18"/>
      <c r="G664" s="18"/>
      <c r="H664" s="18"/>
      <c r="I664" s="18"/>
      <c r="J664" s="18"/>
      <c r="K664" s="18"/>
      <c r="L664" s="12"/>
      <c r="M664" s="18"/>
      <c r="N664" s="18"/>
      <c r="O664" s="18"/>
      <c r="P664" s="18"/>
      <c r="Q664" s="18"/>
      <c r="R664" s="18"/>
      <c r="S664" s="18"/>
      <c r="T664" s="18"/>
      <c r="U664" s="18"/>
      <c r="V664" s="18"/>
      <c r="W664" s="18"/>
      <c r="X664" s="18"/>
      <c r="Y664" s="18"/>
      <c r="Z664" s="18"/>
      <c r="AA664" s="18"/>
      <c r="AB664" s="18"/>
      <c r="AC664" s="18"/>
      <c r="AD664" s="18"/>
      <c r="AE664" s="18"/>
      <c r="AF664" s="18"/>
      <c r="AG664" s="18"/>
    </row>
    <row r="665" spans="1:33" x14ac:dyDescent="0.2">
      <c r="A665" s="1279"/>
      <c r="B665" s="1280"/>
      <c r="C665" s="18"/>
      <c r="D665" s="18"/>
      <c r="E665" s="18"/>
      <c r="F665" s="18"/>
      <c r="G665" s="18"/>
      <c r="H665" s="18"/>
      <c r="I665" s="18"/>
      <c r="J665" s="18"/>
      <c r="K665" s="18"/>
      <c r="L665" s="12"/>
      <c r="M665" s="18"/>
      <c r="N665" s="18"/>
      <c r="O665" s="18"/>
      <c r="P665" s="18"/>
      <c r="Q665" s="18"/>
      <c r="R665" s="18"/>
      <c r="S665" s="18"/>
      <c r="T665" s="18"/>
      <c r="U665" s="18"/>
      <c r="V665" s="18"/>
      <c r="W665" s="18"/>
      <c r="X665" s="18"/>
      <c r="Y665" s="18"/>
      <c r="Z665" s="18"/>
      <c r="AA665" s="18"/>
      <c r="AB665" s="18"/>
      <c r="AC665" s="18"/>
      <c r="AD665" s="18"/>
      <c r="AE665" s="18"/>
      <c r="AF665" s="18"/>
      <c r="AG665" s="18"/>
    </row>
    <row r="666" spans="1:33" x14ac:dyDescent="0.2">
      <c r="A666" s="1279"/>
      <c r="B666" s="1280"/>
      <c r="C666" s="18"/>
      <c r="D666" s="18"/>
      <c r="E666" s="18"/>
      <c r="F666" s="18"/>
      <c r="G666" s="18"/>
      <c r="H666" s="18"/>
      <c r="I666" s="18"/>
      <c r="J666" s="18"/>
      <c r="K666" s="18"/>
      <c r="L666" s="12"/>
      <c r="M666" s="18"/>
      <c r="N666" s="18"/>
      <c r="O666" s="18"/>
      <c r="P666" s="18"/>
      <c r="Q666" s="18"/>
      <c r="R666" s="18"/>
      <c r="S666" s="18"/>
      <c r="T666" s="18"/>
      <c r="U666" s="18"/>
      <c r="V666" s="18"/>
      <c r="W666" s="18"/>
      <c r="X666" s="18"/>
      <c r="Y666" s="18"/>
      <c r="Z666" s="18"/>
      <c r="AA666" s="18"/>
      <c r="AB666" s="18"/>
      <c r="AC666" s="18"/>
      <c r="AD666" s="18"/>
      <c r="AE666" s="18"/>
      <c r="AF666" s="18"/>
      <c r="AG666" s="18"/>
    </row>
    <row r="667" spans="1:33" x14ac:dyDescent="0.2">
      <c r="A667" s="1279"/>
      <c r="B667" s="1280"/>
      <c r="C667" s="18"/>
      <c r="D667" s="18"/>
      <c r="E667" s="18"/>
      <c r="F667" s="18"/>
      <c r="G667" s="18"/>
      <c r="H667" s="18"/>
      <c r="I667" s="18"/>
      <c r="J667" s="18"/>
      <c r="K667" s="18"/>
      <c r="L667" s="12"/>
      <c r="M667" s="18"/>
      <c r="N667" s="18"/>
      <c r="O667" s="18"/>
      <c r="P667" s="18"/>
      <c r="Q667" s="18"/>
      <c r="R667" s="18"/>
      <c r="S667" s="18"/>
      <c r="T667" s="18"/>
      <c r="U667" s="18"/>
      <c r="V667" s="18"/>
      <c r="W667" s="18"/>
      <c r="X667" s="18"/>
      <c r="Y667" s="18"/>
      <c r="Z667" s="18"/>
      <c r="AA667" s="18"/>
      <c r="AB667" s="18"/>
      <c r="AC667" s="18"/>
      <c r="AD667" s="18"/>
      <c r="AE667" s="18"/>
      <c r="AF667" s="18"/>
      <c r="AG667" s="18"/>
    </row>
    <row r="668" spans="1:33" x14ac:dyDescent="0.2">
      <c r="A668" s="1279"/>
      <c r="B668" s="1280"/>
      <c r="C668" s="18"/>
      <c r="D668" s="18"/>
      <c r="E668" s="18"/>
      <c r="F668" s="18"/>
      <c r="G668" s="18"/>
      <c r="H668" s="18"/>
      <c r="I668" s="18"/>
      <c r="J668" s="18"/>
      <c r="K668" s="18"/>
      <c r="L668" s="12"/>
      <c r="M668" s="18"/>
      <c r="N668" s="18"/>
      <c r="O668" s="18"/>
      <c r="P668" s="18"/>
      <c r="Q668" s="18"/>
      <c r="R668" s="18"/>
      <c r="S668" s="18"/>
      <c r="T668" s="18"/>
      <c r="U668" s="18"/>
      <c r="V668" s="18"/>
      <c r="W668" s="18"/>
      <c r="X668" s="18"/>
      <c r="Y668" s="18"/>
      <c r="Z668" s="18"/>
      <c r="AA668" s="18"/>
      <c r="AB668" s="18"/>
      <c r="AC668" s="18"/>
      <c r="AD668" s="18"/>
      <c r="AE668" s="18"/>
      <c r="AF668" s="18"/>
      <c r="AG668" s="18"/>
    </row>
    <row r="669" spans="1:33" x14ac:dyDescent="0.2">
      <c r="A669" s="1279"/>
      <c r="B669" s="1280"/>
      <c r="C669" s="18"/>
      <c r="D669" s="18"/>
      <c r="E669" s="18"/>
      <c r="F669" s="18"/>
      <c r="G669" s="18"/>
      <c r="H669" s="18"/>
      <c r="I669" s="18"/>
      <c r="J669" s="18"/>
      <c r="K669" s="18"/>
      <c r="L669" s="12"/>
      <c r="M669" s="18"/>
      <c r="N669" s="18"/>
      <c r="O669" s="18"/>
      <c r="P669" s="18"/>
      <c r="Q669" s="18"/>
      <c r="R669" s="18"/>
      <c r="S669" s="18"/>
      <c r="T669" s="18"/>
      <c r="U669" s="18"/>
      <c r="V669" s="18"/>
      <c r="W669" s="18"/>
      <c r="X669" s="18"/>
      <c r="Y669" s="18"/>
      <c r="Z669" s="18"/>
      <c r="AA669" s="18"/>
      <c r="AB669" s="18"/>
      <c r="AC669" s="18"/>
      <c r="AD669" s="18"/>
      <c r="AE669" s="18"/>
      <c r="AF669" s="18"/>
      <c r="AG669" s="18"/>
    </row>
    <row r="670" spans="1:33" x14ac:dyDescent="0.2">
      <c r="A670" s="1279"/>
      <c r="B670" s="1280"/>
      <c r="C670" s="18"/>
      <c r="D670" s="18"/>
      <c r="E670" s="18"/>
      <c r="F670" s="18"/>
      <c r="G670" s="18"/>
      <c r="H670" s="18"/>
      <c r="I670" s="18"/>
      <c r="J670" s="18"/>
      <c r="K670" s="18"/>
      <c r="L670" s="12"/>
      <c r="M670" s="18"/>
      <c r="N670" s="18"/>
      <c r="O670" s="18"/>
      <c r="P670" s="18"/>
      <c r="Q670" s="18"/>
      <c r="R670" s="18"/>
      <c r="S670" s="18"/>
      <c r="T670" s="18"/>
      <c r="U670" s="18"/>
      <c r="V670" s="18"/>
      <c r="W670" s="18"/>
      <c r="X670" s="18"/>
      <c r="Y670" s="18"/>
      <c r="Z670" s="18"/>
      <c r="AA670" s="18"/>
      <c r="AB670" s="18"/>
      <c r="AC670" s="18"/>
      <c r="AD670" s="18"/>
      <c r="AE670" s="18"/>
      <c r="AF670" s="18"/>
      <c r="AG670" s="18"/>
    </row>
    <row r="671" spans="1:33" x14ac:dyDescent="0.2">
      <c r="A671" s="1279"/>
      <c r="B671" s="1280"/>
      <c r="C671" s="18"/>
      <c r="D671" s="18"/>
      <c r="E671" s="18"/>
      <c r="F671" s="18"/>
      <c r="G671" s="18"/>
      <c r="H671" s="18"/>
      <c r="I671" s="18"/>
      <c r="J671" s="18"/>
      <c r="K671" s="18"/>
      <c r="L671" s="12"/>
      <c r="M671" s="18"/>
      <c r="N671" s="18"/>
      <c r="O671" s="18"/>
      <c r="P671" s="18"/>
      <c r="Q671" s="18"/>
      <c r="R671" s="18"/>
      <c r="S671" s="18"/>
      <c r="T671" s="18"/>
      <c r="U671" s="18"/>
      <c r="V671" s="18"/>
      <c r="W671" s="18"/>
      <c r="X671" s="18"/>
      <c r="Y671" s="18"/>
      <c r="Z671" s="18"/>
      <c r="AA671" s="18"/>
      <c r="AB671" s="18"/>
      <c r="AC671" s="18"/>
      <c r="AD671" s="18"/>
      <c r="AE671" s="18"/>
      <c r="AF671" s="18"/>
      <c r="AG671" s="18"/>
    </row>
    <row r="672" spans="1:33" x14ac:dyDescent="0.2">
      <c r="A672" s="1279"/>
      <c r="B672" s="1280"/>
      <c r="C672" s="18"/>
      <c r="D672" s="18"/>
      <c r="E672" s="18"/>
      <c r="F672" s="18"/>
      <c r="G672" s="18"/>
      <c r="H672" s="18"/>
      <c r="I672" s="18"/>
      <c r="J672" s="18"/>
      <c r="K672" s="18"/>
      <c r="L672" s="12"/>
      <c r="M672" s="18"/>
      <c r="N672" s="18"/>
      <c r="O672" s="18"/>
      <c r="P672" s="18"/>
      <c r="Q672" s="18"/>
      <c r="R672" s="18"/>
      <c r="S672" s="18"/>
      <c r="T672" s="18"/>
      <c r="U672" s="18"/>
      <c r="V672" s="18"/>
      <c r="W672" s="18"/>
      <c r="X672" s="18"/>
      <c r="Y672" s="18"/>
      <c r="Z672" s="18"/>
      <c r="AA672" s="18"/>
      <c r="AB672" s="18"/>
      <c r="AC672" s="18"/>
      <c r="AD672" s="18"/>
      <c r="AE672" s="18"/>
      <c r="AF672" s="18"/>
      <c r="AG672" s="18"/>
    </row>
    <row r="673" spans="1:33" x14ac:dyDescent="0.2">
      <c r="A673" s="1279"/>
      <c r="B673" s="1280"/>
      <c r="C673" s="18"/>
      <c r="D673" s="18"/>
      <c r="E673" s="18"/>
      <c r="F673" s="18"/>
      <c r="G673" s="18"/>
      <c r="H673" s="18"/>
      <c r="I673" s="18"/>
      <c r="J673" s="18"/>
      <c r="K673" s="18"/>
      <c r="L673" s="12"/>
      <c r="M673" s="18"/>
      <c r="N673" s="18"/>
      <c r="O673" s="18"/>
      <c r="P673" s="18"/>
      <c r="Q673" s="18"/>
      <c r="R673" s="18"/>
      <c r="S673" s="18"/>
      <c r="T673" s="18"/>
      <c r="U673" s="18"/>
      <c r="V673" s="18"/>
      <c r="W673" s="18"/>
      <c r="X673" s="18"/>
      <c r="Y673" s="18"/>
      <c r="Z673" s="18"/>
      <c r="AA673" s="18"/>
      <c r="AB673" s="18"/>
      <c r="AC673" s="18"/>
      <c r="AD673" s="18"/>
      <c r="AE673" s="18"/>
      <c r="AF673" s="18"/>
      <c r="AG673" s="18"/>
    </row>
    <row r="674" spans="1:33" x14ac:dyDescent="0.2">
      <c r="A674" s="1279"/>
      <c r="B674" s="1280"/>
      <c r="C674" s="18"/>
      <c r="D674" s="18"/>
      <c r="E674" s="18"/>
      <c r="F674" s="18"/>
      <c r="G674" s="18"/>
      <c r="H674" s="18"/>
      <c r="I674" s="18"/>
      <c r="J674" s="18"/>
      <c r="K674" s="18"/>
      <c r="L674" s="12"/>
      <c r="M674" s="18"/>
      <c r="N674" s="18"/>
      <c r="O674" s="18"/>
      <c r="P674" s="18"/>
      <c r="Q674" s="18"/>
      <c r="R674" s="18"/>
      <c r="S674" s="18"/>
      <c r="T674" s="18"/>
      <c r="U674" s="18"/>
      <c r="V674" s="18"/>
      <c r="W674" s="18"/>
      <c r="X674" s="18"/>
      <c r="Y674" s="18"/>
      <c r="Z674" s="18"/>
      <c r="AA674" s="18"/>
      <c r="AB674" s="18"/>
      <c r="AC674" s="18"/>
      <c r="AD674" s="18"/>
      <c r="AE674" s="18"/>
      <c r="AF674" s="18"/>
      <c r="AG674" s="18"/>
    </row>
    <row r="675" spans="1:33" x14ac:dyDescent="0.2">
      <c r="A675" s="1279"/>
      <c r="B675" s="1280"/>
      <c r="C675" s="18"/>
      <c r="D675" s="18"/>
      <c r="E675" s="18"/>
      <c r="F675" s="18"/>
      <c r="G675" s="18"/>
      <c r="H675" s="18"/>
      <c r="I675" s="18"/>
      <c r="J675" s="18"/>
      <c r="K675" s="18"/>
      <c r="L675" s="12"/>
      <c r="M675" s="18"/>
      <c r="N675" s="18"/>
      <c r="O675" s="18"/>
      <c r="P675" s="18"/>
      <c r="Q675" s="18"/>
      <c r="R675" s="18"/>
      <c r="S675" s="18"/>
      <c r="T675" s="18"/>
      <c r="U675" s="18"/>
      <c r="V675" s="18"/>
      <c r="W675" s="18"/>
      <c r="X675" s="18"/>
      <c r="Y675" s="18"/>
      <c r="Z675" s="18"/>
      <c r="AA675" s="18"/>
      <c r="AB675" s="18"/>
      <c r="AC675" s="18"/>
      <c r="AD675" s="18"/>
      <c r="AE675" s="18"/>
      <c r="AF675" s="18"/>
      <c r="AG675" s="18"/>
    </row>
    <row r="676" spans="1:33" x14ac:dyDescent="0.2">
      <c r="A676" s="1279"/>
      <c r="B676" s="1280"/>
      <c r="C676" s="18"/>
      <c r="D676" s="18"/>
      <c r="E676" s="18"/>
      <c r="F676" s="18"/>
      <c r="G676" s="18"/>
      <c r="H676" s="18"/>
      <c r="I676" s="18"/>
      <c r="J676" s="18"/>
      <c r="K676" s="18"/>
      <c r="L676" s="12"/>
      <c r="M676" s="18"/>
      <c r="N676" s="18"/>
      <c r="O676" s="18"/>
      <c r="P676" s="18"/>
      <c r="Q676" s="18"/>
      <c r="R676" s="18"/>
      <c r="S676" s="18"/>
      <c r="T676" s="18"/>
      <c r="U676" s="18"/>
      <c r="V676" s="18"/>
      <c r="W676" s="18"/>
      <c r="X676" s="18"/>
      <c r="Y676" s="18"/>
      <c r="Z676" s="18"/>
      <c r="AA676" s="18"/>
      <c r="AB676" s="18"/>
      <c r="AC676" s="18"/>
      <c r="AD676" s="18"/>
      <c r="AE676" s="18"/>
      <c r="AF676" s="18"/>
      <c r="AG676" s="18"/>
    </row>
    <row r="677" spans="1:33" x14ac:dyDescent="0.2">
      <c r="A677" s="1279"/>
      <c r="B677" s="1280"/>
      <c r="C677" s="18"/>
      <c r="D677" s="18"/>
      <c r="E677" s="18"/>
      <c r="F677" s="18"/>
      <c r="G677" s="18"/>
      <c r="H677" s="18"/>
      <c r="I677" s="18"/>
      <c r="J677" s="18"/>
      <c r="K677" s="18"/>
      <c r="L677" s="12"/>
      <c r="M677" s="18"/>
      <c r="N677" s="18"/>
      <c r="O677" s="18"/>
      <c r="P677" s="18"/>
      <c r="Q677" s="18"/>
      <c r="R677" s="18"/>
      <c r="S677" s="18"/>
      <c r="T677" s="18"/>
      <c r="U677" s="18"/>
      <c r="V677" s="18"/>
      <c r="W677" s="18"/>
      <c r="X677" s="18"/>
      <c r="Y677" s="18"/>
      <c r="Z677" s="18"/>
      <c r="AA677" s="18"/>
      <c r="AB677" s="18"/>
      <c r="AC677" s="18"/>
      <c r="AD677" s="18"/>
      <c r="AE677" s="18"/>
      <c r="AF677" s="18"/>
      <c r="AG677" s="18"/>
    </row>
    <row r="678" spans="1:33" x14ac:dyDescent="0.2">
      <c r="A678" s="1279"/>
      <c r="B678" s="1280"/>
      <c r="C678" s="18"/>
      <c r="D678" s="18"/>
      <c r="E678" s="18"/>
      <c r="F678" s="18"/>
      <c r="G678" s="18"/>
      <c r="H678" s="18"/>
      <c r="I678" s="18"/>
      <c r="J678" s="18"/>
      <c r="K678" s="18"/>
      <c r="L678" s="12"/>
      <c r="M678" s="18"/>
      <c r="N678" s="18"/>
      <c r="O678" s="18"/>
      <c r="P678" s="18"/>
      <c r="Q678" s="18"/>
      <c r="R678" s="18"/>
      <c r="S678" s="18"/>
      <c r="T678" s="18"/>
      <c r="U678" s="18"/>
      <c r="V678" s="18"/>
      <c r="W678" s="18"/>
      <c r="X678" s="18"/>
      <c r="Y678" s="18"/>
      <c r="Z678" s="18"/>
      <c r="AA678" s="18"/>
      <c r="AB678" s="18"/>
      <c r="AC678" s="18"/>
      <c r="AD678" s="18"/>
      <c r="AE678" s="18"/>
      <c r="AF678" s="18"/>
      <c r="AG678" s="18"/>
    </row>
    <row r="679" spans="1:33" x14ac:dyDescent="0.2">
      <c r="A679" s="1279"/>
      <c r="B679" s="1280"/>
      <c r="C679" s="18"/>
      <c r="D679" s="18"/>
      <c r="E679" s="18"/>
      <c r="F679" s="18"/>
      <c r="G679" s="18"/>
      <c r="H679" s="18"/>
      <c r="I679" s="18"/>
      <c r="J679" s="18"/>
      <c r="K679" s="18"/>
      <c r="L679" s="12"/>
      <c r="M679" s="18"/>
      <c r="N679" s="18"/>
      <c r="O679" s="18"/>
      <c r="P679" s="18"/>
      <c r="Q679" s="18"/>
      <c r="R679" s="18"/>
      <c r="S679" s="18"/>
      <c r="T679" s="18"/>
      <c r="U679" s="18"/>
      <c r="V679" s="18"/>
      <c r="W679" s="18"/>
      <c r="X679" s="18"/>
      <c r="Y679" s="18"/>
      <c r="Z679" s="18"/>
      <c r="AA679" s="18"/>
      <c r="AB679" s="18"/>
      <c r="AC679" s="18"/>
      <c r="AD679" s="18"/>
      <c r="AE679" s="18"/>
      <c r="AF679" s="18"/>
      <c r="AG679" s="18"/>
    </row>
    <row r="680" spans="1:33" x14ac:dyDescent="0.2">
      <c r="A680" s="1279"/>
      <c r="B680" s="1280"/>
      <c r="C680" s="18"/>
      <c r="D680" s="18"/>
      <c r="E680" s="18"/>
      <c r="F680" s="18"/>
      <c r="G680" s="18"/>
      <c r="H680" s="18"/>
      <c r="I680" s="18"/>
      <c r="J680" s="18"/>
      <c r="K680" s="18"/>
      <c r="L680" s="12"/>
      <c r="M680" s="18"/>
      <c r="N680" s="18"/>
      <c r="O680" s="18"/>
      <c r="P680" s="18"/>
      <c r="Q680" s="18"/>
      <c r="R680" s="18"/>
      <c r="S680" s="18"/>
      <c r="T680" s="18"/>
      <c r="U680" s="18"/>
      <c r="V680" s="18"/>
      <c r="W680" s="18"/>
      <c r="X680" s="18"/>
      <c r="Y680" s="18"/>
      <c r="Z680" s="18"/>
      <c r="AA680" s="18"/>
      <c r="AB680" s="18"/>
      <c r="AC680" s="18"/>
      <c r="AD680" s="18"/>
      <c r="AE680" s="18"/>
      <c r="AF680" s="18"/>
      <c r="AG680" s="18"/>
    </row>
    <row r="681" spans="1:33" x14ac:dyDescent="0.2">
      <c r="A681" s="1279"/>
      <c r="B681" s="1280"/>
      <c r="C681" s="18"/>
      <c r="D681" s="18"/>
      <c r="E681" s="18"/>
      <c r="F681" s="18"/>
      <c r="G681" s="18"/>
      <c r="H681" s="18"/>
      <c r="I681" s="18"/>
      <c r="J681" s="18"/>
      <c r="K681" s="18"/>
      <c r="L681" s="12"/>
      <c r="M681" s="18"/>
      <c r="N681" s="18"/>
      <c r="O681" s="18"/>
      <c r="P681" s="18"/>
      <c r="Q681" s="18"/>
      <c r="R681" s="18"/>
      <c r="S681" s="18"/>
      <c r="T681" s="18"/>
      <c r="U681" s="18"/>
      <c r="V681" s="18"/>
      <c r="W681" s="18"/>
      <c r="X681" s="18"/>
      <c r="Y681" s="18"/>
      <c r="Z681" s="18"/>
      <c r="AA681" s="18"/>
      <c r="AB681" s="18"/>
      <c r="AC681" s="18"/>
      <c r="AD681" s="18"/>
      <c r="AE681" s="18"/>
      <c r="AF681" s="18"/>
      <c r="AG681" s="18"/>
    </row>
    <row r="682" spans="1:33" x14ac:dyDescent="0.2">
      <c r="A682" s="1279"/>
      <c r="B682" s="1280"/>
      <c r="C682" s="18"/>
      <c r="D682" s="18"/>
      <c r="E682" s="18"/>
      <c r="F682" s="18"/>
      <c r="G682" s="18"/>
      <c r="H682" s="18"/>
      <c r="I682" s="18"/>
      <c r="J682" s="18"/>
      <c r="K682" s="18"/>
      <c r="L682" s="12"/>
      <c r="M682" s="18"/>
      <c r="N682" s="18"/>
      <c r="O682" s="18"/>
      <c r="P682" s="18"/>
      <c r="Q682" s="18"/>
      <c r="R682" s="18"/>
      <c r="S682" s="18"/>
      <c r="T682" s="18"/>
      <c r="U682" s="18"/>
      <c r="V682" s="18"/>
      <c r="W682" s="18"/>
      <c r="X682" s="18"/>
      <c r="Y682" s="18"/>
      <c r="Z682" s="18"/>
      <c r="AA682" s="18"/>
      <c r="AB682" s="18"/>
      <c r="AC682" s="18"/>
      <c r="AD682" s="18"/>
      <c r="AE682" s="18"/>
      <c r="AF682" s="18"/>
      <c r="AG682" s="18"/>
    </row>
    <row r="683" spans="1:33" x14ac:dyDescent="0.2">
      <c r="A683" s="1279"/>
      <c r="B683" s="1280"/>
      <c r="C683" s="18"/>
      <c r="D683" s="18"/>
      <c r="E683" s="18"/>
      <c r="F683" s="18"/>
      <c r="G683" s="18"/>
      <c r="H683" s="18"/>
      <c r="I683" s="18"/>
      <c r="J683" s="18"/>
      <c r="K683" s="18"/>
      <c r="L683" s="12"/>
      <c r="M683" s="18"/>
      <c r="N683" s="18"/>
      <c r="O683" s="18"/>
      <c r="P683" s="18"/>
      <c r="Q683" s="18"/>
      <c r="R683" s="18"/>
      <c r="S683" s="18"/>
      <c r="T683" s="18"/>
      <c r="U683" s="18"/>
      <c r="V683" s="18"/>
      <c r="W683" s="18"/>
      <c r="X683" s="18"/>
      <c r="Y683" s="18"/>
      <c r="Z683" s="18"/>
      <c r="AA683" s="18"/>
      <c r="AB683" s="18"/>
      <c r="AC683" s="18"/>
      <c r="AD683" s="18"/>
      <c r="AE683" s="18"/>
      <c r="AF683" s="18"/>
      <c r="AG683" s="18"/>
    </row>
    <row r="684" spans="1:33" x14ac:dyDescent="0.2">
      <c r="A684" s="1279"/>
      <c r="B684" s="1280"/>
      <c r="C684" s="18"/>
      <c r="D684" s="18"/>
      <c r="E684" s="18"/>
      <c r="F684" s="18"/>
      <c r="G684" s="18"/>
      <c r="H684" s="18"/>
      <c r="I684" s="18"/>
      <c r="J684" s="18"/>
      <c r="K684" s="18"/>
      <c r="L684" s="12"/>
      <c r="M684" s="18"/>
      <c r="N684" s="18"/>
      <c r="O684" s="18"/>
      <c r="P684" s="18"/>
      <c r="Q684" s="18"/>
      <c r="R684" s="18"/>
      <c r="S684" s="18"/>
      <c r="T684" s="18"/>
      <c r="U684" s="18"/>
      <c r="V684" s="18"/>
      <c r="W684" s="18"/>
      <c r="X684" s="18"/>
      <c r="Y684" s="18"/>
      <c r="Z684" s="18"/>
      <c r="AA684" s="18"/>
      <c r="AB684" s="18"/>
      <c r="AC684" s="18"/>
      <c r="AD684" s="18"/>
      <c r="AE684" s="18"/>
      <c r="AF684" s="18"/>
      <c r="AG684" s="18"/>
    </row>
    <row r="685" spans="1:33" x14ac:dyDescent="0.2">
      <c r="A685" s="1279"/>
      <c r="B685" s="1280"/>
      <c r="C685" s="18"/>
      <c r="D685" s="18"/>
      <c r="E685" s="18"/>
      <c r="F685" s="18"/>
      <c r="G685" s="18"/>
      <c r="H685" s="18"/>
      <c r="I685" s="18"/>
      <c r="J685" s="18"/>
      <c r="K685" s="18"/>
      <c r="L685" s="12"/>
      <c r="M685" s="18"/>
      <c r="N685" s="18"/>
      <c r="O685" s="18"/>
      <c r="P685" s="18"/>
      <c r="Q685" s="18"/>
      <c r="R685" s="18"/>
      <c r="S685" s="18"/>
      <c r="T685" s="18"/>
      <c r="U685" s="18"/>
      <c r="V685" s="18"/>
      <c r="W685" s="18"/>
      <c r="X685" s="18"/>
      <c r="Y685" s="18"/>
      <c r="Z685" s="18"/>
      <c r="AA685" s="18"/>
      <c r="AB685" s="18"/>
      <c r="AC685" s="18"/>
      <c r="AD685" s="18"/>
      <c r="AE685" s="18"/>
      <c r="AF685" s="18"/>
      <c r="AG685" s="18"/>
    </row>
    <row r="686" spans="1:33" x14ac:dyDescent="0.2">
      <c r="A686" s="1279"/>
      <c r="B686" s="1280"/>
      <c r="C686" s="18"/>
      <c r="D686" s="18"/>
      <c r="E686" s="18"/>
      <c r="F686" s="18"/>
      <c r="G686" s="18"/>
      <c r="H686" s="18"/>
      <c r="I686" s="18"/>
      <c r="J686" s="18"/>
      <c r="K686" s="18"/>
      <c r="L686" s="12"/>
      <c r="M686" s="18"/>
      <c r="N686" s="18"/>
      <c r="O686" s="18"/>
      <c r="P686" s="18"/>
      <c r="Q686" s="18"/>
      <c r="R686" s="18"/>
      <c r="S686" s="18"/>
      <c r="T686" s="18"/>
      <c r="U686" s="18"/>
      <c r="V686" s="18"/>
      <c r="W686" s="18"/>
      <c r="X686" s="18"/>
      <c r="Y686" s="18"/>
      <c r="Z686" s="18"/>
      <c r="AA686" s="18"/>
      <c r="AB686" s="18"/>
      <c r="AC686" s="18"/>
      <c r="AD686" s="18"/>
      <c r="AE686" s="18"/>
      <c r="AF686" s="18"/>
      <c r="AG686" s="18"/>
    </row>
    <row r="687" spans="1:33" x14ac:dyDescent="0.2">
      <c r="A687" s="1279"/>
      <c r="B687" s="1280"/>
      <c r="C687" s="18"/>
      <c r="D687" s="18"/>
      <c r="E687" s="18"/>
      <c r="F687" s="18"/>
      <c r="G687" s="18"/>
      <c r="H687" s="18"/>
      <c r="I687" s="18"/>
      <c r="J687" s="18"/>
      <c r="K687" s="18"/>
      <c r="L687" s="12"/>
      <c r="M687" s="18"/>
      <c r="N687" s="18"/>
      <c r="O687" s="18"/>
      <c r="P687" s="18"/>
      <c r="Q687" s="18"/>
      <c r="R687" s="18"/>
      <c r="S687" s="18"/>
      <c r="T687" s="18"/>
      <c r="U687" s="18"/>
      <c r="V687" s="18"/>
      <c r="W687" s="18"/>
      <c r="X687" s="18"/>
      <c r="Y687" s="18"/>
      <c r="Z687" s="18"/>
      <c r="AA687" s="18"/>
      <c r="AB687" s="18"/>
      <c r="AC687" s="18"/>
      <c r="AD687" s="18"/>
      <c r="AE687" s="18"/>
      <c r="AF687" s="18"/>
      <c r="AG687" s="18"/>
    </row>
    <row r="688" spans="1:33" x14ac:dyDescent="0.2">
      <c r="A688" s="1279"/>
      <c r="B688" s="1280"/>
      <c r="C688" s="18"/>
      <c r="D688" s="18"/>
      <c r="E688" s="18"/>
      <c r="F688" s="18"/>
      <c r="G688" s="18"/>
      <c r="H688" s="18"/>
      <c r="I688" s="18"/>
      <c r="J688" s="18"/>
      <c r="K688" s="18"/>
      <c r="L688" s="12"/>
      <c r="M688" s="18"/>
      <c r="N688" s="18"/>
      <c r="O688" s="18"/>
      <c r="P688" s="18"/>
      <c r="Q688" s="18"/>
      <c r="R688" s="18"/>
      <c r="S688" s="18"/>
      <c r="T688" s="18"/>
      <c r="U688" s="18"/>
      <c r="V688" s="18"/>
      <c r="W688" s="18"/>
      <c r="X688" s="18"/>
      <c r="Y688" s="18"/>
      <c r="Z688" s="18"/>
      <c r="AA688" s="18"/>
      <c r="AB688" s="18"/>
      <c r="AC688" s="18"/>
      <c r="AD688" s="18"/>
      <c r="AE688" s="18"/>
      <c r="AF688" s="18"/>
      <c r="AG688" s="18"/>
    </row>
    <row r="689" spans="1:33" x14ac:dyDescent="0.2">
      <c r="A689" s="1279"/>
      <c r="B689" s="1280"/>
      <c r="C689" s="18"/>
      <c r="D689" s="18"/>
      <c r="E689" s="18"/>
      <c r="F689" s="18"/>
      <c r="G689" s="18"/>
      <c r="H689" s="18"/>
      <c r="I689" s="18"/>
      <c r="J689" s="18"/>
      <c r="K689" s="18"/>
      <c r="L689" s="12"/>
      <c r="M689" s="18"/>
      <c r="N689" s="18"/>
      <c r="O689" s="18"/>
      <c r="P689" s="18"/>
      <c r="Q689" s="18"/>
      <c r="R689" s="18"/>
      <c r="S689" s="18"/>
      <c r="T689" s="18"/>
      <c r="U689" s="18"/>
      <c r="V689" s="18"/>
      <c r="W689" s="18"/>
      <c r="X689" s="18"/>
      <c r="Y689" s="18"/>
      <c r="Z689" s="18"/>
      <c r="AA689" s="18"/>
      <c r="AB689" s="18"/>
      <c r="AC689" s="18"/>
      <c r="AD689" s="18"/>
      <c r="AE689" s="18"/>
      <c r="AF689" s="18"/>
      <c r="AG689" s="18"/>
    </row>
    <row r="690" spans="1:33" x14ac:dyDescent="0.2">
      <c r="A690" s="1279"/>
      <c r="B690" s="1280"/>
      <c r="C690" s="18"/>
      <c r="D690" s="18"/>
      <c r="E690" s="18"/>
      <c r="F690" s="18"/>
      <c r="G690" s="18"/>
      <c r="H690" s="18"/>
      <c r="I690" s="18"/>
      <c r="J690" s="18"/>
      <c r="K690" s="18"/>
      <c r="L690" s="12"/>
      <c r="M690" s="18"/>
      <c r="N690" s="18"/>
      <c r="O690" s="18"/>
      <c r="P690" s="18"/>
      <c r="Q690" s="18"/>
      <c r="R690" s="18"/>
      <c r="S690" s="18"/>
      <c r="T690" s="18"/>
      <c r="U690" s="18"/>
      <c r="V690" s="18"/>
      <c r="W690" s="18"/>
      <c r="X690" s="18"/>
      <c r="Y690" s="18"/>
      <c r="Z690" s="18"/>
      <c r="AA690" s="18"/>
      <c r="AB690" s="18"/>
      <c r="AC690" s="18"/>
      <c r="AD690" s="18"/>
      <c r="AE690" s="18"/>
      <c r="AF690" s="18"/>
      <c r="AG690" s="18"/>
    </row>
    <row r="691" spans="1:33" x14ac:dyDescent="0.2">
      <c r="A691" s="1279"/>
      <c r="B691" s="1280"/>
      <c r="C691" s="18"/>
      <c r="D691" s="18"/>
      <c r="E691" s="18"/>
      <c r="F691" s="18"/>
      <c r="G691" s="18"/>
      <c r="H691" s="18"/>
      <c r="I691" s="18"/>
      <c r="J691" s="18"/>
      <c r="K691" s="18"/>
      <c r="L691" s="12"/>
      <c r="M691" s="18"/>
      <c r="N691" s="18"/>
      <c r="O691" s="18"/>
      <c r="P691" s="18"/>
      <c r="Q691" s="18"/>
      <c r="R691" s="18"/>
      <c r="S691" s="18"/>
      <c r="T691" s="18"/>
      <c r="U691" s="18"/>
      <c r="V691" s="18"/>
      <c r="W691" s="18"/>
      <c r="X691" s="18"/>
      <c r="Y691" s="18"/>
      <c r="Z691" s="18"/>
      <c r="AA691" s="18"/>
      <c r="AB691" s="18"/>
      <c r="AC691" s="18"/>
      <c r="AD691" s="18"/>
      <c r="AE691" s="18"/>
      <c r="AF691" s="18"/>
      <c r="AG691" s="18"/>
    </row>
    <row r="692" spans="1:33" x14ac:dyDescent="0.2">
      <c r="A692" s="1279"/>
      <c r="B692" s="1280"/>
      <c r="C692" s="18"/>
      <c r="D692" s="18"/>
      <c r="E692" s="18"/>
      <c r="F692" s="18"/>
      <c r="G692" s="18"/>
      <c r="H692" s="18"/>
      <c r="I692" s="18"/>
      <c r="J692" s="18"/>
      <c r="K692" s="18"/>
      <c r="L692" s="12"/>
      <c r="M692" s="18"/>
      <c r="N692" s="18"/>
      <c r="O692" s="18"/>
      <c r="P692" s="18"/>
      <c r="Q692" s="18"/>
      <c r="R692" s="18"/>
      <c r="S692" s="18"/>
      <c r="T692" s="18"/>
      <c r="U692" s="18"/>
      <c r="V692" s="18"/>
      <c r="W692" s="18"/>
      <c r="X692" s="18"/>
      <c r="Y692" s="18"/>
      <c r="Z692" s="18"/>
      <c r="AA692" s="18"/>
      <c r="AB692" s="18"/>
      <c r="AC692" s="18"/>
      <c r="AD692" s="18"/>
      <c r="AE692" s="18"/>
      <c r="AF692" s="18"/>
      <c r="AG692" s="18"/>
    </row>
    <row r="693" spans="1:33" x14ac:dyDescent="0.2">
      <c r="A693" s="1279"/>
      <c r="B693" s="1280"/>
      <c r="C693" s="18"/>
      <c r="D693" s="18"/>
      <c r="E693" s="18"/>
      <c r="F693" s="18"/>
      <c r="G693" s="18"/>
      <c r="H693" s="18"/>
      <c r="I693" s="18"/>
      <c r="J693" s="18"/>
      <c r="K693" s="18"/>
      <c r="L693" s="12"/>
      <c r="M693" s="18"/>
      <c r="N693" s="18"/>
      <c r="O693" s="18"/>
      <c r="P693" s="18"/>
      <c r="Q693" s="18"/>
      <c r="R693" s="18"/>
      <c r="S693" s="18"/>
      <c r="T693" s="18"/>
      <c r="U693" s="18"/>
      <c r="V693" s="18"/>
      <c r="W693" s="18"/>
      <c r="X693" s="18"/>
      <c r="Y693" s="18"/>
      <c r="Z693" s="18"/>
      <c r="AA693" s="18"/>
      <c r="AB693" s="18"/>
      <c r="AC693" s="18"/>
      <c r="AD693" s="18"/>
      <c r="AE693" s="18"/>
      <c r="AF693" s="18"/>
      <c r="AG693" s="18"/>
    </row>
    <row r="694" spans="1:33" x14ac:dyDescent="0.2">
      <c r="A694" s="1279"/>
      <c r="B694" s="1280"/>
      <c r="C694" s="18"/>
      <c r="D694" s="18"/>
      <c r="E694" s="18"/>
      <c r="F694" s="18"/>
      <c r="G694" s="18"/>
      <c r="H694" s="18"/>
      <c r="I694" s="18"/>
      <c r="J694" s="18"/>
      <c r="K694" s="18"/>
      <c r="L694" s="12"/>
      <c r="M694" s="18"/>
      <c r="N694" s="18"/>
      <c r="O694" s="18"/>
      <c r="P694" s="18"/>
      <c r="Q694" s="18"/>
      <c r="R694" s="18"/>
      <c r="S694" s="18"/>
      <c r="T694" s="18"/>
      <c r="U694" s="18"/>
      <c r="V694" s="18"/>
      <c r="W694" s="18"/>
      <c r="X694" s="18"/>
      <c r="Y694" s="18"/>
      <c r="Z694" s="18"/>
      <c r="AA694" s="18"/>
      <c r="AB694" s="18"/>
      <c r="AC694" s="18"/>
      <c r="AD694" s="18"/>
      <c r="AE694" s="18"/>
      <c r="AF694" s="18"/>
      <c r="AG694" s="18"/>
    </row>
    <row r="695" spans="1:33" x14ac:dyDescent="0.2">
      <c r="A695" s="1279"/>
      <c r="B695" s="1280"/>
      <c r="C695" s="18"/>
      <c r="D695" s="18"/>
      <c r="E695" s="18"/>
      <c r="F695" s="18"/>
      <c r="G695" s="18"/>
      <c r="H695" s="18"/>
      <c r="I695" s="18"/>
      <c r="J695" s="18"/>
      <c r="K695" s="18"/>
      <c r="L695" s="12"/>
      <c r="M695" s="18"/>
      <c r="N695" s="18"/>
      <c r="O695" s="18"/>
      <c r="P695" s="18"/>
      <c r="Q695" s="18"/>
      <c r="R695" s="18"/>
      <c r="S695" s="18"/>
      <c r="T695" s="18"/>
      <c r="U695" s="18"/>
      <c r="V695" s="18"/>
      <c r="W695" s="18"/>
      <c r="X695" s="18"/>
      <c r="Y695" s="18"/>
      <c r="Z695" s="18"/>
      <c r="AA695" s="18"/>
      <c r="AB695" s="18"/>
      <c r="AC695" s="18"/>
      <c r="AD695" s="18"/>
      <c r="AE695" s="18"/>
      <c r="AF695" s="18"/>
      <c r="AG695" s="18"/>
    </row>
    <row r="696" spans="1:33" x14ac:dyDescent="0.2">
      <c r="A696" s="1279"/>
      <c r="B696" s="1280"/>
      <c r="C696" s="18"/>
      <c r="D696" s="18"/>
      <c r="E696" s="18"/>
      <c r="F696" s="18"/>
      <c r="G696" s="18"/>
      <c r="H696" s="18"/>
      <c r="I696" s="18"/>
      <c r="J696" s="18"/>
      <c r="K696" s="18"/>
      <c r="L696" s="12"/>
      <c r="M696" s="18"/>
      <c r="N696" s="18"/>
      <c r="O696" s="18"/>
      <c r="P696" s="18"/>
      <c r="Q696" s="18"/>
      <c r="R696" s="18"/>
      <c r="S696" s="18"/>
      <c r="T696" s="18"/>
      <c r="U696" s="18"/>
      <c r="V696" s="18"/>
      <c r="W696" s="18"/>
      <c r="X696" s="18"/>
      <c r="Y696" s="18"/>
      <c r="Z696" s="18"/>
      <c r="AA696" s="18"/>
      <c r="AB696" s="18"/>
      <c r="AC696" s="18"/>
      <c r="AD696" s="18"/>
      <c r="AE696" s="18"/>
      <c r="AF696" s="18"/>
      <c r="AG696" s="18"/>
    </row>
    <row r="697" spans="1:33" x14ac:dyDescent="0.2">
      <c r="A697" s="1279"/>
      <c r="B697" s="1280"/>
      <c r="C697" s="18"/>
      <c r="D697" s="18"/>
      <c r="E697" s="18"/>
      <c r="F697" s="18"/>
      <c r="G697" s="18"/>
      <c r="H697" s="18"/>
      <c r="I697" s="18"/>
      <c r="J697" s="18"/>
      <c r="K697" s="18"/>
      <c r="L697" s="12"/>
      <c r="M697" s="18"/>
      <c r="N697" s="18"/>
      <c r="O697" s="18"/>
      <c r="P697" s="18"/>
      <c r="Q697" s="18"/>
      <c r="R697" s="18"/>
      <c r="S697" s="18"/>
      <c r="T697" s="18"/>
      <c r="U697" s="18"/>
      <c r="V697" s="18"/>
      <c r="W697" s="18"/>
      <c r="X697" s="18"/>
      <c r="Y697" s="18"/>
      <c r="Z697" s="18"/>
      <c r="AA697" s="18"/>
      <c r="AB697" s="18"/>
      <c r="AC697" s="18"/>
      <c r="AD697" s="18"/>
      <c r="AE697" s="18"/>
      <c r="AF697" s="18"/>
      <c r="AG697" s="18"/>
    </row>
    <row r="698" spans="1:33" x14ac:dyDescent="0.2">
      <c r="A698" s="1279"/>
      <c r="B698" s="1280"/>
      <c r="C698" s="18"/>
      <c r="D698" s="18"/>
      <c r="E698" s="18"/>
      <c r="F698" s="18"/>
      <c r="G698" s="18"/>
      <c r="H698" s="18"/>
      <c r="I698" s="18"/>
      <c r="J698" s="18"/>
      <c r="K698" s="18"/>
      <c r="L698" s="12"/>
      <c r="M698" s="18"/>
      <c r="N698" s="18"/>
      <c r="O698" s="18"/>
      <c r="P698" s="18"/>
      <c r="Q698" s="18"/>
      <c r="R698" s="18"/>
      <c r="S698" s="18"/>
      <c r="T698" s="18"/>
      <c r="U698" s="18"/>
      <c r="V698" s="18"/>
      <c r="W698" s="18"/>
      <c r="X698" s="18"/>
      <c r="Y698" s="18"/>
      <c r="Z698" s="18"/>
      <c r="AA698" s="18"/>
      <c r="AB698" s="18"/>
      <c r="AC698" s="18"/>
      <c r="AD698" s="18"/>
      <c r="AE698" s="18"/>
      <c r="AF698" s="18"/>
      <c r="AG698" s="18"/>
    </row>
    <row r="699" spans="1:33" x14ac:dyDescent="0.2">
      <c r="A699" s="1279"/>
      <c r="B699" s="1280"/>
      <c r="C699" s="18"/>
      <c r="D699" s="18"/>
      <c r="E699" s="18"/>
      <c r="F699" s="18"/>
      <c r="G699" s="18"/>
      <c r="H699" s="18"/>
      <c r="I699" s="18"/>
      <c r="J699" s="18"/>
      <c r="K699" s="18"/>
      <c r="L699" s="12"/>
      <c r="M699" s="18"/>
      <c r="N699" s="18"/>
      <c r="O699" s="18"/>
      <c r="P699" s="18"/>
      <c r="Q699" s="18"/>
      <c r="R699" s="18"/>
      <c r="S699" s="18"/>
      <c r="T699" s="18"/>
      <c r="U699" s="18"/>
      <c r="V699" s="18"/>
      <c r="W699" s="18"/>
      <c r="X699" s="18"/>
      <c r="Y699" s="18"/>
      <c r="Z699" s="18"/>
      <c r="AA699" s="18"/>
      <c r="AB699" s="18"/>
      <c r="AC699" s="18"/>
      <c r="AD699" s="18"/>
      <c r="AE699" s="18"/>
      <c r="AF699" s="18"/>
      <c r="AG699" s="18"/>
    </row>
    <row r="700" spans="1:33" x14ac:dyDescent="0.2">
      <c r="A700" s="1279"/>
      <c r="B700" s="1280"/>
      <c r="C700" s="18"/>
      <c r="D700" s="18"/>
      <c r="E700" s="18"/>
      <c r="F700" s="18"/>
      <c r="G700" s="18"/>
      <c r="H700" s="18"/>
      <c r="I700" s="18"/>
      <c r="J700" s="18"/>
      <c r="K700" s="18"/>
      <c r="L700" s="12"/>
      <c r="M700" s="18"/>
      <c r="N700" s="18"/>
      <c r="O700" s="18"/>
      <c r="P700" s="18"/>
      <c r="Q700" s="18"/>
      <c r="R700" s="18"/>
      <c r="S700" s="18"/>
      <c r="T700" s="18"/>
      <c r="U700" s="18"/>
      <c r="V700" s="18"/>
      <c r="W700" s="18"/>
      <c r="X700" s="18"/>
      <c r="Y700" s="18"/>
      <c r="Z700" s="18"/>
      <c r="AA700" s="18"/>
      <c r="AB700" s="18"/>
      <c r="AC700" s="18"/>
      <c r="AD700" s="18"/>
      <c r="AE700" s="18"/>
      <c r="AF700" s="18"/>
      <c r="AG700" s="18"/>
    </row>
    <row r="701" spans="1:33" x14ac:dyDescent="0.2">
      <c r="A701" s="1279"/>
      <c r="B701" s="1280"/>
      <c r="C701" s="18"/>
      <c r="D701" s="18"/>
      <c r="E701" s="18"/>
      <c r="F701" s="18"/>
      <c r="G701" s="18"/>
      <c r="H701" s="18"/>
      <c r="I701" s="18"/>
      <c r="J701" s="18"/>
      <c r="K701" s="18"/>
      <c r="L701" s="12"/>
      <c r="M701" s="18"/>
      <c r="N701" s="18"/>
      <c r="O701" s="18"/>
      <c r="P701" s="18"/>
      <c r="Q701" s="18"/>
      <c r="R701" s="18"/>
      <c r="S701" s="18"/>
      <c r="T701" s="18"/>
      <c r="U701" s="18"/>
      <c r="V701" s="18"/>
      <c r="W701" s="18"/>
      <c r="X701" s="18"/>
      <c r="Y701" s="18"/>
      <c r="Z701" s="18"/>
      <c r="AA701" s="18"/>
      <c r="AB701" s="18"/>
      <c r="AC701" s="18"/>
      <c r="AD701" s="18"/>
      <c r="AE701" s="18"/>
      <c r="AF701" s="18"/>
      <c r="AG701" s="18"/>
    </row>
    <row r="702" spans="1:33" x14ac:dyDescent="0.2">
      <c r="A702" s="1279"/>
      <c r="B702" s="1280"/>
      <c r="C702" s="18"/>
      <c r="D702" s="18"/>
      <c r="E702" s="18"/>
      <c r="F702" s="18"/>
      <c r="G702" s="18"/>
      <c r="H702" s="18"/>
      <c r="I702" s="18"/>
      <c r="J702" s="18"/>
      <c r="K702" s="18"/>
      <c r="L702" s="12"/>
      <c r="M702" s="18"/>
      <c r="N702" s="18"/>
      <c r="O702" s="18"/>
      <c r="P702" s="18"/>
      <c r="Q702" s="18"/>
      <c r="R702" s="18"/>
      <c r="S702" s="18"/>
      <c r="T702" s="18"/>
      <c r="U702" s="18"/>
      <c r="V702" s="18"/>
      <c r="W702" s="18"/>
      <c r="X702" s="18"/>
      <c r="Y702" s="18"/>
      <c r="Z702" s="18"/>
      <c r="AA702" s="18"/>
      <c r="AB702" s="18"/>
      <c r="AC702" s="18"/>
      <c r="AD702" s="18"/>
      <c r="AE702" s="18"/>
      <c r="AF702" s="18"/>
      <c r="AG702" s="18"/>
    </row>
    <row r="703" spans="1:33" x14ac:dyDescent="0.2">
      <c r="A703" s="1279"/>
      <c r="B703" s="1280"/>
      <c r="C703" s="18"/>
      <c r="D703" s="18"/>
      <c r="E703" s="18"/>
      <c r="F703" s="18"/>
      <c r="G703" s="18"/>
      <c r="H703" s="18"/>
      <c r="I703" s="18"/>
      <c r="J703" s="18"/>
      <c r="K703" s="18"/>
      <c r="L703" s="12"/>
      <c r="M703" s="18"/>
      <c r="N703" s="18"/>
      <c r="O703" s="18"/>
      <c r="P703" s="18"/>
      <c r="Q703" s="18"/>
      <c r="R703" s="18"/>
      <c r="S703" s="18"/>
      <c r="T703" s="18"/>
      <c r="U703" s="18"/>
      <c r="V703" s="18"/>
      <c r="W703" s="18"/>
      <c r="X703" s="18"/>
      <c r="Y703" s="18"/>
      <c r="Z703" s="18"/>
      <c r="AA703" s="18"/>
      <c r="AB703" s="18"/>
      <c r="AC703" s="18"/>
      <c r="AD703" s="18"/>
      <c r="AE703" s="18"/>
      <c r="AF703" s="18"/>
      <c r="AG703" s="18"/>
    </row>
    <row r="704" spans="1:33" x14ac:dyDescent="0.2">
      <c r="A704" s="1279"/>
      <c r="B704" s="1280"/>
      <c r="C704" s="18"/>
      <c r="D704" s="18"/>
      <c r="E704" s="18"/>
      <c r="F704" s="18"/>
      <c r="G704" s="18"/>
      <c r="H704" s="18"/>
      <c r="I704" s="18"/>
      <c r="J704" s="18"/>
      <c r="K704" s="18"/>
      <c r="L704" s="12"/>
      <c r="M704" s="18"/>
      <c r="N704" s="18"/>
      <c r="O704" s="18"/>
      <c r="P704" s="18"/>
      <c r="Q704" s="18"/>
      <c r="R704" s="18"/>
      <c r="S704" s="18"/>
      <c r="T704" s="18"/>
      <c r="U704" s="18"/>
      <c r="V704" s="18"/>
      <c r="W704" s="18"/>
      <c r="X704" s="18"/>
      <c r="Y704" s="18"/>
      <c r="Z704" s="18"/>
      <c r="AA704" s="18"/>
      <c r="AB704" s="18"/>
      <c r="AC704" s="18"/>
      <c r="AD704" s="18"/>
      <c r="AE704" s="18"/>
      <c r="AF704" s="18"/>
      <c r="AG704" s="18"/>
    </row>
    <row r="705" spans="1:33" x14ac:dyDescent="0.2">
      <c r="A705" s="1279"/>
      <c r="B705" s="1280"/>
      <c r="C705" s="18"/>
      <c r="D705" s="18"/>
      <c r="E705" s="18"/>
      <c r="F705" s="18"/>
      <c r="G705" s="18"/>
      <c r="H705" s="18"/>
      <c r="I705" s="18"/>
      <c r="J705" s="18"/>
      <c r="K705" s="18"/>
      <c r="L705" s="12"/>
      <c r="M705" s="18"/>
      <c r="N705" s="18"/>
      <c r="O705" s="18"/>
      <c r="P705" s="18"/>
      <c r="Q705" s="18"/>
      <c r="R705" s="18"/>
      <c r="S705" s="18"/>
      <c r="T705" s="18"/>
      <c r="U705" s="18"/>
      <c r="V705" s="18"/>
      <c r="W705" s="18"/>
      <c r="X705" s="18"/>
      <c r="Y705" s="18"/>
      <c r="Z705" s="18"/>
      <c r="AA705" s="18"/>
      <c r="AB705" s="18"/>
      <c r="AC705" s="18"/>
      <c r="AD705" s="18"/>
      <c r="AE705" s="18"/>
      <c r="AF705" s="18"/>
      <c r="AG705" s="18"/>
    </row>
    <row r="706" spans="1:33" x14ac:dyDescent="0.2">
      <c r="A706" s="1279"/>
      <c r="B706" s="1280"/>
      <c r="C706" s="18"/>
      <c r="D706" s="18"/>
      <c r="E706" s="18"/>
      <c r="F706" s="18"/>
      <c r="G706" s="18"/>
      <c r="H706" s="18"/>
      <c r="I706" s="18"/>
      <c r="J706" s="18"/>
      <c r="K706" s="18"/>
      <c r="L706" s="12"/>
      <c r="M706" s="18"/>
      <c r="N706" s="18"/>
      <c r="O706" s="18"/>
      <c r="P706" s="18"/>
      <c r="Q706" s="18"/>
      <c r="R706" s="18"/>
      <c r="S706" s="18"/>
      <c r="T706" s="18"/>
      <c r="U706" s="18"/>
      <c r="V706" s="18"/>
      <c r="W706" s="18"/>
      <c r="X706" s="18"/>
      <c r="Y706" s="18"/>
      <c r="Z706" s="18"/>
      <c r="AA706" s="18"/>
      <c r="AB706" s="18"/>
      <c r="AC706" s="18"/>
      <c r="AD706" s="18"/>
      <c r="AE706" s="18"/>
      <c r="AF706" s="18"/>
      <c r="AG706" s="18"/>
    </row>
    <row r="707" spans="1:33" x14ac:dyDescent="0.2">
      <c r="A707" s="1279"/>
      <c r="B707" s="1280"/>
      <c r="C707" s="18"/>
      <c r="D707" s="18"/>
      <c r="E707" s="18"/>
      <c r="F707" s="18"/>
      <c r="G707" s="18"/>
      <c r="H707" s="18"/>
      <c r="I707" s="18"/>
      <c r="J707" s="18"/>
      <c r="K707" s="18"/>
      <c r="L707" s="12"/>
      <c r="M707" s="18"/>
      <c r="N707" s="18"/>
      <c r="O707" s="18"/>
      <c r="P707" s="18"/>
      <c r="Q707" s="18"/>
      <c r="R707" s="18"/>
      <c r="S707" s="18"/>
      <c r="T707" s="18"/>
      <c r="U707" s="18"/>
      <c r="V707" s="18"/>
      <c r="W707" s="18"/>
      <c r="X707" s="18"/>
      <c r="Y707" s="18"/>
      <c r="Z707" s="18"/>
      <c r="AA707" s="18"/>
      <c r="AB707" s="18"/>
      <c r="AC707" s="18"/>
      <c r="AD707" s="18"/>
      <c r="AE707" s="18"/>
      <c r="AF707" s="18"/>
      <c r="AG707" s="18"/>
    </row>
    <row r="708" spans="1:33" x14ac:dyDescent="0.2">
      <c r="A708" s="1279"/>
      <c r="B708" s="1280"/>
      <c r="C708" s="18"/>
      <c r="D708" s="18"/>
      <c r="E708" s="18"/>
      <c r="F708" s="18"/>
      <c r="G708" s="18"/>
      <c r="H708" s="18"/>
      <c r="I708" s="18"/>
      <c r="J708" s="18"/>
      <c r="K708" s="18"/>
      <c r="L708" s="12"/>
      <c r="M708" s="18"/>
      <c r="N708" s="18"/>
      <c r="O708" s="18"/>
      <c r="P708" s="18"/>
      <c r="Q708" s="18"/>
      <c r="R708" s="18"/>
      <c r="S708" s="18"/>
      <c r="T708" s="18"/>
      <c r="U708" s="18"/>
      <c r="V708" s="18"/>
      <c r="W708" s="18"/>
      <c r="X708" s="18"/>
      <c r="Y708" s="18"/>
      <c r="Z708" s="18"/>
      <c r="AA708" s="18"/>
      <c r="AB708" s="18"/>
      <c r="AC708" s="18"/>
      <c r="AD708" s="18"/>
      <c r="AE708" s="18"/>
      <c r="AF708" s="18"/>
      <c r="AG708" s="18"/>
    </row>
    <row r="709" spans="1:33" x14ac:dyDescent="0.2">
      <c r="A709" s="1279"/>
      <c r="B709" s="1280"/>
      <c r="C709" s="18"/>
      <c r="D709" s="18"/>
      <c r="E709" s="18"/>
      <c r="F709" s="18"/>
      <c r="G709" s="18"/>
      <c r="H709" s="18"/>
      <c r="I709" s="18"/>
      <c r="J709" s="18"/>
      <c r="K709" s="18"/>
      <c r="L709" s="12"/>
      <c r="M709" s="18"/>
      <c r="N709" s="18"/>
      <c r="O709" s="18"/>
      <c r="P709" s="18"/>
      <c r="Q709" s="18"/>
      <c r="R709" s="18"/>
      <c r="S709" s="18"/>
      <c r="T709" s="18"/>
      <c r="U709" s="18"/>
      <c r="V709" s="18"/>
      <c r="W709" s="18"/>
      <c r="X709" s="18"/>
      <c r="Y709" s="18"/>
      <c r="Z709" s="18"/>
      <c r="AA709" s="18"/>
      <c r="AB709" s="18"/>
      <c r="AC709" s="18"/>
      <c r="AD709" s="18"/>
      <c r="AE709" s="18"/>
      <c r="AF709" s="18"/>
      <c r="AG709" s="18"/>
    </row>
    <row r="710" spans="1:33" x14ac:dyDescent="0.2">
      <c r="A710" s="1279"/>
      <c r="B710" s="1280"/>
      <c r="C710" s="18"/>
      <c r="D710" s="18"/>
      <c r="E710" s="18"/>
      <c r="F710" s="18"/>
      <c r="G710" s="18"/>
      <c r="H710" s="18"/>
      <c r="I710" s="18"/>
      <c r="J710" s="18"/>
      <c r="K710" s="18"/>
      <c r="L710" s="12"/>
      <c r="M710" s="18"/>
      <c r="N710" s="18"/>
      <c r="O710" s="18"/>
      <c r="P710" s="18"/>
      <c r="Q710" s="18"/>
      <c r="R710" s="18"/>
      <c r="S710" s="18"/>
      <c r="T710" s="18"/>
      <c r="U710" s="18"/>
      <c r="V710" s="18"/>
      <c r="W710" s="18"/>
      <c r="X710" s="18"/>
      <c r="Y710" s="18"/>
      <c r="Z710" s="18"/>
      <c r="AA710" s="18"/>
      <c r="AB710" s="18"/>
      <c r="AC710" s="18"/>
      <c r="AD710" s="18"/>
      <c r="AE710" s="18"/>
      <c r="AF710" s="18"/>
      <c r="AG710" s="18"/>
    </row>
    <row r="711" spans="1:33" x14ac:dyDescent="0.2">
      <c r="A711" s="1279"/>
      <c r="B711" s="1280"/>
      <c r="C711" s="18"/>
      <c r="D711" s="18"/>
      <c r="E711" s="18"/>
      <c r="F711" s="18"/>
      <c r="G711" s="18"/>
      <c r="H711" s="18"/>
      <c r="I711" s="18"/>
      <c r="J711" s="18"/>
      <c r="K711" s="18"/>
      <c r="L711" s="12"/>
      <c r="M711" s="18"/>
      <c r="N711" s="18"/>
      <c r="O711" s="18"/>
      <c r="P711" s="18"/>
      <c r="Q711" s="18"/>
      <c r="R711" s="18"/>
      <c r="S711" s="18"/>
      <c r="T711" s="18"/>
      <c r="U711" s="18"/>
      <c r="V711" s="18"/>
      <c r="W711" s="18"/>
      <c r="X711" s="18"/>
      <c r="Y711" s="18"/>
      <c r="Z711" s="18"/>
      <c r="AA711" s="18"/>
      <c r="AB711" s="18"/>
      <c r="AC711" s="18"/>
      <c r="AD711" s="18"/>
      <c r="AE711" s="18"/>
      <c r="AF711" s="18"/>
      <c r="AG711" s="18"/>
    </row>
    <row r="712" spans="1:33" x14ac:dyDescent="0.2">
      <c r="A712" s="1279"/>
      <c r="B712" s="1280"/>
      <c r="C712" s="18"/>
      <c r="D712" s="18"/>
      <c r="E712" s="18"/>
      <c r="F712" s="18"/>
      <c r="G712" s="18"/>
      <c r="H712" s="18"/>
      <c r="I712" s="18"/>
      <c r="J712" s="18"/>
      <c r="K712" s="18"/>
      <c r="L712" s="12"/>
      <c r="M712" s="18"/>
      <c r="N712" s="18"/>
      <c r="O712" s="18"/>
      <c r="P712" s="18"/>
      <c r="Q712" s="18"/>
      <c r="R712" s="18"/>
      <c r="S712" s="18"/>
      <c r="T712" s="18"/>
      <c r="U712" s="18"/>
      <c r="V712" s="18"/>
      <c r="W712" s="18"/>
      <c r="X712" s="18"/>
      <c r="Y712" s="18"/>
      <c r="Z712" s="18"/>
      <c r="AA712" s="18"/>
      <c r="AB712" s="18"/>
      <c r="AC712" s="18"/>
      <c r="AD712" s="18"/>
      <c r="AE712" s="18"/>
      <c r="AF712" s="18"/>
      <c r="AG712" s="18"/>
    </row>
    <row r="713" spans="1:33" x14ac:dyDescent="0.2">
      <c r="A713" s="1279"/>
      <c r="B713" s="1280"/>
      <c r="C713" s="18"/>
      <c r="D713" s="18"/>
      <c r="E713" s="18"/>
      <c r="F713" s="18"/>
      <c r="G713" s="18"/>
      <c r="H713" s="18"/>
      <c r="I713" s="18"/>
      <c r="J713" s="18"/>
      <c r="K713" s="18"/>
      <c r="L713" s="12"/>
      <c r="M713" s="18"/>
      <c r="N713" s="18"/>
      <c r="O713" s="18"/>
      <c r="P713" s="18"/>
      <c r="Q713" s="18"/>
      <c r="R713" s="18"/>
      <c r="S713" s="18"/>
      <c r="T713" s="18"/>
      <c r="U713" s="18"/>
      <c r="V713" s="18"/>
      <c r="W713" s="18"/>
      <c r="X713" s="18"/>
      <c r="Y713" s="18"/>
      <c r="Z713" s="18"/>
      <c r="AA713" s="18"/>
      <c r="AB713" s="18"/>
      <c r="AC713" s="18"/>
      <c r="AD713" s="18"/>
      <c r="AE713" s="18"/>
      <c r="AF713" s="18"/>
      <c r="AG713" s="18"/>
    </row>
    <row r="714" spans="1:33" x14ac:dyDescent="0.2">
      <c r="A714" s="1279"/>
      <c r="B714" s="1280"/>
      <c r="C714" s="18"/>
      <c r="D714" s="18"/>
      <c r="E714" s="18"/>
      <c r="F714" s="18"/>
      <c r="G714" s="18"/>
      <c r="H714" s="18"/>
      <c r="I714" s="18"/>
      <c r="J714" s="18"/>
      <c r="K714" s="18"/>
      <c r="L714" s="12"/>
      <c r="M714" s="18"/>
      <c r="N714" s="18"/>
      <c r="O714" s="18"/>
      <c r="P714" s="18"/>
      <c r="Q714" s="18"/>
      <c r="R714" s="18"/>
      <c r="S714" s="18"/>
      <c r="T714" s="18"/>
      <c r="U714" s="18"/>
      <c r="V714" s="18"/>
      <c r="W714" s="18"/>
      <c r="X714" s="18"/>
      <c r="Y714" s="18"/>
      <c r="Z714" s="18"/>
      <c r="AA714" s="18"/>
      <c r="AB714" s="18"/>
      <c r="AC714" s="18"/>
      <c r="AD714" s="18"/>
      <c r="AE714" s="18"/>
      <c r="AF714" s="18"/>
      <c r="AG714" s="18"/>
    </row>
    <row r="715" spans="1:33" x14ac:dyDescent="0.2">
      <c r="A715" s="1279"/>
      <c r="B715" s="1280"/>
      <c r="C715" s="18"/>
      <c r="D715" s="18"/>
      <c r="E715" s="18"/>
      <c r="F715" s="18"/>
      <c r="G715" s="18"/>
      <c r="H715" s="18"/>
      <c r="I715" s="18"/>
      <c r="J715" s="18"/>
      <c r="K715" s="18"/>
      <c r="L715" s="12"/>
      <c r="M715" s="18"/>
      <c r="N715" s="18"/>
      <c r="O715" s="18"/>
      <c r="P715" s="18"/>
      <c r="Q715" s="18"/>
      <c r="R715" s="18"/>
      <c r="S715" s="18"/>
      <c r="T715" s="18"/>
      <c r="U715" s="18"/>
      <c r="V715" s="18"/>
      <c r="W715" s="18"/>
      <c r="X715" s="18"/>
      <c r="Y715" s="18"/>
      <c r="Z715" s="18"/>
      <c r="AA715" s="18"/>
      <c r="AB715" s="18"/>
      <c r="AC715" s="18"/>
      <c r="AD715" s="18"/>
      <c r="AE715" s="18"/>
      <c r="AF715" s="18"/>
      <c r="AG715" s="18"/>
    </row>
    <row r="716" spans="1:33" x14ac:dyDescent="0.2">
      <c r="A716" s="1279"/>
      <c r="B716" s="1280"/>
      <c r="C716" s="18"/>
      <c r="D716" s="18"/>
      <c r="E716" s="18"/>
      <c r="F716" s="18"/>
      <c r="G716" s="18"/>
      <c r="H716" s="18"/>
      <c r="I716" s="18"/>
      <c r="J716" s="18"/>
      <c r="K716" s="18"/>
      <c r="L716" s="12"/>
      <c r="M716" s="18"/>
      <c r="N716" s="18"/>
      <c r="O716" s="18"/>
      <c r="P716" s="18"/>
      <c r="Q716" s="18"/>
      <c r="R716" s="18"/>
      <c r="S716" s="18"/>
      <c r="T716" s="18"/>
      <c r="U716" s="18"/>
      <c r="V716" s="18"/>
      <c r="W716" s="18"/>
      <c r="X716" s="18"/>
      <c r="Y716" s="18"/>
      <c r="Z716" s="18"/>
      <c r="AA716" s="18"/>
      <c r="AB716" s="18"/>
      <c r="AC716" s="18"/>
      <c r="AD716" s="18"/>
      <c r="AE716" s="18"/>
      <c r="AF716" s="18"/>
      <c r="AG716" s="18"/>
    </row>
    <row r="717" spans="1:33" x14ac:dyDescent="0.2">
      <c r="A717" s="1279"/>
      <c r="B717" s="1280"/>
      <c r="C717" s="18"/>
      <c r="D717" s="18"/>
      <c r="E717" s="18"/>
      <c r="F717" s="18"/>
      <c r="G717" s="18"/>
      <c r="H717" s="18"/>
      <c r="I717" s="18"/>
      <c r="J717" s="18"/>
      <c r="K717" s="18"/>
      <c r="L717" s="12"/>
      <c r="M717" s="18"/>
      <c r="N717" s="18"/>
      <c r="O717" s="18"/>
      <c r="P717" s="18"/>
      <c r="Q717" s="18"/>
      <c r="R717" s="18"/>
      <c r="S717" s="18"/>
      <c r="T717" s="18"/>
      <c r="U717" s="18"/>
      <c r="V717" s="18"/>
      <c r="W717" s="18"/>
      <c r="X717" s="18"/>
      <c r="Y717" s="18"/>
      <c r="Z717" s="18"/>
      <c r="AA717" s="18"/>
      <c r="AB717" s="18"/>
      <c r="AC717" s="18"/>
      <c r="AD717" s="18"/>
      <c r="AE717" s="18"/>
      <c r="AF717" s="18"/>
      <c r="AG717" s="18"/>
    </row>
    <row r="718" spans="1:33" x14ac:dyDescent="0.2">
      <c r="A718" s="1279"/>
      <c r="B718" s="1280"/>
      <c r="C718" s="18"/>
      <c r="D718" s="18"/>
      <c r="E718" s="18"/>
      <c r="F718" s="18"/>
      <c r="G718" s="18"/>
      <c r="H718" s="18"/>
      <c r="I718" s="18"/>
      <c r="J718" s="18"/>
      <c r="K718" s="18"/>
      <c r="L718" s="12"/>
      <c r="M718" s="18"/>
      <c r="N718" s="18"/>
      <c r="O718" s="18"/>
      <c r="P718" s="18"/>
      <c r="Q718" s="18"/>
      <c r="R718" s="18"/>
      <c r="S718" s="18"/>
      <c r="T718" s="18"/>
      <c r="U718" s="18"/>
      <c r="V718" s="18"/>
      <c r="W718" s="18"/>
      <c r="X718" s="18"/>
      <c r="Y718" s="18"/>
      <c r="Z718" s="18"/>
      <c r="AA718" s="18"/>
      <c r="AB718" s="18"/>
      <c r="AC718" s="18"/>
      <c r="AD718" s="18"/>
      <c r="AE718" s="18"/>
      <c r="AF718" s="18"/>
      <c r="AG718" s="18"/>
    </row>
    <row r="719" spans="1:33" x14ac:dyDescent="0.2">
      <c r="A719" s="1279"/>
      <c r="B719" s="1280"/>
      <c r="C719" s="18"/>
      <c r="D719" s="18"/>
      <c r="E719" s="18"/>
      <c r="F719" s="18"/>
      <c r="G719" s="18"/>
      <c r="H719" s="18"/>
      <c r="I719" s="18"/>
      <c r="J719" s="18"/>
      <c r="K719" s="18"/>
      <c r="L719" s="12"/>
      <c r="M719" s="18"/>
      <c r="N719" s="18"/>
      <c r="O719" s="18"/>
      <c r="P719" s="18"/>
      <c r="Q719" s="18"/>
      <c r="R719" s="18"/>
      <c r="S719" s="18"/>
      <c r="T719" s="18"/>
      <c r="U719" s="18"/>
      <c r="V719" s="18"/>
      <c r="W719" s="18"/>
      <c r="X719" s="18"/>
      <c r="Y719" s="18"/>
      <c r="Z719" s="18"/>
      <c r="AA719" s="18"/>
      <c r="AB719" s="18"/>
      <c r="AC719" s="18"/>
      <c r="AD719" s="18"/>
      <c r="AE719" s="18"/>
      <c r="AF719" s="18"/>
      <c r="AG719" s="18"/>
    </row>
    <row r="720" spans="1:33" x14ac:dyDescent="0.2">
      <c r="A720" s="1279"/>
      <c r="B720" s="1280"/>
      <c r="C720" s="18"/>
      <c r="D720" s="18"/>
      <c r="E720" s="18"/>
      <c r="F720" s="18"/>
      <c r="G720" s="18"/>
      <c r="H720" s="18"/>
      <c r="I720" s="18"/>
      <c r="J720" s="18"/>
      <c r="K720" s="18"/>
      <c r="L720" s="12"/>
      <c r="M720" s="18"/>
      <c r="N720" s="18"/>
      <c r="O720" s="18"/>
      <c r="P720" s="18"/>
      <c r="Q720" s="18"/>
      <c r="R720" s="18"/>
      <c r="S720" s="18"/>
      <c r="T720" s="18"/>
      <c r="U720" s="18"/>
      <c r="V720" s="18"/>
      <c r="W720" s="18"/>
      <c r="X720" s="18"/>
      <c r="Y720" s="18"/>
      <c r="Z720" s="18"/>
      <c r="AA720" s="18"/>
      <c r="AB720" s="18"/>
      <c r="AC720" s="18"/>
      <c r="AD720" s="18"/>
      <c r="AE720" s="18"/>
      <c r="AF720" s="18"/>
      <c r="AG720" s="18"/>
    </row>
    <row r="721" spans="1:33" x14ac:dyDescent="0.2">
      <c r="A721" s="1279"/>
      <c r="B721" s="1280"/>
      <c r="C721" s="18"/>
      <c r="D721" s="18"/>
      <c r="E721" s="18"/>
      <c r="F721" s="18"/>
      <c r="G721" s="18"/>
      <c r="H721" s="18"/>
      <c r="I721" s="18"/>
      <c r="J721" s="18"/>
      <c r="K721" s="18"/>
      <c r="L721" s="12"/>
      <c r="M721" s="18"/>
      <c r="N721" s="18"/>
      <c r="O721" s="18"/>
      <c r="P721" s="18"/>
      <c r="Q721" s="18"/>
      <c r="R721" s="18"/>
      <c r="S721" s="18"/>
      <c r="T721" s="18"/>
      <c r="U721" s="18"/>
      <c r="V721" s="18"/>
      <c r="W721" s="18"/>
      <c r="X721" s="18"/>
      <c r="Y721" s="18"/>
      <c r="Z721" s="18"/>
      <c r="AA721" s="18"/>
      <c r="AB721" s="18"/>
      <c r="AC721" s="18"/>
      <c r="AD721" s="18"/>
      <c r="AE721" s="18"/>
      <c r="AF721" s="18"/>
      <c r="AG721" s="18"/>
    </row>
    <row r="722" spans="1:33" x14ac:dyDescent="0.2">
      <c r="A722" s="1279"/>
      <c r="B722" s="1280"/>
      <c r="C722" s="18"/>
      <c r="D722" s="18"/>
      <c r="E722" s="18"/>
      <c r="F722" s="18"/>
      <c r="G722" s="18"/>
      <c r="H722" s="18"/>
      <c r="I722" s="18"/>
      <c r="J722" s="18"/>
      <c r="K722" s="18"/>
      <c r="L722" s="12"/>
      <c r="M722" s="18"/>
      <c r="N722" s="18"/>
      <c r="O722" s="18"/>
      <c r="P722" s="18"/>
      <c r="Q722" s="18"/>
      <c r="R722" s="18"/>
      <c r="S722" s="18"/>
      <c r="T722" s="18"/>
      <c r="U722" s="18"/>
      <c r="V722" s="18"/>
      <c r="W722" s="18"/>
      <c r="X722" s="18"/>
      <c r="Y722" s="18"/>
      <c r="Z722" s="18"/>
      <c r="AA722" s="18"/>
      <c r="AB722" s="18"/>
      <c r="AC722" s="18"/>
      <c r="AD722" s="18"/>
      <c r="AE722" s="18"/>
      <c r="AF722" s="18"/>
      <c r="AG722" s="18"/>
    </row>
    <row r="723" spans="1:33" x14ac:dyDescent="0.2">
      <c r="A723" s="1279"/>
      <c r="B723" s="1280"/>
      <c r="C723" s="18"/>
      <c r="D723" s="18"/>
      <c r="E723" s="18"/>
      <c r="F723" s="18"/>
      <c r="G723" s="18"/>
      <c r="H723" s="18"/>
      <c r="I723" s="18"/>
      <c r="J723" s="18"/>
      <c r="K723" s="18"/>
      <c r="L723" s="12"/>
      <c r="M723" s="18"/>
      <c r="N723" s="18"/>
      <c r="O723" s="18"/>
      <c r="P723" s="18"/>
      <c r="Q723" s="18"/>
      <c r="R723" s="18"/>
      <c r="S723" s="18"/>
      <c r="T723" s="18"/>
      <c r="U723" s="18"/>
      <c r="V723" s="18"/>
      <c r="W723" s="18"/>
      <c r="X723" s="18"/>
      <c r="Y723" s="18"/>
      <c r="Z723" s="18"/>
      <c r="AA723" s="18"/>
      <c r="AB723" s="18"/>
      <c r="AC723" s="18"/>
      <c r="AD723" s="18"/>
      <c r="AE723" s="18"/>
      <c r="AF723" s="18"/>
      <c r="AG723" s="18"/>
    </row>
    <row r="724" spans="1:33" x14ac:dyDescent="0.2">
      <c r="A724" s="1279"/>
      <c r="B724" s="1280"/>
      <c r="C724" s="18"/>
      <c r="D724" s="18"/>
      <c r="E724" s="18"/>
      <c r="F724" s="18"/>
      <c r="G724" s="18"/>
      <c r="H724" s="18"/>
      <c r="I724" s="18"/>
      <c r="J724" s="18"/>
      <c r="K724" s="18"/>
      <c r="L724" s="12"/>
      <c r="M724" s="18"/>
      <c r="N724" s="18"/>
      <c r="O724" s="18"/>
      <c r="P724" s="18"/>
      <c r="Q724" s="18"/>
      <c r="R724" s="18"/>
      <c r="S724" s="18"/>
      <c r="T724" s="18"/>
      <c r="U724" s="18"/>
      <c r="V724" s="18"/>
      <c r="W724" s="18"/>
      <c r="X724" s="18"/>
      <c r="Y724" s="18"/>
      <c r="Z724" s="18"/>
      <c r="AA724" s="18"/>
      <c r="AB724" s="18"/>
      <c r="AC724" s="18"/>
      <c r="AD724" s="18"/>
      <c r="AE724" s="18"/>
      <c r="AF724" s="18"/>
      <c r="AG724" s="18"/>
    </row>
    <row r="725" spans="1:33" x14ac:dyDescent="0.2">
      <c r="A725" s="1279"/>
      <c r="B725" s="1280"/>
      <c r="C725" s="18"/>
      <c r="D725" s="18"/>
      <c r="E725" s="18"/>
      <c r="F725" s="18"/>
      <c r="G725" s="18"/>
      <c r="H725" s="18"/>
      <c r="I725" s="18"/>
      <c r="J725" s="18"/>
      <c r="K725" s="18"/>
      <c r="L725" s="12"/>
      <c r="M725" s="18"/>
      <c r="N725" s="18"/>
      <c r="O725" s="18"/>
      <c r="P725" s="18"/>
      <c r="Q725" s="18"/>
      <c r="R725" s="18"/>
      <c r="S725" s="18"/>
      <c r="T725" s="18"/>
      <c r="U725" s="18"/>
      <c r="V725" s="18"/>
      <c r="W725" s="18"/>
      <c r="X725" s="18"/>
      <c r="Y725" s="18"/>
      <c r="Z725" s="18"/>
      <c r="AA725" s="18"/>
      <c r="AB725" s="18"/>
      <c r="AC725" s="18"/>
      <c r="AD725" s="18"/>
      <c r="AE725" s="18"/>
      <c r="AF725" s="18"/>
      <c r="AG725" s="18"/>
    </row>
    <row r="726" spans="1:33" x14ac:dyDescent="0.2">
      <c r="A726" s="1279"/>
      <c r="B726" s="1280"/>
      <c r="C726" s="18"/>
      <c r="D726" s="18"/>
      <c r="E726" s="18"/>
      <c r="F726" s="18"/>
      <c r="G726" s="18"/>
      <c r="H726" s="18"/>
      <c r="I726" s="18"/>
      <c r="J726" s="18"/>
      <c r="K726" s="18"/>
      <c r="L726" s="12"/>
      <c r="M726" s="18"/>
      <c r="N726" s="18"/>
      <c r="O726" s="18"/>
      <c r="P726" s="18"/>
      <c r="Q726" s="18"/>
      <c r="R726" s="18"/>
      <c r="S726" s="18"/>
      <c r="T726" s="18"/>
      <c r="U726" s="18"/>
      <c r="V726" s="18"/>
      <c r="W726" s="18"/>
      <c r="X726" s="18"/>
      <c r="Y726" s="18"/>
      <c r="Z726" s="18"/>
      <c r="AA726" s="18"/>
      <c r="AB726" s="18"/>
      <c r="AC726" s="18"/>
      <c r="AD726" s="18"/>
      <c r="AE726" s="18"/>
      <c r="AF726" s="18"/>
      <c r="AG726" s="18"/>
    </row>
    <row r="727" spans="1:33" x14ac:dyDescent="0.2">
      <c r="A727" s="1279"/>
      <c r="B727" s="1280"/>
      <c r="C727" s="18"/>
      <c r="D727" s="18"/>
      <c r="E727" s="18"/>
      <c r="F727" s="18"/>
      <c r="G727" s="18"/>
      <c r="H727" s="18"/>
      <c r="I727" s="18"/>
      <c r="J727" s="18"/>
      <c r="K727" s="18"/>
      <c r="L727" s="12"/>
      <c r="M727" s="18"/>
      <c r="N727" s="18"/>
      <c r="O727" s="18"/>
      <c r="P727" s="18"/>
      <c r="Q727" s="18"/>
      <c r="R727" s="18"/>
      <c r="S727" s="18"/>
      <c r="T727" s="18"/>
      <c r="U727" s="18"/>
      <c r="V727" s="18"/>
      <c r="W727" s="18"/>
      <c r="X727" s="18"/>
      <c r="Y727" s="18"/>
      <c r="Z727" s="18"/>
      <c r="AA727" s="18"/>
      <c r="AB727" s="18"/>
      <c r="AC727" s="18"/>
      <c r="AD727" s="18"/>
      <c r="AE727" s="18"/>
      <c r="AF727" s="18"/>
      <c r="AG727" s="18"/>
    </row>
    <row r="728" spans="1:33" x14ac:dyDescent="0.2">
      <c r="A728" s="1279"/>
      <c r="B728" s="1280"/>
      <c r="C728" s="18"/>
      <c r="D728" s="18"/>
      <c r="E728" s="18"/>
      <c r="F728" s="18"/>
      <c r="G728" s="18"/>
      <c r="H728" s="18"/>
      <c r="I728" s="18"/>
      <c r="J728" s="18"/>
      <c r="K728" s="18"/>
      <c r="L728" s="12"/>
      <c r="M728" s="18"/>
      <c r="N728" s="18"/>
      <c r="O728" s="18"/>
      <c r="P728" s="18"/>
      <c r="Q728" s="18"/>
      <c r="R728" s="18"/>
      <c r="S728" s="18"/>
      <c r="T728" s="18"/>
      <c r="U728" s="18"/>
      <c r="V728" s="18"/>
      <c r="W728" s="18"/>
      <c r="X728" s="18"/>
      <c r="Y728" s="18"/>
      <c r="Z728" s="18"/>
      <c r="AA728" s="18"/>
      <c r="AB728" s="18"/>
      <c r="AC728" s="18"/>
      <c r="AD728" s="18"/>
      <c r="AE728" s="18"/>
      <c r="AF728" s="18"/>
      <c r="AG728" s="18"/>
    </row>
    <row r="729" spans="1:33" x14ac:dyDescent="0.2">
      <c r="A729" s="1279"/>
      <c r="B729" s="1280"/>
      <c r="C729" s="18"/>
      <c r="D729" s="18"/>
      <c r="E729" s="18"/>
      <c r="F729" s="18"/>
      <c r="G729" s="18"/>
      <c r="H729" s="18"/>
      <c r="I729" s="18"/>
      <c r="J729" s="18"/>
      <c r="K729" s="18"/>
      <c r="L729" s="12"/>
      <c r="M729" s="18"/>
      <c r="N729" s="18"/>
      <c r="O729" s="18"/>
      <c r="P729" s="18"/>
      <c r="Q729" s="18"/>
      <c r="R729" s="18"/>
      <c r="S729" s="18"/>
      <c r="T729" s="18"/>
      <c r="U729" s="18"/>
      <c r="V729" s="18"/>
      <c r="W729" s="18"/>
      <c r="X729" s="18"/>
      <c r="Y729" s="18"/>
      <c r="Z729" s="18"/>
      <c r="AA729" s="18"/>
      <c r="AB729" s="18"/>
      <c r="AC729" s="18"/>
      <c r="AD729" s="18"/>
      <c r="AE729" s="18"/>
      <c r="AF729" s="18"/>
      <c r="AG729" s="18"/>
    </row>
    <row r="730" spans="1:33" x14ac:dyDescent="0.2">
      <c r="A730" s="1279"/>
      <c r="B730" s="1280"/>
      <c r="C730" s="18"/>
      <c r="D730" s="18"/>
      <c r="E730" s="18"/>
      <c r="F730" s="18"/>
      <c r="G730" s="18"/>
      <c r="H730" s="18"/>
      <c r="I730" s="18"/>
      <c r="J730" s="18"/>
      <c r="K730" s="18"/>
      <c r="L730" s="12"/>
      <c r="M730" s="18"/>
      <c r="N730" s="18"/>
      <c r="O730" s="18"/>
      <c r="P730" s="18"/>
      <c r="Q730" s="18"/>
      <c r="R730" s="18"/>
      <c r="S730" s="18"/>
      <c r="T730" s="18"/>
      <c r="U730" s="18"/>
      <c r="V730" s="18"/>
      <c r="W730" s="18"/>
      <c r="X730" s="18"/>
      <c r="Y730" s="18"/>
      <c r="Z730" s="18"/>
      <c r="AA730" s="18"/>
      <c r="AB730" s="18"/>
      <c r="AC730" s="18"/>
      <c r="AD730" s="18"/>
      <c r="AE730" s="18"/>
      <c r="AF730" s="18"/>
      <c r="AG730" s="18"/>
    </row>
    <row r="731" spans="1:33" x14ac:dyDescent="0.2">
      <c r="A731" s="1279"/>
      <c r="B731" s="1280"/>
      <c r="C731" s="18"/>
      <c r="D731" s="18"/>
      <c r="E731" s="18"/>
      <c r="F731" s="18"/>
      <c r="G731" s="18"/>
      <c r="H731" s="18"/>
      <c r="I731" s="18"/>
      <c r="J731" s="18"/>
      <c r="K731" s="18"/>
      <c r="L731" s="12"/>
      <c r="M731" s="18"/>
      <c r="N731" s="18"/>
      <c r="O731" s="18"/>
      <c r="P731" s="18"/>
      <c r="Q731" s="18"/>
      <c r="R731" s="18"/>
      <c r="S731" s="18"/>
      <c r="T731" s="18"/>
      <c r="U731" s="18"/>
      <c r="V731" s="18"/>
      <c r="W731" s="18"/>
      <c r="X731" s="18"/>
      <c r="Y731" s="18"/>
      <c r="Z731" s="18"/>
      <c r="AA731" s="18"/>
      <c r="AB731" s="18"/>
      <c r="AC731" s="18"/>
      <c r="AD731" s="18"/>
      <c r="AE731" s="18"/>
      <c r="AF731" s="18"/>
      <c r="AG731" s="18"/>
    </row>
    <row r="732" spans="1:33" x14ac:dyDescent="0.2">
      <c r="A732" s="1279"/>
      <c r="B732" s="1280"/>
      <c r="C732" s="18"/>
      <c r="D732" s="18"/>
      <c r="E732" s="18"/>
      <c r="F732" s="18"/>
      <c r="G732" s="18"/>
      <c r="H732" s="18"/>
      <c r="I732" s="18"/>
      <c r="J732" s="18"/>
      <c r="K732" s="18"/>
      <c r="L732" s="12"/>
      <c r="M732" s="18"/>
      <c r="N732" s="18"/>
      <c r="O732" s="18"/>
      <c r="P732" s="18"/>
      <c r="Q732" s="18"/>
      <c r="R732" s="18"/>
      <c r="S732" s="18"/>
      <c r="T732" s="18"/>
      <c r="U732" s="18"/>
      <c r="V732" s="18"/>
      <c r="W732" s="18"/>
      <c r="X732" s="18"/>
      <c r="Y732" s="18"/>
      <c r="Z732" s="18"/>
      <c r="AA732" s="18"/>
      <c r="AB732" s="18"/>
      <c r="AC732" s="18"/>
      <c r="AD732" s="18"/>
      <c r="AE732" s="18"/>
      <c r="AF732" s="18"/>
      <c r="AG732" s="18"/>
    </row>
    <row r="733" spans="1:33" x14ac:dyDescent="0.2">
      <c r="A733" s="1279"/>
      <c r="B733" s="1280"/>
      <c r="C733" s="18"/>
      <c r="D733" s="18"/>
      <c r="E733" s="18"/>
      <c r="F733" s="18"/>
      <c r="G733" s="18"/>
      <c r="H733" s="18"/>
      <c r="I733" s="18"/>
      <c r="J733" s="18"/>
      <c r="K733" s="18"/>
      <c r="L733" s="12"/>
      <c r="M733" s="18"/>
      <c r="N733" s="18"/>
      <c r="O733" s="18"/>
      <c r="P733" s="18"/>
      <c r="Q733" s="18"/>
      <c r="R733" s="18"/>
      <c r="S733" s="18"/>
      <c r="T733" s="18"/>
      <c r="U733" s="18"/>
      <c r="V733" s="18"/>
      <c r="W733" s="18"/>
      <c r="X733" s="18"/>
      <c r="Y733" s="18"/>
      <c r="Z733" s="18"/>
      <c r="AA733" s="18"/>
      <c r="AB733" s="18"/>
      <c r="AC733" s="18"/>
      <c r="AD733" s="18"/>
      <c r="AE733" s="18"/>
      <c r="AF733" s="18"/>
      <c r="AG733" s="18"/>
    </row>
    <row r="734" spans="1:33" x14ac:dyDescent="0.2">
      <c r="A734" s="1279"/>
      <c r="B734" s="1280"/>
      <c r="C734" s="18"/>
      <c r="D734" s="18"/>
      <c r="E734" s="18"/>
      <c r="F734" s="18"/>
      <c r="G734" s="18"/>
      <c r="H734" s="18"/>
      <c r="I734" s="18"/>
      <c r="J734" s="18"/>
      <c r="K734" s="18"/>
      <c r="L734" s="12"/>
      <c r="M734" s="18"/>
      <c r="N734" s="18"/>
      <c r="O734" s="18"/>
      <c r="P734" s="18"/>
      <c r="Q734" s="18"/>
      <c r="R734" s="18"/>
      <c r="S734" s="18"/>
      <c r="T734" s="18"/>
      <c r="U734" s="18"/>
      <c r="V734" s="18"/>
      <c r="W734" s="18"/>
      <c r="X734" s="18"/>
      <c r="Y734" s="18"/>
      <c r="Z734" s="18"/>
      <c r="AA734" s="18"/>
      <c r="AB734" s="18"/>
      <c r="AC734" s="18"/>
      <c r="AD734" s="18"/>
      <c r="AE734" s="18"/>
      <c r="AF734" s="18"/>
      <c r="AG734" s="18"/>
    </row>
    <row r="735" spans="1:33" x14ac:dyDescent="0.2">
      <c r="A735" s="1279"/>
      <c r="B735" s="1280"/>
      <c r="C735" s="18"/>
      <c r="D735" s="18"/>
      <c r="E735" s="18"/>
      <c r="F735" s="18"/>
      <c r="G735" s="18"/>
      <c r="H735" s="18"/>
      <c r="I735" s="18"/>
      <c r="J735" s="18"/>
      <c r="K735" s="18"/>
      <c r="L735" s="12"/>
      <c r="M735" s="18"/>
      <c r="N735" s="18"/>
      <c r="O735" s="18"/>
      <c r="P735" s="18"/>
      <c r="Q735" s="18"/>
      <c r="R735" s="18"/>
      <c r="S735" s="18"/>
      <c r="T735" s="18"/>
      <c r="U735" s="18"/>
      <c r="V735" s="18"/>
      <c r="W735" s="18"/>
      <c r="X735" s="18"/>
      <c r="Y735" s="18"/>
      <c r="Z735" s="18"/>
      <c r="AA735" s="18"/>
      <c r="AB735" s="18"/>
      <c r="AC735" s="18"/>
      <c r="AD735" s="18"/>
      <c r="AE735" s="18"/>
      <c r="AF735" s="18"/>
      <c r="AG735" s="18"/>
    </row>
    <row r="736" spans="1:33" x14ac:dyDescent="0.2">
      <c r="A736" s="1279"/>
      <c r="B736" s="1280"/>
      <c r="C736" s="18"/>
      <c r="D736" s="18"/>
      <c r="E736" s="18"/>
      <c r="F736" s="18"/>
      <c r="G736" s="18"/>
      <c r="H736" s="18"/>
      <c r="I736" s="18"/>
      <c r="J736" s="18"/>
      <c r="K736" s="18"/>
      <c r="L736" s="12"/>
      <c r="M736" s="18"/>
      <c r="N736" s="18"/>
      <c r="O736" s="18"/>
      <c r="P736" s="18"/>
      <c r="Q736" s="18"/>
      <c r="R736" s="18"/>
      <c r="S736" s="18"/>
      <c r="T736" s="18"/>
      <c r="U736" s="18"/>
      <c r="V736" s="18"/>
      <c r="W736" s="18"/>
      <c r="X736" s="18"/>
      <c r="Y736" s="18"/>
      <c r="Z736" s="18"/>
      <c r="AA736" s="18"/>
      <c r="AB736" s="18"/>
      <c r="AC736" s="18"/>
      <c r="AD736" s="18"/>
      <c r="AE736" s="18"/>
      <c r="AF736" s="18"/>
      <c r="AG736" s="18"/>
    </row>
    <row r="737" spans="1:33" x14ac:dyDescent="0.2">
      <c r="A737" s="1279"/>
      <c r="B737" s="1280"/>
      <c r="C737" s="18"/>
      <c r="D737" s="18"/>
      <c r="E737" s="18"/>
      <c r="F737" s="18"/>
      <c r="G737" s="18"/>
      <c r="H737" s="18"/>
      <c r="I737" s="18"/>
      <c r="J737" s="18"/>
      <c r="K737" s="18"/>
      <c r="L737" s="12"/>
      <c r="M737" s="18"/>
      <c r="N737" s="18"/>
      <c r="O737" s="18"/>
      <c r="P737" s="18"/>
      <c r="Q737" s="18"/>
      <c r="R737" s="18"/>
      <c r="S737" s="18"/>
      <c r="T737" s="18"/>
      <c r="U737" s="18"/>
      <c r="V737" s="18"/>
      <c r="W737" s="18"/>
      <c r="X737" s="18"/>
      <c r="Y737" s="18"/>
      <c r="Z737" s="18"/>
      <c r="AA737" s="18"/>
      <c r="AB737" s="18"/>
      <c r="AC737" s="18"/>
      <c r="AD737" s="18"/>
      <c r="AE737" s="18"/>
      <c r="AF737" s="18"/>
      <c r="AG737" s="18"/>
    </row>
    <row r="738" spans="1:33" x14ac:dyDescent="0.2">
      <c r="A738" s="1279"/>
      <c r="B738" s="1280"/>
      <c r="C738" s="18"/>
      <c r="D738" s="18"/>
      <c r="E738" s="18"/>
      <c r="F738" s="18"/>
      <c r="G738" s="18"/>
      <c r="H738" s="18"/>
      <c r="I738" s="18"/>
      <c r="J738" s="18"/>
      <c r="K738" s="18"/>
      <c r="L738" s="12"/>
      <c r="M738" s="18"/>
      <c r="N738" s="18"/>
      <c r="O738" s="18"/>
      <c r="P738" s="18"/>
      <c r="Q738" s="18"/>
      <c r="R738" s="18"/>
      <c r="S738" s="18"/>
      <c r="T738" s="18"/>
      <c r="U738" s="18"/>
      <c r="V738" s="18"/>
      <c r="W738" s="18"/>
      <c r="X738" s="18"/>
      <c r="Y738" s="18"/>
      <c r="Z738" s="18"/>
      <c r="AA738" s="18"/>
      <c r="AB738" s="18"/>
      <c r="AC738" s="18"/>
      <c r="AD738" s="18"/>
      <c r="AE738" s="18"/>
      <c r="AF738" s="18"/>
      <c r="AG738" s="18"/>
    </row>
    <row r="739" spans="1:33" x14ac:dyDescent="0.2">
      <c r="A739" s="1279"/>
      <c r="B739" s="1280"/>
      <c r="C739" s="18"/>
      <c r="D739" s="18"/>
      <c r="E739" s="18"/>
      <c r="F739" s="18"/>
      <c r="G739" s="18"/>
      <c r="H739" s="18"/>
      <c r="I739" s="18"/>
      <c r="J739" s="18"/>
      <c r="K739" s="18"/>
      <c r="L739" s="12"/>
      <c r="M739" s="18"/>
      <c r="N739" s="18"/>
      <c r="O739" s="18"/>
      <c r="P739" s="18"/>
      <c r="Q739" s="18"/>
      <c r="R739" s="18"/>
      <c r="S739" s="18"/>
      <c r="T739" s="18"/>
      <c r="U739" s="18"/>
      <c r="V739" s="18"/>
      <c r="W739" s="18"/>
      <c r="X739" s="18"/>
      <c r="Y739" s="18"/>
      <c r="Z739" s="18"/>
      <c r="AA739" s="18"/>
      <c r="AB739" s="18"/>
      <c r="AC739" s="18"/>
      <c r="AD739" s="18"/>
      <c r="AE739" s="18"/>
      <c r="AF739" s="18"/>
      <c r="AG739" s="18"/>
    </row>
    <row r="740" spans="1:33" x14ac:dyDescent="0.2">
      <c r="A740" s="1279"/>
      <c r="B740" s="1280"/>
      <c r="C740" s="18"/>
      <c r="D740" s="18"/>
      <c r="E740" s="18"/>
      <c r="F740" s="18"/>
      <c r="G740" s="18"/>
      <c r="H740" s="18"/>
      <c r="I740" s="18"/>
      <c r="J740" s="18"/>
      <c r="K740" s="18"/>
      <c r="L740" s="12"/>
      <c r="M740" s="18"/>
      <c r="N740" s="18"/>
      <c r="O740" s="18"/>
      <c r="P740" s="18"/>
      <c r="Q740" s="18"/>
      <c r="R740" s="18"/>
      <c r="S740" s="18"/>
      <c r="T740" s="18"/>
      <c r="U740" s="18"/>
      <c r="V740" s="18"/>
      <c r="W740" s="18"/>
      <c r="X740" s="18"/>
      <c r="Y740" s="18"/>
      <c r="Z740" s="18"/>
      <c r="AA740" s="18"/>
      <c r="AB740" s="18"/>
      <c r="AC740" s="18"/>
      <c r="AD740" s="18"/>
      <c r="AE740" s="18"/>
      <c r="AF740" s="18"/>
      <c r="AG740" s="18"/>
    </row>
    <row r="741" spans="1:33" x14ac:dyDescent="0.2">
      <c r="A741" s="1279"/>
      <c r="B741" s="1280"/>
      <c r="C741" s="18"/>
      <c r="D741" s="18"/>
      <c r="E741" s="18"/>
      <c r="F741" s="18"/>
      <c r="G741" s="18"/>
      <c r="H741" s="18"/>
      <c r="I741" s="18"/>
      <c r="J741" s="18"/>
      <c r="K741" s="18"/>
      <c r="L741" s="12"/>
      <c r="M741" s="18"/>
      <c r="N741" s="18"/>
      <c r="O741" s="18"/>
      <c r="P741" s="18"/>
      <c r="Q741" s="18"/>
      <c r="R741" s="18"/>
      <c r="S741" s="18"/>
      <c r="T741" s="18"/>
      <c r="U741" s="18"/>
      <c r="V741" s="18"/>
      <c r="W741" s="18"/>
      <c r="X741" s="18"/>
      <c r="Y741" s="18"/>
      <c r="Z741" s="18"/>
      <c r="AA741" s="18"/>
      <c r="AB741" s="18"/>
      <c r="AC741" s="18"/>
      <c r="AD741" s="18"/>
      <c r="AE741" s="18"/>
      <c r="AF741" s="18"/>
      <c r="AG741" s="18"/>
    </row>
    <row r="742" spans="1:33" x14ac:dyDescent="0.2">
      <c r="A742" s="1279"/>
      <c r="B742" s="1280"/>
      <c r="C742" s="18"/>
      <c r="D742" s="18"/>
      <c r="E742" s="18"/>
      <c r="F742" s="18"/>
      <c r="G742" s="18"/>
      <c r="H742" s="18"/>
      <c r="I742" s="18"/>
      <c r="J742" s="18"/>
      <c r="K742" s="18"/>
      <c r="L742" s="12"/>
      <c r="M742" s="18"/>
      <c r="N742" s="18"/>
      <c r="O742" s="18"/>
      <c r="P742" s="18"/>
      <c r="Q742" s="18"/>
      <c r="R742" s="18"/>
      <c r="S742" s="18"/>
      <c r="T742" s="18"/>
      <c r="U742" s="18"/>
      <c r="V742" s="18"/>
      <c r="W742" s="18"/>
      <c r="X742" s="18"/>
      <c r="Y742" s="18"/>
      <c r="Z742" s="18"/>
      <c r="AA742" s="18"/>
      <c r="AB742" s="18"/>
      <c r="AC742" s="18"/>
      <c r="AD742" s="18"/>
      <c r="AE742" s="18"/>
      <c r="AF742" s="18"/>
      <c r="AG742" s="18"/>
    </row>
    <row r="743" spans="1:33" x14ac:dyDescent="0.2">
      <c r="A743" s="1279"/>
      <c r="B743" s="1280"/>
      <c r="C743" s="18"/>
      <c r="D743" s="18"/>
      <c r="E743" s="18"/>
      <c r="F743" s="18"/>
      <c r="G743" s="18"/>
      <c r="H743" s="18"/>
      <c r="I743" s="18"/>
      <c r="J743" s="18"/>
      <c r="K743" s="18"/>
      <c r="L743" s="12"/>
      <c r="M743" s="18"/>
      <c r="N743" s="18"/>
      <c r="O743" s="18"/>
      <c r="P743" s="18"/>
      <c r="Q743" s="18"/>
      <c r="R743" s="18"/>
      <c r="S743" s="18"/>
      <c r="T743" s="18"/>
      <c r="U743" s="18"/>
      <c r="V743" s="18"/>
      <c r="W743" s="18"/>
      <c r="X743" s="18"/>
      <c r="Y743" s="18"/>
      <c r="Z743" s="18"/>
      <c r="AA743" s="18"/>
      <c r="AB743" s="18"/>
      <c r="AC743" s="18"/>
      <c r="AD743" s="18"/>
      <c r="AE743" s="18"/>
      <c r="AF743" s="18"/>
      <c r="AG743" s="18"/>
    </row>
    <row r="744" spans="1:33" x14ac:dyDescent="0.2">
      <c r="A744" s="1279"/>
      <c r="B744" s="1280"/>
      <c r="C744" s="18"/>
      <c r="D744" s="18"/>
      <c r="E744" s="18"/>
      <c r="F744" s="18"/>
      <c r="G744" s="18"/>
      <c r="H744" s="18"/>
      <c r="I744" s="18"/>
      <c r="J744" s="18"/>
      <c r="K744" s="18"/>
      <c r="L744" s="12"/>
      <c r="M744" s="18"/>
      <c r="N744" s="18"/>
      <c r="O744" s="18"/>
      <c r="P744" s="18"/>
      <c r="Q744" s="18"/>
      <c r="R744" s="18"/>
      <c r="S744" s="18"/>
      <c r="T744" s="18"/>
      <c r="U744" s="18"/>
      <c r="V744" s="18"/>
      <c r="W744" s="18"/>
      <c r="X744" s="18"/>
      <c r="Y744" s="18"/>
      <c r="Z744" s="18"/>
      <c r="AA744" s="18"/>
      <c r="AB744" s="18"/>
      <c r="AC744" s="18"/>
      <c r="AD744" s="18"/>
      <c r="AE744" s="18"/>
      <c r="AF744" s="18"/>
      <c r="AG744" s="18"/>
    </row>
    <row r="745" spans="1:33" x14ac:dyDescent="0.2">
      <c r="A745" s="1279"/>
      <c r="B745" s="1280"/>
      <c r="C745" s="18"/>
      <c r="D745" s="18"/>
      <c r="E745" s="18"/>
      <c r="F745" s="18"/>
      <c r="G745" s="18"/>
      <c r="H745" s="18"/>
      <c r="I745" s="18"/>
      <c r="J745" s="18"/>
      <c r="K745" s="18"/>
      <c r="L745" s="12"/>
      <c r="M745" s="18"/>
      <c r="N745" s="18"/>
      <c r="O745" s="18"/>
      <c r="P745" s="18"/>
      <c r="Q745" s="18"/>
      <c r="R745" s="18"/>
      <c r="S745" s="18"/>
      <c r="T745" s="18"/>
      <c r="U745" s="18"/>
      <c r="V745" s="18"/>
      <c r="W745" s="18"/>
      <c r="X745" s="18"/>
      <c r="Y745" s="18"/>
      <c r="Z745" s="18"/>
      <c r="AA745" s="18"/>
      <c r="AB745" s="18"/>
      <c r="AC745" s="18"/>
      <c r="AD745" s="18"/>
      <c r="AE745" s="18"/>
      <c r="AF745" s="18"/>
      <c r="AG745" s="18"/>
    </row>
    <row r="746" spans="1:33" x14ac:dyDescent="0.2">
      <c r="A746" s="1279"/>
      <c r="B746" s="1280"/>
      <c r="C746" s="18"/>
      <c r="D746" s="18"/>
      <c r="E746" s="18"/>
      <c r="F746" s="18"/>
      <c r="G746" s="18"/>
      <c r="H746" s="18"/>
      <c r="I746" s="18"/>
      <c r="J746" s="18"/>
      <c r="K746" s="18"/>
      <c r="L746" s="12"/>
      <c r="M746" s="18"/>
      <c r="N746" s="18"/>
      <c r="O746" s="18"/>
      <c r="P746" s="18"/>
      <c r="Q746" s="18"/>
      <c r="R746" s="18"/>
      <c r="S746" s="18"/>
      <c r="T746" s="18"/>
      <c r="U746" s="18"/>
      <c r="V746" s="18"/>
      <c r="W746" s="18"/>
      <c r="X746" s="18"/>
      <c r="Y746" s="18"/>
      <c r="Z746" s="18"/>
      <c r="AA746" s="18"/>
      <c r="AB746" s="18"/>
      <c r="AC746" s="18"/>
      <c r="AD746" s="18"/>
      <c r="AE746" s="18"/>
      <c r="AF746" s="18"/>
      <c r="AG746" s="18"/>
    </row>
    <row r="747" spans="1:33" x14ac:dyDescent="0.2">
      <c r="A747" s="1279"/>
      <c r="B747" s="1280"/>
      <c r="C747" s="18"/>
      <c r="D747" s="18"/>
      <c r="E747" s="18"/>
      <c r="F747" s="18"/>
      <c r="G747" s="18"/>
      <c r="H747" s="18"/>
      <c r="I747" s="18"/>
      <c r="J747" s="18"/>
      <c r="K747" s="18"/>
      <c r="L747" s="12"/>
      <c r="M747" s="18"/>
      <c r="N747" s="18"/>
      <c r="O747" s="18"/>
      <c r="P747" s="18"/>
      <c r="Q747" s="18"/>
      <c r="R747" s="18"/>
      <c r="S747" s="18"/>
      <c r="T747" s="18"/>
      <c r="U747" s="18"/>
      <c r="V747" s="18"/>
      <c r="W747" s="18"/>
      <c r="X747" s="18"/>
      <c r="Y747" s="18"/>
      <c r="Z747" s="18"/>
      <c r="AA747" s="18"/>
      <c r="AB747" s="18"/>
      <c r="AC747" s="18"/>
      <c r="AD747" s="18"/>
      <c r="AE747" s="18"/>
      <c r="AF747" s="18"/>
      <c r="AG747" s="18"/>
    </row>
    <row r="748" spans="1:33" x14ac:dyDescent="0.2">
      <c r="A748" s="1279"/>
      <c r="B748" s="1280"/>
      <c r="C748" s="18"/>
      <c r="D748" s="18"/>
      <c r="E748" s="18"/>
      <c r="F748" s="18"/>
      <c r="G748" s="18"/>
      <c r="H748" s="18"/>
      <c r="I748" s="18"/>
      <c r="J748" s="18"/>
      <c r="K748" s="18"/>
      <c r="L748" s="12"/>
      <c r="M748" s="18"/>
      <c r="N748" s="18"/>
      <c r="O748" s="18"/>
      <c r="P748" s="18"/>
      <c r="Q748" s="18"/>
      <c r="R748" s="18"/>
      <c r="S748" s="18"/>
      <c r="T748" s="18"/>
      <c r="U748" s="18"/>
      <c r="V748" s="18"/>
      <c r="W748" s="18"/>
      <c r="X748" s="18"/>
      <c r="Y748" s="18"/>
      <c r="Z748" s="18"/>
      <c r="AA748" s="18"/>
      <c r="AB748" s="18"/>
      <c r="AC748" s="18"/>
      <c r="AD748" s="18"/>
      <c r="AE748" s="18"/>
      <c r="AF748" s="18"/>
      <c r="AG748" s="18"/>
    </row>
    <row r="749" spans="1:33" x14ac:dyDescent="0.2">
      <c r="A749" s="1279"/>
      <c r="B749" s="1280"/>
      <c r="C749" s="18"/>
      <c r="D749" s="18"/>
      <c r="E749" s="18"/>
      <c r="F749" s="18"/>
      <c r="G749" s="18"/>
      <c r="H749" s="18"/>
      <c r="I749" s="18"/>
      <c r="J749" s="18"/>
      <c r="K749" s="18"/>
      <c r="L749" s="12"/>
      <c r="M749" s="18"/>
      <c r="N749" s="18"/>
      <c r="O749" s="18"/>
      <c r="P749" s="18"/>
      <c r="Q749" s="18"/>
      <c r="R749" s="18"/>
      <c r="S749" s="18"/>
      <c r="T749" s="18"/>
      <c r="U749" s="18"/>
      <c r="V749" s="18"/>
      <c r="W749" s="18"/>
      <c r="X749" s="18"/>
      <c r="Y749" s="18"/>
      <c r="Z749" s="18"/>
      <c r="AA749" s="18"/>
      <c r="AB749" s="18"/>
      <c r="AC749" s="18"/>
      <c r="AD749" s="18"/>
      <c r="AE749" s="18"/>
      <c r="AF749" s="18"/>
      <c r="AG749" s="18"/>
    </row>
    <row r="750" spans="1:33" x14ac:dyDescent="0.2">
      <c r="A750" s="1279"/>
      <c r="B750" s="1280"/>
      <c r="C750" s="18"/>
      <c r="D750" s="18"/>
      <c r="E750" s="18"/>
      <c r="F750" s="18"/>
      <c r="G750" s="18"/>
      <c r="H750" s="18"/>
      <c r="I750" s="18"/>
      <c r="J750" s="18"/>
      <c r="K750" s="18"/>
      <c r="L750" s="12"/>
      <c r="M750" s="18"/>
      <c r="N750" s="18"/>
      <c r="O750" s="18"/>
      <c r="P750" s="18"/>
      <c r="Q750" s="18"/>
      <c r="R750" s="18"/>
      <c r="S750" s="18"/>
      <c r="T750" s="18"/>
      <c r="U750" s="18"/>
      <c r="V750" s="18"/>
      <c r="W750" s="18"/>
      <c r="X750" s="18"/>
      <c r="Y750" s="18"/>
      <c r="Z750" s="18"/>
      <c r="AA750" s="18"/>
      <c r="AB750" s="18"/>
      <c r="AC750" s="18"/>
      <c r="AD750" s="18"/>
      <c r="AE750" s="18"/>
      <c r="AF750" s="18"/>
      <c r="AG750" s="18"/>
    </row>
    <row r="751" spans="1:33" x14ac:dyDescent="0.2">
      <c r="A751" s="1279"/>
      <c r="B751" s="1280"/>
      <c r="C751" s="18"/>
      <c r="D751" s="18"/>
      <c r="E751" s="18"/>
      <c r="F751" s="18"/>
      <c r="G751" s="18"/>
      <c r="H751" s="18"/>
      <c r="I751" s="18"/>
      <c r="J751" s="18"/>
      <c r="K751" s="18"/>
      <c r="L751" s="12"/>
      <c r="M751" s="18"/>
      <c r="N751" s="18"/>
      <c r="O751" s="18"/>
      <c r="P751" s="18"/>
      <c r="Q751" s="18"/>
      <c r="R751" s="18"/>
      <c r="S751" s="18"/>
      <c r="T751" s="18"/>
      <c r="U751" s="18"/>
      <c r="V751" s="18"/>
      <c r="W751" s="18"/>
      <c r="X751" s="18"/>
      <c r="Y751" s="18"/>
      <c r="Z751" s="18"/>
      <c r="AA751" s="18"/>
      <c r="AB751" s="18"/>
      <c r="AC751" s="18"/>
      <c r="AD751" s="18"/>
      <c r="AE751" s="18"/>
      <c r="AF751" s="18"/>
      <c r="AG751" s="18"/>
    </row>
    <row r="752" spans="1:33" x14ac:dyDescent="0.2">
      <c r="A752" s="1279"/>
      <c r="B752" s="1280"/>
      <c r="C752" s="18"/>
      <c r="D752" s="18"/>
      <c r="E752" s="18"/>
      <c r="F752" s="18"/>
      <c r="G752" s="18"/>
      <c r="H752" s="18"/>
      <c r="I752" s="18"/>
      <c r="J752" s="18"/>
      <c r="K752" s="18"/>
      <c r="L752" s="12"/>
      <c r="M752" s="18"/>
      <c r="N752" s="18"/>
      <c r="O752" s="18"/>
      <c r="P752" s="18"/>
      <c r="Q752" s="18"/>
      <c r="R752" s="18"/>
      <c r="S752" s="18"/>
      <c r="T752" s="18"/>
      <c r="U752" s="18"/>
      <c r="V752" s="18"/>
      <c r="W752" s="18"/>
      <c r="X752" s="18"/>
      <c r="Y752" s="18"/>
      <c r="Z752" s="18"/>
      <c r="AA752" s="18"/>
      <c r="AB752" s="18"/>
      <c r="AC752" s="18"/>
      <c r="AD752" s="18"/>
      <c r="AE752" s="18"/>
      <c r="AF752" s="18"/>
      <c r="AG752" s="18"/>
    </row>
    <row r="753" spans="1:33" x14ac:dyDescent="0.2">
      <c r="A753" s="1279"/>
      <c r="B753" s="1280"/>
      <c r="C753" s="18"/>
      <c r="D753" s="18"/>
      <c r="E753" s="18"/>
      <c r="F753" s="18"/>
      <c r="G753" s="18"/>
      <c r="H753" s="18"/>
      <c r="I753" s="18"/>
      <c r="J753" s="18"/>
      <c r="K753" s="18"/>
      <c r="L753" s="12"/>
      <c r="M753" s="18"/>
      <c r="N753" s="18"/>
      <c r="O753" s="18"/>
      <c r="P753" s="18"/>
      <c r="Q753" s="18"/>
      <c r="R753" s="18"/>
      <c r="S753" s="18"/>
      <c r="T753" s="18"/>
      <c r="U753" s="18"/>
      <c r="V753" s="18"/>
      <c r="W753" s="18"/>
      <c r="X753" s="18"/>
      <c r="Y753" s="18"/>
      <c r="Z753" s="18"/>
      <c r="AA753" s="18"/>
      <c r="AB753" s="18"/>
      <c r="AC753" s="18"/>
      <c r="AD753" s="18"/>
      <c r="AE753" s="18"/>
      <c r="AF753" s="18"/>
      <c r="AG753" s="18"/>
    </row>
    <row r="754" spans="1:33" x14ac:dyDescent="0.2">
      <c r="A754" s="1279"/>
      <c r="B754" s="1280"/>
      <c r="C754" s="18"/>
      <c r="D754" s="18"/>
      <c r="E754" s="18"/>
      <c r="F754" s="18"/>
      <c r="G754" s="18"/>
      <c r="H754" s="18"/>
      <c r="I754" s="18"/>
      <c r="J754" s="18"/>
      <c r="K754" s="18"/>
      <c r="L754" s="12"/>
      <c r="M754" s="18"/>
      <c r="N754" s="18"/>
      <c r="O754" s="18"/>
      <c r="P754" s="18"/>
      <c r="Q754" s="18"/>
      <c r="R754" s="18"/>
      <c r="S754" s="18"/>
      <c r="T754" s="18"/>
      <c r="U754" s="18"/>
      <c r="V754" s="18"/>
      <c r="W754" s="18"/>
      <c r="X754" s="18"/>
      <c r="Y754" s="18"/>
      <c r="Z754" s="18"/>
      <c r="AA754" s="18"/>
      <c r="AB754" s="18"/>
      <c r="AC754" s="18"/>
      <c r="AD754" s="18"/>
      <c r="AE754" s="18"/>
      <c r="AF754" s="18"/>
      <c r="AG754" s="18"/>
    </row>
    <row r="755" spans="1:33" x14ac:dyDescent="0.2">
      <c r="A755" s="1279"/>
      <c r="B755" s="1280"/>
      <c r="C755" s="18"/>
      <c r="D755" s="18"/>
      <c r="E755" s="18"/>
      <c r="F755" s="18"/>
      <c r="G755" s="18"/>
      <c r="H755" s="18"/>
      <c r="I755" s="18"/>
      <c r="J755" s="18"/>
      <c r="K755" s="18"/>
      <c r="L755" s="12"/>
      <c r="M755" s="18"/>
      <c r="N755" s="18"/>
      <c r="O755" s="18"/>
      <c r="P755" s="18"/>
      <c r="Q755" s="18"/>
      <c r="R755" s="18"/>
      <c r="S755" s="18"/>
      <c r="T755" s="18"/>
      <c r="U755" s="18"/>
      <c r="V755" s="18"/>
      <c r="W755" s="18"/>
      <c r="X755" s="18"/>
      <c r="Y755" s="18"/>
      <c r="Z755" s="18"/>
      <c r="AA755" s="18"/>
      <c r="AB755" s="18"/>
      <c r="AC755" s="18"/>
      <c r="AD755" s="18"/>
      <c r="AE755" s="18"/>
      <c r="AF755" s="18"/>
      <c r="AG755" s="18"/>
    </row>
    <row r="756" spans="1:33" x14ac:dyDescent="0.2">
      <c r="A756" s="1279"/>
      <c r="B756" s="1280"/>
      <c r="C756" s="18"/>
      <c r="D756" s="18"/>
      <c r="E756" s="18"/>
      <c r="F756" s="18"/>
      <c r="G756" s="18"/>
      <c r="H756" s="18"/>
      <c r="I756" s="18"/>
      <c r="J756" s="18"/>
      <c r="K756" s="18"/>
      <c r="L756" s="12"/>
      <c r="M756" s="18"/>
      <c r="N756" s="18"/>
      <c r="O756" s="18"/>
      <c r="P756" s="18"/>
      <c r="Q756" s="18"/>
      <c r="R756" s="18"/>
      <c r="S756" s="18"/>
      <c r="T756" s="18"/>
      <c r="U756" s="18"/>
      <c r="V756" s="18"/>
      <c r="W756" s="18"/>
      <c r="X756" s="18"/>
      <c r="Y756" s="18"/>
      <c r="Z756" s="18"/>
      <c r="AA756" s="18"/>
      <c r="AB756" s="18"/>
      <c r="AC756" s="18"/>
      <c r="AD756" s="18"/>
      <c r="AE756" s="18"/>
      <c r="AF756" s="18"/>
      <c r="AG756" s="18"/>
    </row>
    <row r="757" spans="1:33" x14ac:dyDescent="0.2">
      <c r="A757" s="1279"/>
      <c r="B757" s="1280"/>
      <c r="C757" s="18"/>
      <c r="D757" s="18"/>
      <c r="E757" s="18"/>
      <c r="F757" s="18"/>
      <c r="G757" s="18"/>
      <c r="H757" s="18"/>
      <c r="I757" s="18"/>
      <c r="J757" s="18"/>
      <c r="K757" s="18"/>
      <c r="L757" s="12"/>
      <c r="M757" s="18"/>
      <c r="N757" s="18"/>
      <c r="O757" s="18"/>
      <c r="P757" s="18"/>
      <c r="Q757" s="18"/>
      <c r="R757" s="18"/>
      <c r="S757" s="18"/>
      <c r="T757" s="18"/>
      <c r="U757" s="18"/>
      <c r="V757" s="18"/>
      <c r="W757" s="18"/>
      <c r="X757" s="18"/>
      <c r="Y757" s="18"/>
      <c r="Z757" s="18"/>
      <c r="AA757" s="18"/>
      <c r="AB757" s="18"/>
      <c r="AC757" s="18"/>
      <c r="AD757" s="18"/>
      <c r="AE757" s="18"/>
      <c r="AF757" s="18"/>
      <c r="AG757" s="18"/>
    </row>
    <row r="758" spans="1:33" x14ac:dyDescent="0.2">
      <c r="A758" s="1279"/>
      <c r="B758" s="1280"/>
      <c r="C758" s="18"/>
      <c r="D758" s="18"/>
      <c r="E758" s="18"/>
      <c r="F758" s="18"/>
      <c r="G758" s="18"/>
      <c r="H758" s="18"/>
      <c r="I758" s="18"/>
      <c r="J758" s="18"/>
      <c r="K758" s="18"/>
      <c r="L758" s="12"/>
      <c r="M758" s="18"/>
      <c r="N758" s="18"/>
      <c r="O758" s="18"/>
      <c r="P758" s="18"/>
      <c r="Q758" s="18"/>
      <c r="R758" s="18"/>
      <c r="S758" s="18"/>
      <c r="T758" s="18"/>
      <c r="U758" s="18"/>
      <c r="V758" s="18"/>
      <c r="W758" s="18"/>
      <c r="X758" s="18"/>
      <c r="Y758" s="18"/>
      <c r="Z758" s="18"/>
      <c r="AA758" s="18"/>
      <c r="AB758" s="18"/>
      <c r="AC758" s="18"/>
      <c r="AD758" s="18"/>
      <c r="AE758" s="18"/>
      <c r="AF758" s="18"/>
      <c r="AG758" s="18"/>
    </row>
    <row r="759" spans="1:33" x14ac:dyDescent="0.2">
      <c r="A759" s="1279"/>
      <c r="B759" s="1280"/>
      <c r="C759" s="18"/>
      <c r="D759" s="18"/>
      <c r="E759" s="18"/>
      <c r="F759" s="18"/>
      <c r="G759" s="18"/>
      <c r="H759" s="18"/>
      <c r="I759" s="18"/>
      <c r="J759" s="18"/>
      <c r="K759" s="18"/>
      <c r="L759" s="12"/>
      <c r="M759" s="18"/>
      <c r="N759" s="18"/>
      <c r="O759" s="18"/>
      <c r="P759" s="18"/>
      <c r="Q759" s="18"/>
      <c r="R759" s="18"/>
      <c r="S759" s="18"/>
      <c r="T759" s="18"/>
      <c r="U759" s="18"/>
      <c r="V759" s="18"/>
      <c r="W759" s="18"/>
      <c r="X759" s="18"/>
      <c r="Y759" s="18"/>
      <c r="Z759" s="18"/>
      <c r="AA759" s="18"/>
      <c r="AB759" s="18"/>
      <c r="AC759" s="18"/>
      <c r="AD759" s="18"/>
      <c r="AE759" s="18"/>
      <c r="AF759" s="18"/>
      <c r="AG759" s="18"/>
    </row>
    <row r="760" spans="1:33" x14ac:dyDescent="0.2">
      <c r="A760" s="1279"/>
      <c r="B760" s="1280"/>
      <c r="C760" s="18"/>
      <c r="D760" s="18"/>
      <c r="E760" s="18"/>
      <c r="F760" s="18"/>
      <c r="G760" s="18"/>
      <c r="H760" s="18"/>
      <c r="I760" s="18"/>
      <c r="J760" s="18"/>
      <c r="K760" s="18"/>
      <c r="L760" s="12"/>
      <c r="M760" s="18"/>
      <c r="N760" s="18"/>
      <c r="O760" s="18"/>
      <c r="P760" s="18"/>
      <c r="Q760" s="18"/>
      <c r="R760" s="18"/>
      <c r="S760" s="18"/>
      <c r="T760" s="18"/>
      <c r="U760" s="18"/>
      <c r="V760" s="18"/>
      <c r="W760" s="18"/>
      <c r="X760" s="18"/>
      <c r="Y760" s="18"/>
      <c r="Z760" s="18"/>
      <c r="AA760" s="18"/>
      <c r="AB760" s="18"/>
      <c r="AC760" s="18"/>
      <c r="AD760" s="18"/>
      <c r="AE760" s="18"/>
      <c r="AF760" s="18"/>
      <c r="AG760" s="18"/>
    </row>
    <row r="761" spans="1:33" x14ac:dyDescent="0.2">
      <c r="A761" s="1279"/>
      <c r="B761" s="1280"/>
      <c r="C761" s="18"/>
      <c r="D761" s="18"/>
      <c r="E761" s="18"/>
      <c r="F761" s="18"/>
      <c r="G761" s="18"/>
      <c r="H761" s="18"/>
      <c r="I761" s="18"/>
      <c r="J761" s="18"/>
      <c r="K761" s="18"/>
      <c r="L761" s="12"/>
      <c r="M761" s="18"/>
      <c r="N761" s="18"/>
      <c r="O761" s="18"/>
      <c r="P761" s="18"/>
      <c r="Q761" s="18"/>
      <c r="R761" s="18"/>
      <c r="S761" s="18"/>
      <c r="T761" s="18"/>
      <c r="U761" s="18"/>
      <c r="V761" s="18"/>
      <c r="W761" s="18"/>
      <c r="X761" s="18"/>
      <c r="Y761" s="18"/>
      <c r="Z761" s="18"/>
      <c r="AA761" s="18"/>
      <c r="AB761" s="18"/>
      <c r="AC761" s="18"/>
      <c r="AD761" s="18"/>
      <c r="AE761" s="18"/>
      <c r="AF761" s="18"/>
      <c r="AG761" s="18"/>
    </row>
    <row r="762" spans="1:33" x14ac:dyDescent="0.2">
      <c r="A762" s="1279"/>
      <c r="B762" s="1280"/>
      <c r="C762" s="18"/>
      <c r="D762" s="18"/>
      <c r="E762" s="18"/>
      <c r="F762" s="18"/>
      <c r="G762" s="18"/>
      <c r="H762" s="18"/>
      <c r="I762" s="18"/>
      <c r="J762" s="18"/>
      <c r="K762" s="18"/>
      <c r="L762" s="12"/>
      <c r="M762" s="18"/>
      <c r="N762" s="18"/>
      <c r="O762" s="18"/>
      <c r="P762" s="18"/>
      <c r="Q762" s="18"/>
      <c r="R762" s="18"/>
      <c r="S762" s="18"/>
      <c r="T762" s="18"/>
      <c r="U762" s="18"/>
      <c r="V762" s="18"/>
      <c r="W762" s="18"/>
      <c r="X762" s="18"/>
      <c r="Y762" s="18"/>
      <c r="Z762" s="18"/>
      <c r="AA762" s="18"/>
      <c r="AB762" s="18"/>
      <c r="AC762" s="18"/>
      <c r="AD762" s="18"/>
      <c r="AE762" s="18"/>
      <c r="AF762" s="18"/>
      <c r="AG762" s="18"/>
    </row>
    <row r="763" spans="1:33" x14ac:dyDescent="0.2">
      <c r="A763" s="1279"/>
      <c r="B763" s="1280"/>
      <c r="C763" s="18"/>
      <c r="D763" s="18"/>
      <c r="E763" s="18"/>
      <c r="F763" s="18"/>
      <c r="G763" s="18"/>
      <c r="H763" s="18"/>
      <c r="I763" s="18"/>
      <c r="J763" s="18"/>
      <c r="K763" s="18"/>
      <c r="L763" s="12"/>
      <c r="M763" s="18"/>
      <c r="N763" s="18"/>
      <c r="O763" s="18"/>
      <c r="P763" s="18"/>
      <c r="Q763" s="18"/>
      <c r="R763" s="18"/>
      <c r="S763" s="18"/>
      <c r="T763" s="18"/>
      <c r="U763" s="18"/>
      <c r="V763" s="18"/>
      <c r="W763" s="18"/>
      <c r="X763" s="18"/>
      <c r="Y763" s="18"/>
      <c r="Z763" s="18"/>
      <c r="AA763" s="18"/>
      <c r="AB763" s="18"/>
      <c r="AC763" s="18"/>
      <c r="AD763" s="18"/>
      <c r="AE763" s="18"/>
      <c r="AF763" s="18"/>
      <c r="AG763" s="18"/>
    </row>
    <row r="764" spans="1:33" x14ac:dyDescent="0.2">
      <c r="A764" s="1279"/>
      <c r="B764" s="1280"/>
      <c r="C764" s="18"/>
      <c r="D764" s="18"/>
      <c r="E764" s="18"/>
      <c r="F764" s="18"/>
      <c r="G764" s="18"/>
      <c r="H764" s="18"/>
      <c r="I764" s="18"/>
      <c r="J764" s="18"/>
      <c r="K764" s="18"/>
      <c r="L764" s="12"/>
      <c r="M764" s="18"/>
      <c r="N764" s="18"/>
      <c r="O764" s="18"/>
      <c r="P764" s="18"/>
      <c r="Q764" s="18"/>
      <c r="R764" s="18"/>
      <c r="S764" s="18"/>
      <c r="T764" s="18"/>
      <c r="U764" s="18"/>
      <c r="V764" s="18"/>
      <c r="W764" s="18"/>
      <c r="X764" s="18"/>
      <c r="Y764" s="18"/>
      <c r="Z764" s="18"/>
      <c r="AA764" s="18"/>
      <c r="AB764" s="18"/>
      <c r="AC764" s="18"/>
      <c r="AD764" s="18"/>
      <c r="AE764" s="18"/>
      <c r="AF764" s="18"/>
      <c r="AG764" s="18"/>
    </row>
    <row r="765" spans="1:33" x14ac:dyDescent="0.2">
      <c r="A765" s="1279"/>
      <c r="B765" s="1280"/>
      <c r="C765" s="18"/>
      <c r="D765" s="18"/>
      <c r="E765" s="18"/>
      <c r="F765" s="18"/>
      <c r="G765" s="18"/>
      <c r="H765" s="18"/>
      <c r="I765" s="18"/>
      <c r="J765" s="18"/>
      <c r="K765" s="18"/>
      <c r="L765" s="12"/>
      <c r="M765" s="18"/>
      <c r="N765" s="18"/>
      <c r="O765" s="18"/>
      <c r="P765" s="18"/>
      <c r="Q765" s="18"/>
      <c r="R765" s="18"/>
      <c r="S765" s="18"/>
      <c r="T765" s="18"/>
      <c r="U765" s="18"/>
      <c r="V765" s="18"/>
      <c r="W765" s="18"/>
      <c r="X765" s="18"/>
      <c r="Y765" s="18"/>
      <c r="Z765" s="18"/>
      <c r="AA765" s="18"/>
      <c r="AB765" s="18"/>
      <c r="AC765" s="18"/>
      <c r="AD765" s="18"/>
      <c r="AE765" s="18"/>
      <c r="AF765" s="18"/>
      <c r="AG765" s="18"/>
    </row>
    <row r="766" spans="1:33" x14ac:dyDescent="0.2">
      <c r="A766" s="1279"/>
      <c r="B766" s="1280"/>
      <c r="C766" s="18"/>
      <c r="D766" s="18"/>
      <c r="E766" s="18"/>
      <c r="F766" s="18"/>
      <c r="G766" s="18"/>
      <c r="H766" s="18"/>
      <c r="I766" s="18"/>
      <c r="J766" s="18"/>
      <c r="K766" s="18"/>
      <c r="L766" s="12"/>
      <c r="M766" s="18"/>
      <c r="N766" s="18"/>
      <c r="O766" s="18"/>
      <c r="P766" s="18"/>
      <c r="Q766" s="18"/>
      <c r="R766" s="18"/>
      <c r="S766" s="18"/>
      <c r="T766" s="18"/>
      <c r="U766" s="18"/>
      <c r="V766" s="18"/>
      <c r="W766" s="18"/>
      <c r="X766" s="18"/>
      <c r="Y766" s="18"/>
      <c r="Z766" s="18"/>
      <c r="AA766" s="18"/>
      <c r="AB766" s="18"/>
      <c r="AC766" s="18"/>
      <c r="AD766" s="18"/>
      <c r="AE766" s="18"/>
      <c r="AF766" s="18"/>
      <c r="AG766" s="18"/>
    </row>
    <row r="767" spans="1:33" x14ac:dyDescent="0.2">
      <c r="A767" s="1279"/>
      <c r="B767" s="1280"/>
      <c r="C767" s="18"/>
      <c r="D767" s="18"/>
      <c r="E767" s="18"/>
      <c r="F767" s="18"/>
      <c r="G767" s="18"/>
      <c r="H767" s="18"/>
      <c r="I767" s="18"/>
      <c r="J767" s="18"/>
      <c r="K767" s="18"/>
      <c r="L767" s="12"/>
      <c r="M767" s="18"/>
      <c r="N767" s="18"/>
      <c r="O767" s="18"/>
      <c r="P767" s="18"/>
      <c r="Q767" s="18"/>
      <c r="R767" s="18"/>
      <c r="S767" s="18"/>
      <c r="T767" s="18"/>
      <c r="U767" s="18"/>
      <c r="V767" s="18"/>
      <c r="W767" s="18"/>
      <c r="X767" s="18"/>
      <c r="Y767" s="18"/>
      <c r="Z767" s="18"/>
      <c r="AA767" s="18"/>
      <c r="AB767" s="18"/>
      <c r="AC767" s="18"/>
      <c r="AD767" s="18"/>
      <c r="AE767" s="18"/>
      <c r="AF767" s="18"/>
      <c r="AG767" s="18"/>
    </row>
    <row r="768" spans="1:33" x14ac:dyDescent="0.2">
      <c r="A768" s="1279"/>
      <c r="B768" s="1280"/>
      <c r="C768" s="18"/>
      <c r="D768" s="18"/>
      <c r="E768" s="18"/>
      <c r="F768" s="18"/>
      <c r="G768" s="18"/>
      <c r="H768" s="18"/>
      <c r="I768" s="18"/>
      <c r="J768" s="18"/>
      <c r="K768" s="18"/>
      <c r="L768" s="12"/>
      <c r="M768" s="18"/>
      <c r="N768" s="18"/>
      <c r="O768" s="18"/>
      <c r="P768" s="18"/>
      <c r="Q768" s="18"/>
      <c r="R768" s="18"/>
      <c r="S768" s="18"/>
      <c r="T768" s="18"/>
      <c r="U768" s="18"/>
      <c r="V768" s="18"/>
      <c r="W768" s="18"/>
      <c r="X768" s="18"/>
      <c r="Y768" s="18"/>
      <c r="Z768" s="18"/>
      <c r="AA768" s="18"/>
      <c r="AB768" s="18"/>
      <c r="AC768" s="18"/>
      <c r="AD768" s="18"/>
      <c r="AE768" s="18"/>
      <c r="AF768" s="18"/>
      <c r="AG768" s="18"/>
    </row>
    <row r="769" spans="1:33" x14ac:dyDescent="0.2">
      <c r="A769" s="1279"/>
      <c r="B769" s="1280"/>
      <c r="C769" s="18"/>
      <c r="D769" s="18"/>
      <c r="E769" s="18"/>
      <c r="F769" s="18"/>
      <c r="G769" s="18"/>
      <c r="H769" s="18"/>
      <c r="I769" s="18"/>
      <c r="J769" s="18"/>
      <c r="K769" s="18"/>
      <c r="L769" s="12"/>
      <c r="M769" s="18"/>
      <c r="N769" s="18"/>
      <c r="O769" s="18"/>
      <c r="P769" s="18"/>
      <c r="Q769" s="18"/>
      <c r="R769" s="18"/>
      <c r="S769" s="18"/>
      <c r="T769" s="18"/>
      <c r="U769" s="18"/>
      <c r="V769" s="18"/>
      <c r="W769" s="18"/>
      <c r="X769" s="18"/>
      <c r="Y769" s="18"/>
      <c r="Z769" s="18"/>
      <c r="AA769" s="18"/>
      <c r="AB769" s="18"/>
      <c r="AC769" s="18"/>
      <c r="AD769" s="18"/>
      <c r="AE769" s="18"/>
      <c r="AF769" s="18"/>
      <c r="AG769" s="18"/>
    </row>
    <row r="770" spans="1:33" x14ac:dyDescent="0.2">
      <c r="A770" s="1279"/>
      <c r="B770" s="1280"/>
      <c r="C770" s="18"/>
      <c r="D770" s="18"/>
      <c r="E770" s="18"/>
      <c r="F770" s="18"/>
      <c r="G770" s="18"/>
      <c r="H770" s="18"/>
      <c r="I770" s="18"/>
      <c r="J770" s="18"/>
      <c r="K770" s="18"/>
      <c r="L770" s="12"/>
      <c r="M770" s="18"/>
      <c r="N770" s="18"/>
      <c r="O770" s="18"/>
      <c r="P770" s="18"/>
      <c r="Q770" s="18"/>
      <c r="R770" s="18"/>
      <c r="S770" s="18"/>
      <c r="T770" s="18"/>
      <c r="U770" s="18"/>
      <c r="V770" s="18"/>
      <c r="W770" s="18"/>
      <c r="X770" s="18"/>
      <c r="Y770" s="18"/>
      <c r="Z770" s="18"/>
      <c r="AA770" s="18"/>
      <c r="AB770" s="18"/>
      <c r="AC770" s="18"/>
      <c r="AD770" s="18"/>
      <c r="AE770" s="18"/>
      <c r="AF770" s="18"/>
      <c r="AG770" s="18"/>
    </row>
    <row r="771" spans="1:33" x14ac:dyDescent="0.2">
      <c r="A771" s="1279"/>
      <c r="B771" s="1280"/>
      <c r="C771" s="18"/>
      <c r="D771" s="18"/>
      <c r="E771" s="18"/>
      <c r="F771" s="18"/>
      <c r="G771" s="18"/>
      <c r="H771" s="18"/>
      <c r="I771" s="18"/>
      <c r="J771" s="18"/>
      <c r="K771" s="18"/>
      <c r="L771" s="12"/>
      <c r="M771" s="18"/>
      <c r="N771" s="18"/>
      <c r="O771" s="18"/>
      <c r="P771" s="18"/>
      <c r="Q771" s="18"/>
      <c r="R771" s="18"/>
      <c r="S771" s="18"/>
      <c r="T771" s="18"/>
      <c r="U771" s="18"/>
      <c r="V771" s="18"/>
      <c r="W771" s="18"/>
      <c r="X771" s="18"/>
      <c r="Y771" s="18"/>
      <c r="Z771" s="18"/>
      <c r="AA771" s="18"/>
      <c r="AB771" s="18"/>
      <c r="AC771" s="18"/>
      <c r="AD771" s="18"/>
      <c r="AE771" s="18"/>
      <c r="AF771" s="18"/>
      <c r="AG771" s="18"/>
    </row>
    <row r="772" spans="1:33" x14ac:dyDescent="0.2">
      <c r="A772" s="1279"/>
      <c r="B772" s="1280"/>
      <c r="C772" s="18"/>
      <c r="D772" s="18"/>
      <c r="E772" s="18"/>
      <c r="F772" s="18"/>
      <c r="G772" s="18"/>
      <c r="H772" s="18"/>
      <c r="I772" s="18"/>
      <c r="J772" s="18"/>
      <c r="K772" s="18"/>
      <c r="L772" s="12"/>
      <c r="M772" s="18"/>
      <c r="N772" s="18"/>
      <c r="O772" s="18"/>
      <c r="P772" s="18"/>
      <c r="Q772" s="18"/>
      <c r="R772" s="18"/>
      <c r="S772" s="18"/>
      <c r="T772" s="18"/>
      <c r="U772" s="18"/>
      <c r="V772" s="18"/>
      <c r="W772" s="18"/>
      <c r="X772" s="18"/>
      <c r="Y772" s="18"/>
      <c r="Z772" s="18"/>
      <c r="AA772" s="18"/>
      <c r="AB772" s="18"/>
      <c r="AC772" s="18"/>
      <c r="AD772" s="18"/>
      <c r="AE772" s="18"/>
      <c r="AF772" s="18"/>
      <c r="AG772" s="18"/>
    </row>
    <row r="773" spans="1:33" x14ac:dyDescent="0.2">
      <c r="A773" s="1279"/>
      <c r="B773" s="1280"/>
      <c r="C773" s="18"/>
      <c r="D773" s="18"/>
      <c r="E773" s="18"/>
      <c r="F773" s="18"/>
      <c r="G773" s="18"/>
      <c r="H773" s="18"/>
      <c r="I773" s="18"/>
      <c r="J773" s="18"/>
      <c r="K773" s="18"/>
      <c r="L773" s="12"/>
      <c r="M773" s="18"/>
      <c r="N773" s="18"/>
      <c r="O773" s="18"/>
      <c r="P773" s="18"/>
      <c r="Q773" s="18"/>
      <c r="R773" s="18"/>
      <c r="S773" s="18"/>
      <c r="T773" s="18"/>
      <c r="U773" s="18"/>
      <c r="V773" s="18"/>
      <c r="W773" s="18"/>
      <c r="X773" s="18"/>
      <c r="Y773" s="18"/>
      <c r="Z773" s="18"/>
      <c r="AA773" s="18"/>
      <c r="AB773" s="18"/>
      <c r="AC773" s="18"/>
      <c r="AD773" s="18"/>
      <c r="AE773" s="18"/>
      <c r="AF773" s="18"/>
      <c r="AG773" s="18"/>
    </row>
    <row r="774" spans="1:33" x14ac:dyDescent="0.2">
      <c r="A774" s="1279"/>
      <c r="B774" s="1280"/>
      <c r="C774" s="18"/>
      <c r="D774" s="18"/>
      <c r="E774" s="18"/>
      <c r="F774" s="18"/>
      <c r="G774" s="18"/>
      <c r="H774" s="18"/>
      <c r="I774" s="18"/>
      <c r="J774" s="18"/>
      <c r="K774" s="18"/>
      <c r="L774" s="12"/>
      <c r="M774" s="18"/>
      <c r="N774" s="18"/>
      <c r="O774" s="18"/>
      <c r="P774" s="18"/>
      <c r="Q774" s="18"/>
      <c r="R774" s="18"/>
      <c r="S774" s="18"/>
      <c r="T774" s="18"/>
      <c r="U774" s="18"/>
      <c r="V774" s="18"/>
      <c r="W774" s="18"/>
      <c r="X774" s="18"/>
      <c r="Y774" s="18"/>
      <c r="Z774" s="18"/>
      <c r="AA774" s="18"/>
      <c r="AB774" s="18"/>
      <c r="AC774" s="18"/>
      <c r="AD774" s="18"/>
      <c r="AE774" s="18"/>
      <c r="AF774" s="18"/>
      <c r="AG774" s="18"/>
    </row>
    <row r="775" spans="1:33" x14ac:dyDescent="0.2">
      <c r="A775" s="1279"/>
      <c r="B775" s="1280"/>
      <c r="C775" s="18"/>
      <c r="D775" s="18"/>
      <c r="E775" s="18"/>
      <c r="F775" s="18"/>
      <c r="G775" s="18"/>
      <c r="H775" s="18"/>
      <c r="I775" s="18"/>
      <c r="J775" s="18"/>
      <c r="K775" s="18"/>
      <c r="L775" s="12"/>
      <c r="M775" s="18"/>
      <c r="N775" s="18"/>
      <c r="O775" s="18"/>
      <c r="P775" s="18"/>
      <c r="Q775" s="18"/>
      <c r="R775" s="18"/>
      <c r="S775" s="18"/>
      <c r="T775" s="18"/>
      <c r="U775" s="18"/>
      <c r="V775" s="18"/>
      <c r="W775" s="18"/>
      <c r="X775" s="18"/>
      <c r="Y775" s="18"/>
      <c r="Z775" s="18"/>
      <c r="AA775" s="18"/>
      <c r="AB775" s="18"/>
      <c r="AC775" s="18"/>
      <c r="AD775" s="18"/>
      <c r="AE775" s="18"/>
      <c r="AF775" s="18"/>
      <c r="AG775" s="18"/>
    </row>
    <row r="776" spans="1:33" x14ac:dyDescent="0.2">
      <c r="A776" s="1279"/>
      <c r="B776" s="1280"/>
      <c r="C776" s="18"/>
      <c r="D776" s="18"/>
      <c r="E776" s="18"/>
      <c r="F776" s="18"/>
      <c r="G776" s="18"/>
      <c r="H776" s="18"/>
      <c r="I776" s="18"/>
      <c r="J776" s="18"/>
      <c r="K776" s="18"/>
      <c r="L776" s="12"/>
      <c r="M776" s="18"/>
      <c r="N776" s="18"/>
      <c r="O776" s="18"/>
      <c r="P776" s="18"/>
      <c r="Q776" s="18"/>
      <c r="R776" s="18"/>
      <c r="S776" s="18"/>
      <c r="T776" s="18"/>
      <c r="U776" s="18"/>
      <c r="V776" s="18"/>
      <c r="W776" s="18"/>
      <c r="X776" s="18"/>
      <c r="Y776" s="18"/>
      <c r="Z776" s="18"/>
      <c r="AA776" s="18"/>
      <c r="AB776" s="18"/>
      <c r="AC776" s="18"/>
      <c r="AD776" s="18"/>
      <c r="AE776" s="18"/>
      <c r="AF776" s="18"/>
      <c r="AG776" s="18"/>
    </row>
    <row r="777" spans="1:33" x14ac:dyDescent="0.2">
      <c r="A777" s="1279"/>
      <c r="B777" s="1280"/>
      <c r="C777" s="18"/>
      <c r="D777" s="18"/>
      <c r="E777" s="18"/>
      <c r="F777" s="18"/>
      <c r="G777" s="18"/>
      <c r="H777" s="18"/>
      <c r="I777" s="18"/>
      <c r="J777" s="18"/>
      <c r="K777" s="18"/>
      <c r="L777" s="12"/>
      <c r="M777" s="18"/>
      <c r="N777" s="18"/>
      <c r="O777" s="18"/>
      <c r="P777" s="18"/>
      <c r="Q777" s="18"/>
      <c r="R777" s="18"/>
      <c r="S777" s="18"/>
      <c r="T777" s="18"/>
      <c r="U777" s="18"/>
      <c r="V777" s="18"/>
      <c r="W777" s="18"/>
      <c r="X777" s="18"/>
      <c r="Y777" s="18"/>
      <c r="Z777" s="18"/>
      <c r="AA777" s="18"/>
      <c r="AB777" s="18"/>
      <c r="AC777" s="18"/>
      <c r="AD777" s="18"/>
      <c r="AE777" s="18"/>
      <c r="AF777" s="18"/>
      <c r="AG777" s="18"/>
    </row>
    <row r="778" spans="1:33" x14ac:dyDescent="0.2">
      <c r="A778" s="1279"/>
      <c r="B778" s="1280"/>
      <c r="C778" s="18"/>
      <c r="D778" s="18"/>
      <c r="E778" s="18"/>
      <c r="F778" s="18"/>
      <c r="G778" s="18"/>
      <c r="H778" s="18"/>
      <c r="I778" s="18"/>
      <c r="J778" s="18"/>
      <c r="K778" s="18"/>
      <c r="L778" s="12"/>
      <c r="M778" s="18"/>
      <c r="N778" s="18"/>
      <c r="O778" s="18"/>
      <c r="P778" s="18"/>
      <c r="Q778" s="18"/>
      <c r="R778" s="18"/>
      <c r="S778" s="18"/>
      <c r="T778" s="18"/>
      <c r="U778" s="18"/>
      <c r="V778" s="18"/>
      <c r="W778" s="18"/>
      <c r="X778" s="18"/>
      <c r="Y778" s="18"/>
      <c r="Z778" s="18"/>
      <c r="AA778" s="18"/>
      <c r="AB778" s="18"/>
      <c r="AC778" s="18"/>
      <c r="AD778" s="18"/>
      <c r="AE778" s="18"/>
      <c r="AF778" s="18"/>
      <c r="AG778" s="18"/>
    </row>
    <row r="779" spans="1:33" x14ac:dyDescent="0.2">
      <c r="A779" s="1279"/>
      <c r="B779" s="1280"/>
      <c r="C779" s="18"/>
      <c r="D779" s="18"/>
      <c r="E779" s="18"/>
      <c r="F779" s="18"/>
      <c r="G779" s="18"/>
      <c r="H779" s="18"/>
      <c r="I779" s="18"/>
      <c r="J779" s="18"/>
      <c r="K779" s="18"/>
      <c r="L779" s="12"/>
      <c r="M779" s="18"/>
      <c r="N779" s="18"/>
      <c r="O779" s="18"/>
      <c r="P779" s="18"/>
      <c r="Q779" s="18"/>
      <c r="R779" s="18"/>
      <c r="S779" s="18"/>
      <c r="T779" s="18"/>
      <c r="U779" s="18"/>
      <c r="V779" s="18"/>
      <c r="W779" s="18"/>
      <c r="X779" s="18"/>
      <c r="Y779" s="18"/>
      <c r="Z779" s="18"/>
      <c r="AA779" s="18"/>
      <c r="AB779" s="18"/>
      <c r="AC779" s="18"/>
      <c r="AD779" s="18"/>
      <c r="AE779" s="18"/>
      <c r="AF779" s="18"/>
      <c r="AG779" s="18"/>
    </row>
    <row r="780" spans="1:33" x14ac:dyDescent="0.2">
      <c r="A780" s="1279"/>
      <c r="B780" s="1280"/>
      <c r="C780" s="18"/>
      <c r="D780" s="18"/>
      <c r="E780" s="18"/>
      <c r="F780" s="18"/>
      <c r="G780" s="18"/>
      <c r="H780" s="18"/>
      <c r="I780" s="18"/>
      <c r="J780" s="18"/>
      <c r="K780" s="18"/>
      <c r="L780" s="12"/>
      <c r="M780" s="18"/>
      <c r="N780" s="18"/>
      <c r="O780" s="18"/>
      <c r="P780" s="18"/>
      <c r="Q780" s="18"/>
      <c r="R780" s="18"/>
      <c r="S780" s="18"/>
      <c r="T780" s="18"/>
      <c r="U780" s="18"/>
      <c r="V780" s="18"/>
      <c r="W780" s="18"/>
      <c r="X780" s="18"/>
      <c r="Y780" s="18"/>
      <c r="Z780" s="18"/>
      <c r="AA780" s="18"/>
      <c r="AB780" s="18"/>
      <c r="AC780" s="18"/>
      <c r="AD780" s="18"/>
      <c r="AE780" s="18"/>
      <c r="AF780" s="18"/>
      <c r="AG780" s="18"/>
    </row>
    <row r="781" spans="1:33" x14ac:dyDescent="0.2">
      <c r="A781" s="1279"/>
      <c r="B781" s="1280"/>
      <c r="C781" s="18"/>
      <c r="D781" s="18"/>
      <c r="E781" s="18"/>
      <c r="F781" s="18"/>
      <c r="G781" s="18"/>
      <c r="H781" s="18"/>
      <c r="I781" s="18"/>
      <c r="J781" s="18"/>
      <c r="K781" s="18"/>
      <c r="L781" s="12"/>
      <c r="M781" s="18"/>
      <c r="N781" s="18"/>
      <c r="O781" s="18"/>
      <c r="P781" s="18"/>
      <c r="Q781" s="18"/>
      <c r="R781" s="18"/>
      <c r="S781" s="18"/>
      <c r="T781" s="18"/>
      <c r="U781" s="18"/>
      <c r="V781" s="18"/>
      <c r="W781" s="18"/>
      <c r="X781" s="18"/>
      <c r="Y781" s="18"/>
      <c r="Z781" s="18"/>
      <c r="AA781" s="18"/>
      <c r="AB781" s="18"/>
      <c r="AC781" s="18"/>
      <c r="AD781" s="18"/>
      <c r="AE781" s="18"/>
      <c r="AF781" s="18"/>
      <c r="AG781" s="18"/>
    </row>
    <row r="782" spans="1:33" x14ac:dyDescent="0.2">
      <c r="A782" s="1279"/>
      <c r="B782" s="1280"/>
      <c r="C782" s="18"/>
      <c r="D782" s="18"/>
      <c r="E782" s="18"/>
      <c r="F782" s="18"/>
      <c r="G782" s="18"/>
      <c r="H782" s="18"/>
      <c r="I782" s="18"/>
      <c r="J782" s="18"/>
      <c r="K782" s="18"/>
      <c r="L782" s="12"/>
      <c r="M782" s="18"/>
      <c r="N782" s="18"/>
      <c r="O782" s="18"/>
      <c r="P782" s="18"/>
      <c r="Q782" s="18"/>
      <c r="R782" s="18"/>
      <c r="S782" s="18"/>
      <c r="T782" s="18"/>
      <c r="U782" s="18"/>
      <c r="V782" s="18"/>
      <c r="W782" s="18"/>
      <c r="X782" s="18"/>
      <c r="Y782" s="18"/>
      <c r="Z782" s="18"/>
      <c r="AA782" s="18"/>
      <c r="AB782" s="18"/>
      <c r="AC782" s="18"/>
      <c r="AD782" s="18"/>
      <c r="AE782" s="18"/>
      <c r="AF782" s="18"/>
      <c r="AG782" s="18"/>
    </row>
    <row r="783" spans="1:33" x14ac:dyDescent="0.2">
      <c r="A783" s="1279"/>
      <c r="B783" s="1280"/>
      <c r="C783" s="18"/>
      <c r="D783" s="18"/>
      <c r="E783" s="18"/>
      <c r="F783" s="18"/>
      <c r="G783" s="18"/>
      <c r="H783" s="18"/>
      <c r="I783" s="18"/>
      <c r="J783" s="18"/>
      <c r="K783" s="18"/>
      <c r="L783" s="12"/>
      <c r="M783" s="18"/>
      <c r="N783" s="18"/>
      <c r="O783" s="18"/>
      <c r="P783" s="18"/>
      <c r="Q783" s="18"/>
      <c r="R783" s="18"/>
      <c r="S783" s="18"/>
      <c r="T783" s="18"/>
      <c r="U783" s="18"/>
      <c r="V783" s="18"/>
      <c r="W783" s="18"/>
      <c r="X783" s="18"/>
      <c r="Y783" s="18"/>
      <c r="Z783" s="18"/>
      <c r="AA783" s="18"/>
      <c r="AB783" s="18"/>
      <c r="AC783" s="18"/>
      <c r="AD783" s="18"/>
      <c r="AE783" s="18"/>
      <c r="AF783" s="18"/>
      <c r="AG783" s="18"/>
    </row>
    <row r="784" spans="1:33" x14ac:dyDescent="0.2">
      <c r="A784" s="1279"/>
      <c r="B784" s="1280"/>
      <c r="C784" s="18"/>
      <c r="D784" s="18"/>
      <c r="E784" s="18"/>
      <c r="F784" s="18"/>
      <c r="G784" s="18"/>
      <c r="H784" s="18"/>
      <c r="I784" s="18"/>
      <c r="J784" s="18"/>
      <c r="K784" s="18"/>
      <c r="L784" s="12"/>
      <c r="M784" s="18"/>
      <c r="N784" s="18"/>
      <c r="O784" s="18"/>
      <c r="P784" s="18"/>
      <c r="Q784" s="18"/>
      <c r="R784" s="18"/>
      <c r="S784" s="18"/>
      <c r="T784" s="18"/>
      <c r="U784" s="18"/>
      <c r="V784" s="18"/>
      <c r="W784" s="18"/>
      <c r="X784" s="18"/>
      <c r="Y784" s="18"/>
      <c r="Z784" s="18"/>
      <c r="AA784" s="18"/>
      <c r="AB784" s="18"/>
      <c r="AC784" s="18"/>
      <c r="AD784" s="18"/>
      <c r="AE784" s="18"/>
      <c r="AF784" s="18"/>
      <c r="AG784" s="18"/>
    </row>
    <row r="785" spans="1:33" x14ac:dyDescent="0.2">
      <c r="A785" s="1279"/>
      <c r="B785" s="1280"/>
      <c r="C785" s="18"/>
      <c r="D785" s="18"/>
      <c r="E785" s="18"/>
      <c r="F785" s="18"/>
      <c r="G785" s="18"/>
      <c r="H785" s="18"/>
      <c r="I785" s="18"/>
      <c r="J785" s="18"/>
      <c r="K785" s="18"/>
      <c r="L785" s="12"/>
      <c r="M785" s="18"/>
      <c r="N785" s="18"/>
      <c r="O785" s="18"/>
      <c r="P785" s="18"/>
      <c r="Q785" s="18"/>
      <c r="R785" s="18"/>
      <c r="S785" s="18"/>
      <c r="T785" s="18"/>
      <c r="U785" s="18"/>
      <c r="V785" s="18"/>
      <c r="W785" s="18"/>
      <c r="X785" s="18"/>
      <c r="Y785" s="18"/>
      <c r="Z785" s="18"/>
      <c r="AA785" s="18"/>
      <c r="AB785" s="18"/>
      <c r="AC785" s="18"/>
      <c r="AD785" s="18"/>
      <c r="AE785" s="18"/>
      <c r="AF785" s="18"/>
      <c r="AG785" s="18"/>
    </row>
    <row r="786" spans="1:33" x14ac:dyDescent="0.2">
      <c r="A786" s="1279"/>
      <c r="B786" s="1280"/>
      <c r="C786" s="18"/>
      <c r="D786" s="18"/>
      <c r="E786" s="18"/>
      <c r="F786" s="18"/>
      <c r="G786" s="18"/>
      <c r="H786" s="18"/>
      <c r="I786" s="18"/>
      <c r="J786" s="18"/>
      <c r="K786" s="18"/>
      <c r="L786" s="12"/>
      <c r="M786" s="18"/>
      <c r="N786" s="18"/>
      <c r="O786" s="18"/>
      <c r="P786" s="18"/>
      <c r="Q786" s="18"/>
      <c r="R786" s="18"/>
      <c r="S786" s="18"/>
      <c r="T786" s="18"/>
      <c r="U786" s="18"/>
      <c r="V786" s="18"/>
      <c r="W786" s="18"/>
      <c r="X786" s="18"/>
      <c r="Y786" s="18"/>
      <c r="Z786" s="18"/>
      <c r="AA786" s="18"/>
      <c r="AB786" s="18"/>
      <c r="AC786" s="18"/>
      <c r="AD786" s="18"/>
      <c r="AE786" s="18"/>
      <c r="AF786" s="18"/>
      <c r="AG786" s="18"/>
    </row>
    <row r="787" spans="1:33" x14ac:dyDescent="0.2">
      <c r="A787" s="1279"/>
      <c r="B787" s="1280"/>
      <c r="C787" s="18"/>
      <c r="D787" s="18"/>
      <c r="E787" s="18"/>
      <c r="F787" s="18"/>
      <c r="G787" s="18"/>
      <c r="H787" s="18"/>
      <c r="I787" s="18"/>
      <c r="J787" s="18"/>
      <c r="K787" s="18"/>
      <c r="L787" s="12"/>
      <c r="M787" s="18"/>
      <c r="N787" s="18"/>
      <c r="O787" s="18"/>
      <c r="P787" s="18"/>
      <c r="Q787" s="18"/>
      <c r="R787" s="18"/>
      <c r="S787" s="18"/>
      <c r="T787" s="18"/>
      <c r="U787" s="18"/>
      <c r="V787" s="18"/>
      <c r="W787" s="18"/>
      <c r="X787" s="18"/>
      <c r="Y787" s="18"/>
      <c r="Z787" s="18"/>
      <c r="AA787" s="18"/>
      <c r="AB787" s="18"/>
      <c r="AC787" s="18"/>
      <c r="AD787" s="18"/>
      <c r="AE787" s="18"/>
      <c r="AF787" s="18"/>
      <c r="AG787" s="18"/>
    </row>
    <row r="788" spans="1:33" x14ac:dyDescent="0.2">
      <c r="A788" s="1279"/>
      <c r="B788" s="1280"/>
      <c r="C788" s="18"/>
      <c r="D788" s="18"/>
      <c r="E788" s="18"/>
      <c r="F788" s="18"/>
      <c r="G788" s="18"/>
      <c r="H788" s="18"/>
      <c r="I788" s="18"/>
      <c r="J788" s="18"/>
      <c r="K788" s="18"/>
      <c r="L788" s="12"/>
      <c r="M788" s="18"/>
      <c r="N788" s="18"/>
      <c r="O788" s="18"/>
      <c r="P788" s="18"/>
      <c r="Q788" s="18"/>
      <c r="R788" s="18"/>
      <c r="S788" s="18"/>
      <c r="T788" s="18"/>
      <c r="U788" s="18"/>
      <c r="V788" s="18"/>
      <c r="W788" s="18"/>
      <c r="X788" s="18"/>
      <c r="Y788" s="18"/>
      <c r="Z788" s="18"/>
      <c r="AA788" s="18"/>
      <c r="AB788" s="18"/>
      <c r="AC788" s="18"/>
      <c r="AD788" s="18"/>
      <c r="AE788" s="18"/>
      <c r="AF788" s="18"/>
      <c r="AG788" s="18"/>
    </row>
    <row r="789" spans="1:33" x14ac:dyDescent="0.2">
      <c r="A789" s="1279"/>
      <c r="B789" s="1280"/>
      <c r="C789" s="18"/>
      <c r="D789" s="18"/>
      <c r="E789" s="18"/>
      <c r="F789" s="18"/>
      <c r="G789" s="18"/>
      <c r="H789" s="18"/>
      <c r="I789" s="18"/>
      <c r="J789" s="18"/>
      <c r="K789" s="18"/>
      <c r="L789" s="12"/>
      <c r="M789" s="18"/>
      <c r="N789" s="18"/>
      <c r="O789" s="18"/>
      <c r="P789" s="18"/>
      <c r="Q789" s="18"/>
      <c r="R789" s="18"/>
      <c r="S789" s="18"/>
      <c r="T789" s="18"/>
      <c r="U789" s="18"/>
      <c r="V789" s="18"/>
      <c r="W789" s="18"/>
      <c r="X789" s="18"/>
      <c r="Y789" s="18"/>
      <c r="Z789" s="18"/>
      <c r="AA789" s="18"/>
      <c r="AB789" s="18"/>
      <c r="AC789" s="18"/>
      <c r="AD789" s="18"/>
      <c r="AE789" s="18"/>
      <c r="AF789" s="18"/>
      <c r="AG789" s="18"/>
    </row>
    <row r="790" spans="1:33" x14ac:dyDescent="0.2">
      <c r="A790" s="1279"/>
      <c r="B790" s="1280"/>
      <c r="C790" s="18"/>
      <c r="D790" s="18"/>
      <c r="E790" s="18"/>
      <c r="F790" s="18"/>
      <c r="G790" s="18"/>
      <c r="H790" s="18"/>
      <c r="I790" s="18"/>
      <c r="J790" s="18"/>
      <c r="K790" s="18"/>
      <c r="L790" s="12"/>
      <c r="M790" s="18"/>
      <c r="N790" s="18"/>
      <c r="O790" s="18"/>
      <c r="P790" s="18"/>
      <c r="Q790" s="18"/>
      <c r="R790" s="18"/>
      <c r="S790" s="18"/>
      <c r="T790" s="18"/>
      <c r="U790" s="18"/>
      <c r="V790" s="18"/>
      <c r="W790" s="18"/>
      <c r="X790" s="18"/>
      <c r="Y790" s="18"/>
      <c r="Z790" s="18"/>
      <c r="AA790" s="18"/>
      <c r="AB790" s="18"/>
      <c r="AC790" s="18"/>
      <c r="AD790" s="18"/>
      <c r="AE790" s="18"/>
      <c r="AF790" s="18"/>
      <c r="AG790" s="18"/>
    </row>
    <row r="791" spans="1:33" x14ac:dyDescent="0.2">
      <c r="A791" s="1279"/>
      <c r="B791" s="1280"/>
      <c r="C791" s="18"/>
      <c r="D791" s="18"/>
      <c r="E791" s="18"/>
      <c r="F791" s="18"/>
      <c r="G791" s="18"/>
      <c r="H791" s="18"/>
      <c r="I791" s="18"/>
      <c r="J791" s="18"/>
      <c r="K791" s="18"/>
      <c r="L791" s="12"/>
      <c r="M791" s="18"/>
      <c r="N791" s="18"/>
      <c r="O791" s="18"/>
      <c r="P791" s="18"/>
      <c r="Q791" s="18"/>
      <c r="R791" s="18"/>
      <c r="S791" s="18"/>
      <c r="T791" s="18"/>
      <c r="U791" s="18"/>
      <c r="V791" s="18"/>
      <c r="W791" s="18"/>
      <c r="X791" s="18"/>
      <c r="Y791" s="18"/>
      <c r="Z791" s="18"/>
      <c r="AA791" s="18"/>
      <c r="AB791" s="18"/>
      <c r="AC791" s="18"/>
      <c r="AD791" s="18"/>
      <c r="AE791" s="18"/>
      <c r="AF791" s="18"/>
      <c r="AG791" s="18"/>
    </row>
    <row r="792" spans="1:33" x14ac:dyDescent="0.2">
      <c r="A792" s="1279"/>
      <c r="B792" s="1280"/>
      <c r="C792" s="18"/>
      <c r="D792" s="18"/>
      <c r="E792" s="18"/>
      <c r="F792" s="18"/>
      <c r="G792" s="18"/>
      <c r="H792" s="18"/>
      <c r="I792" s="18"/>
      <c r="J792" s="18"/>
      <c r="K792" s="18"/>
      <c r="L792" s="12"/>
      <c r="M792" s="18"/>
      <c r="N792" s="18"/>
      <c r="O792" s="18"/>
      <c r="P792" s="18"/>
      <c r="Q792" s="18"/>
      <c r="R792" s="18"/>
      <c r="S792" s="18"/>
      <c r="T792" s="18"/>
      <c r="U792" s="18"/>
      <c r="V792" s="18"/>
      <c r="W792" s="18"/>
      <c r="X792" s="18"/>
      <c r="Y792" s="18"/>
      <c r="Z792" s="18"/>
      <c r="AA792" s="18"/>
      <c r="AB792" s="18"/>
      <c r="AC792" s="18"/>
      <c r="AD792" s="18"/>
      <c r="AE792" s="18"/>
      <c r="AF792" s="18"/>
      <c r="AG792" s="18"/>
    </row>
    <row r="793" spans="1:33" x14ac:dyDescent="0.2">
      <c r="A793" s="1279"/>
      <c r="B793" s="1280"/>
      <c r="C793" s="18"/>
      <c r="D793" s="18"/>
      <c r="E793" s="18"/>
      <c r="F793" s="18"/>
      <c r="G793" s="18"/>
      <c r="H793" s="18"/>
      <c r="I793" s="18"/>
      <c r="J793" s="18"/>
      <c r="K793" s="18"/>
      <c r="L793" s="12"/>
      <c r="M793" s="18"/>
      <c r="N793" s="18"/>
      <c r="O793" s="18"/>
      <c r="P793" s="18"/>
      <c r="Q793" s="18"/>
      <c r="R793" s="18"/>
      <c r="S793" s="18"/>
      <c r="T793" s="18"/>
      <c r="U793" s="18"/>
      <c r="V793" s="18"/>
      <c r="W793" s="18"/>
      <c r="X793" s="18"/>
      <c r="Y793" s="18"/>
      <c r="Z793" s="18"/>
      <c r="AA793" s="18"/>
      <c r="AB793" s="18"/>
      <c r="AC793" s="18"/>
      <c r="AD793" s="18"/>
      <c r="AE793" s="18"/>
      <c r="AF793" s="18"/>
      <c r="AG793" s="18"/>
    </row>
    <row r="794" spans="1:33" x14ac:dyDescent="0.2">
      <c r="A794" s="1279"/>
      <c r="B794" s="1280"/>
      <c r="C794" s="18"/>
      <c r="D794" s="18"/>
      <c r="E794" s="18"/>
      <c r="F794" s="18"/>
      <c r="G794" s="18"/>
      <c r="H794" s="18"/>
      <c r="I794" s="18"/>
      <c r="J794" s="18"/>
      <c r="K794" s="18"/>
      <c r="L794" s="12"/>
      <c r="M794" s="18"/>
      <c r="N794" s="18"/>
      <c r="O794" s="18"/>
      <c r="P794" s="18"/>
      <c r="Q794" s="18"/>
      <c r="R794" s="18"/>
      <c r="S794" s="18"/>
      <c r="T794" s="18"/>
      <c r="U794" s="18"/>
      <c r="V794" s="18"/>
      <c r="W794" s="18"/>
      <c r="X794" s="18"/>
      <c r="Y794" s="18"/>
      <c r="Z794" s="18"/>
      <c r="AA794" s="18"/>
      <c r="AB794" s="18"/>
      <c r="AC794" s="18"/>
      <c r="AD794" s="18"/>
      <c r="AE794" s="18"/>
      <c r="AF794" s="18"/>
      <c r="AG794" s="18"/>
    </row>
    <row r="795" spans="1:33" x14ac:dyDescent="0.2">
      <c r="A795" s="1279"/>
      <c r="B795" s="1280"/>
      <c r="C795" s="18"/>
      <c r="D795" s="18"/>
      <c r="E795" s="18"/>
      <c r="F795" s="18"/>
      <c r="G795" s="18"/>
      <c r="H795" s="18"/>
      <c r="I795" s="18"/>
      <c r="J795" s="18"/>
      <c r="K795" s="18"/>
      <c r="L795" s="12"/>
      <c r="M795" s="18"/>
      <c r="N795" s="18"/>
      <c r="O795" s="18"/>
      <c r="P795" s="18"/>
      <c r="Q795" s="18"/>
      <c r="R795" s="18"/>
      <c r="S795" s="18"/>
      <c r="T795" s="18"/>
      <c r="U795" s="18"/>
      <c r="V795" s="18"/>
      <c r="W795" s="18"/>
      <c r="X795" s="18"/>
      <c r="Y795" s="18"/>
      <c r="Z795" s="18"/>
      <c r="AA795" s="18"/>
      <c r="AB795" s="18"/>
      <c r="AC795" s="18"/>
      <c r="AD795" s="18"/>
      <c r="AE795" s="18"/>
      <c r="AF795" s="18"/>
      <c r="AG795" s="18"/>
    </row>
    <row r="796" spans="1:33" x14ac:dyDescent="0.2">
      <c r="A796" s="1279"/>
      <c r="B796" s="1280"/>
      <c r="C796" s="18"/>
      <c r="D796" s="18"/>
      <c r="E796" s="18"/>
      <c r="F796" s="18"/>
      <c r="G796" s="18"/>
      <c r="H796" s="18"/>
      <c r="I796" s="18"/>
      <c r="J796" s="18"/>
      <c r="K796" s="18"/>
      <c r="L796" s="12"/>
      <c r="M796" s="18"/>
      <c r="N796" s="18"/>
      <c r="O796" s="18"/>
      <c r="P796" s="18"/>
      <c r="Q796" s="18"/>
      <c r="R796" s="18"/>
      <c r="S796" s="18"/>
      <c r="T796" s="18"/>
      <c r="U796" s="18"/>
      <c r="V796" s="18"/>
      <c r="W796" s="18"/>
      <c r="X796" s="18"/>
      <c r="Y796" s="18"/>
      <c r="Z796" s="18"/>
      <c r="AA796" s="18"/>
      <c r="AB796" s="18"/>
      <c r="AC796" s="18"/>
      <c r="AD796" s="18"/>
      <c r="AE796" s="18"/>
      <c r="AF796" s="18"/>
      <c r="AG796" s="18"/>
    </row>
    <row r="797" spans="1:33" x14ac:dyDescent="0.2">
      <c r="A797" s="1279"/>
      <c r="B797" s="1280"/>
      <c r="C797" s="18"/>
      <c r="D797" s="18"/>
      <c r="E797" s="18"/>
      <c r="F797" s="18"/>
      <c r="G797" s="18"/>
      <c r="H797" s="18"/>
      <c r="I797" s="18"/>
      <c r="J797" s="18"/>
      <c r="K797" s="18"/>
      <c r="L797" s="12"/>
      <c r="M797" s="18"/>
      <c r="N797" s="18"/>
      <c r="O797" s="18"/>
      <c r="P797" s="18"/>
      <c r="Q797" s="18"/>
      <c r="R797" s="18"/>
      <c r="S797" s="18"/>
      <c r="T797" s="18"/>
      <c r="U797" s="18"/>
      <c r="V797" s="18"/>
      <c r="W797" s="18"/>
      <c r="X797" s="18"/>
      <c r="Y797" s="18"/>
      <c r="Z797" s="18"/>
      <c r="AA797" s="18"/>
      <c r="AB797" s="18"/>
      <c r="AC797" s="18"/>
      <c r="AD797" s="18"/>
      <c r="AE797" s="18"/>
      <c r="AF797" s="18"/>
      <c r="AG797" s="18"/>
    </row>
    <row r="798" spans="1:33" x14ac:dyDescent="0.2">
      <c r="A798" s="1279"/>
      <c r="B798" s="1280"/>
      <c r="C798" s="18"/>
      <c r="D798" s="18"/>
      <c r="E798" s="18"/>
      <c r="F798" s="18"/>
      <c r="G798" s="18"/>
      <c r="H798" s="18"/>
      <c r="I798" s="18"/>
      <c r="J798" s="18"/>
      <c r="K798" s="18"/>
      <c r="L798" s="12"/>
      <c r="M798" s="18"/>
      <c r="N798" s="18"/>
      <c r="O798" s="18"/>
      <c r="P798" s="18"/>
      <c r="Q798" s="18"/>
      <c r="R798" s="18"/>
      <c r="S798" s="18"/>
      <c r="T798" s="18"/>
      <c r="U798" s="18"/>
      <c r="V798" s="18"/>
      <c r="W798" s="18"/>
      <c r="X798" s="18"/>
      <c r="Y798" s="18"/>
      <c r="Z798" s="18"/>
      <c r="AA798" s="18"/>
      <c r="AB798" s="18"/>
      <c r="AC798" s="18"/>
      <c r="AD798" s="18"/>
      <c r="AE798" s="18"/>
      <c r="AF798" s="18"/>
      <c r="AG798" s="18"/>
    </row>
    <row r="799" spans="1:33" x14ac:dyDescent="0.2">
      <c r="A799" s="1279"/>
      <c r="B799" s="1280"/>
      <c r="C799" s="18"/>
      <c r="D799" s="18"/>
      <c r="E799" s="18"/>
      <c r="F799" s="18"/>
      <c r="G799" s="18"/>
      <c r="H799" s="18"/>
      <c r="I799" s="18"/>
      <c r="J799" s="18"/>
      <c r="K799" s="18"/>
      <c r="L799" s="12"/>
      <c r="M799" s="18"/>
      <c r="N799" s="18"/>
      <c r="O799" s="18"/>
      <c r="P799" s="18"/>
      <c r="Q799" s="18"/>
      <c r="R799" s="18"/>
      <c r="S799" s="18"/>
      <c r="T799" s="18"/>
      <c r="U799" s="18"/>
      <c r="V799" s="18"/>
      <c r="W799" s="18"/>
      <c r="X799" s="18"/>
      <c r="Y799" s="18"/>
      <c r="Z799" s="18"/>
      <c r="AA799" s="18"/>
      <c r="AB799" s="18"/>
      <c r="AC799" s="18"/>
      <c r="AD799" s="18"/>
      <c r="AE799" s="18"/>
      <c r="AF799" s="18"/>
      <c r="AG799" s="18"/>
    </row>
    <row r="800" spans="1:33" x14ac:dyDescent="0.2">
      <c r="A800" s="1279"/>
      <c r="B800" s="1280"/>
      <c r="C800" s="18"/>
      <c r="D800" s="18"/>
      <c r="E800" s="18"/>
      <c r="F800" s="18"/>
      <c r="G800" s="18"/>
      <c r="H800" s="18"/>
      <c r="I800" s="18"/>
      <c r="J800" s="18"/>
      <c r="K800" s="18"/>
      <c r="L800" s="12"/>
      <c r="M800" s="18"/>
      <c r="N800" s="18"/>
      <c r="O800" s="18"/>
      <c r="P800" s="18"/>
      <c r="Q800" s="18"/>
      <c r="R800" s="18"/>
      <c r="S800" s="18"/>
      <c r="T800" s="18"/>
      <c r="U800" s="18"/>
      <c r="V800" s="18"/>
      <c r="W800" s="18"/>
      <c r="X800" s="18"/>
      <c r="Y800" s="18"/>
      <c r="Z800" s="18"/>
      <c r="AA800" s="18"/>
      <c r="AB800" s="18"/>
      <c r="AC800" s="18"/>
      <c r="AD800" s="18"/>
      <c r="AE800" s="18"/>
      <c r="AF800" s="18"/>
      <c r="AG800" s="18"/>
    </row>
    <row r="801" spans="1:33" x14ac:dyDescent="0.2">
      <c r="A801" s="1279"/>
      <c r="B801" s="1280"/>
      <c r="C801" s="18"/>
      <c r="D801" s="18"/>
      <c r="E801" s="18"/>
      <c r="F801" s="18"/>
      <c r="G801" s="18"/>
      <c r="H801" s="18"/>
      <c r="I801" s="18"/>
      <c r="J801" s="18"/>
      <c r="K801" s="18"/>
      <c r="L801" s="12"/>
      <c r="M801" s="18"/>
      <c r="N801" s="18"/>
      <c r="O801" s="18"/>
      <c r="P801" s="18"/>
      <c r="Q801" s="18"/>
      <c r="R801" s="18"/>
      <c r="S801" s="18"/>
      <c r="T801" s="18"/>
      <c r="U801" s="18"/>
      <c r="V801" s="18"/>
      <c r="W801" s="18"/>
      <c r="X801" s="18"/>
      <c r="Y801" s="18"/>
      <c r="Z801" s="18"/>
      <c r="AA801" s="18"/>
      <c r="AB801" s="18"/>
      <c r="AC801" s="18"/>
      <c r="AD801" s="18"/>
      <c r="AE801" s="18"/>
      <c r="AF801" s="18"/>
      <c r="AG801" s="18"/>
    </row>
    <row r="802" spans="1:33" x14ac:dyDescent="0.2">
      <c r="A802" s="1279"/>
      <c r="B802" s="1280"/>
      <c r="C802" s="18"/>
      <c r="D802" s="18"/>
      <c r="E802" s="18"/>
      <c r="F802" s="18"/>
      <c r="G802" s="18"/>
      <c r="H802" s="18"/>
      <c r="I802" s="18"/>
      <c r="J802" s="18"/>
      <c r="K802" s="18"/>
      <c r="L802" s="12"/>
      <c r="M802" s="18"/>
      <c r="N802" s="18"/>
      <c r="O802" s="18"/>
      <c r="P802" s="18"/>
      <c r="Q802" s="18"/>
      <c r="R802" s="18"/>
      <c r="S802" s="18"/>
      <c r="T802" s="18"/>
      <c r="U802" s="18"/>
      <c r="V802" s="18"/>
      <c r="W802" s="18"/>
      <c r="X802" s="18"/>
      <c r="Y802" s="18"/>
      <c r="Z802" s="18"/>
      <c r="AA802" s="18"/>
      <c r="AB802" s="18"/>
      <c r="AC802" s="18"/>
      <c r="AD802" s="18"/>
      <c r="AE802" s="18"/>
      <c r="AF802" s="18"/>
      <c r="AG802" s="18"/>
    </row>
    <row r="803" spans="1:33" x14ac:dyDescent="0.2">
      <c r="A803" s="1279"/>
      <c r="B803" s="1280"/>
      <c r="C803" s="18"/>
      <c r="D803" s="18"/>
      <c r="E803" s="18"/>
      <c r="F803" s="18"/>
      <c r="G803" s="18"/>
      <c r="H803" s="18"/>
      <c r="I803" s="18"/>
      <c r="J803" s="18"/>
      <c r="K803" s="18"/>
      <c r="L803" s="12"/>
      <c r="M803" s="18"/>
      <c r="N803" s="18"/>
      <c r="O803" s="18"/>
      <c r="P803" s="18"/>
      <c r="Q803" s="18"/>
      <c r="R803" s="18"/>
      <c r="S803" s="18"/>
      <c r="T803" s="18"/>
      <c r="U803" s="18"/>
      <c r="V803" s="18"/>
      <c r="W803" s="18"/>
      <c r="X803" s="18"/>
      <c r="Y803" s="18"/>
      <c r="Z803" s="18"/>
      <c r="AA803" s="18"/>
      <c r="AB803" s="18"/>
      <c r="AC803" s="18"/>
      <c r="AD803" s="18"/>
      <c r="AE803" s="18"/>
      <c r="AF803" s="18"/>
      <c r="AG803" s="18"/>
    </row>
    <row r="804" spans="1:33" x14ac:dyDescent="0.2">
      <c r="A804" s="1279"/>
      <c r="B804" s="1280"/>
      <c r="C804" s="18"/>
      <c r="D804" s="18"/>
      <c r="E804" s="18"/>
      <c r="F804" s="18"/>
      <c r="G804" s="18"/>
      <c r="H804" s="18"/>
      <c r="I804" s="18"/>
      <c r="J804" s="18"/>
      <c r="K804" s="18"/>
      <c r="L804" s="12"/>
      <c r="M804" s="18"/>
      <c r="N804" s="18"/>
      <c r="O804" s="18"/>
      <c r="P804" s="18"/>
      <c r="Q804" s="18"/>
      <c r="R804" s="18"/>
      <c r="S804" s="18"/>
      <c r="T804" s="18"/>
      <c r="U804" s="18"/>
      <c r="V804" s="18"/>
      <c r="W804" s="18"/>
      <c r="X804" s="18"/>
      <c r="Y804" s="18"/>
      <c r="Z804" s="18"/>
      <c r="AA804" s="18"/>
      <c r="AB804" s="18"/>
      <c r="AC804" s="18"/>
      <c r="AD804" s="18"/>
      <c r="AE804" s="18"/>
      <c r="AF804" s="18"/>
      <c r="AG804" s="18"/>
    </row>
    <row r="805" spans="1:33" x14ac:dyDescent="0.2">
      <c r="A805" s="1279"/>
      <c r="B805" s="1280"/>
      <c r="C805" s="18"/>
      <c r="D805" s="18"/>
      <c r="E805" s="18"/>
      <c r="F805" s="18"/>
      <c r="G805" s="18"/>
      <c r="H805" s="18"/>
      <c r="I805" s="18"/>
      <c r="J805" s="18"/>
      <c r="K805" s="18"/>
      <c r="L805" s="12"/>
      <c r="M805" s="18"/>
      <c r="N805" s="18"/>
      <c r="O805" s="18"/>
      <c r="P805" s="18"/>
      <c r="Q805" s="18"/>
      <c r="R805" s="18"/>
      <c r="S805" s="18"/>
      <c r="T805" s="18"/>
      <c r="U805" s="18"/>
      <c r="V805" s="18"/>
      <c r="W805" s="18"/>
      <c r="X805" s="18"/>
      <c r="Y805" s="18"/>
      <c r="Z805" s="18"/>
      <c r="AA805" s="18"/>
      <c r="AB805" s="18"/>
      <c r="AC805" s="18"/>
      <c r="AD805" s="18"/>
      <c r="AE805" s="18"/>
      <c r="AF805" s="18"/>
      <c r="AG805" s="18"/>
    </row>
    <row r="806" spans="1:33" x14ac:dyDescent="0.2">
      <c r="A806" s="1279"/>
      <c r="B806" s="1280"/>
      <c r="C806" s="18"/>
      <c r="D806" s="18"/>
      <c r="E806" s="18"/>
      <c r="F806" s="18"/>
      <c r="G806" s="18"/>
      <c r="H806" s="18"/>
      <c r="I806" s="18"/>
      <c r="J806" s="18"/>
      <c r="K806" s="18"/>
      <c r="L806" s="12"/>
      <c r="M806" s="18"/>
      <c r="N806" s="18"/>
      <c r="O806" s="18"/>
      <c r="P806" s="18"/>
      <c r="Q806" s="18"/>
      <c r="R806" s="18"/>
      <c r="S806" s="18"/>
      <c r="T806" s="18"/>
      <c r="U806" s="18"/>
      <c r="V806" s="18"/>
      <c r="W806" s="18"/>
      <c r="X806" s="18"/>
      <c r="Y806" s="18"/>
      <c r="Z806" s="18"/>
      <c r="AA806" s="18"/>
      <c r="AB806" s="18"/>
      <c r="AC806" s="18"/>
      <c r="AD806" s="18"/>
      <c r="AE806" s="18"/>
      <c r="AF806" s="18"/>
      <c r="AG806" s="18"/>
    </row>
    <row r="807" spans="1:33" x14ac:dyDescent="0.2">
      <c r="A807" s="1279"/>
      <c r="B807" s="1280"/>
      <c r="C807" s="18"/>
      <c r="D807" s="18"/>
      <c r="E807" s="18"/>
      <c r="F807" s="18"/>
      <c r="G807" s="18"/>
      <c r="H807" s="18"/>
      <c r="I807" s="18"/>
      <c r="J807" s="18"/>
      <c r="K807" s="18"/>
      <c r="L807" s="12"/>
      <c r="M807" s="18"/>
      <c r="N807" s="18"/>
      <c r="O807" s="18"/>
      <c r="P807" s="18"/>
      <c r="Q807" s="18"/>
      <c r="R807" s="18"/>
      <c r="S807" s="18"/>
      <c r="T807" s="18"/>
      <c r="U807" s="18"/>
      <c r="V807" s="18"/>
      <c r="W807" s="18"/>
      <c r="X807" s="18"/>
      <c r="Y807" s="18"/>
      <c r="Z807" s="18"/>
      <c r="AA807" s="18"/>
      <c r="AB807" s="18"/>
      <c r="AC807" s="18"/>
      <c r="AD807" s="18"/>
      <c r="AE807" s="18"/>
      <c r="AF807" s="18"/>
      <c r="AG807" s="18"/>
    </row>
    <row r="808" spans="1:33" x14ac:dyDescent="0.2">
      <c r="A808" s="1279"/>
      <c r="B808" s="1280"/>
      <c r="C808" s="18"/>
      <c r="D808" s="18"/>
      <c r="E808" s="18"/>
      <c r="F808" s="18"/>
      <c r="G808" s="18"/>
      <c r="H808" s="18"/>
      <c r="I808" s="18"/>
      <c r="J808" s="18"/>
      <c r="K808" s="18"/>
      <c r="L808" s="12"/>
      <c r="M808" s="18"/>
      <c r="N808" s="18"/>
      <c r="O808" s="18"/>
      <c r="P808" s="18"/>
      <c r="Q808" s="18"/>
      <c r="R808" s="18"/>
      <c r="S808" s="18"/>
      <c r="T808" s="18"/>
      <c r="U808" s="18"/>
      <c r="V808" s="18"/>
      <c r="W808" s="18"/>
      <c r="X808" s="18"/>
      <c r="Y808" s="18"/>
      <c r="Z808" s="18"/>
      <c r="AA808" s="18"/>
      <c r="AB808" s="18"/>
      <c r="AC808" s="18"/>
      <c r="AD808" s="18"/>
      <c r="AE808" s="18"/>
      <c r="AF808" s="18"/>
      <c r="AG808" s="18"/>
    </row>
    <row r="809" spans="1:33" x14ac:dyDescent="0.2">
      <c r="A809" s="1279"/>
      <c r="B809" s="1280"/>
      <c r="C809" s="18"/>
      <c r="D809" s="18"/>
      <c r="E809" s="18"/>
      <c r="F809" s="18"/>
      <c r="G809" s="18"/>
      <c r="H809" s="18"/>
      <c r="I809" s="18"/>
      <c r="J809" s="18"/>
      <c r="K809" s="18"/>
      <c r="L809" s="12"/>
      <c r="M809" s="18"/>
      <c r="N809" s="18"/>
      <c r="O809" s="18"/>
      <c r="P809" s="18"/>
      <c r="Q809" s="18"/>
      <c r="R809" s="18"/>
      <c r="S809" s="18"/>
      <c r="T809" s="18"/>
      <c r="U809" s="18"/>
      <c r="V809" s="18"/>
      <c r="W809" s="18"/>
      <c r="X809" s="18"/>
      <c r="Y809" s="18"/>
      <c r="Z809" s="18"/>
      <c r="AA809" s="18"/>
      <c r="AB809" s="18"/>
      <c r="AC809" s="18"/>
      <c r="AD809" s="18"/>
      <c r="AE809" s="18"/>
      <c r="AF809" s="18"/>
      <c r="AG809" s="18"/>
    </row>
    <row r="810" spans="1:33" x14ac:dyDescent="0.2">
      <c r="A810" s="1279"/>
      <c r="B810" s="1280"/>
      <c r="C810" s="18"/>
      <c r="D810" s="18"/>
      <c r="E810" s="18"/>
      <c r="F810" s="18"/>
      <c r="G810" s="18"/>
      <c r="H810" s="18"/>
      <c r="I810" s="18"/>
      <c r="J810" s="18"/>
      <c r="K810" s="18"/>
      <c r="L810" s="12"/>
      <c r="M810" s="18"/>
      <c r="N810" s="18"/>
      <c r="O810" s="18"/>
      <c r="P810" s="18"/>
      <c r="Q810" s="18"/>
      <c r="R810" s="18"/>
      <c r="S810" s="18"/>
      <c r="T810" s="18"/>
      <c r="U810" s="18"/>
      <c r="V810" s="18"/>
      <c r="W810" s="18"/>
      <c r="X810" s="18"/>
      <c r="Y810" s="18"/>
      <c r="Z810" s="18"/>
      <c r="AA810" s="18"/>
      <c r="AB810" s="18"/>
      <c r="AC810" s="18"/>
      <c r="AD810" s="18"/>
      <c r="AE810" s="18"/>
      <c r="AF810" s="18"/>
      <c r="AG810" s="18"/>
    </row>
    <row r="811" spans="1:33" x14ac:dyDescent="0.2">
      <c r="A811" s="1279"/>
      <c r="B811" s="1280"/>
      <c r="C811" s="18"/>
      <c r="D811" s="18"/>
      <c r="E811" s="18"/>
      <c r="F811" s="18"/>
      <c r="G811" s="18"/>
      <c r="H811" s="18"/>
      <c r="I811" s="18"/>
      <c r="J811" s="18"/>
      <c r="K811" s="18"/>
      <c r="L811" s="12"/>
      <c r="M811" s="18"/>
      <c r="N811" s="18"/>
      <c r="O811" s="18"/>
      <c r="P811" s="18"/>
      <c r="Q811" s="18"/>
      <c r="R811" s="18"/>
      <c r="S811" s="18"/>
      <c r="T811" s="18"/>
      <c r="U811" s="18"/>
      <c r="V811" s="18"/>
      <c r="W811" s="18"/>
      <c r="X811" s="18"/>
      <c r="Y811" s="18"/>
      <c r="Z811" s="18"/>
      <c r="AA811" s="18"/>
      <c r="AB811" s="18"/>
      <c r="AC811" s="18"/>
      <c r="AD811" s="18"/>
      <c r="AE811" s="18"/>
      <c r="AF811" s="18"/>
      <c r="AG811" s="18"/>
    </row>
    <row r="812" spans="1:33" x14ac:dyDescent="0.2">
      <c r="A812" s="1279"/>
      <c r="B812" s="1280"/>
      <c r="C812" s="18"/>
      <c r="D812" s="18"/>
      <c r="E812" s="18"/>
      <c r="F812" s="18"/>
      <c r="G812" s="18"/>
      <c r="H812" s="18"/>
      <c r="I812" s="18"/>
      <c r="J812" s="18"/>
      <c r="K812" s="18"/>
      <c r="L812" s="12"/>
      <c r="M812" s="18"/>
      <c r="N812" s="18"/>
      <c r="O812" s="18"/>
      <c r="P812" s="18"/>
      <c r="Q812" s="18"/>
      <c r="R812" s="18"/>
      <c r="S812" s="18"/>
      <c r="T812" s="18"/>
      <c r="U812" s="18"/>
      <c r="V812" s="18"/>
      <c r="W812" s="18"/>
      <c r="X812" s="18"/>
      <c r="Y812" s="18"/>
      <c r="Z812" s="18"/>
      <c r="AA812" s="18"/>
      <c r="AB812" s="18"/>
      <c r="AC812" s="18"/>
      <c r="AD812" s="18"/>
      <c r="AE812" s="18"/>
      <c r="AF812" s="18"/>
      <c r="AG812" s="18"/>
    </row>
    <row r="813" spans="1:33" x14ac:dyDescent="0.2">
      <c r="A813" s="1279"/>
      <c r="B813" s="1280"/>
      <c r="C813" s="18"/>
      <c r="D813" s="18"/>
      <c r="E813" s="18"/>
      <c r="F813" s="18"/>
      <c r="G813" s="18"/>
      <c r="H813" s="18"/>
      <c r="I813" s="18"/>
      <c r="J813" s="18"/>
      <c r="K813" s="18"/>
      <c r="L813" s="12"/>
      <c r="M813" s="18"/>
      <c r="N813" s="18"/>
      <c r="O813" s="18"/>
      <c r="P813" s="18"/>
      <c r="Q813" s="18"/>
      <c r="R813" s="18"/>
      <c r="S813" s="18"/>
      <c r="T813" s="18"/>
      <c r="U813" s="18"/>
      <c r="V813" s="18"/>
      <c r="W813" s="18"/>
      <c r="X813" s="18"/>
      <c r="Y813" s="18"/>
      <c r="Z813" s="18"/>
      <c r="AA813" s="18"/>
      <c r="AB813" s="18"/>
      <c r="AC813" s="18"/>
      <c r="AD813" s="18"/>
      <c r="AE813" s="18"/>
      <c r="AF813" s="18"/>
      <c r="AG813" s="18"/>
    </row>
    <row r="814" spans="1:33" x14ac:dyDescent="0.2">
      <c r="A814" s="1279"/>
      <c r="B814" s="1280"/>
      <c r="C814" s="18"/>
      <c r="D814" s="18"/>
      <c r="E814" s="18"/>
      <c r="F814" s="18"/>
      <c r="G814" s="18"/>
      <c r="H814" s="18"/>
      <c r="I814" s="18"/>
      <c r="J814" s="18"/>
      <c r="K814" s="18"/>
      <c r="L814" s="12"/>
      <c r="M814" s="18"/>
      <c r="N814" s="18"/>
      <c r="O814" s="18"/>
      <c r="P814" s="18"/>
      <c r="Q814" s="18"/>
      <c r="R814" s="18"/>
      <c r="S814" s="18"/>
      <c r="T814" s="18"/>
      <c r="U814" s="18"/>
      <c r="V814" s="18"/>
      <c r="W814" s="18"/>
      <c r="X814" s="18"/>
      <c r="Y814" s="18"/>
      <c r="Z814" s="18"/>
      <c r="AA814" s="18"/>
      <c r="AB814" s="18"/>
      <c r="AC814" s="18"/>
      <c r="AD814" s="18"/>
      <c r="AE814" s="18"/>
      <c r="AF814" s="18"/>
      <c r="AG814" s="18"/>
    </row>
    <row r="815" spans="1:33" x14ac:dyDescent="0.2">
      <c r="A815" s="1279"/>
      <c r="B815" s="1280"/>
      <c r="C815" s="18"/>
      <c r="D815" s="18"/>
      <c r="E815" s="18"/>
      <c r="F815" s="18"/>
      <c r="G815" s="18"/>
      <c r="H815" s="18"/>
      <c r="I815" s="18"/>
      <c r="J815" s="18"/>
      <c r="K815" s="18"/>
      <c r="L815" s="12"/>
      <c r="M815" s="18"/>
      <c r="N815" s="18"/>
      <c r="O815" s="18"/>
      <c r="P815" s="18"/>
      <c r="Q815" s="18"/>
      <c r="R815" s="18"/>
      <c r="S815" s="18"/>
      <c r="T815" s="18"/>
      <c r="U815" s="18"/>
      <c r="V815" s="18"/>
      <c r="W815" s="18"/>
      <c r="X815" s="18"/>
      <c r="Y815" s="18"/>
      <c r="Z815" s="18"/>
      <c r="AA815" s="18"/>
      <c r="AB815" s="18"/>
      <c r="AC815" s="18"/>
      <c r="AD815" s="18"/>
      <c r="AE815" s="18"/>
      <c r="AF815" s="18"/>
      <c r="AG815" s="18"/>
    </row>
    <row r="816" spans="1:33" x14ac:dyDescent="0.2">
      <c r="A816" s="1279"/>
      <c r="B816" s="1280"/>
      <c r="C816" s="18"/>
      <c r="D816" s="18"/>
      <c r="E816" s="18"/>
      <c r="F816" s="18"/>
      <c r="G816" s="18"/>
      <c r="H816" s="18"/>
      <c r="I816" s="18"/>
      <c r="J816" s="18"/>
      <c r="K816" s="18"/>
      <c r="L816" s="12"/>
      <c r="M816" s="18"/>
      <c r="N816" s="18"/>
      <c r="O816" s="18"/>
      <c r="P816" s="18"/>
      <c r="Q816" s="18"/>
      <c r="R816" s="18"/>
      <c r="S816" s="18"/>
      <c r="T816" s="18"/>
      <c r="U816" s="18"/>
      <c r="V816" s="18"/>
      <c r="W816" s="18"/>
      <c r="X816" s="18"/>
      <c r="Y816" s="18"/>
      <c r="Z816" s="18"/>
      <c r="AA816" s="18"/>
      <c r="AB816" s="18"/>
      <c r="AC816" s="18"/>
      <c r="AD816" s="18"/>
      <c r="AE816" s="18"/>
      <c r="AF816" s="18"/>
      <c r="AG816" s="18"/>
    </row>
    <row r="817" spans="1:33" x14ac:dyDescent="0.2">
      <c r="A817" s="1279"/>
      <c r="B817" s="1280"/>
      <c r="C817" s="18"/>
      <c r="D817" s="18"/>
      <c r="E817" s="18"/>
      <c r="F817" s="18"/>
      <c r="G817" s="18"/>
      <c r="H817" s="18"/>
      <c r="I817" s="18"/>
      <c r="J817" s="18"/>
      <c r="K817" s="18"/>
      <c r="L817" s="12"/>
      <c r="M817" s="18"/>
      <c r="N817" s="18"/>
      <c r="O817" s="18"/>
      <c r="P817" s="18"/>
      <c r="Q817" s="18"/>
      <c r="R817" s="18"/>
      <c r="S817" s="18"/>
      <c r="T817" s="18"/>
      <c r="U817" s="18"/>
      <c r="V817" s="18"/>
      <c r="W817" s="18"/>
      <c r="X817" s="18"/>
      <c r="Y817" s="18"/>
      <c r="Z817" s="18"/>
      <c r="AA817" s="18"/>
      <c r="AB817" s="18"/>
      <c r="AC817" s="18"/>
      <c r="AD817" s="18"/>
      <c r="AE817" s="18"/>
      <c r="AF817" s="18"/>
      <c r="AG817" s="18"/>
    </row>
    <row r="818" spans="1:33" x14ac:dyDescent="0.2">
      <c r="A818" s="1279"/>
      <c r="B818" s="1280"/>
      <c r="C818" s="18"/>
      <c r="D818" s="18"/>
      <c r="E818" s="18"/>
      <c r="F818" s="18"/>
      <c r="G818" s="18"/>
      <c r="H818" s="18"/>
      <c r="I818" s="18"/>
      <c r="J818" s="18"/>
      <c r="K818" s="18"/>
      <c r="L818" s="12"/>
      <c r="M818" s="18"/>
      <c r="N818" s="18"/>
      <c r="O818" s="18"/>
      <c r="P818" s="18"/>
      <c r="Q818" s="18"/>
      <c r="R818" s="18"/>
      <c r="S818" s="18"/>
      <c r="T818" s="18"/>
      <c r="U818" s="18"/>
      <c r="V818" s="18"/>
      <c r="W818" s="18"/>
      <c r="X818" s="18"/>
      <c r="Y818" s="18"/>
      <c r="Z818" s="18"/>
      <c r="AA818" s="18"/>
      <c r="AB818" s="18"/>
      <c r="AC818" s="18"/>
      <c r="AD818" s="18"/>
      <c r="AE818" s="18"/>
      <c r="AF818" s="18"/>
      <c r="AG818" s="18"/>
    </row>
    <row r="819" spans="1:33" x14ac:dyDescent="0.2">
      <c r="A819" s="1279"/>
      <c r="B819" s="1280"/>
      <c r="C819" s="18"/>
      <c r="D819" s="18"/>
      <c r="E819" s="18"/>
      <c r="F819" s="18"/>
      <c r="G819" s="18"/>
      <c r="H819" s="18"/>
      <c r="I819" s="18"/>
      <c r="J819" s="18"/>
      <c r="K819" s="18"/>
      <c r="L819" s="12"/>
      <c r="M819" s="18"/>
      <c r="N819" s="18"/>
      <c r="O819" s="18"/>
      <c r="P819" s="18"/>
      <c r="Q819" s="18"/>
      <c r="R819" s="18"/>
      <c r="S819" s="18"/>
      <c r="T819" s="18"/>
      <c r="U819" s="18"/>
      <c r="V819" s="18"/>
      <c r="W819" s="18"/>
      <c r="X819" s="18"/>
      <c r="Y819" s="18"/>
      <c r="Z819" s="18"/>
      <c r="AA819" s="18"/>
      <c r="AB819" s="18"/>
      <c r="AC819" s="18"/>
      <c r="AD819" s="18"/>
      <c r="AE819" s="18"/>
      <c r="AF819" s="18"/>
      <c r="AG819" s="18"/>
    </row>
    <row r="820" spans="1:33" x14ac:dyDescent="0.2">
      <c r="A820" s="1279"/>
      <c r="B820" s="1280"/>
      <c r="C820" s="18"/>
      <c r="D820" s="18"/>
      <c r="E820" s="18"/>
      <c r="F820" s="18"/>
      <c r="G820" s="18"/>
      <c r="H820" s="18"/>
      <c r="I820" s="18"/>
      <c r="J820" s="18"/>
      <c r="K820" s="18"/>
      <c r="L820" s="12"/>
      <c r="M820" s="18"/>
      <c r="N820" s="18"/>
      <c r="O820" s="18"/>
      <c r="P820" s="18"/>
      <c r="Q820" s="18"/>
      <c r="R820" s="18"/>
      <c r="S820" s="18"/>
      <c r="T820" s="18"/>
      <c r="U820" s="18"/>
      <c r="V820" s="18"/>
      <c r="W820" s="18"/>
      <c r="X820" s="18"/>
      <c r="Y820" s="18"/>
      <c r="Z820" s="18"/>
      <c r="AA820" s="18"/>
      <c r="AB820" s="18"/>
      <c r="AC820" s="18"/>
      <c r="AD820" s="18"/>
      <c r="AE820" s="18"/>
      <c r="AF820" s="18"/>
      <c r="AG820" s="18"/>
    </row>
    <row r="821" spans="1:33" x14ac:dyDescent="0.2">
      <c r="A821" s="1279"/>
      <c r="B821" s="1280"/>
      <c r="C821" s="18"/>
      <c r="D821" s="18"/>
      <c r="E821" s="18"/>
      <c r="F821" s="18"/>
      <c r="G821" s="18"/>
      <c r="H821" s="18"/>
      <c r="I821" s="18"/>
      <c r="J821" s="18"/>
      <c r="K821" s="18"/>
      <c r="L821" s="12"/>
      <c r="M821" s="18"/>
      <c r="N821" s="18"/>
      <c r="O821" s="18"/>
      <c r="P821" s="18"/>
      <c r="Q821" s="18"/>
      <c r="R821" s="18"/>
      <c r="S821" s="18"/>
      <c r="T821" s="18"/>
      <c r="U821" s="18"/>
      <c r="V821" s="18"/>
      <c r="W821" s="18"/>
      <c r="X821" s="18"/>
      <c r="Y821" s="18"/>
      <c r="Z821" s="18"/>
      <c r="AA821" s="18"/>
      <c r="AB821" s="18"/>
      <c r="AC821" s="18"/>
      <c r="AD821" s="18"/>
      <c r="AE821" s="18"/>
      <c r="AF821" s="18"/>
      <c r="AG821" s="18"/>
    </row>
    <row r="822" spans="1:33" x14ac:dyDescent="0.2">
      <c r="A822" s="1279"/>
      <c r="B822" s="1280"/>
      <c r="C822" s="18"/>
      <c r="D822" s="18"/>
      <c r="E822" s="18"/>
      <c r="F822" s="18"/>
      <c r="G822" s="18"/>
      <c r="H822" s="18"/>
      <c r="I822" s="18"/>
      <c r="J822" s="18"/>
      <c r="K822" s="18"/>
      <c r="L822" s="12"/>
      <c r="M822" s="18"/>
      <c r="N822" s="18"/>
      <c r="O822" s="18"/>
      <c r="P822" s="18"/>
      <c r="Q822" s="18"/>
      <c r="R822" s="18"/>
      <c r="S822" s="18"/>
      <c r="T822" s="18"/>
      <c r="U822" s="18"/>
      <c r="V822" s="18"/>
      <c r="W822" s="18"/>
      <c r="X822" s="18"/>
      <c r="Y822" s="18"/>
      <c r="Z822" s="18"/>
      <c r="AA822" s="18"/>
      <c r="AB822" s="18"/>
      <c r="AC822" s="18"/>
      <c r="AD822" s="18"/>
      <c r="AE822" s="18"/>
      <c r="AF822" s="18"/>
      <c r="AG822" s="18"/>
    </row>
    <row r="823" spans="1:33" x14ac:dyDescent="0.2">
      <c r="A823" s="1279"/>
      <c r="B823" s="1280"/>
      <c r="C823" s="18"/>
      <c r="D823" s="18"/>
      <c r="E823" s="18"/>
      <c r="F823" s="18"/>
      <c r="G823" s="18"/>
      <c r="H823" s="18"/>
      <c r="I823" s="18"/>
      <c r="J823" s="18"/>
      <c r="K823" s="18"/>
      <c r="L823" s="12"/>
      <c r="M823" s="18"/>
      <c r="N823" s="18"/>
      <c r="O823" s="18"/>
      <c r="P823" s="18"/>
      <c r="Q823" s="18"/>
      <c r="R823" s="18"/>
      <c r="S823" s="18"/>
      <c r="T823" s="18"/>
      <c r="U823" s="18"/>
      <c r="V823" s="18"/>
      <c r="W823" s="18"/>
      <c r="X823" s="18"/>
      <c r="Y823" s="18"/>
      <c r="Z823" s="18"/>
      <c r="AA823" s="18"/>
      <c r="AB823" s="18"/>
      <c r="AC823" s="18"/>
      <c r="AD823" s="18"/>
      <c r="AE823" s="18"/>
      <c r="AF823" s="18"/>
      <c r="AG823" s="18"/>
    </row>
    <row r="824" spans="1:33" x14ac:dyDescent="0.2">
      <c r="A824" s="1279"/>
      <c r="B824" s="1280"/>
      <c r="C824" s="18"/>
      <c r="D824" s="18"/>
      <c r="E824" s="18"/>
      <c r="F824" s="18"/>
      <c r="G824" s="18"/>
      <c r="H824" s="18"/>
      <c r="I824" s="18"/>
      <c r="J824" s="18"/>
      <c r="K824" s="18"/>
      <c r="L824" s="12"/>
      <c r="M824" s="18"/>
      <c r="N824" s="18"/>
      <c r="O824" s="18"/>
      <c r="P824" s="18"/>
      <c r="Q824" s="18"/>
      <c r="R824" s="18"/>
      <c r="S824" s="18"/>
      <c r="T824" s="18"/>
      <c r="U824" s="18"/>
      <c r="V824" s="18"/>
      <c r="W824" s="18"/>
      <c r="X824" s="18"/>
      <c r="Y824" s="18"/>
      <c r="Z824" s="18"/>
      <c r="AA824" s="18"/>
      <c r="AB824" s="18"/>
      <c r="AC824" s="18"/>
      <c r="AD824" s="18"/>
      <c r="AE824" s="18"/>
      <c r="AF824" s="18"/>
      <c r="AG824" s="18"/>
    </row>
    <row r="825" spans="1:33" x14ac:dyDescent="0.2">
      <c r="A825" s="1279"/>
      <c r="B825" s="1280"/>
      <c r="C825" s="18"/>
      <c r="D825" s="18"/>
      <c r="E825" s="18"/>
      <c r="F825" s="18"/>
      <c r="G825" s="18"/>
      <c r="H825" s="18"/>
      <c r="I825" s="18"/>
      <c r="J825" s="18"/>
      <c r="K825" s="18"/>
      <c r="L825" s="12"/>
      <c r="M825" s="18"/>
      <c r="N825" s="18"/>
      <c r="O825" s="18"/>
      <c r="P825" s="18"/>
      <c r="Q825" s="18"/>
      <c r="R825" s="18"/>
      <c r="S825" s="18"/>
      <c r="T825" s="18"/>
      <c r="U825" s="18"/>
      <c r="V825" s="18"/>
      <c r="W825" s="18"/>
      <c r="X825" s="18"/>
      <c r="Y825" s="18"/>
      <c r="Z825" s="18"/>
      <c r="AA825" s="18"/>
      <c r="AB825" s="18"/>
      <c r="AC825" s="18"/>
      <c r="AD825" s="18"/>
      <c r="AE825" s="18"/>
      <c r="AF825" s="18"/>
      <c r="AG825" s="18"/>
    </row>
    <row r="826" spans="1:33" x14ac:dyDescent="0.2">
      <c r="A826" s="1279"/>
      <c r="B826" s="1280"/>
      <c r="C826" s="18"/>
      <c r="D826" s="18"/>
      <c r="E826" s="18"/>
      <c r="F826" s="18"/>
      <c r="G826" s="18"/>
      <c r="H826" s="18"/>
      <c r="I826" s="18"/>
      <c r="J826" s="18"/>
      <c r="K826" s="18"/>
      <c r="L826" s="12"/>
      <c r="M826" s="18"/>
      <c r="N826" s="18"/>
      <c r="O826" s="18"/>
      <c r="P826" s="18"/>
      <c r="Q826" s="18"/>
      <c r="R826" s="18"/>
      <c r="S826" s="18"/>
      <c r="T826" s="18"/>
      <c r="U826" s="18"/>
      <c r="V826" s="18"/>
      <c r="W826" s="18"/>
      <c r="X826" s="18"/>
      <c r="Y826" s="18"/>
      <c r="Z826" s="18"/>
      <c r="AA826" s="18"/>
      <c r="AB826" s="18"/>
      <c r="AC826" s="18"/>
      <c r="AD826" s="18"/>
      <c r="AE826" s="18"/>
      <c r="AF826" s="18"/>
      <c r="AG826" s="18"/>
    </row>
    <row r="827" spans="1:33" x14ac:dyDescent="0.2">
      <c r="A827" s="1279"/>
      <c r="B827" s="1280"/>
      <c r="C827" s="18"/>
      <c r="D827" s="18"/>
      <c r="E827" s="18"/>
      <c r="F827" s="18"/>
      <c r="G827" s="18"/>
      <c r="H827" s="18"/>
      <c r="I827" s="18"/>
      <c r="J827" s="18"/>
      <c r="K827" s="18"/>
      <c r="L827" s="12"/>
      <c r="M827" s="18"/>
      <c r="N827" s="18"/>
      <c r="O827" s="18"/>
      <c r="P827" s="18"/>
      <c r="Q827" s="18"/>
      <c r="R827" s="18"/>
      <c r="S827" s="18"/>
      <c r="T827" s="18"/>
      <c r="U827" s="18"/>
      <c r="V827" s="18"/>
      <c r="W827" s="18"/>
      <c r="X827" s="18"/>
      <c r="Y827" s="18"/>
      <c r="Z827" s="18"/>
      <c r="AA827" s="18"/>
      <c r="AB827" s="18"/>
      <c r="AC827" s="18"/>
      <c r="AD827" s="18"/>
      <c r="AE827" s="18"/>
      <c r="AF827" s="18"/>
      <c r="AG827" s="18"/>
    </row>
    <row r="828" spans="1:33" x14ac:dyDescent="0.2">
      <c r="A828" s="1279"/>
      <c r="B828" s="1280"/>
      <c r="C828" s="18"/>
      <c r="D828" s="18"/>
      <c r="E828" s="18"/>
      <c r="F828" s="18"/>
      <c r="G828" s="18"/>
      <c r="H828" s="18"/>
      <c r="I828" s="18"/>
      <c r="J828" s="18"/>
      <c r="K828" s="18"/>
      <c r="L828" s="12"/>
      <c r="M828" s="18"/>
      <c r="N828" s="18"/>
      <c r="O828" s="18"/>
      <c r="P828" s="18"/>
      <c r="Q828" s="18"/>
      <c r="R828" s="18"/>
      <c r="S828" s="18"/>
      <c r="T828" s="18"/>
      <c r="U828" s="18"/>
      <c r="V828" s="18"/>
      <c r="W828" s="18"/>
      <c r="X828" s="18"/>
      <c r="Y828" s="18"/>
      <c r="Z828" s="18"/>
      <c r="AA828" s="18"/>
      <c r="AB828" s="18"/>
      <c r="AC828" s="18"/>
      <c r="AD828" s="18"/>
      <c r="AE828" s="18"/>
      <c r="AF828" s="18"/>
      <c r="AG828" s="18"/>
    </row>
    <row r="829" spans="1:33" x14ac:dyDescent="0.2">
      <c r="A829" s="1279"/>
      <c r="B829" s="1280"/>
      <c r="C829" s="18"/>
      <c r="D829" s="18"/>
      <c r="E829" s="18"/>
      <c r="F829" s="18"/>
      <c r="G829" s="18"/>
      <c r="H829" s="18"/>
      <c r="I829" s="18"/>
      <c r="J829" s="18"/>
      <c r="K829" s="18"/>
      <c r="L829" s="12"/>
      <c r="M829" s="18"/>
      <c r="N829" s="18"/>
      <c r="O829" s="18"/>
      <c r="P829" s="18"/>
      <c r="Q829" s="18"/>
      <c r="R829" s="18"/>
      <c r="S829" s="18"/>
      <c r="T829" s="18"/>
      <c r="U829" s="18"/>
      <c r="V829" s="18"/>
      <c r="W829" s="18"/>
      <c r="X829" s="18"/>
      <c r="Y829" s="18"/>
      <c r="Z829" s="18"/>
      <c r="AA829" s="18"/>
      <c r="AB829" s="18"/>
      <c r="AC829" s="18"/>
      <c r="AD829" s="18"/>
      <c r="AE829" s="18"/>
      <c r="AF829" s="18"/>
      <c r="AG829" s="18"/>
    </row>
    <row r="830" spans="1:33" x14ac:dyDescent="0.2">
      <c r="A830" s="1279"/>
      <c r="B830" s="1280"/>
      <c r="C830" s="18"/>
      <c r="D830" s="18"/>
      <c r="E830" s="18"/>
      <c r="F830" s="18"/>
      <c r="G830" s="18"/>
      <c r="H830" s="18"/>
      <c r="I830" s="18"/>
      <c r="J830" s="18"/>
      <c r="K830" s="18"/>
      <c r="L830" s="12"/>
      <c r="M830" s="18"/>
      <c r="N830" s="18"/>
      <c r="O830" s="18"/>
      <c r="P830" s="18"/>
      <c r="Q830" s="18"/>
      <c r="R830" s="18"/>
      <c r="S830" s="18"/>
      <c r="T830" s="18"/>
      <c r="U830" s="18"/>
      <c r="V830" s="18"/>
      <c r="W830" s="18"/>
      <c r="X830" s="18"/>
      <c r="Y830" s="18"/>
      <c r="Z830" s="18"/>
      <c r="AA830" s="18"/>
      <c r="AB830" s="18"/>
      <c r="AC830" s="18"/>
      <c r="AD830" s="18"/>
      <c r="AE830" s="18"/>
      <c r="AF830" s="18"/>
      <c r="AG830" s="18"/>
    </row>
    <row r="831" spans="1:33" x14ac:dyDescent="0.2">
      <c r="A831" s="1279"/>
      <c r="B831" s="1280"/>
      <c r="C831" s="18"/>
      <c r="D831" s="18"/>
      <c r="E831" s="18"/>
      <c r="F831" s="18"/>
      <c r="G831" s="18"/>
      <c r="H831" s="18"/>
      <c r="I831" s="18"/>
      <c r="J831" s="18"/>
      <c r="K831" s="18"/>
      <c r="L831" s="12"/>
      <c r="M831" s="18"/>
      <c r="N831" s="18"/>
      <c r="O831" s="18"/>
      <c r="P831" s="18"/>
      <c r="Q831" s="18"/>
      <c r="R831" s="18"/>
      <c r="S831" s="18"/>
      <c r="T831" s="18"/>
      <c r="U831" s="18"/>
      <c r="V831" s="18"/>
      <c r="W831" s="18"/>
      <c r="X831" s="18"/>
      <c r="Y831" s="18"/>
      <c r="Z831" s="18"/>
      <c r="AA831" s="18"/>
      <c r="AB831" s="18"/>
      <c r="AC831" s="18"/>
      <c r="AD831" s="18"/>
      <c r="AE831" s="18"/>
      <c r="AF831" s="18"/>
      <c r="AG831" s="18"/>
    </row>
    <row r="832" spans="1:33" x14ac:dyDescent="0.2">
      <c r="A832" s="1279"/>
      <c r="B832" s="1280"/>
      <c r="C832" s="18"/>
      <c r="D832" s="18"/>
      <c r="E832" s="18"/>
      <c r="F832" s="18"/>
      <c r="G832" s="18"/>
      <c r="H832" s="18"/>
      <c r="I832" s="18"/>
      <c r="J832" s="18"/>
      <c r="K832" s="18"/>
      <c r="L832" s="12"/>
      <c r="M832" s="18"/>
      <c r="N832" s="18"/>
      <c r="O832" s="18"/>
      <c r="P832" s="18"/>
      <c r="Q832" s="18"/>
      <c r="R832" s="18"/>
      <c r="S832" s="18"/>
      <c r="T832" s="18"/>
      <c r="U832" s="18"/>
      <c r="V832" s="18"/>
      <c r="W832" s="18"/>
      <c r="X832" s="18"/>
      <c r="Y832" s="18"/>
      <c r="Z832" s="18"/>
      <c r="AA832" s="18"/>
      <c r="AB832" s="18"/>
      <c r="AC832" s="18"/>
      <c r="AD832" s="18"/>
      <c r="AE832" s="18"/>
      <c r="AF832" s="18"/>
      <c r="AG832" s="18"/>
    </row>
    <row r="833" spans="1:33" x14ac:dyDescent="0.2">
      <c r="A833" s="1279"/>
      <c r="B833" s="1280"/>
      <c r="C833" s="18"/>
      <c r="D833" s="18"/>
      <c r="E833" s="18"/>
      <c r="F833" s="18"/>
      <c r="G833" s="18"/>
      <c r="H833" s="18"/>
      <c r="I833" s="18"/>
      <c r="J833" s="18"/>
      <c r="K833" s="18"/>
      <c r="L833" s="12"/>
      <c r="M833" s="18"/>
      <c r="N833" s="18"/>
      <c r="O833" s="18"/>
      <c r="P833" s="18"/>
      <c r="Q833" s="18"/>
      <c r="R833" s="18"/>
      <c r="S833" s="18"/>
      <c r="T833" s="18"/>
      <c r="U833" s="18"/>
      <c r="V833" s="18"/>
      <c r="W833" s="18"/>
      <c r="X833" s="18"/>
      <c r="Y833" s="18"/>
      <c r="Z833" s="18"/>
      <c r="AA833" s="18"/>
      <c r="AB833" s="18"/>
      <c r="AC833" s="18"/>
      <c r="AD833" s="18"/>
      <c r="AE833" s="18"/>
      <c r="AF833" s="18"/>
      <c r="AG833" s="18"/>
    </row>
    <row r="834" spans="1:33" x14ac:dyDescent="0.2">
      <c r="A834" s="1279"/>
      <c r="B834" s="1280"/>
      <c r="C834" s="18"/>
      <c r="D834" s="18"/>
      <c r="E834" s="18"/>
      <c r="F834" s="18"/>
      <c r="G834" s="18"/>
      <c r="H834" s="18"/>
      <c r="I834" s="18"/>
      <c r="J834" s="18"/>
      <c r="K834" s="18"/>
      <c r="L834" s="12"/>
      <c r="M834" s="18"/>
      <c r="N834" s="18"/>
      <c r="O834" s="18"/>
      <c r="P834" s="18"/>
      <c r="Q834" s="18"/>
      <c r="R834" s="18"/>
      <c r="S834" s="18"/>
      <c r="T834" s="18"/>
      <c r="U834" s="18"/>
      <c r="V834" s="18"/>
      <c r="W834" s="18"/>
      <c r="X834" s="18"/>
      <c r="Y834" s="18"/>
      <c r="Z834" s="18"/>
      <c r="AA834" s="18"/>
      <c r="AB834" s="18"/>
      <c r="AC834" s="18"/>
      <c r="AD834" s="18"/>
      <c r="AE834" s="18"/>
      <c r="AF834" s="18"/>
      <c r="AG834" s="18"/>
    </row>
    <row r="835" spans="1:33" x14ac:dyDescent="0.2">
      <c r="A835" s="1279"/>
      <c r="B835" s="1280"/>
      <c r="C835" s="18"/>
      <c r="D835" s="18"/>
      <c r="E835" s="18"/>
      <c r="F835" s="18"/>
      <c r="G835" s="18"/>
      <c r="H835" s="18"/>
      <c r="I835" s="18"/>
      <c r="J835" s="18"/>
      <c r="K835" s="18"/>
      <c r="L835" s="12"/>
      <c r="M835" s="18"/>
      <c r="N835" s="18"/>
      <c r="O835" s="18"/>
      <c r="P835" s="18"/>
      <c r="Q835" s="18"/>
      <c r="R835" s="18"/>
      <c r="S835" s="18"/>
      <c r="T835" s="18"/>
      <c r="U835" s="18"/>
      <c r="V835" s="18"/>
      <c r="W835" s="18"/>
      <c r="X835" s="18"/>
      <c r="Y835" s="18"/>
      <c r="Z835" s="18"/>
      <c r="AA835" s="18"/>
      <c r="AB835" s="18"/>
      <c r="AC835" s="18"/>
      <c r="AD835" s="18"/>
      <c r="AE835" s="18"/>
      <c r="AF835" s="18"/>
      <c r="AG835" s="18"/>
    </row>
    <row r="836" spans="1:33" x14ac:dyDescent="0.2">
      <c r="A836" s="1279"/>
      <c r="B836" s="1280"/>
      <c r="C836" s="18"/>
      <c r="D836" s="18"/>
      <c r="E836" s="18"/>
      <c r="F836" s="18"/>
      <c r="G836" s="18"/>
      <c r="H836" s="18"/>
      <c r="I836" s="18"/>
      <c r="J836" s="18"/>
      <c r="K836" s="18"/>
      <c r="L836" s="12"/>
      <c r="M836" s="18"/>
      <c r="N836" s="18"/>
      <c r="O836" s="18"/>
      <c r="P836" s="18"/>
      <c r="Q836" s="18"/>
      <c r="R836" s="18"/>
      <c r="S836" s="18"/>
      <c r="T836" s="18"/>
      <c r="U836" s="18"/>
      <c r="V836" s="18"/>
      <c r="W836" s="18"/>
      <c r="X836" s="18"/>
      <c r="Y836" s="18"/>
      <c r="Z836" s="18"/>
      <c r="AA836" s="18"/>
      <c r="AB836" s="18"/>
      <c r="AC836" s="18"/>
      <c r="AD836" s="18"/>
      <c r="AE836" s="18"/>
      <c r="AF836" s="18"/>
      <c r="AG836" s="18"/>
    </row>
    <row r="837" spans="1:33" x14ac:dyDescent="0.2">
      <c r="A837" s="1279"/>
      <c r="B837" s="1280"/>
      <c r="C837" s="18"/>
      <c r="D837" s="18"/>
      <c r="E837" s="18"/>
      <c r="F837" s="18"/>
      <c r="G837" s="18"/>
      <c r="H837" s="18"/>
      <c r="I837" s="18"/>
      <c r="J837" s="18"/>
      <c r="K837" s="18"/>
      <c r="L837" s="12"/>
      <c r="M837" s="18"/>
      <c r="N837" s="18"/>
      <c r="O837" s="18"/>
      <c r="P837" s="18"/>
      <c r="Q837" s="18"/>
      <c r="R837" s="18"/>
      <c r="S837" s="18"/>
      <c r="T837" s="18"/>
      <c r="U837" s="18"/>
      <c r="V837" s="18"/>
      <c r="W837" s="18"/>
      <c r="X837" s="18"/>
      <c r="Y837" s="18"/>
      <c r="Z837" s="18"/>
      <c r="AA837" s="18"/>
      <c r="AB837" s="18"/>
      <c r="AC837" s="18"/>
      <c r="AD837" s="18"/>
      <c r="AE837" s="18"/>
      <c r="AF837" s="18"/>
      <c r="AG837" s="18"/>
    </row>
    <row r="838" spans="1:33" x14ac:dyDescent="0.2">
      <c r="A838" s="1279"/>
      <c r="B838" s="1280"/>
      <c r="C838" s="18"/>
      <c r="D838" s="18"/>
      <c r="E838" s="18"/>
      <c r="F838" s="18"/>
      <c r="G838" s="18"/>
      <c r="H838" s="18"/>
      <c r="I838" s="18"/>
      <c r="J838" s="18"/>
      <c r="K838" s="18"/>
      <c r="L838" s="12"/>
      <c r="M838" s="18"/>
      <c r="N838" s="18"/>
      <c r="O838" s="18"/>
      <c r="P838" s="18"/>
      <c r="Q838" s="18"/>
      <c r="R838" s="18"/>
      <c r="S838" s="18"/>
      <c r="T838" s="18"/>
      <c r="U838" s="18"/>
      <c r="V838" s="18"/>
      <c r="W838" s="18"/>
      <c r="X838" s="18"/>
      <c r="Y838" s="18"/>
      <c r="Z838" s="18"/>
      <c r="AA838" s="18"/>
      <c r="AB838" s="18"/>
      <c r="AC838" s="18"/>
      <c r="AD838" s="18"/>
      <c r="AE838" s="18"/>
      <c r="AF838" s="18"/>
      <c r="AG838" s="18"/>
    </row>
    <row r="839" spans="1:33" x14ac:dyDescent="0.2">
      <c r="A839" s="1279"/>
      <c r="B839" s="1280"/>
      <c r="C839" s="18"/>
      <c r="D839" s="18"/>
      <c r="E839" s="18"/>
      <c r="F839" s="18"/>
      <c r="G839" s="18"/>
      <c r="H839" s="18"/>
      <c r="I839" s="18"/>
      <c r="J839" s="18"/>
      <c r="K839" s="18"/>
      <c r="L839" s="12"/>
      <c r="M839" s="18"/>
      <c r="N839" s="18"/>
      <c r="O839" s="18"/>
      <c r="P839" s="18"/>
      <c r="Q839" s="18"/>
      <c r="R839" s="18"/>
      <c r="S839" s="18"/>
      <c r="T839" s="18"/>
      <c r="U839" s="18"/>
      <c r="V839" s="18"/>
      <c r="W839" s="18"/>
      <c r="X839" s="18"/>
      <c r="Y839" s="18"/>
      <c r="Z839" s="18"/>
      <c r="AA839" s="18"/>
      <c r="AB839" s="18"/>
      <c r="AC839" s="18"/>
      <c r="AD839" s="18"/>
      <c r="AE839" s="18"/>
      <c r="AF839" s="18"/>
      <c r="AG839" s="18"/>
    </row>
    <row r="840" spans="1:33" x14ac:dyDescent="0.2">
      <c r="A840" s="1279"/>
      <c r="B840" s="1280"/>
      <c r="C840" s="18"/>
      <c r="D840" s="18"/>
      <c r="E840" s="18"/>
      <c r="F840" s="18"/>
      <c r="G840" s="18"/>
      <c r="H840" s="18"/>
      <c r="I840" s="18"/>
      <c r="J840" s="18"/>
      <c r="K840" s="18"/>
      <c r="L840" s="12"/>
      <c r="M840" s="18"/>
      <c r="N840" s="18"/>
      <c r="O840" s="18"/>
      <c r="P840" s="18"/>
      <c r="Q840" s="18"/>
      <c r="R840" s="18"/>
      <c r="S840" s="18"/>
      <c r="T840" s="18"/>
      <c r="U840" s="18"/>
      <c r="V840" s="18"/>
      <c r="W840" s="18"/>
      <c r="X840" s="18"/>
      <c r="Y840" s="18"/>
      <c r="Z840" s="18"/>
      <c r="AA840" s="18"/>
      <c r="AB840" s="18"/>
      <c r="AC840" s="18"/>
      <c r="AD840" s="18"/>
      <c r="AE840" s="18"/>
      <c r="AF840" s="18"/>
      <c r="AG840" s="18"/>
    </row>
    <row r="841" spans="1:33" x14ac:dyDescent="0.2">
      <c r="A841" s="1279"/>
      <c r="B841" s="1280"/>
      <c r="C841" s="18"/>
      <c r="D841" s="18"/>
      <c r="E841" s="18"/>
      <c r="F841" s="18"/>
      <c r="G841" s="18"/>
      <c r="H841" s="18"/>
      <c r="I841" s="18"/>
      <c r="J841" s="18"/>
      <c r="K841" s="18"/>
      <c r="L841" s="12"/>
      <c r="M841" s="18"/>
      <c r="N841" s="18"/>
      <c r="O841" s="18"/>
      <c r="P841" s="18"/>
      <c r="Q841" s="18"/>
      <c r="R841" s="18"/>
      <c r="S841" s="18"/>
      <c r="T841" s="18"/>
      <c r="U841" s="18"/>
      <c r="V841" s="18"/>
      <c r="W841" s="18"/>
      <c r="X841" s="18"/>
      <c r="Y841" s="18"/>
      <c r="Z841" s="18"/>
      <c r="AA841" s="18"/>
      <c r="AB841" s="18"/>
      <c r="AC841" s="18"/>
      <c r="AD841" s="18"/>
      <c r="AE841" s="18"/>
      <c r="AF841" s="18"/>
      <c r="AG841" s="18"/>
    </row>
    <row r="842" spans="1:33" x14ac:dyDescent="0.2">
      <c r="A842" s="1279"/>
      <c r="B842" s="1280"/>
      <c r="C842" s="18"/>
      <c r="D842" s="18"/>
      <c r="E842" s="18"/>
      <c r="F842" s="18"/>
      <c r="G842" s="18"/>
      <c r="H842" s="18"/>
      <c r="I842" s="18"/>
      <c r="J842" s="18"/>
      <c r="K842" s="18"/>
      <c r="L842" s="12"/>
      <c r="M842" s="18"/>
      <c r="N842" s="18"/>
      <c r="O842" s="18"/>
      <c r="P842" s="18"/>
      <c r="Q842" s="18"/>
      <c r="R842" s="18"/>
      <c r="S842" s="18"/>
      <c r="T842" s="18"/>
      <c r="U842" s="18"/>
      <c r="V842" s="18"/>
      <c r="W842" s="18"/>
      <c r="X842" s="18"/>
      <c r="Y842" s="18"/>
      <c r="Z842" s="18"/>
      <c r="AA842" s="18"/>
      <c r="AB842" s="18"/>
      <c r="AC842" s="18"/>
      <c r="AD842" s="18"/>
      <c r="AE842" s="18"/>
      <c r="AF842" s="18"/>
      <c r="AG842" s="18"/>
    </row>
    <row r="843" spans="1:33" x14ac:dyDescent="0.2">
      <c r="A843" s="1279"/>
      <c r="B843" s="1280"/>
      <c r="C843" s="18"/>
      <c r="D843" s="18"/>
      <c r="E843" s="18"/>
      <c r="F843" s="18"/>
      <c r="G843" s="18"/>
      <c r="H843" s="18"/>
      <c r="I843" s="18"/>
      <c r="J843" s="18"/>
      <c r="K843" s="18"/>
      <c r="L843" s="12"/>
      <c r="M843" s="18"/>
      <c r="N843" s="18"/>
      <c r="O843" s="18"/>
      <c r="P843" s="18"/>
      <c r="Q843" s="18"/>
      <c r="R843" s="18"/>
      <c r="S843" s="18"/>
      <c r="T843" s="18"/>
      <c r="U843" s="18"/>
      <c r="V843" s="18"/>
      <c r="W843" s="18"/>
      <c r="X843" s="18"/>
      <c r="Y843" s="18"/>
      <c r="Z843" s="18"/>
      <c r="AA843" s="18"/>
      <c r="AB843" s="18"/>
      <c r="AC843" s="18"/>
      <c r="AD843" s="18"/>
      <c r="AE843" s="18"/>
      <c r="AF843" s="18"/>
      <c r="AG843" s="18"/>
    </row>
    <row r="844" spans="1:33" x14ac:dyDescent="0.2">
      <c r="A844" s="1279"/>
      <c r="B844" s="1280"/>
      <c r="C844" s="18"/>
      <c r="D844" s="18"/>
      <c r="E844" s="18"/>
      <c r="F844" s="18"/>
      <c r="G844" s="18"/>
      <c r="H844" s="18"/>
      <c r="I844" s="18"/>
      <c r="J844" s="18"/>
      <c r="K844" s="18"/>
      <c r="L844" s="12"/>
      <c r="M844" s="18"/>
      <c r="N844" s="18"/>
      <c r="O844" s="18"/>
      <c r="P844" s="18"/>
      <c r="Q844" s="18"/>
      <c r="R844" s="18"/>
      <c r="S844" s="18"/>
      <c r="T844" s="18"/>
      <c r="U844" s="18"/>
      <c r="V844" s="18"/>
      <c r="W844" s="18"/>
      <c r="X844" s="18"/>
      <c r="Y844" s="18"/>
      <c r="Z844" s="18"/>
      <c r="AA844" s="18"/>
      <c r="AB844" s="18"/>
      <c r="AC844" s="18"/>
      <c r="AD844" s="18"/>
      <c r="AE844" s="18"/>
      <c r="AF844" s="18"/>
      <c r="AG844" s="18"/>
    </row>
    <row r="845" spans="1:33" x14ac:dyDescent="0.2">
      <c r="A845" s="1279"/>
      <c r="B845" s="1280"/>
      <c r="C845" s="18"/>
      <c r="D845" s="18"/>
      <c r="E845" s="18"/>
      <c r="F845" s="18"/>
      <c r="G845" s="18"/>
      <c r="H845" s="18"/>
      <c r="I845" s="18"/>
      <c r="J845" s="18"/>
      <c r="K845" s="18"/>
      <c r="L845" s="12"/>
      <c r="M845" s="18"/>
      <c r="N845" s="18"/>
      <c r="O845" s="18"/>
      <c r="P845" s="18"/>
      <c r="Q845" s="18"/>
      <c r="R845" s="18"/>
      <c r="S845" s="18"/>
      <c r="T845" s="18"/>
      <c r="U845" s="18"/>
      <c r="V845" s="18"/>
      <c r="W845" s="18"/>
      <c r="X845" s="18"/>
      <c r="Y845" s="18"/>
      <c r="Z845" s="18"/>
      <c r="AA845" s="18"/>
      <c r="AB845" s="18"/>
      <c r="AC845" s="18"/>
      <c r="AD845" s="18"/>
      <c r="AE845" s="18"/>
      <c r="AF845" s="18"/>
      <c r="AG845" s="18"/>
    </row>
    <row r="846" spans="1:33" x14ac:dyDescent="0.2">
      <c r="A846" s="1279"/>
      <c r="B846" s="1280"/>
      <c r="C846" s="18"/>
      <c r="D846" s="18"/>
      <c r="E846" s="18"/>
      <c r="F846" s="18"/>
      <c r="G846" s="18"/>
      <c r="H846" s="18"/>
      <c r="I846" s="18"/>
      <c r="J846" s="18"/>
      <c r="K846" s="18"/>
      <c r="L846" s="12"/>
      <c r="M846" s="18"/>
      <c r="N846" s="18"/>
      <c r="O846" s="18"/>
      <c r="P846" s="18"/>
      <c r="Q846" s="18"/>
      <c r="R846" s="18"/>
      <c r="S846" s="18"/>
      <c r="T846" s="18"/>
      <c r="U846" s="18"/>
      <c r="V846" s="18"/>
      <c r="W846" s="18"/>
      <c r="X846" s="18"/>
      <c r="Y846" s="18"/>
      <c r="Z846" s="18"/>
      <c r="AA846" s="18"/>
      <c r="AB846" s="18"/>
      <c r="AC846" s="18"/>
      <c r="AD846" s="18"/>
      <c r="AE846" s="18"/>
      <c r="AF846" s="18"/>
      <c r="AG846" s="18"/>
    </row>
    <row r="847" spans="1:33" x14ac:dyDescent="0.2">
      <c r="A847" s="1279"/>
      <c r="B847" s="1280"/>
      <c r="C847" s="18"/>
      <c r="D847" s="18"/>
      <c r="E847" s="18"/>
      <c r="F847" s="18"/>
      <c r="G847" s="18"/>
      <c r="H847" s="18"/>
      <c r="I847" s="18"/>
      <c r="J847" s="18"/>
      <c r="K847" s="18"/>
      <c r="L847" s="12"/>
      <c r="M847" s="18"/>
      <c r="N847" s="18"/>
      <c r="O847" s="18"/>
      <c r="P847" s="18"/>
      <c r="Q847" s="18"/>
      <c r="R847" s="18"/>
      <c r="S847" s="18"/>
      <c r="T847" s="18"/>
      <c r="U847" s="18"/>
      <c r="V847" s="18"/>
      <c r="W847" s="18"/>
      <c r="X847" s="18"/>
      <c r="Y847" s="18"/>
      <c r="Z847" s="18"/>
      <c r="AA847" s="18"/>
      <c r="AB847" s="18"/>
      <c r="AC847" s="18"/>
      <c r="AD847" s="18"/>
      <c r="AE847" s="18"/>
      <c r="AF847" s="18"/>
      <c r="AG847" s="18"/>
    </row>
    <row r="848" spans="1:33" x14ac:dyDescent="0.2">
      <c r="A848" s="1279"/>
      <c r="B848" s="1280"/>
      <c r="C848" s="18"/>
      <c r="D848" s="18"/>
      <c r="E848" s="18"/>
      <c r="F848" s="18"/>
      <c r="G848" s="18"/>
      <c r="H848" s="18"/>
      <c r="I848" s="18"/>
      <c r="J848" s="18"/>
      <c r="K848" s="18"/>
      <c r="L848" s="12"/>
      <c r="M848" s="18"/>
      <c r="N848" s="18"/>
      <c r="O848" s="18"/>
      <c r="P848" s="18"/>
      <c r="Q848" s="18"/>
      <c r="R848" s="18"/>
      <c r="S848" s="18"/>
      <c r="T848" s="18"/>
      <c r="U848" s="18"/>
      <c r="V848" s="18"/>
      <c r="W848" s="18"/>
      <c r="X848" s="18"/>
      <c r="Y848" s="18"/>
      <c r="Z848" s="18"/>
      <c r="AA848" s="18"/>
      <c r="AB848" s="18"/>
      <c r="AC848" s="18"/>
      <c r="AD848" s="18"/>
      <c r="AE848" s="18"/>
      <c r="AF848" s="18"/>
      <c r="AG848" s="18"/>
    </row>
    <row r="849" spans="1:33" x14ac:dyDescent="0.2">
      <c r="A849" s="1279"/>
      <c r="B849" s="1280"/>
      <c r="C849" s="18"/>
      <c r="D849" s="18"/>
      <c r="E849" s="18"/>
      <c r="F849" s="18"/>
      <c r="G849" s="18"/>
      <c r="H849" s="18"/>
      <c r="I849" s="18"/>
      <c r="J849" s="18"/>
      <c r="K849" s="18"/>
      <c r="L849" s="12"/>
      <c r="M849" s="18"/>
      <c r="N849" s="18"/>
      <c r="O849" s="18"/>
      <c r="P849" s="18"/>
      <c r="Q849" s="18"/>
      <c r="R849" s="18"/>
      <c r="S849" s="18"/>
      <c r="T849" s="18"/>
      <c r="U849" s="18"/>
      <c r="V849" s="18"/>
      <c r="W849" s="18"/>
      <c r="X849" s="18"/>
      <c r="Y849" s="18"/>
      <c r="Z849" s="18"/>
      <c r="AA849" s="18"/>
      <c r="AB849" s="18"/>
      <c r="AC849" s="18"/>
      <c r="AD849" s="18"/>
      <c r="AE849" s="18"/>
      <c r="AF849" s="18"/>
      <c r="AG849" s="18"/>
    </row>
    <row r="850" spans="1:33" x14ac:dyDescent="0.2">
      <c r="A850" s="1279"/>
      <c r="B850" s="1280"/>
      <c r="C850" s="18"/>
      <c r="D850" s="18"/>
      <c r="E850" s="18"/>
      <c r="F850" s="18"/>
      <c r="G850" s="18"/>
      <c r="H850" s="18"/>
      <c r="I850" s="18"/>
      <c r="J850" s="18"/>
      <c r="K850" s="18"/>
      <c r="L850" s="12"/>
      <c r="M850" s="18"/>
      <c r="N850" s="18"/>
      <c r="O850" s="18"/>
      <c r="P850" s="18"/>
      <c r="Q850" s="18"/>
      <c r="R850" s="18"/>
      <c r="S850" s="18"/>
      <c r="T850" s="18"/>
      <c r="U850" s="18"/>
      <c r="V850" s="18"/>
      <c r="W850" s="18"/>
      <c r="X850" s="18"/>
      <c r="Y850" s="18"/>
      <c r="Z850" s="18"/>
      <c r="AA850" s="18"/>
      <c r="AB850" s="18"/>
      <c r="AC850" s="18"/>
      <c r="AD850" s="18"/>
      <c r="AE850" s="18"/>
      <c r="AF850" s="18"/>
      <c r="AG850" s="18"/>
    </row>
    <row r="851" spans="1:33" x14ac:dyDescent="0.2">
      <c r="A851" s="1279"/>
      <c r="B851" s="1280"/>
      <c r="C851" s="18"/>
      <c r="D851" s="18"/>
      <c r="E851" s="18"/>
      <c r="F851" s="18"/>
      <c r="G851" s="18"/>
      <c r="H851" s="18"/>
      <c r="I851" s="18"/>
      <c r="J851" s="18"/>
      <c r="K851" s="18"/>
      <c r="L851" s="12"/>
      <c r="M851" s="18"/>
      <c r="N851" s="18"/>
      <c r="O851" s="18"/>
      <c r="P851" s="18"/>
      <c r="Q851" s="18"/>
      <c r="R851" s="18"/>
      <c r="S851" s="18"/>
      <c r="T851" s="18"/>
      <c r="U851" s="18"/>
      <c r="V851" s="18"/>
      <c r="W851" s="18"/>
      <c r="X851" s="18"/>
      <c r="Y851" s="18"/>
      <c r="Z851" s="18"/>
      <c r="AA851" s="18"/>
      <c r="AB851" s="18"/>
      <c r="AC851" s="18"/>
      <c r="AD851" s="18"/>
      <c r="AE851" s="18"/>
      <c r="AF851" s="18"/>
      <c r="AG851" s="18"/>
    </row>
    <row r="852" spans="1:33" x14ac:dyDescent="0.2">
      <c r="A852" s="1279"/>
      <c r="B852" s="1280"/>
      <c r="C852" s="18"/>
      <c r="D852" s="18"/>
      <c r="E852" s="18"/>
      <c r="F852" s="18"/>
      <c r="G852" s="18"/>
      <c r="H852" s="18"/>
      <c r="I852" s="18"/>
      <c r="J852" s="18"/>
      <c r="K852" s="18"/>
      <c r="L852" s="12"/>
      <c r="M852" s="18"/>
      <c r="N852" s="18"/>
      <c r="O852" s="18"/>
      <c r="P852" s="18"/>
      <c r="Q852" s="18"/>
      <c r="R852" s="18"/>
      <c r="S852" s="18"/>
      <c r="T852" s="18"/>
      <c r="U852" s="18"/>
      <c r="V852" s="18"/>
      <c r="W852" s="18"/>
      <c r="X852" s="18"/>
      <c r="Y852" s="18"/>
      <c r="Z852" s="18"/>
      <c r="AA852" s="18"/>
      <c r="AB852" s="18"/>
      <c r="AC852" s="18"/>
      <c r="AD852" s="18"/>
      <c r="AE852" s="18"/>
      <c r="AF852" s="18"/>
      <c r="AG852" s="18"/>
    </row>
    <row r="853" spans="1:33" x14ac:dyDescent="0.2">
      <c r="A853" s="1279"/>
      <c r="B853" s="1280"/>
      <c r="C853" s="18"/>
      <c r="D853" s="18"/>
      <c r="E853" s="18"/>
      <c r="F853" s="18"/>
      <c r="G853" s="18"/>
      <c r="H853" s="18"/>
      <c r="I853" s="18"/>
      <c r="J853" s="18"/>
      <c r="K853" s="18"/>
      <c r="L853" s="12"/>
      <c r="M853" s="18"/>
      <c r="N853" s="18"/>
      <c r="O853" s="18"/>
      <c r="P853" s="18"/>
      <c r="Q853" s="18"/>
      <c r="R853" s="18"/>
      <c r="S853" s="18"/>
      <c r="T853" s="18"/>
      <c r="U853" s="18"/>
      <c r="V853" s="18"/>
      <c r="W853" s="18"/>
      <c r="X853" s="18"/>
      <c r="Y853" s="18"/>
      <c r="Z853" s="18"/>
      <c r="AA853" s="18"/>
      <c r="AB853" s="18"/>
      <c r="AC853" s="18"/>
      <c r="AD853" s="18"/>
      <c r="AE853" s="18"/>
      <c r="AF853" s="18"/>
      <c r="AG853" s="18"/>
    </row>
    <row r="854" spans="1:33" x14ac:dyDescent="0.2">
      <c r="A854" s="1279"/>
      <c r="B854" s="1280"/>
      <c r="C854" s="18"/>
      <c r="D854" s="18"/>
      <c r="E854" s="18"/>
      <c r="F854" s="18"/>
      <c r="G854" s="18"/>
      <c r="H854" s="18"/>
      <c r="I854" s="18"/>
      <c r="J854" s="18"/>
      <c r="K854" s="18"/>
      <c r="L854" s="12"/>
      <c r="M854" s="18"/>
      <c r="N854" s="18"/>
      <c r="O854" s="18"/>
      <c r="P854" s="18"/>
      <c r="Q854" s="18"/>
      <c r="R854" s="18"/>
      <c r="S854" s="18"/>
      <c r="T854" s="18"/>
      <c r="U854" s="18"/>
      <c r="V854" s="18"/>
      <c r="W854" s="18"/>
      <c r="X854" s="18"/>
      <c r="Y854" s="18"/>
      <c r="Z854" s="18"/>
      <c r="AA854" s="18"/>
      <c r="AB854" s="18"/>
      <c r="AC854" s="18"/>
      <c r="AD854" s="18"/>
      <c r="AE854" s="18"/>
      <c r="AF854" s="18"/>
      <c r="AG854" s="18"/>
    </row>
    <row r="855" spans="1:33" x14ac:dyDescent="0.2">
      <c r="A855" s="1279"/>
      <c r="B855" s="1280"/>
      <c r="C855" s="18"/>
      <c r="D855" s="18"/>
      <c r="E855" s="18"/>
      <c r="F855" s="18"/>
      <c r="G855" s="18"/>
      <c r="H855" s="18"/>
      <c r="I855" s="18"/>
      <c r="J855" s="18"/>
      <c r="K855" s="18"/>
      <c r="L855" s="12"/>
      <c r="M855" s="18"/>
      <c r="N855" s="18"/>
      <c r="O855" s="18"/>
      <c r="P855" s="18"/>
      <c r="Q855" s="18"/>
      <c r="R855" s="18"/>
      <c r="S855" s="18"/>
      <c r="T855" s="18"/>
      <c r="U855" s="18"/>
      <c r="V855" s="18"/>
      <c r="W855" s="18"/>
      <c r="X855" s="18"/>
      <c r="Y855" s="18"/>
      <c r="Z855" s="18"/>
      <c r="AA855" s="18"/>
      <c r="AB855" s="18"/>
      <c r="AC855" s="18"/>
      <c r="AD855" s="18"/>
      <c r="AE855" s="18"/>
      <c r="AF855" s="18"/>
      <c r="AG855" s="18"/>
    </row>
    <row r="856" spans="1:33" x14ac:dyDescent="0.2">
      <c r="A856" s="1279"/>
      <c r="B856" s="1280"/>
      <c r="C856" s="18"/>
      <c r="D856" s="18"/>
      <c r="E856" s="18"/>
      <c r="F856" s="18"/>
      <c r="G856" s="18"/>
      <c r="H856" s="18"/>
      <c r="I856" s="18"/>
      <c r="J856" s="18"/>
      <c r="K856" s="18"/>
      <c r="L856" s="12"/>
      <c r="M856" s="18"/>
      <c r="N856" s="18"/>
      <c r="O856" s="18"/>
      <c r="P856" s="18"/>
      <c r="Q856" s="18"/>
      <c r="R856" s="18"/>
      <c r="S856" s="18"/>
      <c r="T856" s="18"/>
      <c r="U856" s="18"/>
      <c r="V856" s="18"/>
      <c r="W856" s="18"/>
      <c r="X856" s="18"/>
      <c r="Y856" s="18"/>
      <c r="Z856" s="18"/>
      <c r="AA856" s="18"/>
      <c r="AB856" s="18"/>
      <c r="AC856" s="18"/>
      <c r="AD856" s="18"/>
      <c r="AE856" s="18"/>
      <c r="AF856" s="18"/>
      <c r="AG856" s="18"/>
    </row>
    <row r="857" spans="1:33" x14ac:dyDescent="0.2">
      <c r="A857" s="1279"/>
      <c r="B857" s="1280"/>
      <c r="C857" s="18"/>
      <c r="D857" s="18"/>
      <c r="E857" s="18"/>
      <c r="F857" s="18"/>
      <c r="G857" s="18"/>
      <c r="H857" s="18"/>
      <c r="I857" s="18"/>
      <c r="J857" s="18"/>
      <c r="K857" s="18"/>
      <c r="L857" s="12"/>
      <c r="M857" s="18"/>
      <c r="N857" s="18"/>
      <c r="O857" s="18"/>
      <c r="P857" s="18"/>
      <c r="Q857" s="18"/>
      <c r="R857" s="18"/>
      <c r="S857" s="18"/>
      <c r="T857" s="18"/>
      <c r="U857" s="18"/>
      <c r="V857" s="18"/>
      <c r="W857" s="18"/>
      <c r="X857" s="18"/>
      <c r="Y857" s="18"/>
      <c r="Z857" s="18"/>
      <c r="AA857" s="18"/>
      <c r="AB857" s="18"/>
      <c r="AC857" s="18"/>
      <c r="AD857" s="18"/>
      <c r="AE857" s="18"/>
      <c r="AF857" s="18"/>
      <c r="AG857" s="18"/>
    </row>
    <row r="858" spans="1:33" x14ac:dyDescent="0.2">
      <c r="A858" s="1279"/>
      <c r="B858" s="1280"/>
      <c r="C858" s="18"/>
      <c r="D858" s="18"/>
      <c r="E858" s="18"/>
      <c r="F858" s="18"/>
      <c r="G858" s="18"/>
      <c r="H858" s="18"/>
      <c r="I858" s="18"/>
      <c r="J858" s="18"/>
      <c r="K858" s="18"/>
      <c r="L858" s="12"/>
      <c r="M858" s="18"/>
      <c r="N858" s="18"/>
      <c r="O858" s="18"/>
      <c r="P858" s="18"/>
      <c r="Q858" s="18"/>
      <c r="R858" s="18"/>
      <c r="S858" s="18"/>
      <c r="T858" s="18"/>
      <c r="U858" s="18"/>
      <c r="V858" s="18"/>
      <c r="W858" s="18"/>
      <c r="X858" s="18"/>
      <c r="Y858" s="18"/>
      <c r="Z858" s="18"/>
      <c r="AA858" s="18"/>
      <c r="AB858" s="18"/>
      <c r="AC858" s="18"/>
      <c r="AD858" s="18"/>
      <c r="AE858" s="18"/>
      <c r="AF858" s="18"/>
      <c r="AG858" s="18"/>
    </row>
    <row r="859" spans="1:33" x14ac:dyDescent="0.2">
      <c r="A859" s="1279"/>
      <c r="B859" s="1280"/>
      <c r="C859" s="18"/>
      <c r="D859" s="18"/>
      <c r="E859" s="18"/>
      <c r="F859" s="18"/>
      <c r="G859" s="18"/>
      <c r="H859" s="18"/>
      <c r="I859" s="18"/>
      <c r="J859" s="18"/>
      <c r="K859" s="18"/>
      <c r="L859" s="12"/>
      <c r="M859" s="18"/>
      <c r="N859" s="18"/>
      <c r="O859" s="18"/>
      <c r="P859" s="18"/>
      <c r="Q859" s="18"/>
      <c r="R859" s="18"/>
      <c r="S859" s="18"/>
      <c r="T859" s="18"/>
      <c r="U859" s="18"/>
      <c r="V859" s="18"/>
      <c r="W859" s="18"/>
      <c r="X859" s="18"/>
      <c r="Y859" s="18"/>
      <c r="Z859" s="18"/>
      <c r="AA859" s="18"/>
      <c r="AB859" s="18"/>
      <c r="AC859" s="18"/>
      <c r="AD859" s="18"/>
      <c r="AE859" s="18"/>
      <c r="AF859" s="18"/>
      <c r="AG859" s="18"/>
    </row>
    <row r="860" spans="1:33" x14ac:dyDescent="0.2">
      <c r="A860" s="1279"/>
      <c r="B860" s="1280"/>
      <c r="C860" s="18"/>
      <c r="D860" s="18"/>
      <c r="E860" s="18"/>
      <c r="F860" s="18"/>
      <c r="G860" s="18"/>
      <c r="H860" s="18"/>
      <c r="I860" s="18"/>
      <c r="J860" s="18"/>
      <c r="K860" s="18"/>
      <c r="L860" s="12"/>
      <c r="M860" s="18"/>
      <c r="N860" s="18"/>
      <c r="O860" s="18"/>
      <c r="P860" s="18"/>
      <c r="Q860" s="18"/>
      <c r="R860" s="18"/>
      <c r="S860" s="18"/>
      <c r="T860" s="18"/>
      <c r="U860" s="18"/>
      <c r="V860" s="18"/>
      <c r="W860" s="18"/>
      <c r="X860" s="18"/>
      <c r="Y860" s="18"/>
      <c r="Z860" s="18"/>
      <c r="AA860" s="18"/>
      <c r="AB860" s="18"/>
      <c r="AC860" s="18"/>
      <c r="AD860" s="18"/>
      <c r="AE860" s="18"/>
      <c r="AF860" s="18"/>
      <c r="AG860" s="18"/>
    </row>
    <row r="861" spans="1:33" x14ac:dyDescent="0.2">
      <c r="A861" s="1279"/>
      <c r="B861" s="1280"/>
      <c r="C861" s="18"/>
      <c r="D861" s="18"/>
      <c r="E861" s="18"/>
      <c r="F861" s="18"/>
      <c r="G861" s="18"/>
      <c r="H861" s="18"/>
      <c r="I861" s="18"/>
      <c r="J861" s="18"/>
      <c r="K861" s="18"/>
      <c r="L861" s="12"/>
      <c r="M861" s="18"/>
      <c r="N861" s="18"/>
      <c r="O861" s="18"/>
      <c r="P861" s="18"/>
      <c r="Q861" s="18"/>
      <c r="R861" s="18"/>
      <c r="S861" s="18"/>
      <c r="T861" s="18"/>
      <c r="U861" s="18"/>
      <c r="V861" s="18"/>
      <c r="W861" s="18"/>
      <c r="X861" s="18"/>
      <c r="Y861" s="18"/>
      <c r="Z861" s="18"/>
      <c r="AA861" s="18"/>
      <c r="AB861" s="18"/>
      <c r="AC861" s="18"/>
      <c r="AD861" s="18"/>
      <c r="AE861" s="18"/>
      <c r="AF861" s="18"/>
      <c r="AG861" s="18"/>
    </row>
    <row r="862" spans="1:33" x14ac:dyDescent="0.2">
      <c r="A862" s="1279"/>
      <c r="B862" s="1280"/>
      <c r="C862" s="18"/>
      <c r="D862" s="18"/>
      <c r="E862" s="18"/>
      <c r="F862" s="18"/>
      <c r="G862" s="18"/>
      <c r="H862" s="18"/>
      <c r="I862" s="18"/>
      <c r="J862" s="18"/>
      <c r="K862" s="18"/>
      <c r="L862" s="12"/>
      <c r="M862" s="18"/>
      <c r="N862" s="18"/>
      <c r="O862" s="18"/>
      <c r="P862" s="18"/>
      <c r="Q862" s="18"/>
      <c r="R862" s="18"/>
      <c r="S862" s="18"/>
      <c r="T862" s="18"/>
      <c r="U862" s="18"/>
      <c r="V862" s="18"/>
      <c r="W862" s="18"/>
      <c r="X862" s="18"/>
      <c r="Y862" s="18"/>
      <c r="Z862" s="18"/>
      <c r="AA862" s="18"/>
      <c r="AB862" s="18"/>
      <c r="AC862" s="18"/>
      <c r="AD862" s="18"/>
      <c r="AE862" s="18"/>
      <c r="AF862" s="18"/>
      <c r="AG862" s="18"/>
    </row>
    <row r="863" spans="1:33" x14ac:dyDescent="0.2">
      <c r="A863" s="1279"/>
      <c r="B863" s="1280"/>
      <c r="C863" s="18"/>
      <c r="D863" s="18"/>
      <c r="E863" s="18"/>
      <c r="F863" s="18"/>
      <c r="G863" s="18"/>
      <c r="H863" s="18"/>
      <c r="I863" s="18"/>
      <c r="J863" s="18"/>
      <c r="K863" s="18"/>
      <c r="L863" s="12"/>
      <c r="M863" s="18"/>
      <c r="N863" s="18"/>
      <c r="O863" s="18"/>
      <c r="P863" s="18"/>
      <c r="Q863" s="18"/>
      <c r="R863" s="18"/>
      <c r="S863" s="18"/>
      <c r="T863" s="18"/>
      <c r="U863" s="18"/>
      <c r="V863" s="18"/>
      <c r="W863" s="18"/>
      <c r="X863" s="18"/>
      <c r="Y863" s="18"/>
      <c r="Z863" s="18"/>
      <c r="AA863" s="18"/>
      <c r="AB863" s="18"/>
      <c r="AC863" s="18"/>
      <c r="AD863" s="18"/>
      <c r="AE863" s="18"/>
      <c r="AF863" s="18"/>
      <c r="AG863" s="18"/>
    </row>
    <row r="864" spans="1:33" x14ac:dyDescent="0.2">
      <c r="A864" s="1279"/>
      <c r="B864" s="1280"/>
      <c r="C864" s="18"/>
      <c r="D864" s="18"/>
      <c r="E864" s="18"/>
      <c r="F864" s="18"/>
      <c r="G864" s="18"/>
      <c r="H864" s="18"/>
      <c r="I864" s="18"/>
      <c r="J864" s="18"/>
      <c r="K864" s="18"/>
      <c r="L864" s="12"/>
      <c r="M864" s="18"/>
      <c r="N864" s="18"/>
      <c r="O864" s="18"/>
      <c r="P864" s="18"/>
      <c r="Q864" s="18"/>
      <c r="R864" s="18"/>
      <c r="S864" s="18"/>
      <c r="T864" s="18"/>
      <c r="U864" s="18"/>
      <c r="V864" s="18"/>
      <c r="W864" s="18"/>
      <c r="X864" s="18"/>
      <c r="Y864" s="18"/>
      <c r="Z864" s="18"/>
      <c r="AA864" s="18"/>
      <c r="AB864" s="18"/>
      <c r="AC864" s="18"/>
      <c r="AD864" s="18"/>
      <c r="AE864" s="18"/>
      <c r="AF864" s="18"/>
      <c r="AG864" s="18"/>
    </row>
    <row r="865" spans="1:33" x14ac:dyDescent="0.2">
      <c r="A865" s="1279"/>
      <c r="B865" s="1280"/>
      <c r="C865" s="18"/>
      <c r="D865" s="18"/>
      <c r="E865" s="18"/>
      <c r="F865" s="18"/>
      <c r="G865" s="18"/>
      <c r="H865" s="18"/>
      <c r="I865" s="18"/>
      <c r="J865" s="18"/>
      <c r="K865" s="18"/>
      <c r="L865" s="12"/>
      <c r="M865" s="18"/>
      <c r="N865" s="18"/>
      <c r="O865" s="18"/>
      <c r="P865" s="18"/>
      <c r="Q865" s="18"/>
      <c r="R865" s="18"/>
      <c r="S865" s="18"/>
      <c r="T865" s="18"/>
      <c r="U865" s="18"/>
      <c r="V865" s="18"/>
      <c r="W865" s="18"/>
      <c r="X865" s="18"/>
      <c r="Y865" s="18"/>
      <c r="Z865" s="18"/>
      <c r="AA865" s="18"/>
      <c r="AB865" s="18"/>
      <c r="AC865" s="18"/>
      <c r="AD865" s="18"/>
      <c r="AE865" s="18"/>
      <c r="AF865" s="18"/>
      <c r="AG865" s="18"/>
    </row>
    <row r="866" spans="1:33" x14ac:dyDescent="0.2">
      <c r="A866" s="1279"/>
      <c r="B866" s="1280"/>
      <c r="C866" s="18"/>
      <c r="D866" s="18"/>
      <c r="E866" s="18"/>
      <c r="F866" s="18"/>
      <c r="G866" s="18"/>
      <c r="H866" s="18"/>
      <c r="I866" s="18"/>
      <c r="J866" s="18"/>
      <c r="K866" s="18"/>
      <c r="L866" s="12"/>
      <c r="M866" s="18"/>
      <c r="N866" s="18"/>
      <c r="O866" s="18"/>
      <c r="P866" s="18"/>
      <c r="Q866" s="18"/>
      <c r="R866" s="18"/>
      <c r="S866" s="18"/>
      <c r="T866" s="18"/>
      <c r="U866" s="18"/>
      <c r="V866" s="18"/>
      <c r="W866" s="18"/>
      <c r="X866" s="18"/>
      <c r="Y866" s="18"/>
      <c r="Z866" s="18"/>
      <c r="AA866" s="18"/>
      <c r="AB866" s="18"/>
      <c r="AC866" s="18"/>
      <c r="AD866" s="18"/>
      <c r="AE866" s="18"/>
      <c r="AF866" s="18"/>
      <c r="AG866" s="18"/>
    </row>
    <row r="867" spans="1:33" x14ac:dyDescent="0.2">
      <c r="A867" s="1279"/>
      <c r="B867" s="1280"/>
      <c r="C867" s="18"/>
      <c r="D867" s="18"/>
      <c r="E867" s="18"/>
      <c r="F867" s="18"/>
      <c r="G867" s="18"/>
      <c r="H867" s="18"/>
      <c r="I867" s="18"/>
      <c r="J867" s="18"/>
      <c r="K867" s="18"/>
      <c r="L867" s="12"/>
      <c r="M867" s="18"/>
      <c r="N867" s="18"/>
      <c r="O867" s="18"/>
      <c r="P867" s="18"/>
      <c r="Q867" s="18"/>
      <c r="R867" s="18"/>
      <c r="S867" s="18"/>
      <c r="T867" s="18"/>
      <c r="U867" s="18"/>
      <c r="V867" s="18"/>
      <c r="W867" s="18"/>
      <c r="X867" s="18"/>
      <c r="Y867" s="18"/>
      <c r="Z867" s="18"/>
      <c r="AA867" s="18"/>
      <c r="AB867" s="18"/>
      <c r="AC867" s="18"/>
      <c r="AD867" s="18"/>
      <c r="AE867" s="18"/>
      <c r="AF867" s="18"/>
      <c r="AG867" s="18"/>
    </row>
    <row r="868" spans="1:33" x14ac:dyDescent="0.2">
      <c r="A868" s="1279"/>
      <c r="B868" s="1280"/>
      <c r="C868" s="18"/>
      <c r="D868" s="18"/>
      <c r="E868" s="18"/>
      <c r="F868" s="18"/>
      <c r="G868" s="18"/>
      <c r="H868" s="18"/>
      <c r="I868" s="18"/>
      <c r="J868" s="18"/>
      <c r="K868" s="18"/>
      <c r="L868" s="12"/>
      <c r="M868" s="18"/>
      <c r="N868" s="18"/>
      <c r="O868" s="18"/>
      <c r="P868" s="18"/>
      <c r="Q868" s="18"/>
      <c r="R868" s="18"/>
      <c r="S868" s="18"/>
      <c r="T868" s="18"/>
      <c r="U868" s="18"/>
      <c r="V868" s="18"/>
      <c r="W868" s="18"/>
      <c r="X868" s="18"/>
      <c r="Y868" s="18"/>
      <c r="Z868" s="18"/>
      <c r="AA868" s="18"/>
      <c r="AB868" s="18"/>
      <c r="AC868" s="18"/>
      <c r="AD868" s="18"/>
      <c r="AE868" s="18"/>
      <c r="AF868" s="18"/>
      <c r="AG868" s="18"/>
    </row>
    <row r="869" spans="1:33" x14ac:dyDescent="0.2">
      <c r="A869" s="1279"/>
      <c r="B869" s="1280"/>
      <c r="C869" s="18"/>
      <c r="D869" s="18"/>
      <c r="E869" s="18"/>
      <c r="F869" s="18"/>
      <c r="G869" s="18"/>
      <c r="H869" s="18"/>
      <c r="I869" s="18"/>
      <c r="J869" s="18"/>
      <c r="K869" s="18"/>
      <c r="L869" s="12"/>
      <c r="M869" s="18"/>
      <c r="N869" s="18"/>
      <c r="O869" s="18"/>
      <c r="P869" s="18"/>
      <c r="Q869" s="18"/>
      <c r="R869" s="18"/>
      <c r="S869" s="18"/>
      <c r="T869" s="18"/>
      <c r="U869" s="18"/>
      <c r="V869" s="18"/>
      <c r="W869" s="18"/>
      <c r="X869" s="18"/>
      <c r="Y869" s="18"/>
      <c r="Z869" s="18"/>
      <c r="AA869" s="18"/>
      <c r="AB869" s="18"/>
      <c r="AC869" s="18"/>
      <c r="AD869" s="18"/>
      <c r="AE869" s="18"/>
      <c r="AF869" s="18"/>
      <c r="AG869" s="18"/>
    </row>
    <row r="870" spans="1:33" x14ac:dyDescent="0.2">
      <c r="A870" s="1279"/>
      <c r="B870" s="1280"/>
      <c r="C870" s="18"/>
      <c r="D870" s="18"/>
      <c r="E870" s="18"/>
      <c r="F870" s="18"/>
      <c r="G870" s="18"/>
      <c r="H870" s="18"/>
      <c r="I870" s="18"/>
      <c r="J870" s="18"/>
      <c r="K870" s="18"/>
      <c r="L870" s="12"/>
      <c r="M870" s="18"/>
      <c r="N870" s="18"/>
      <c r="O870" s="18"/>
      <c r="P870" s="18"/>
      <c r="Q870" s="18"/>
      <c r="R870" s="18"/>
      <c r="S870" s="18"/>
      <c r="T870" s="18"/>
      <c r="U870" s="18"/>
      <c r="V870" s="18"/>
      <c r="W870" s="18"/>
      <c r="X870" s="18"/>
      <c r="Y870" s="18"/>
      <c r="Z870" s="18"/>
      <c r="AA870" s="18"/>
      <c r="AB870" s="18"/>
      <c r="AC870" s="18"/>
      <c r="AD870" s="18"/>
      <c r="AE870" s="18"/>
      <c r="AF870" s="18"/>
      <c r="AG870" s="18"/>
    </row>
    <row r="871" spans="1:33" x14ac:dyDescent="0.2">
      <c r="A871" s="1279"/>
      <c r="B871" s="1280"/>
      <c r="C871" s="18"/>
      <c r="D871" s="18"/>
      <c r="E871" s="18"/>
      <c r="F871" s="18"/>
      <c r="G871" s="18"/>
      <c r="H871" s="18"/>
      <c r="I871" s="18"/>
      <c r="J871" s="18"/>
      <c r="K871" s="18"/>
      <c r="L871" s="12"/>
      <c r="M871" s="18"/>
      <c r="N871" s="18"/>
      <c r="O871" s="18"/>
      <c r="P871" s="18"/>
      <c r="Q871" s="18"/>
      <c r="R871" s="18"/>
      <c r="S871" s="18"/>
      <c r="T871" s="18"/>
      <c r="U871" s="18"/>
      <c r="V871" s="18"/>
      <c r="W871" s="18"/>
      <c r="X871" s="18"/>
      <c r="Y871" s="18"/>
      <c r="Z871" s="18"/>
      <c r="AA871" s="18"/>
      <c r="AB871" s="18"/>
      <c r="AC871" s="18"/>
      <c r="AD871" s="18"/>
      <c r="AE871" s="18"/>
      <c r="AF871" s="18"/>
      <c r="AG871" s="18"/>
    </row>
    <row r="872" spans="1:33" x14ac:dyDescent="0.2">
      <c r="A872" s="1279"/>
      <c r="B872" s="1280"/>
      <c r="C872" s="18"/>
      <c r="D872" s="18"/>
      <c r="E872" s="18"/>
      <c r="F872" s="18"/>
      <c r="G872" s="18"/>
      <c r="H872" s="18"/>
      <c r="I872" s="18"/>
      <c r="J872" s="18"/>
      <c r="K872" s="18"/>
      <c r="L872" s="12"/>
      <c r="M872" s="18"/>
      <c r="N872" s="18"/>
      <c r="O872" s="18"/>
      <c r="P872" s="18"/>
      <c r="Q872" s="18"/>
      <c r="R872" s="18"/>
      <c r="S872" s="18"/>
      <c r="T872" s="18"/>
      <c r="U872" s="18"/>
      <c r="V872" s="18"/>
      <c r="W872" s="18"/>
      <c r="X872" s="18"/>
      <c r="Y872" s="18"/>
      <c r="Z872" s="18"/>
      <c r="AA872" s="18"/>
      <c r="AB872" s="18"/>
      <c r="AC872" s="18"/>
      <c r="AD872" s="18"/>
      <c r="AE872" s="18"/>
      <c r="AF872" s="18"/>
      <c r="AG872" s="18"/>
    </row>
    <row r="873" spans="1:33" x14ac:dyDescent="0.2">
      <c r="A873" s="1279"/>
      <c r="B873" s="1280"/>
      <c r="C873" s="18"/>
      <c r="D873" s="18"/>
      <c r="E873" s="18"/>
      <c r="F873" s="18"/>
      <c r="G873" s="18"/>
      <c r="H873" s="18"/>
      <c r="I873" s="18"/>
      <c r="J873" s="18"/>
      <c r="K873" s="18"/>
      <c r="L873" s="12"/>
      <c r="M873" s="18"/>
      <c r="N873" s="18"/>
      <c r="O873" s="18"/>
      <c r="P873" s="18"/>
      <c r="Q873" s="18"/>
      <c r="R873" s="18"/>
      <c r="S873" s="18"/>
      <c r="T873" s="18"/>
      <c r="U873" s="18"/>
      <c r="V873" s="18"/>
      <c r="W873" s="18"/>
      <c r="X873" s="18"/>
      <c r="Y873" s="18"/>
      <c r="Z873" s="18"/>
      <c r="AA873" s="18"/>
      <c r="AB873" s="18"/>
      <c r="AC873" s="18"/>
      <c r="AD873" s="18"/>
      <c r="AE873" s="18"/>
      <c r="AF873" s="18"/>
      <c r="AG873" s="18"/>
    </row>
    <row r="874" spans="1:33" x14ac:dyDescent="0.2">
      <c r="A874" s="1279"/>
      <c r="B874" s="1280"/>
      <c r="C874" s="18"/>
      <c r="D874" s="18"/>
      <c r="E874" s="18"/>
      <c r="F874" s="18"/>
      <c r="G874" s="18"/>
      <c r="H874" s="18"/>
      <c r="I874" s="18"/>
      <c r="J874" s="18"/>
      <c r="K874" s="18"/>
      <c r="L874" s="12"/>
      <c r="M874" s="18"/>
      <c r="N874" s="18"/>
      <c r="O874" s="18"/>
      <c r="P874" s="18"/>
      <c r="Q874" s="18"/>
      <c r="R874" s="18"/>
      <c r="S874" s="18"/>
      <c r="T874" s="18"/>
      <c r="U874" s="18"/>
      <c r="V874" s="18"/>
      <c r="W874" s="18"/>
      <c r="X874" s="18"/>
      <c r="Y874" s="18"/>
      <c r="Z874" s="18"/>
      <c r="AA874" s="18"/>
      <c r="AB874" s="18"/>
      <c r="AC874" s="18"/>
      <c r="AD874" s="18"/>
      <c r="AE874" s="18"/>
      <c r="AF874" s="18"/>
      <c r="AG874" s="18"/>
    </row>
    <row r="875" spans="1:33" x14ac:dyDescent="0.2">
      <c r="A875" s="1279"/>
      <c r="B875" s="1280"/>
      <c r="C875" s="18"/>
      <c r="D875" s="18"/>
      <c r="E875" s="18"/>
      <c r="F875" s="18"/>
      <c r="G875" s="18"/>
      <c r="H875" s="18"/>
      <c r="I875" s="18"/>
      <c r="J875" s="18"/>
      <c r="K875" s="18"/>
      <c r="L875" s="12"/>
      <c r="M875" s="18"/>
      <c r="N875" s="18"/>
      <c r="O875" s="18"/>
      <c r="P875" s="18"/>
      <c r="Q875" s="18"/>
      <c r="R875" s="18"/>
      <c r="S875" s="18"/>
      <c r="T875" s="18"/>
      <c r="U875" s="18"/>
      <c r="V875" s="18"/>
      <c r="W875" s="18"/>
      <c r="X875" s="18"/>
      <c r="Y875" s="18"/>
      <c r="Z875" s="18"/>
      <c r="AA875" s="18"/>
      <c r="AB875" s="18"/>
      <c r="AC875" s="18"/>
      <c r="AD875" s="18"/>
      <c r="AE875" s="18"/>
      <c r="AF875" s="18"/>
      <c r="AG875" s="18"/>
    </row>
    <row r="876" spans="1:33" x14ac:dyDescent="0.2">
      <c r="A876" s="1279"/>
      <c r="B876" s="1280"/>
      <c r="C876" s="18"/>
      <c r="D876" s="18"/>
      <c r="E876" s="18"/>
      <c r="F876" s="18"/>
      <c r="G876" s="18"/>
      <c r="H876" s="18"/>
      <c r="I876" s="18"/>
      <c r="J876" s="18"/>
      <c r="K876" s="18"/>
      <c r="L876" s="12"/>
      <c r="M876" s="18"/>
      <c r="N876" s="18"/>
      <c r="O876" s="18"/>
      <c r="P876" s="18"/>
      <c r="Q876" s="18"/>
      <c r="R876" s="18"/>
      <c r="S876" s="18"/>
      <c r="T876" s="18"/>
      <c r="U876" s="18"/>
      <c r="V876" s="18"/>
      <c r="W876" s="18"/>
      <c r="X876" s="18"/>
      <c r="Y876" s="18"/>
      <c r="Z876" s="18"/>
      <c r="AA876" s="18"/>
      <c r="AB876" s="18"/>
      <c r="AC876" s="18"/>
      <c r="AD876" s="18"/>
      <c r="AE876" s="18"/>
      <c r="AF876" s="18"/>
      <c r="AG876" s="18"/>
    </row>
    <row r="877" spans="1:33" x14ac:dyDescent="0.2">
      <c r="A877" s="1279"/>
      <c r="B877" s="1280"/>
      <c r="C877" s="18"/>
      <c r="D877" s="18"/>
      <c r="E877" s="18"/>
      <c r="F877" s="18"/>
      <c r="G877" s="18"/>
      <c r="H877" s="18"/>
      <c r="I877" s="18"/>
      <c r="J877" s="18"/>
      <c r="K877" s="18"/>
      <c r="L877" s="12"/>
      <c r="M877" s="18"/>
      <c r="N877" s="18"/>
      <c r="O877" s="18"/>
      <c r="P877" s="18"/>
      <c r="Q877" s="18"/>
      <c r="R877" s="18"/>
      <c r="S877" s="18"/>
      <c r="T877" s="18"/>
      <c r="U877" s="18"/>
      <c r="V877" s="18"/>
      <c r="W877" s="18"/>
      <c r="X877" s="18"/>
      <c r="Y877" s="18"/>
      <c r="Z877" s="18"/>
      <c r="AA877" s="18"/>
      <c r="AB877" s="18"/>
      <c r="AC877" s="18"/>
      <c r="AD877" s="18"/>
      <c r="AE877" s="18"/>
      <c r="AF877" s="18"/>
      <c r="AG877" s="18"/>
    </row>
    <row r="878" spans="1:33" x14ac:dyDescent="0.2">
      <c r="A878" s="1279"/>
      <c r="B878" s="1280"/>
      <c r="C878" s="18"/>
      <c r="D878" s="18"/>
      <c r="E878" s="18"/>
      <c r="F878" s="18"/>
      <c r="G878" s="18"/>
      <c r="H878" s="18"/>
      <c r="I878" s="18"/>
      <c r="J878" s="18"/>
      <c r="K878" s="18"/>
      <c r="L878" s="12"/>
      <c r="M878" s="18"/>
      <c r="N878" s="18"/>
      <c r="O878" s="18"/>
      <c r="P878" s="18"/>
      <c r="Q878" s="18"/>
      <c r="R878" s="18"/>
      <c r="S878" s="18"/>
      <c r="T878" s="18"/>
      <c r="U878" s="18"/>
      <c r="V878" s="18"/>
      <c r="W878" s="18"/>
      <c r="X878" s="18"/>
      <c r="Y878" s="18"/>
      <c r="Z878" s="18"/>
      <c r="AA878" s="18"/>
      <c r="AB878" s="18"/>
      <c r="AC878" s="18"/>
      <c r="AD878" s="18"/>
      <c r="AE878" s="18"/>
      <c r="AF878" s="18"/>
      <c r="AG878" s="18"/>
    </row>
    <row r="879" spans="1:33" x14ac:dyDescent="0.2">
      <c r="A879" s="1279"/>
      <c r="B879" s="1280"/>
      <c r="C879" s="18"/>
      <c r="D879" s="18"/>
      <c r="E879" s="18"/>
      <c r="F879" s="18"/>
      <c r="G879" s="18"/>
      <c r="H879" s="18"/>
      <c r="I879" s="18"/>
      <c r="J879" s="18"/>
      <c r="K879" s="18"/>
      <c r="L879" s="12"/>
      <c r="M879" s="18"/>
      <c r="N879" s="18"/>
      <c r="O879" s="18"/>
      <c r="P879" s="18"/>
      <c r="Q879" s="18"/>
      <c r="R879" s="18"/>
      <c r="S879" s="18"/>
      <c r="T879" s="18"/>
      <c r="U879" s="18"/>
      <c r="V879" s="18"/>
      <c r="W879" s="18"/>
      <c r="X879" s="18"/>
      <c r="Y879" s="18"/>
      <c r="Z879" s="18"/>
      <c r="AA879" s="18"/>
      <c r="AB879" s="18"/>
      <c r="AC879" s="18"/>
      <c r="AD879" s="18"/>
      <c r="AE879" s="18"/>
      <c r="AF879" s="18"/>
      <c r="AG879" s="18"/>
    </row>
    <row r="880" spans="1:33" x14ac:dyDescent="0.2">
      <c r="A880" s="1279"/>
      <c r="B880" s="1280"/>
      <c r="C880" s="18"/>
      <c r="D880" s="18"/>
      <c r="E880" s="18"/>
      <c r="F880" s="18"/>
      <c r="G880" s="18"/>
      <c r="H880" s="18"/>
      <c r="I880" s="18"/>
      <c r="J880" s="18"/>
      <c r="K880" s="18"/>
      <c r="L880" s="12"/>
      <c r="M880" s="18"/>
      <c r="N880" s="18"/>
      <c r="O880" s="18"/>
      <c r="P880" s="18"/>
      <c r="Q880" s="18"/>
      <c r="R880" s="18"/>
      <c r="S880" s="18"/>
      <c r="T880" s="18"/>
      <c r="U880" s="18"/>
      <c r="V880" s="18"/>
      <c r="W880" s="18"/>
      <c r="X880" s="18"/>
      <c r="Y880" s="18"/>
      <c r="Z880" s="18"/>
      <c r="AA880" s="18"/>
      <c r="AB880" s="18"/>
      <c r="AC880" s="18"/>
      <c r="AD880" s="18"/>
      <c r="AE880" s="18"/>
      <c r="AF880" s="18"/>
      <c r="AG880" s="18"/>
    </row>
    <row r="881" spans="1:33" x14ac:dyDescent="0.2">
      <c r="A881" s="1279"/>
      <c r="B881" s="1280"/>
      <c r="C881" s="18"/>
      <c r="D881" s="18"/>
      <c r="E881" s="18"/>
      <c r="F881" s="18"/>
      <c r="G881" s="18"/>
      <c r="H881" s="18"/>
      <c r="I881" s="18"/>
      <c r="J881" s="18"/>
      <c r="K881" s="18"/>
      <c r="L881" s="12"/>
      <c r="M881" s="18"/>
      <c r="N881" s="18"/>
      <c r="O881" s="18"/>
      <c r="P881" s="18"/>
      <c r="Q881" s="18"/>
      <c r="R881" s="18"/>
      <c r="S881" s="18"/>
      <c r="T881" s="18"/>
      <c r="U881" s="18"/>
      <c r="V881" s="18"/>
      <c r="W881" s="18"/>
      <c r="X881" s="18"/>
      <c r="Y881" s="18"/>
      <c r="Z881" s="18"/>
      <c r="AA881" s="18"/>
      <c r="AB881" s="18"/>
      <c r="AC881" s="18"/>
      <c r="AD881" s="18"/>
      <c r="AE881" s="18"/>
      <c r="AF881" s="18"/>
      <c r="AG881" s="18"/>
    </row>
    <row r="882" spans="1:33" x14ac:dyDescent="0.2">
      <c r="A882" s="1279"/>
      <c r="B882" s="1280"/>
      <c r="C882" s="18"/>
      <c r="D882" s="18"/>
      <c r="E882" s="18"/>
      <c r="F882" s="18"/>
      <c r="G882" s="18"/>
      <c r="H882" s="18"/>
      <c r="I882" s="18"/>
      <c r="J882" s="18"/>
      <c r="K882" s="18"/>
      <c r="L882" s="12"/>
      <c r="M882" s="18"/>
      <c r="N882" s="18"/>
      <c r="O882" s="18"/>
      <c r="P882" s="18"/>
      <c r="Q882" s="18"/>
      <c r="R882" s="18"/>
      <c r="S882" s="18"/>
      <c r="T882" s="18"/>
      <c r="U882" s="18"/>
      <c r="V882" s="18"/>
      <c r="W882" s="18"/>
      <c r="X882" s="18"/>
      <c r="Y882" s="18"/>
      <c r="Z882" s="18"/>
      <c r="AA882" s="18"/>
      <c r="AB882" s="18"/>
      <c r="AC882" s="18"/>
      <c r="AD882" s="18"/>
      <c r="AE882" s="18"/>
      <c r="AF882" s="18"/>
      <c r="AG882" s="18"/>
    </row>
    <row r="883" spans="1:33" x14ac:dyDescent="0.2">
      <c r="A883" s="1279"/>
      <c r="B883" s="1280"/>
      <c r="C883" s="18"/>
      <c r="D883" s="18"/>
      <c r="E883" s="18"/>
      <c r="F883" s="18"/>
      <c r="G883" s="18"/>
      <c r="H883" s="18"/>
      <c r="I883" s="18"/>
      <c r="J883" s="18"/>
      <c r="K883" s="18"/>
      <c r="L883" s="12"/>
      <c r="M883" s="18"/>
      <c r="N883" s="18"/>
      <c r="O883" s="18"/>
      <c r="P883" s="18"/>
      <c r="Q883" s="18"/>
      <c r="R883" s="18"/>
      <c r="S883" s="18"/>
      <c r="T883" s="18"/>
      <c r="U883" s="18"/>
      <c r="V883" s="18"/>
      <c r="W883" s="18"/>
      <c r="X883" s="18"/>
      <c r="Y883" s="18"/>
      <c r="Z883" s="18"/>
      <c r="AA883" s="18"/>
      <c r="AB883" s="18"/>
      <c r="AC883" s="18"/>
      <c r="AD883" s="18"/>
      <c r="AE883" s="18"/>
      <c r="AF883" s="18"/>
      <c r="AG883" s="18"/>
    </row>
    <row r="884" spans="1:33" x14ac:dyDescent="0.2">
      <c r="A884" s="1279"/>
      <c r="B884" s="1280"/>
      <c r="C884" s="18"/>
      <c r="D884" s="18"/>
      <c r="E884" s="18"/>
      <c r="F884" s="18"/>
      <c r="G884" s="18"/>
      <c r="H884" s="18"/>
      <c r="I884" s="18"/>
      <c r="J884" s="18"/>
      <c r="K884" s="18"/>
      <c r="L884" s="12"/>
      <c r="M884" s="18"/>
      <c r="N884" s="18"/>
      <c r="O884" s="18"/>
      <c r="P884" s="18"/>
      <c r="Q884" s="18"/>
      <c r="R884" s="18"/>
      <c r="S884" s="18"/>
      <c r="T884" s="18"/>
      <c r="U884" s="18"/>
      <c r="V884" s="18"/>
      <c r="W884" s="18"/>
      <c r="X884" s="18"/>
      <c r="Y884" s="18"/>
      <c r="Z884" s="18"/>
      <c r="AA884" s="18"/>
      <c r="AB884" s="18"/>
      <c r="AC884" s="18"/>
      <c r="AD884" s="18"/>
      <c r="AE884" s="18"/>
      <c r="AF884" s="18"/>
      <c r="AG884" s="18"/>
    </row>
    <row r="885" spans="1:33" x14ac:dyDescent="0.2">
      <c r="A885" s="1279"/>
      <c r="B885" s="1280"/>
      <c r="C885" s="18"/>
      <c r="D885" s="18"/>
      <c r="E885" s="18"/>
      <c r="F885" s="18"/>
      <c r="G885" s="18"/>
      <c r="H885" s="18"/>
      <c r="I885" s="18"/>
      <c r="J885" s="18"/>
      <c r="K885" s="18"/>
      <c r="L885" s="12"/>
      <c r="M885" s="18"/>
      <c r="N885" s="18"/>
      <c r="O885" s="18"/>
      <c r="P885" s="18"/>
      <c r="Q885" s="18"/>
      <c r="R885" s="18"/>
      <c r="S885" s="18"/>
      <c r="T885" s="18"/>
      <c r="U885" s="18"/>
      <c r="V885" s="18"/>
      <c r="W885" s="18"/>
      <c r="X885" s="18"/>
      <c r="Y885" s="18"/>
      <c r="Z885" s="18"/>
      <c r="AA885" s="18"/>
      <c r="AB885" s="18"/>
      <c r="AC885" s="18"/>
      <c r="AD885" s="18"/>
      <c r="AE885" s="18"/>
      <c r="AF885" s="18"/>
      <c r="AG885" s="18"/>
    </row>
    <row r="886" spans="1:33" x14ac:dyDescent="0.2">
      <c r="A886" s="1279"/>
      <c r="B886" s="1280"/>
      <c r="C886" s="18"/>
      <c r="D886" s="18"/>
      <c r="E886" s="18"/>
      <c r="F886" s="18"/>
      <c r="G886" s="18"/>
      <c r="H886" s="18"/>
      <c r="I886" s="18"/>
      <c r="J886" s="18"/>
      <c r="K886" s="18"/>
      <c r="L886" s="12"/>
      <c r="M886" s="18"/>
      <c r="N886" s="18"/>
      <c r="O886" s="18"/>
      <c r="P886" s="18"/>
      <c r="Q886" s="18"/>
      <c r="R886" s="18"/>
      <c r="S886" s="18"/>
      <c r="T886" s="18"/>
      <c r="U886" s="18"/>
      <c r="V886" s="18"/>
      <c r="W886" s="18"/>
      <c r="X886" s="18"/>
      <c r="Y886" s="18"/>
      <c r="Z886" s="18"/>
      <c r="AA886" s="18"/>
      <c r="AB886" s="18"/>
      <c r="AC886" s="18"/>
      <c r="AD886" s="18"/>
      <c r="AE886" s="18"/>
      <c r="AF886" s="18"/>
      <c r="AG886" s="18"/>
    </row>
    <row r="887" spans="1:33" x14ac:dyDescent="0.2">
      <c r="A887" s="1279"/>
      <c r="B887" s="1280"/>
      <c r="C887" s="18"/>
      <c r="D887" s="18"/>
      <c r="E887" s="18"/>
      <c r="F887" s="18"/>
      <c r="G887" s="18"/>
      <c r="H887" s="18"/>
      <c r="I887" s="18"/>
      <c r="J887" s="18"/>
      <c r="K887" s="18"/>
      <c r="L887" s="12"/>
      <c r="M887" s="18"/>
      <c r="N887" s="18"/>
      <c r="O887" s="18"/>
      <c r="P887" s="18"/>
      <c r="Q887" s="18"/>
      <c r="R887" s="18"/>
      <c r="S887" s="18"/>
      <c r="T887" s="18"/>
      <c r="U887" s="18"/>
      <c r="V887" s="18"/>
      <c r="W887" s="18"/>
      <c r="X887" s="18"/>
      <c r="Y887" s="18"/>
      <c r="Z887" s="18"/>
      <c r="AA887" s="18"/>
      <c r="AB887" s="18"/>
      <c r="AC887" s="18"/>
      <c r="AD887" s="18"/>
      <c r="AE887" s="18"/>
      <c r="AF887" s="18"/>
      <c r="AG887" s="18"/>
    </row>
    <row r="888" spans="1:33" x14ac:dyDescent="0.2">
      <c r="A888" s="1279"/>
      <c r="B888" s="1280"/>
      <c r="C888" s="18"/>
      <c r="D888" s="18"/>
      <c r="E888" s="18"/>
      <c r="F888" s="18"/>
      <c r="G888" s="18"/>
      <c r="H888" s="18"/>
      <c r="I888" s="18"/>
      <c r="J888" s="18"/>
      <c r="K888" s="18"/>
      <c r="L888" s="12"/>
      <c r="M888" s="18"/>
      <c r="N888" s="18"/>
      <c r="O888" s="18"/>
      <c r="P888" s="18"/>
      <c r="Q888" s="18"/>
      <c r="R888" s="18"/>
      <c r="S888" s="18"/>
      <c r="T888" s="18"/>
      <c r="U888" s="18"/>
      <c r="V888" s="18"/>
      <c r="W888" s="18"/>
      <c r="X888" s="18"/>
      <c r="Y888" s="18"/>
      <c r="Z888" s="18"/>
      <c r="AA888" s="18"/>
      <c r="AB888" s="18"/>
      <c r="AC888" s="18"/>
      <c r="AD888" s="18"/>
      <c r="AE888" s="18"/>
      <c r="AF888" s="18"/>
      <c r="AG888" s="18"/>
    </row>
    <row r="889" spans="1:33" x14ac:dyDescent="0.2">
      <c r="A889" s="1279"/>
      <c r="B889" s="1280"/>
      <c r="C889" s="18"/>
      <c r="D889" s="18"/>
      <c r="E889" s="18"/>
      <c r="F889" s="18"/>
      <c r="G889" s="18"/>
      <c r="H889" s="18"/>
      <c r="I889" s="18"/>
      <c r="J889" s="18"/>
      <c r="K889" s="18"/>
      <c r="L889" s="12"/>
      <c r="M889" s="18"/>
      <c r="N889" s="18"/>
      <c r="O889" s="18"/>
      <c r="P889" s="18"/>
      <c r="Q889" s="18"/>
      <c r="R889" s="18"/>
      <c r="S889" s="18"/>
      <c r="T889" s="18"/>
      <c r="U889" s="18"/>
      <c r="V889" s="18"/>
      <c r="W889" s="18"/>
      <c r="X889" s="18"/>
      <c r="Y889" s="18"/>
      <c r="Z889" s="18"/>
      <c r="AA889" s="18"/>
      <c r="AB889" s="18"/>
      <c r="AC889" s="18"/>
      <c r="AD889" s="18"/>
      <c r="AE889" s="18"/>
      <c r="AF889" s="18"/>
      <c r="AG889" s="18"/>
    </row>
    <row r="890" spans="1:33" x14ac:dyDescent="0.2">
      <c r="A890" s="1279"/>
      <c r="B890" s="1280"/>
      <c r="C890" s="18"/>
      <c r="D890" s="18"/>
      <c r="E890" s="18"/>
      <c r="F890" s="18"/>
      <c r="G890" s="18"/>
      <c r="H890" s="18"/>
      <c r="I890" s="18"/>
      <c r="J890" s="18"/>
      <c r="K890" s="18"/>
      <c r="L890" s="12"/>
      <c r="M890" s="18"/>
      <c r="N890" s="18"/>
      <c r="O890" s="18"/>
      <c r="P890" s="18"/>
      <c r="Q890" s="18"/>
      <c r="R890" s="18"/>
      <c r="S890" s="18"/>
      <c r="T890" s="18"/>
      <c r="U890" s="18"/>
      <c r="V890" s="18"/>
      <c r="W890" s="18"/>
      <c r="X890" s="18"/>
      <c r="Y890" s="18"/>
      <c r="Z890" s="18"/>
      <c r="AA890" s="18"/>
      <c r="AB890" s="18"/>
      <c r="AC890" s="18"/>
      <c r="AD890" s="18"/>
      <c r="AE890" s="18"/>
      <c r="AF890" s="18"/>
      <c r="AG890" s="18"/>
    </row>
    <row r="891" spans="1:33" x14ac:dyDescent="0.2">
      <c r="A891" s="1279"/>
      <c r="B891" s="1280"/>
      <c r="C891" s="18"/>
      <c r="D891" s="18"/>
      <c r="E891" s="18"/>
      <c r="F891" s="18"/>
      <c r="G891" s="18"/>
      <c r="H891" s="18"/>
      <c r="I891" s="18"/>
      <c r="J891" s="18"/>
      <c r="K891" s="18"/>
      <c r="L891" s="12"/>
      <c r="M891" s="18"/>
      <c r="N891" s="18"/>
      <c r="O891" s="18"/>
      <c r="P891" s="18"/>
      <c r="Q891" s="18"/>
      <c r="R891" s="18"/>
      <c r="S891" s="18"/>
      <c r="T891" s="18"/>
      <c r="U891" s="18"/>
      <c r="V891" s="18"/>
      <c r="W891" s="18"/>
      <c r="X891" s="18"/>
      <c r="Y891" s="18"/>
      <c r="Z891" s="18"/>
      <c r="AA891" s="18"/>
      <c r="AB891" s="18"/>
      <c r="AC891" s="18"/>
      <c r="AD891" s="18"/>
      <c r="AE891" s="18"/>
      <c r="AF891" s="18"/>
      <c r="AG891" s="18"/>
    </row>
    <row r="892" spans="1:33" x14ac:dyDescent="0.2">
      <c r="A892" s="1279"/>
      <c r="B892" s="1280"/>
      <c r="C892" s="18"/>
      <c r="D892" s="18"/>
      <c r="E892" s="18"/>
      <c r="F892" s="18"/>
      <c r="G892" s="18"/>
      <c r="H892" s="18"/>
      <c r="I892" s="18"/>
      <c r="J892" s="18"/>
      <c r="K892" s="18"/>
      <c r="L892" s="12"/>
      <c r="M892" s="18"/>
      <c r="N892" s="18"/>
      <c r="O892" s="18"/>
      <c r="P892" s="18"/>
      <c r="Q892" s="18"/>
      <c r="R892" s="18"/>
      <c r="S892" s="18"/>
      <c r="T892" s="18"/>
      <c r="U892" s="18"/>
      <c r="V892" s="18"/>
      <c r="W892" s="18"/>
      <c r="X892" s="18"/>
      <c r="Y892" s="18"/>
      <c r="Z892" s="18"/>
      <c r="AA892" s="18"/>
      <c r="AB892" s="18"/>
      <c r="AC892" s="18"/>
      <c r="AD892" s="18"/>
      <c r="AE892" s="18"/>
      <c r="AF892" s="18"/>
      <c r="AG892" s="18"/>
    </row>
    <row r="893" spans="1:33" x14ac:dyDescent="0.2">
      <c r="A893" s="1279"/>
      <c r="B893" s="1280"/>
      <c r="C893" s="18"/>
      <c r="D893" s="18"/>
      <c r="E893" s="18"/>
      <c r="F893" s="18"/>
      <c r="G893" s="18"/>
      <c r="H893" s="18"/>
      <c r="I893" s="18"/>
      <c r="J893" s="18"/>
      <c r="K893" s="18"/>
      <c r="L893" s="12"/>
      <c r="M893" s="18"/>
      <c r="N893" s="18"/>
      <c r="O893" s="18"/>
      <c r="P893" s="18"/>
      <c r="Q893" s="18"/>
      <c r="R893" s="18"/>
      <c r="S893" s="18"/>
      <c r="T893" s="18"/>
      <c r="U893" s="18"/>
      <c r="V893" s="18"/>
      <c r="W893" s="18"/>
      <c r="X893" s="18"/>
      <c r="Y893" s="18"/>
      <c r="Z893" s="18"/>
      <c r="AA893" s="18"/>
      <c r="AB893" s="18"/>
      <c r="AC893" s="18"/>
      <c r="AD893" s="18"/>
      <c r="AE893" s="18"/>
      <c r="AF893" s="18"/>
      <c r="AG893" s="18"/>
    </row>
    <row r="894" spans="1:33" x14ac:dyDescent="0.2">
      <c r="A894" s="1279"/>
      <c r="B894" s="1280"/>
      <c r="C894" s="18"/>
      <c r="D894" s="18"/>
      <c r="E894" s="18"/>
      <c r="F894" s="18"/>
      <c r="G894" s="18"/>
      <c r="H894" s="18"/>
      <c r="I894" s="18"/>
      <c r="J894" s="18"/>
      <c r="K894" s="18"/>
      <c r="L894" s="12"/>
      <c r="M894" s="18"/>
      <c r="N894" s="18"/>
      <c r="O894" s="18"/>
      <c r="P894" s="18"/>
      <c r="Q894" s="18"/>
      <c r="R894" s="18"/>
      <c r="S894" s="18"/>
      <c r="T894" s="18"/>
      <c r="U894" s="18"/>
      <c r="V894" s="18"/>
      <c r="W894" s="18"/>
      <c r="X894" s="18"/>
      <c r="Y894" s="18"/>
      <c r="Z894" s="18"/>
      <c r="AA894" s="18"/>
      <c r="AB894" s="18"/>
      <c r="AC894" s="18"/>
      <c r="AD894" s="18"/>
      <c r="AE894" s="18"/>
      <c r="AF894" s="18"/>
      <c r="AG894" s="18"/>
    </row>
    <row r="895" spans="1:33" x14ac:dyDescent="0.2">
      <c r="A895" s="1279"/>
      <c r="B895" s="1280"/>
      <c r="C895" s="18"/>
      <c r="D895" s="18"/>
      <c r="E895" s="18"/>
      <c r="F895" s="18"/>
      <c r="G895" s="18"/>
      <c r="H895" s="18"/>
      <c r="I895" s="18"/>
      <c r="J895" s="18"/>
      <c r="K895" s="18"/>
      <c r="L895" s="12"/>
      <c r="M895" s="18"/>
      <c r="N895" s="18"/>
      <c r="O895" s="18"/>
      <c r="P895" s="18"/>
      <c r="Q895" s="18"/>
      <c r="R895" s="18"/>
      <c r="S895" s="18"/>
      <c r="T895" s="18"/>
      <c r="U895" s="18"/>
      <c r="V895" s="18"/>
      <c r="W895" s="18"/>
      <c r="X895" s="18"/>
      <c r="Y895" s="18"/>
      <c r="Z895" s="18"/>
      <c r="AA895" s="18"/>
      <c r="AB895" s="18"/>
      <c r="AC895" s="18"/>
      <c r="AD895" s="18"/>
      <c r="AE895" s="18"/>
      <c r="AF895" s="18"/>
      <c r="AG895" s="18"/>
    </row>
    <row r="896" spans="1:33" x14ac:dyDescent="0.2">
      <c r="A896" s="1279"/>
      <c r="B896" s="1280"/>
      <c r="C896" s="18"/>
      <c r="D896" s="18"/>
      <c r="E896" s="18"/>
      <c r="F896" s="18"/>
      <c r="G896" s="18"/>
      <c r="H896" s="18"/>
      <c r="I896" s="18"/>
      <c r="J896" s="18"/>
      <c r="K896" s="18"/>
      <c r="L896" s="12"/>
      <c r="M896" s="18"/>
      <c r="N896" s="18"/>
      <c r="O896" s="18"/>
      <c r="P896" s="18"/>
      <c r="Q896" s="18"/>
      <c r="R896" s="18"/>
      <c r="S896" s="18"/>
      <c r="T896" s="18"/>
      <c r="U896" s="18"/>
      <c r="V896" s="18"/>
      <c r="W896" s="18"/>
      <c r="X896" s="18"/>
      <c r="Y896" s="18"/>
      <c r="Z896" s="18"/>
      <c r="AA896" s="18"/>
      <c r="AB896" s="18"/>
      <c r="AC896" s="18"/>
      <c r="AD896" s="18"/>
      <c r="AE896" s="18"/>
      <c r="AF896" s="18"/>
      <c r="AG896" s="18"/>
    </row>
    <row r="897" spans="1:33" x14ac:dyDescent="0.2">
      <c r="A897" s="1279"/>
      <c r="B897" s="1280"/>
      <c r="C897" s="18"/>
      <c r="D897" s="18"/>
      <c r="E897" s="18"/>
      <c r="F897" s="18"/>
      <c r="G897" s="18"/>
      <c r="H897" s="18"/>
      <c r="I897" s="18"/>
      <c r="J897" s="18"/>
      <c r="K897" s="18"/>
      <c r="L897" s="12"/>
      <c r="M897" s="18"/>
      <c r="N897" s="18"/>
      <c r="O897" s="18"/>
      <c r="P897" s="18"/>
      <c r="Q897" s="18"/>
      <c r="R897" s="18"/>
      <c r="S897" s="18"/>
      <c r="T897" s="18"/>
      <c r="U897" s="18"/>
      <c r="V897" s="18"/>
      <c r="W897" s="18"/>
      <c r="X897" s="18"/>
      <c r="Y897" s="18"/>
      <c r="Z897" s="18"/>
      <c r="AA897" s="18"/>
      <c r="AB897" s="18"/>
      <c r="AC897" s="18"/>
      <c r="AD897" s="18"/>
      <c r="AE897" s="18"/>
      <c r="AF897" s="18"/>
      <c r="AG897" s="18"/>
    </row>
    <row r="898" spans="1:33" x14ac:dyDescent="0.2">
      <c r="A898" s="1279"/>
      <c r="B898" s="1280"/>
      <c r="C898" s="18"/>
      <c r="D898" s="18"/>
      <c r="E898" s="18"/>
      <c r="F898" s="18"/>
      <c r="G898" s="18"/>
      <c r="H898" s="18"/>
      <c r="I898" s="18"/>
      <c r="J898" s="18"/>
      <c r="K898" s="18"/>
      <c r="L898" s="12"/>
      <c r="M898" s="18"/>
      <c r="N898" s="18"/>
      <c r="O898" s="18"/>
      <c r="P898" s="18"/>
      <c r="Q898" s="18"/>
      <c r="R898" s="18"/>
      <c r="S898" s="18"/>
      <c r="T898" s="18"/>
      <c r="U898" s="18"/>
      <c r="V898" s="18"/>
      <c r="W898" s="18"/>
      <c r="X898" s="18"/>
      <c r="Y898" s="18"/>
      <c r="Z898" s="18"/>
      <c r="AA898" s="18"/>
      <c r="AB898" s="18"/>
      <c r="AC898" s="18"/>
      <c r="AD898" s="18"/>
      <c r="AE898" s="18"/>
      <c r="AF898" s="18"/>
      <c r="AG898" s="18"/>
    </row>
    <row r="899" spans="1:33" x14ac:dyDescent="0.2">
      <c r="A899" s="1279"/>
      <c r="B899" s="1280"/>
      <c r="C899" s="18"/>
      <c r="D899" s="18"/>
      <c r="E899" s="18"/>
      <c r="F899" s="18"/>
      <c r="G899" s="18"/>
      <c r="H899" s="18"/>
      <c r="I899" s="18"/>
      <c r="J899" s="18"/>
      <c r="K899" s="18"/>
      <c r="L899" s="12"/>
      <c r="M899" s="18"/>
      <c r="N899" s="18"/>
      <c r="O899" s="18"/>
      <c r="P899" s="18"/>
      <c r="Q899" s="18"/>
      <c r="R899" s="18"/>
      <c r="S899" s="18"/>
      <c r="T899" s="18"/>
      <c r="U899" s="18"/>
      <c r="V899" s="18"/>
      <c r="W899" s="18"/>
      <c r="X899" s="18"/>
      <c r="Y899" s="18"/>
      <c r="Z899" s="18"/>
      <c r="AA899" s="18"/>
      <c r="AB899" s="18"/>
      <c r="AC899" s="18"/>
      <c r="AD899" s="18"/>
      <c r="AE899" s="18"/>
      <c r="AF899" s="18"/>
      <c r="AG899" s="18"/>
    </row>
    <row r="900" spans="1:33" x14ac:dyDescent="0.2">
      <c r="A900" s="1279"/>
      <c r="B900" s="1280"/>
      <c r="C900" s="18"/>
      <c r="D900" s="18"/>
      <c r="E900" s="18"/>
      <c r="F900" s="18"/>
      <c r="G900" s="18"/>
      <c r="H900" s="18"/>
      <c r="I900" s="18"/>
      <c r="J900" s="18"/>
      <c r="K900" s="18"/>
      <c r="L900" s="12"/>
      <c r="M900" s="18"/>
      <c r="N900" s="18"/>
      <c r="O900" s="18"/>
      <c r="P900" s="18"/>
      <c r="Q900" s="18"/>
      <c r="R900" s="18"/>
      <c r="S900" s="18"/>
      <c r="T900" s="18"/>
      <c r="U900" s="18"/>
      <c r="V900" s="18"/>
      <c r="W900" s="18"/>
      <c r="X900" s="18"/>
      <c r="Y900" s="18"/>
      <c r="Z900" s="18"/>
      <c r="AA900" s="18"/>
      <c r="AB900" s="18"/>
      <c r="AC900" s="18"/>
      <c r="AD900" s="18"/>
      <c r="AE900" s="18"/>
      <c r="AF900" s="18"/>
      <c r="AG900" s="18"/>
    </row>
    <row r="901" spans="1:33" x14ac:dyDescent="0.2">
      <c r="A901" s="1279"/>
      <c r="B901" s="1280"/>
      <c r="C901" s="18"/>
      <c r="D901" s="18"/>
      <c r="E901" s="18"/>
      <c r="F901" s="18"/>
      <c r="G901" s="18"/>
      <c r="H901" s="18"/>
      <c r="I901" s="18"/>
      <c r="J901" s="18"/>
      <c r="K901" s="18"/>
      <c r="L901" s="12"/>
      <c r="M901" s="18"/>
      <c r="N901" s="18"/>
      <c r="O901" s="18"/>
      <c r="P901" s="18"/>
      <c r="Q901" s="18"/>
      <c r="R901" s="18"/>
      <c r="S901" s="18"/>
      <c r="T901" s="18"/>
      <c r="U901" s="18"/>
      <c r="V901" s="18"/>
      <c r="W901" s="18"/>
      <c r="X901" s="18"/>
      <c r="Y901" s="18"/>
      <c r="Z901" s="18"/>
      <c r="AA901" s="18"/>
      <c r="AB901" s="18"/>
      <c r="AC901" s="18"/>
      <c r="AD901" s="18"/>
      <c r="AE901" s="18"/>
      <c r="AF901" s="18"/>
      <c r="AG901" s="18"/>
    </row>
    <row r="902" spans="1:33" x14ac:dyDescent="0.2">
      <c r="A902" s="1279"/>
      <c r="B902" s="1280"/>
      <c r="C902" s="18"/>
      <c r="D902" s="18"/>
      <c r="E902" s="18"/>
      <c r="F902" s="18"/>
      <c r="G902" s="18"/>
      <c r="H902" s="18"/>
      <c r="I902" s="18"/>
      <c r="J902" s="18"/>
      <c r="K902" s="18"/>
      <c r="L902" s="12"/>
      <c r="M902" s="18"/>
      <c r="N902" s="18"/>
      <c r="O902" s="18"/>
      <c r="P902" s="18"/>
      <c r="Q902" s="18"/>
      <c r="R902" s="18"/>
      <c r="S902" s="18"/>
      <c r="T902" s="18"/>
      <c r="U902" s="18"/>
      <c r="V902" s="18"/>
      <c r="W902" s="18"/>
      <c r="X902" s="18"/>
      <c r="Y902" s="18"/>
      <c r="Z902" s="18"/>
      <c r="AA902" s="18"/>
      <c r="AB902" s="18"/>
      <c r="AC902" s="18"/>
      <c r="AD902" s="18"/>
      <c r="AE902" s="18"/>
      <c r="AF902" s="18"/>
      <c r="AG902" s="18"/>
    </row>
    <row r="903" spans="1:33" x14ac:dyDescent="0.2">
      <c r="A903" s="1279"/>
      <c r="B903" s="1280"/>
      <c r="C903" s="18"/>
      <c r="D903" s="18"/>
      <c r="E903" s="18"/>
      <c r="F903" s="18"/>
      <c r="G903" s="18"/>
      <c r="H903" s="18"/>
      <c r="I903" s="18"/>
      <c r="J903" s="18"/>
      <c r="K903" s="18"/>
      <c r="L903" s="12"/>
      <c r="M903" s="18"/>
      <c r="N903" s="18"/>
      <c r="O903" s="18"/>
      <c r="P903" s="18"/>
      <c r="Q903" s="18"/>
      <c r="R903" s="18"/>
      <c r="S903" s="18"/>
      <c r="T903" s="18"/>
      <c r="U903" s="18"/>
      <c r="V903" s="18"/>
      <c r="W903" s="18"/>
      <c r="X903" s="18"/>
      <c r="Y903" s="18"/>
      <c r="Z903" s="18"/>
      <c r="AA903" s="18"/>
      <c r="AB903" s="18"/>
      <c r="AC903" s="18"/>
      <c r="AD903" s="18"/>
      <c r="AE903" s="18"/>
      <c r="AF903" s="18"/>
      <c r="AG903" s="18"/>
    </row>
    <row r="904" spans="1:33" x14ac:dyDescent="0.2">
      <c r="A904" s="1279"/>
      <c r="B904" s="1280"/>
      <c r="C904" s="18"/>
      <c r="D904" s="18"/>
      <c r="E904" s="18"/>
      <c r="F904" s="18"/>
      <c r="G904" s="18"/>
      <c r="H904" s="18"/>
      <c r="I904" s="18"/>
      <c r="J904" s="18"/>
      <c r="K904" s="18"/>
      <c r="L904" s="12"/>
      <c r="M904" s="18"/>
      <c r="N904" s="18"/>
      <c r="O904" s="18"/>
      <c r="P904" s="18"/>
      <c r="Q904" s="18"/>
      <c r="R904" s="18"/>
      <c r="S904" s="18"/>
      <c r="T904" s="18"/>
      <c r="U904" s="18"/>
      <c r="V904" s="18"/>
      <c r="W904" s="18"/>
      <c r="X904" s="18"/>
      <c r="Y904" s="18"/>
      <c r="Z904" s="18"/>
      <c r="AA904" s="18"/>
      <c r="AB904" s="18"/>
      <c r="AC904" s="18"/>
      <c r="AD904" s="18"/>
      <c r="AE904" s="18"/>
      <c r="AF904" s="18"/>
      <c r="AG904" s="18"/>
    </row>
    <row r="905" spans="1:33" x14ac:dyDescent="0.2">
      <c r="A905" s="1279"/>
      <c r="B905" s="1280"/>
      <c r="C905" s="18"/>
      <c r="D905" s="18"/>
      <c r="E905" s="18"/>
      <c r="F905" s="18"/>
      <c r="G905" s="18"/>
      <c r="H905" s="18"/>
      <c r="I905" s="18"/>
      <c r="J905" s="18"/>
      <c r="K905" s="18"/>
      <c r="L905" s="12"/>
      <c r="M905" s="18"/>
      <c r="N905" s="18"/>
      <c r="O905" s="18"/>
      <c r="P905" s="18"/>
      <c r="Q905" s="18"/>
      <c r="R905" s="18"/>
      <c r="S905" s="18"/>
      <c r="T905" s="18"/>
      <c r="U905" s="18"/>
      <c r="V905" s="18"/>
      <c r="W905" s="18"/>
      <c r="X905" s="18"/>
      <c r="Y905" s="18"/>
      <c r="Z905" s="18"/>
      <c r="AA905" s="18"/>
      <c r="AB905" s="18"/>
      <c r="AC905" s="18"/>
      <c r="AD905" s="18"/>
      <c r="AE905" s="18"/>
      <c r="AF905" s="18"/>
      <c r="AG905" s="18"/>
    </row>
    <row r="906" spans="1:33" x14ac:dyDescent="0.2">
      <c r="A906" s="1279"/>
      <c r="B906" s="1280"/>
      <c r="C906" s="18"/>
      <c r="D906" s="18"/>
      <c r="E906" s="18"/>
      <c r="F906" s="18"/>
      <c r="G906" s="18"/>
      <c r="H906" s="18"/>
      <c r="I906" s="18"/>
      <c r="J906" s="18"/>
      <c r="K906" s="18"/>
      <c r="L906" s="12"/>
      <c r="M906" s="18"/>
      <c r="N906" s="18"/>
      <c r="O906" s="18"/>
      <c r="P906" s="18"/>
      <c r="Q906" s="18"/>
      <c r="R906" s="18"/>
      <c r="S906" s="18"/>
      <c r="T906" s="18"/>
      <c r="U906" s="18"/>
      <c r="V906" s="18"/>
      <c r="W906" s="18"/>
      <c r="X906" s="18"/>
      <c r="Y906" s="18"/>
      <c r="Z906" s="18"/>
      <c r="AA906" s="18"/>
      <c r="AB906" s="18"/>
      <c r="AC906" s="18"/>
      <c r="AD906" s="18"/>
      <c r="AE906" s="18"/>
      <c r="AF906" s="18"/>
      <c r="AG906" s="18"/>
    </row>
    <row r="907" spans="1:33" x14ac:dyDescent="0.2">
      <c r="A907" s="1279"/>
      <c r="B907" s="1280"/>
      <c r="C907" s="18"/>
      <c r="D907" s="18"/>
      <c r="E907" s="18"/>
      <c r="F907" s="18"/>
      <c r="G907" s="18"/>
      <c r="H907" s="18"/>
      <c r="I907" s="18"/>
      <c r="J907" s="18"/>
      <c r="K907" s="18"/>
      <c r="L907" s="12"/>
      <c r="M907" s="18"/>
      <c r="N907" s="18"/>
      <c r="O907" s="18"/>
      <c r="P907" s="18"/>
      <c r="Q907" s="18"/>
      <c r="R907" s="18"/>
      <c r="S907" s="18"/>
      <c r="T907" s="18"/>
      <c r="U907" s="18"/>
      <c r="V907" s="18"/>
      <c r="W907" s="18"/>
      <c r="X907" s="18"/>
      <c r="Y907" s="18"/>
      <c r="Z907" s="18"/>
      <c r="AA907" s="18"/>
      <c r="AB907" s="18"/>
      <c r="AC907" s="18"/>
      <c r="AD907" s="18"/>
      <c r="AE907" s="18"/>
      <c r="AF907" s="18"/>
      <c r="AG907" s="18"/>
    </row>
    <row r="908" spans="1:33" x14ac:dyDescent="0.2">
      <c r="A908" s="1279"/>
      <c r="B908" s="1280"/>
      <c r="C908" s="18"/>
      <c r="D908" s="18"/>
      <c r="E908" s="18"/>
      <c r="F908" s="18"/>
      <c r="G908" s="18"/>
      <c r="H908" s="18"/>
      <c r="I908" s="18"/>
      <c r="J908" s="18"/>
      <c r="K908" s="18"/>
      <c r="L908" s="12"/>
      <c r="M908" s="18"/>
      <c r="N908" s="18"/>
      <c r="O908" s="18"/>
      <c r="P908" s="18"/>
      <c r="Q908" s="18"/>
      <c r="R908" s="18"/>
      <c r="S908" s="18"/>
      <c r="T908" s="18"/>
      <c r="U908" s="18"/>
      <c r="V908" s="18"/>
      <c r="W908" s="18"/>
      <c r="X908" s="18"/>
      <c r="Y908" s="18"/>
      <c r="Z908" s="18"/>
      <c r="AA908" s="18"/>
      <c r="AB908" s="18"/>
      <c r="AC908" s="18"/>
      <c r="AD908" s="18"/>
      <c r="AE908" s="18"/>
      <c r="AF908" s="18"/>
      <c r="AG908" s="18"/>
    </row>
    <row r="909" spans="1:33" x14ac:dyDescent="0.2">
      <c r="A909" s="1279"/>
      <c r="B909" s="1280"/>
      <c r="C909" s="18"/>
      <c r="D909" s="18"/>
      <c r="E909" s="18"/>
      <c r="F909" s="18"/>
      <c r="G909" s="18"/>
      <c r="H909" s="18"/>
      <c r="I909" s="18"/>
      <c r="J909" s="18"/>
      <c r="K909" s="18"/>
      <c r="L909" s="12"/>
      <c r="M909" s="18"/>
      <c r="N909" s="18"/>
      <c r="O909" s="18"/>
      <c r="P909" s="18"/>
      <c r="Q909" s="18"/>
      <c r="R909" s="18"/>
      <c r="S909" s="18"/>
      <c r="T909" s="18"/>
      <c r="U909" s="18"/>
      <c r="V909" s="18"/>
      <c r="W909" s="18"/>
      <c r="X909" s="18"/>
      <c r="Y909" s="18"/>
      <c r="Z909" s="18"/>
      <c r="AA909" s="18"/>
      <c r="AB909" s="18"/>
      <c r="AC909" s="18"/>
      <c r="AD909" s="18"/>
      <c r="AE909" s="18"/>
      <c r="AF909" s="18"/>
      <c r="AG909" s="18"/>
    </row>
    <row r="910" spans="1:33" x14ac:dyDescent="0.2">
      <c r="A910" s="1279"/>
      <c r="B910" s="1280"/>
      <c r="C910" s="18"/>
      <c r="D910" s="18"/>
      <c r="E910" s="18"/>
      <c r="F910" s="18"/>
      <c r="G910" s="18"/>
      <c r="H910" s="18"/>
      <c r="I910" s="18"/>
      <c r="J910" s="18"/>
      <c r="K910" s="18"/>
      <c r="L910" s="12"/>
      <c r="M910" s="18"/>
      <c r="N910" s="18"/>
      <c r="O910" s="18"/>
      <c r="P910" s="18"/>
      <c r="Q910" s="18"/>
      <c r="R910" s="18"/>
      <c r="S910" s="18"/>
      <c r="T910" s="18"/>
      <c r="U910" s="18"/>
      <c r="V910" s="18"/>
      <c r="W910" s="18"/>
      <c r="X910" s="18"/>
      <c r="Y910" s="18"/>
      <c r="Z910" s="18"/>
      <c r="AA910" s="18"/>
      <c r="AB910" s="18"/>
      <c r="AC910" s="18"/>
      <c r="AD910" s="18"/>
      <c r="AE910" s="18"/>
      <c r="AF910" s="18"/>
      <c r="AG910" s="18"/>
    </row>
    <row r="911" spans="1:33" x14ac:dyDescent="0.2">
      <c r="A911" s="1279"/>
      <c r="B911" s="1280"/>
      <c r="C911" s="18"/>
      <c r="D911" s="18"/>
      <c r="E911" s="18"/>
      <c r="F911" s="18"/>
      <c r="G911" s="18"/>
      <c r="H911" s="18"/>
      <c r="I911" s="18"/>
      <c r="J911" s="18"/>
      <c r="K911" s="18"/>
      <c r="L911" s="12"/>
      <c r="M911" s="18"/>
      <c r="N911" s="18"/>
      <c r="O911" s="18"/>
      <c r="P911" s="18"/>
      <c r="Q911" s="18"/>
      <c r="R911" s="18"/>
      <c r="S911" s="18"/>
      <c r="T911" s="18"/>
      <c r="U911" s="18"/>
      <c r="V911" s="18"/>
      <c r="W911" s="18"/>
      <c r="X911" s="18"/>
      <c r="Y911" s="18"/>
      <c r="Z911" s="18"/>
      <c r="AA911" s="18"/>
      <c r="AB911" s="18"/>
      <c r="AC911" s="18"/>
      <c r="AD911" s="18"/>
      <c r="AE911" s="18"/>
      <c r="AF911" s="18"/>
      <c r="AG911" s="18"/>
    </row>
    <row r="912" spans="1:33" x14ac:dyDescent="0.2">
      <c r="A912" s="1279"/>
      <c r="B912" s="1280"/>
      <c r="C912" s="18"/>
      <c r="D912" s="18"/>
      <c r="E912" s="18"/>
      <c r="F912" s="18"/>
      <c r="G912" s="18"/>
      <c r="H912" s="18"/>
      <c r="I912" s="18"/>
      <c r="J912" s="18"/>
      <c r="K912" s="18"/>
      <c r="L912" s="12"/>
      <c r="M912" s="18"/>
      <c r="N912" s="18"/>
      <c r="O912" s="18"/>
      <c r="P912" s="18"/>
      <c r="Q912" s="18"/>
      <c r="R912" s="18"/>
      <c r="S912" s="18"/>
      <c r="T912" s="18"/>
      <c r="U912" s="18"/>
      <c r="V912" s="18"/>
      <c r="W912" s="18"/>
      <c r="X912" s="18"/>
      <c r="Y912" s="18"/>
      <c r="Z912" s="18"/>
      <c r="AA912" s="18"/>
      <c r="AB912" s="18"/>
      <c r="AC912" s="18"/>
      <c r="AD912" s="18"/>
      <c r="AE912" s="18"/>
      <c r="AF912" s="18"/>
      <c r="AG912" s="18"/>
    </row>
    <row r="913" spans="1:33" x14ac:dyDescent="0.2">
      <c r="A913" s="1279"/>
      <c r="B913" s="1280"/>
      <c r="C913" s="18"/>
      <c r="D913" s="18"/>
      <c r="E913" s="18"/>
      <c r="F913" s="18"/>
      <c r="G913" s="18"/>
      <c r="H913" s="18"/>
      <c r="I913" s="18"/>
      <c r="J913" s="18"/>
      <c r="K913" s="18"/>
      <c r="L913" s="12"/>
      <c r="M913" s="18"/>
      <c r="N913" s="18"/>
      <c r="O913" s="18"/>
      <c r="P913" s="18"/>
      <c r="Q913" s="18"/>
      <c r="R913" s="18"/>
      <c r="S913" s="18"/>
      <c r="T913" s="18"/>
      <c r="U913" s="18"/>
      <c r="V913" s="18"/>
      <c r="W913" s="18"/>
      <c r="X913" s="18"/>
      <c r="Y913" s="18"/>
      <c r="Z913" s="18"/>
      <c r="AA913" s="18"/>
      <c r="AB913" s="18"/>
      <c r="AC913" s="18"/>
      <c r="AD913" s="18"/>
      <c r="AE913" s="18"/>
      <c r="AF913" s="18"/>
      <c r="AG913" s="18"/>
    </row>
    <row r="914" spans="1:33" x14ac:dyDescent="0.2">
      <c r="A914" s="1279"/>
      <c r="B914" s="1280"/>
      <c r="C914" s="18"/>
      <c r="D914" s="18"/>
      <c r="E914" s="18"/>
      <c r="F914" s="18"/>
      <c r="G914" s="18"/>
      <c r="H914" s="18"/>
      <c r="I914" s="18"/>
      <c r="J914" s="18"/>
      <c r="K914" s="18"/>
      <c r="L914" s="12"/>
      <c r="M914" s="18"/>
      <c r="N914" s="18"/>
      <c r="O914" s="18"/>
      <c r="P914" s="18"/>
      <c r="Q914" s="18"/>
      <c r="R914" s="18"/>
      <c r="S914" s="18"/>
      <c r="T914" s="18"/>
      <c r="U914" s="18"/>
      <c r="V914" s="18"/>
      <c r="W914" s="18"/>
      <c r="X914" s="18"/>
      <c r="Y914" s="18"/>
      <c r="Z914" s="18"/>
      <c r="AA914" s="18"/>
      <c r="AB914" s="18"/>
      <c r="AC914" s="18"/>
      <c r="AD914" s="18"/>
      <c r="AE914" s="18"/>
      <c r="AF914" s="18"/>
      <c r="AG914" s="18"/>
    </row>
    <row r="915" spans="1:33" x14ac:dyDescent="0.2">
      <c r="A915" s="1279"/>
      <c r="B915" s="1280"/>
      <c r="C915" s="18"/>
      <c r="D915" s="18"/>
      <c r="E915" s="18"/>
      <c r="F915" s="18"/>
      <c r="G915" s="18"/>
      <c r="H915" s="18"/>
      <c r="I915" s="18"/>
      <c r="J915" s="18"/>
      <c r="K915" s="18"/>
      <c r="L915" s="12"/>
      <c r="M915" s="18"/>
      <c r="N915" s="18"/>
      <c r="O915" s="18"/>
      <c r="P915" s="18"/>
      <c r="Q915" s="18"/>
      <c r="R915" s="18"/>
      <c r="S915" s="18"/>
      <c r="T915" s="18"/>
      <c r="U915" s="18"/>
      <c r="V915" s="18"/>
      <c r="W915" s="18"/>
      <c r="X915" s="18"/>
      <c r="Y915" s="18"/>
      <c r="Z915" s="18"/>
      <c r="AA915" s="18"/>
      <c r="AB915" s="18"/>
      <c r="AC915" s="18"/>
      <c r="AD915" s="18"/>
      <c r="AE915" s="18"/>
      <c r="AF915" s="18"/>
      <c r="AG915" s="18"/>
    </row>
    <row r="916" spans="1:33" x14ac:dyDescent="0.2">
      <c r="A916" s="1279"/>
      <c r="B916" s="1280"/>
      <c r="C916" s="18"/>
      <c r="D916" s="18"/>
      <c r="E916" s="18"/>
      <c r="F916" s="18"/>
      <c r="G916" s="18"/>
      <c r="H916" s="18"/>
      <c r="I916" s="18"/>
      <c r="J916" s="18"/>
      <c r="K916" s="18"/>
      <c r="L916" s="12"/>
      <c r="M916" s="18"/>
      <c r="N916" s="18"/>
      <c r="O916" s="18"/>
      <c r="P916" s="18"/>
      <c r="Q916" s="18"/>
      <c r="R916" s="18"/>
      <c r="S916" s="18"/>
      <c r="T916" s="18"/>
      <c r="U916" s="18"/>
      <c r="V916" s="18"/>
      <c r="W916" s="18"/>
      <c r="X916" s="18"/>
      <c r="Y916" s="18"/>
      <c r="Z916" s="18"/>
      <c r="AA916" s="18"/>
      <c r="AB916" s="18"/>
      <c r="AC916" s="18"/>
      <c r="AD916" s="18"/>
      <c r="AE916" s="18"/>
      <c r="AF916" s="18"/>
      <c r="AG916" s="18"/>
    </row>
    <row r="917" spans="1:33" x14ac:dyDescent="0.2">
      <c r="A917" s="1279"/>
      <c r="B917" s="1280"/>
      <c r="C917" s="18"/>
      <c r="D917" s="18"/>
      <c r="E917" s="18"/>
      <c r="F917" s="18"/>
      <c r="G917" s="18"/>
      <c r="H917" s="18"/>
      <c r="I917" s="18"/>
      <c r="J917" s="18"/>
      <c r="K917" s="18"/>
      <c r="L917" s="12"/>
      <c r="M917" s="18"/>
      <c r="N917" s="18"/>
      <c r="O917" s="18"/>
      <c r="P917" s="18"/>
      <c r="Q917" s="18"/>
      <c r="R917" s="18"/>
      <c r="S917" s="18"/>
      <c r="T917" s="18"/>
      <c r="U917" s="18"/>
      <c r="V917" s="18"/>
      <c r="W917" s="18"/>
      <c r="X917" s="18"/>
      <c r="Y917" s="18"/>
      <c r="Z917" s="18"/>
      <c r="AA917" s="18"/>
      <c r="AB917" s="18"/>
      <c r="AC917" s="18"/>
      <c r="AD917" s="18"/>
      <c r="AE917" s="18"/>
      <c r="AF917" s="18"/>
      <c r="AG917" s="18"/>
    </row>
    <row r="918" spans="1:33" x14ac:dyDescent="0.2">
      <c r="A918" s="1279"/>
      <c r="B918" s="1280"/>
      <c r="C918" s="18"/>
      <c r="D918" s="18"/>
      <c r="E918" s="18"/>
      <c r="F918" s="18"/>
      <c r="G918" s="18"/>
      <c r="H918" s="18"/>
      <c r="I918" s="18"/>
      <c r="J918" s="18"/>
      <c r="K918" s="18"/>
      <c r="L918" s="12"/>
      <c r="M918" s="18"/>
      <c r="N918" s="18"/>
      <c r="O918" s="18"/>
      <c r="P918" s="18"/>
      <c r="Q918" s="18"/>
      <c r="R918" s="18"/>
      <c r="S918" s="18"/>
      <c r="T918" s="18"/>
      <c r="U918" s="18"/>
      <c r="V918" s="18"/>
      <c r="W918" s="18"/>
      <c r="X918" s="18"/>
      <c r="Y918" s="18"/>
      <c r="Z918" s="18"/>
      <c r="AA918" s="18"/>
      <c r="AB918" s="18"/>
      <c r="AC918" s="18"/>
      <c r="AD918" s="18"/>
      <c r="AE918" s="18"/>
      <c r="AF918" s="18"/>
      <c r="AG918" s="18"/>
    </row>
    <row r="919" spans="1:33" x14ac:dyDescent="0.2">
      <c r="A919" s="1279"/>
      <c r="B919" s="1280"/>
      <c r="C919" s="18"/>
      <c r="D919" s="18"/>
      <c r="E919" s="18"/>
      <c r="F919" s="18"/>
      <c r="G919" s="18"/>
      <c r="H919" s="18"/>
      <c r="I919" s="18"/>
      <c r="J919" s="18"/>
      <c r="K919" s="18"/>
      <c r="L919" s="12"/>
      <c r="M919" s="18"/>
      <c r="N919" s="18"/>
      <c r="O919" s="18"/>
      <c r="P919" s="18"/>
      <c r="Q919" s="18"/>
      <c r="R919" s="18"/>
      <c r="S919" s="18"/>
      <c r="T919" s="18"/>
      <c r="U919" s="18"/>
      <c r="V919" s="18"/>
      <c r="W919" s="18"/>
      <c r="X919" s="18"/>
      <c r="Y919" s="18"/>
      <c r="Z919" s="18"/>
      <c r="AA919" s="18"/>
      <c r="AB919" s="18"/>
      <c r="AC919" s="18"/>
      <c r="AD919" s="18"/>
      <c r="AE919" s="18"/>
      <c r="AF919" s="18"/>
      <c r="AG919" s="18"/>
    </row>
    <row r="920" spans="1:33" x14ac:dyDescent="0.2">
      <c r="A920" s="1279"/>
      <c r="B920" s="1280"/>
      <c r="C920" s="18"/>
      <c r="D920" s="18"/>
      <c r="E920" s="18"/>
      <c r="F920" s="18"/>
      <c r="G920" s="18"/>
      <c r="H920" s="18"/>
      <c r="I920" s="18"/>
      <c r="J920" s="18"/>
      <c r="K920" s="18"/>
      <c r="L920" s="12"/>
      <c r="M920" s="18"/>
      <c r="N920" s="18"/>
      <c r="O920" s="18"/>
      <c r="P920" s="18"/>
      <c r="Q920" s="18"/>
      <c r="R920" s="18"/>
      <c r="S920" s="18"/>
      <c r="T920" s="18"/>
      <c r="U920" s="18"/>
      <c r="V920" s="18"/>
      <c r="W920" s="18"/>
      <c r="X920" s="18"/>
      <c r="Y920" s="18"/>
      <c r="Z920" s="18"/>
      <c r="AA920" s="18"/>
      <c r="AB920" s="18"/>
      <c r="AC920" s="18"/>
      <c r="AD920" s="18"/>
      <c r="AE920" s="18"/>
      <c r="AF920" s="18"/>
      <c r="AG920" s="18"/>
    </row>
    <row r="921" spans="1:33" x14ac:dyDescent="0.2">
      <c r="A921" s="1279"/>
      <c r="B921" s="1280"/>
      <c r="C921" s="18"/>
      <c r="D921" s="18"/>
      <c r="E921" s="18"/>
      <c r="F921" s="18"/>
      <c r="G921" s="18"/>
      <c r="H921" s="18"/>
      <c r="I921" s="18"/>
      <c r="J921" s="18"/>
      <c r="K921" s="18"/>
      <c r="L921" s="12"/>
      <c r="M921" s="18"/>
      <c r="N921" s="18"/>
      <c r="O921" s="18"/>
      <c r="P921" s="18"/>
      <c r="Q921" s="18"/>
      <c r="R921" s="18"/>
      <c r="S921" s="18"/>
      <c r="T921" s="18"/>
      <c r="U921" s="18"/>
      <c r="V921" s="18"/>
      <c r="W921" s="18"/>
      <c r="X921" s="18"/>
      <c r="Y921" s="18"/>
      <c r="Z921" s="18"/>
      <c r="AA921" s="18"/>
      <c r="AB921" s="18"/>
      <c r="AC921" s="18"/>
      <c r="AD921" s="18"/>
      <c r="AE921" s="18"/>
      <c r="AF921" s="18"/>
      <c r="AG921" s="18"/>
    </row>
    <row r="922" spans="1:33" x14ac:dyDescent="0.2">
      <c r="A922" s="1279"/>
      <c r="B922" s="1280"/>
      <c r="C922" s="18"/>
      <c r="D922" s="18"/>
      <c r="E922" s="18"/>
      <c r="F922" s="18"/>
      <c r="G922" s="18"/>
      <c r="H922" s="18"/>
      <c r="I922" s="18"/>
      <c r="J922" s="18"/>
      <c r="K922" s="18"/>
      <c r="L922" s="12"/>
      <c r="M922" s="18"/>
      <c r="N922" s="18"/>
      <c r="O922" s="18"/>
      <c r="P922" s="18"/>
      <c r="Q922" s="18"/>
      <c r="R922" s="18"/>
      <c r="S922" s="18"/>
      <c r="T922" s="18"/>
      <c r="U922" s="18"/>
      <c r="V922" s="18"/>
      <c r="W922" s="18"/>
      <c r="X922" s="18"/>
      <c r="Y922" s="18"/>
      <c r="Z922" s="18"/>
      <c r="AA922" s="18"/>
      <c r="AB922" s="18"/>
      <c r="AC922" s="18"/>
      <c r="AD922" s="18"/>
      <c r="AE922" s="18"/>
      <c r="AF922" s="18"/>
      <c r="AG922" s="18"/>
    </row>
    <row r="923" spans="1:33" x14ac:dyDescent="0.2">
      <c r="A923" s="1279"/>
      <c r="B923" s="1280"/>
      <c r="C923" s="18"/>
      <c r="D923" s="18"/>
      <c r="E923" s="18"/>
      <c r="F923" s="18"/>
      <c r="G923" s="18"/>
      <c r="H923" s="18"/>
      <c r="I923" s="18"/>
      <c r="J923" s="18"/>
      <c r="K923" s="18"/>
      <c r="L923" s="12"/>
      <c r="M923" s="18"/>
      <c r="N923" s="18"/>
      <c r="O923" s="18"/>
      <c r="P923" s="18"/>
      <c r="Q923" s="18"/>
      <c r="R923" s="18"/>
      <c r="S923" s="18"/>
      <c r="T923" s="18"/>
      <c r="U923" s="18"/>
      <c r="V923" s="18"/>
      <c r="W923" s="18"/>
      <c r="X923" s="18"/>
      <c r="Y923" s="18"/>
      <c r="Z923" s="18"/>
      <c r="AA923" s="18"/>
      <c r="AB923" s="18"/>
      <c r="AC923" s="18"/>
      <c r="AD923" s="18"/>
      <c r="AE923" s="18"/>
      <c r="AF923" s="18"/>
      <c r="AG923" s="18"/>
    </row>
    <row r="924" spans="1:33" x14ac:dyDescent="0.2">
      <c r="A924" s="1279"/>
      <c r="B924" s="1280"/>
      <c r="C924" s="18"/>
      <c r="D924" s="18"/>
      <c r="E924" s="18"/>
      <c r="F924" s="18"/>
      <c r="G924" s="18"/>
      <c r="H924" s="18"/>
      <c r="I924" s="18"/>
      <c r="J924" s="18"/>
      <c r="K924" s="18"/>
      <c r="L924" s="12"/>
      <c r="M924" s="18"/>
      <c r="N924" s="18"/>
      <c r="O924" s="18"/>
      <c r="P924" s="18"/>
      <c r="Q924" s="18"/>
      <c r="R924" s="18"/>
      <c r="S924" s="18"/>
      <c r="T924" s="18"/>
      <c r="U924" s="18"/>
      <c r="V924" s="18"/>
      <c r="W924" s="18"/>
      <c r="X924" s="18"/>
      <c r="Y924" s="18"/>
      <c r="Z924" s="18"/>
      <c r="AA924" s="18"/>
      <c r="AB924" s="18"/>
      <c r="AC924" s="18"/>
      <c r="AD924" s="18"/>
      <c r="AE924" s="18"/>
      <c r="AF924" s="18"/>
      <c r="AG924" s="18"/>
    </row>
    <row r="925" spans="1:33" x14ac:dyDescent="0.2">
      <c r="A925" s="1279"/>
      <c r="B925" s="1280"/>
      <c r="C925" s="18"/>
      <c r="D925" s="18"/>
      <c r="E925" s="18"/>
      <c r="F925" s="18"/>
      <c r="G925" s="18"/>
      <c r="H925" s="18"/>
      <c r="I925" s="18"/>
      <c r="J925" s="18"/>
      <c r="K925" s="18"/>
      <c r="L925" s="12"/>
      <c r="M925" s="18"/>
      <c r="N925" s="18"/>
      <c r="O925" s="18"/>
      <c r="P925" s="18"/>
      <c r="Q925" s="18"/>
      <c r="R925" s="18"/>
      <c r="S925" s="18"/>
      <c r="T925" s="18"/>
      <c r="U925" s="18"/>
      <c r="V925" s="18"/>
      <c r="W925" s="18"/>
      <c r="X925" s="18"/>
      <c r="Y925" s="18"/>
      <c r="Z925" s="18"/>
      <c r="AA925" s="18"/>
      <c r="AB925" s="18"/>
      <c r="AC925" s="18"/>
      <c r="AD925" s="18"/>
      <c r="AE925" s="18"/>
      <c r="AF925" s="18"/>
      <c r="AG925" s="18"/>
    </row>
    <row r="926" spans="1:33" x14ac:dyDescent="0.2">
      <c r="A926" s="1279"/>
      <c r="B926" s="1280"/>
      <c r="C926" s="18"/>
      <c r="D926" s="18"/>
      <c r="E926" s="18"/>
      <c r="F926" s="18"/>
      <c r="G926" s="18"/>
      <c r="H926" s="18"/>
      <c r="I926" s="18"/>
      <c r="J926" s="18"/>
      <c r="K926" s="18"/>
      <c r="L926" s="12"/>
      <c r="M926" s="18"/>
      <c r="N926" s="18"/>
      <c r="O926" s="18"/>
      <c r="P926" s="18"/>
      <c r="Q926" s="18"/>
      <c r="R926" s="18"/>
      <c r="S926" s="18"/>
      <c r="T926" s="18"/>
      <c r="U926" s="18"/>
      <c r="V926" s="18"/>
      <c r="W926" s="18"/>
      <c r="X926" s="18"/>
      <c r="Y926" s="18"/>
      <c r="Z926" s="18"/>
      <c r="AA926" s="18"/>
      <c r="AB926" s="18"/>
      <c r="AC926" s="18"/>
      <c r="AD926" s="18"/>
      <c r="AE926" s="18"/>
      <c r="AF926" s="18"/>
      <c r="AG926" s="18"/>
    </row>
    <row r="927" spans="1:33" x14ac:dyDescent="0.2">
      <c r="A927" s="1279"/>
      <c r="B927" s="1280"/>
      <c r="C927" s="18"/>
      <c r="D927" s="18"/>
      <c r="E927" s="18"/>
      <c r="F927" s="18"/>
      <c r="G927" s="18"/>
      <c r="H927" s="18"/>
      <c r="I927" s="18"/>
      <c r="J927" s="18"/>
      <c r="K927" s="18"/>
      <c r="L927" s="12"/>
      <c r="M927" s="18"/>
      <c r="N927" s="18"/>
      <c r="O927" s="18"/>
      <c r="P927" s="18"/>
      <c r="Q927" s="18"/>
      <c r="R927" s="18"/>
      <c r="S927" s="18"/>
      <c r="T927" s="18"/>
      <c r="U927" s="18"/>
      <c r="V927" s="18"/>
      <c r="W927" s="18"/>
      <c r="X927" s="18"/>
      <c r="Y927" s="18"/>
      <c r="Z927" s="18"/>
      <c r="AA927" s="18"/>
      <c r="AB927" s="18"/>
      <c r="AC927" s="18"/>
      <c r="AD927" s="18"/>
      <c r="AE927" s="18"/>
      <c r="AF927" s="18"/>
      <c r="AG927" s="18"/>
    </row>
    <row r="928" spans="1:33" x14ac:dyDescent="0.2">
      <c r="A928" s="1279"/>
      <c r="B928" s="1280"/>
      <c r="C928" s="18"/>
      <c r="D928" s="18"/>
      <c r="E928" s="18"/>
      <c r="F928" s="18"/>
      <c r="G928" s="18"/>
      <c r="H928" s="18"/>
      <c r="I928" s="18"/>
      <c r="J928" s="18"/>
      <c r="K928" s="18"/>
      <c r="L928" s="12"/>
      <c r="M928" s="18"/>
      <c r="N928" s="18"/>
      <c r="O928" s="18"/>
      <c r="P928" s="18"/>
      <c r="Q928" s="18"/>
      <c r="R928" s="18"/>
      <c r="S928" s="18"/>
      <c r="T928" s="18"/>
      <c r="U928" s="18"/>
      <c r="V928" s="18"/>
      <c r="W928" s="18"/>
      <c r="X928" s="18"/>
      <c r="Y928" s="18"/>
      <c r="Z928" s="18"/>
      <c r="AA928" s="18"/>
      <c r="AB928" s="18"/>
      <c r="AC928" s="18"/>
      <c r="AD928" s="18"/>
      <c r="AE928" s="18"/>
      <c r="AF928" s="18"/>
      <c r="AG928" s="18"/>
    </row>
    <row r="929" spans="1:33" x14ac:dyDescent="0.2">
      <c r="A929" s="1279"/>
      <c r="B929" s="1280"/>
      <c r="C929" s="18"/>
      <c r="D929" s="18"/>
      <c r="E929" s="18"/>
      <c r="F929" s="18"/>
      <c r="G929" s="18"/>
      <c r="H929" s="18"/>
      <c r="I929" s="18"/>
      <c r="J929" s="18"/>
      <c r="K929" s="18"/>
      <c r="L929" s="12"/>
      <c r="M929" s="18"/>
      <c r="N929" s="18"/>
      <c r="O929" s="18"/>
      <c r="P929" s="18"/>
      <c r="Q929" s="18"/>
      <c r="R929" s="18"/>
      <c r="S929" s="18"/>
      <c r="T929" s="18"/>
      <c r="U929" s="18"/>
      <c r="V929" s="18"/>
      <c r="W929" s="18"/>
      <c r="X929" s="18"/>
      <c r="Y929" s="18"/>
      <c r="Z929" s="18"/>
      <c r="AA929" s="18"/>
      <c r="AB929" s="18"/>
      <c r="AC929" s="18"/>
      <c r="AD929" s="18"/>
      <c r="AE929" s="18"/>
      <c r="AF929" s="18"/>
      <c r="AG929" s="18"/>
    </row>
    <row r="930" spans="1:33" x14ac:dyDescent="0.2">
      <c r="A930" s="1279"/>
      <c r="B930" s="1280"/>
      <c r="C930" s="18"/>
      <c r="D930" s="18"/>
      <c r="E930" s="18"/>
      <c r="F930" s="18"/>
      <c r="G930" s="18"/>
      <c r="H930" s="18"/>
      <c r="I930" s="18"/>
      <c r="J930" s="18"/>
      <c r="K930" s="18"/>
      <c r="L930" s="12"/>
      <c r="M930" s="18"/>
      <c r="N930" s="18"/>
      <c r="O930" s="18"/>
      <c r="P930" s="18"/>
      <c r="Q930" s="18"/>
      <c r="R930" s="18"/>
      <c r="S930" s="18"/>
      <c r="T930" s="18"/>
      <c r="U930" s="18"/>
      <c r="V930" s="18"/>
      <c r="W930" s="18"/>
      <c r="X930" s="18"/>
      <c r="Y930" s="18"/>
      <c r="Z930" s="18"/>
      <c r="AA930" s="18"/>
      <c r="AB930" s="18"/>
      <c r="AC930" s="18"/>
      <c r="AD930" s="18"/>
      <c r="AE930" s="18"/>
      <c r="AF930" s="18"/>
      <c r="AG930" s="18"/>
    </row>
    <row r="931" spans="1:33" x14ac:dyDescent="0.2">
      <c r="A931" s="1279"/>
      <c r="B931" s="1280"/>
      <c r="C931" s="18"/>
      <c r="D931" s="18"/>
      <c r="E931" s="18"/>
      <c r="F931" s="18"/>
      <c r="G931" s="18"/>
      <c r="H931" s="18"/>
      <c r="I931" s="18"/>
      <c r="J931" s="18"/>
      <c r="K931" s="18"/>
      <c r="L931" s="12"/>
      <c r="M931" s="18"/>
      <c r="N931" s="18"/>
      <c r="O931" s="18"/>
      <c r="P931" s="18"/>
      <c r="Q931" s="18"/>
      <c r="R931" s="18"/>
      <c r="S931" s="18"/>
      <c r="T931" s="18"/>
      <c r="U931" s="18"/>
      <c r="V931" s="18"/>
      <c r="W931" s="18"/>
      <c r="X931" s="18"/>
      <c r="Y931" s="18"/>
      <c r="Z931" s="18"/>
      <c r="AA931" s="18"/>
      <c r="AB931" s="18"/>
      <c r="AC931" s="18"/>
      <c r="AD931" s="18"/>
      <c r="AE931" s="18"/>
      <c r="AF931" s="18"/>
      <c r="AG931" s="18"/>
    </row>
    <row r="932" spans="1:33" x14ac:dyDescent="0.2">
      <c r="A932" s="1279"/>
      <c r="B932" s="1280"/>
      <c r="C932" s="18"/>
      <c r="D932" s="18"/>
      <c r="E932" s="18"/>
      <c r="F932" s="18"/>
      <c r="G932" s="18"/>
      <c r="H932" s="18"/>
      <c r="I932" s="18"/>
      <c r="J932" s="18"/>
      <c r="K932" s="18"/>
      <c r="L932" s="12"/>
      <c r="M932" s="18"/>
      <c r="N932" s="18"/>
      <c r="O932" s="18"/>
      <c r="P932" s="18"/>
      <c r="Q932" s="18"/>
      <c r="R932" s="18"/>
      <c r="S932" s="18"/>
      <c r="T932" s="18"/>
      <c r="U932" s="18"/>
      <c r="V932" s="18"/>
      <c r="W932" s="18"/>
      <c r="X932" s="18"/>
      <c r="Y932" s="18"/>
      <c r="Z932" s="18"/>
      <c r="AA932" s="18"/>
      <c r="AB932" s="18"/>
      <c r="AC932" s="18"/>
      <c r="AD932" s="18"/>
      <c r="AE932" s="18"/>
      <c r="AF932" s="18"/>
      <c r="AG932" s="18"/>
    </row>
    <row r="933" spans="1:33" x14ac:dyDescent="0.2">
      <c r="A933" s="1279"/>
      <c r="B933" s="1280"/>
      <c r="C933" s="18"/>
      <c r="D933" s="18"/>
      <c r="E933" s="18"/>
      <c r="F933" s="18"/>
      <c r="G933" s="18"/>
      <c r="H933" s="18"/>
      <c r="I933" s="18"/>
      <c r="J933" s="18"/>
      <c r="K933" s="18"/>
      <c r="L933" s="12"/>
      <c r="M933" s="18"/>
      <c r="N933" s="18"/>
      <c r="O933" s="18"/>
      <c r="P933" s="18"/>
      <c r="Q933" s="18"/>
      <c r="R933" s="18"/>
      <c r="S933" s="18"/>
      <c r="T933" s="18"/>
      <c r="U933" s="18"/>
      <c r="V933" s="18"/>
      <c r="W933" s="18"/>
      <c r="X933" s="18"/>
      <c r="Y933" s="18"/>
      <c r="Z933" s="18"/>
      <c r="AA933" s="18"/>
      <c r="AB933" s="18"/>
      <c r="AC933" s="18"/>
      <c r="AD933" s="18"/>
      <c r="AE933" s="18"/>
      <c r="AF933" s="18"/>
      <c r="AG933" s="18"/>
    </row>
    <row r="934" spans="1:33" x14ac:dyDescent="0.2">
      <c r="A934" s="1279"/>
      <c r="B934" s="1280"/>
      <c r="C934" s="18"/>
      <c r="D934" s="18"/>
      <c r="E934" s="18"/>
      <c r="F934" s="18"/>
      <c r="G934" s="18"/>
      <c r="H934" s="18"/>
      <c r="I934" s="18"/>
      <c r="J934" s="18"/>
      <c r="K934" s="18"/>
      <c r="L934" s="12"/>
      <c r="M934" s="18"/>
      <c r="N934" s="18"/>
      <c r="O934" s="18"/>
      <c r="P934" s="18"/>
      <c r="Q934" s="18"/>
      <c r="R934" s="18"/>
      <c r="S934" s="18"/>
      <c r="T934" s="18"/>
      <c r="U934" s="18"/>
      <c r="V934" s="18"/>
      <c r="W934" s="18"/>
      <c r="X934" s="18"/>
      <c r="Y934" s="18"/>
      <c r="Z934" s="18"/>
      <c r="AA934" s="18"/>
      <c r="AB934" s="18"/>
      <c r="AC934" s="18"/>
      <c r="AD934" s="18"/>
      <c r="AE934" s="18"/>
      <c r="AF934" s="18"/>
      <c r="AG934" s="18"/>
    </row>
    <row r="935" spans="1:33" x14ac:dyDescent="0.2">
      <c r="A935" s="1279"/>
      <c r="B935" s="1280"/>
      <c r="C935" s="18"/>
      <c r="D935" s="18"/>
      <c r="E935" s="18"/>
      <c r="F935" s="18"/>
      <c r="G935" s="18"/>
      <c r="H935" s="18"/>
      <c r="I935" s="18"/>
      <c r="J935" s="18"/>
      <c r="K935" s="18"/>
      <c r="L935" s="12"/>
      <c r="M935" s="18"/>
      <c r="N935" s="18"/>
      <c r="O935" s="18"/>
      <c r="P935" s="18"/>
      <c r="Q935" s="18"/>
      <c r="R935" s="18"/>
      <c r="S935" s="18"/>
      <c r="T935" s="18"/>
      <c r="U935" s="18"/>
      <c r="V935" s="18"/>
      <c r="W935" s="18"/>
      <c r="X935" s="18"/>
      <c r="Y935" s="18"/>
      <c r="Z935" s="18"/>
      <c r="AA935" s="18"/>
      <c r="AB935" s="18"/>
      <c r="AC935" s="18"/>
      <c r="AD935" s="18"/>
      <c r="AE935" s="18"/>
      <c r="AF935" s="18"/>
      <c r="AG935" s="18"/>
    </row>
    <row r="936" spans="1:33" x14ac:dyDescent="0.2">
      <c r="A936" s="1279"/>
      <c r="B936" s="1280"/>
      <c r="C936" s="18"/>
      <c r="D936" s="18"/>
      <c r="E936" s="18"/>
      <c r="F936" s="18"/>
      <c r="G936" s="18"/>
      <c r="H936" s="18"/>
      <c r="I936" s="18"/>
      <c r="J936" s="18"/>
      <c r="K936" s="18"/>
      <c r="L936" s="12"/>
      <c r="M936" s="18"/>
      <c r="N936" s="18"/>
      <c r="O936" s="18"/>
      <c r="P936" s="18"/>
      <c r="Q936" s="18"/>
      <c r="R936" s="18"/>
      <c r="S936" s="18"/>
      <c r="T936" s="18"/>
      <c r="U936" s="18"/>
      <c r="V936" s="18"/>
      <c r="W936" s="18"/>
      <c r="X936" s="18"/>
      <c r="Y936" s="18"/>
      <c r="Z936" s="18"/>
      <c r="AA936" s="18"/>
      <c r="AB936" s="18"/>
      <c r="AC936" s="18"/>
      <c r="AD936" s="18"/>
      <c r="AE936" s="18"/>
      <c r="AF936" s="18"/>
      <c r="AG936" s="18"/>
    </row>
    <row r="937" spans="1:33" x14ac:dyDescent="0.2">
      <c r="A937" s="1279"/>
      <c r="B937" s="1280"/>
      <c r="C937" s="18"/>
      <c r="D937" s="18"/>
      <c r="E937" s="18"/>
      <c r="F937" s="18"/>
      <c r="G937" s="18"/>
      <c r="H937" s="18"/>
      <c r="I937" s="18"/>
      <c r="J937" s="18"/>
      <c r="K937" s="18"/>
      <c r="L937" s="12"/>
      <c r="M937" s="18"/>
      <c r="N937" s="18"/>
      <c r="O937" s="18"/>
      <c r="P937" s="18"/>
      <c r="Q937" s="18"/>
      <c r="R937" s="18"/>
      <c r="S937" s="18"/>
      <c r="T937" s="18"/>
      <c r="U937" s="18"/>
      <c r="V937" s="18"/>
      <c r="W937" s="18"/>
      <c r="X937" s="18"/>
      <c r="Y937" s="18"/>
      <c r="Z937" s="18"/>
      <c r="AA937" s="18"/>
      <c r="AB937" s="18"/>
      <c r="AC937" s="18"/>
      <c r="AD937" s="18"/>
      <c r="AE937" s="18"/>
      <c r="AF937" s="18"/>
      <c r="AG937" s="18"/>
    </row>
    <row r="938" spans="1:33" x14ac:dyDescent="0.2">
      <c r="A938" s="1279"/>
      <c r="B938" s="1280"/>
      <c r="C938" s="18"/>
      <c r="D938" s="18"/>
      <c r="E938" s="18"/>
      <c r="F938" s="18"/>
      <c r="G938" s="18"/>
      <c r="H938" s="18"/>
      <c r="I938" s="18"/>
      <c r="J938" s="18"/>
      <c r="K938" s="18"/>
      <c r="L938" s="12"/>
      <c r="M938" s="18"/>
      <c r="N938" s="18"/>
      <c r="O938" s="18"/>
      <c r="P938" s="18"/>
      <c r="Q938" s="18"/>
      <c r="R938" s="18"/>
      <c r="S938" s="18"/>
      <c r="T938" s="18"/>
      <c r="U938" s="18"/>
      <c r="V938" s="18"/>
      <c r="W938" s="18"/>
      <c r="X938" s="18"/>
      <c r="Y938" s="18"/>
      <c r="Z938" s="18"/>
      <c r="AA938" s="18"/>
      <c r="AB938" s="18"/>
      <c r="AC938" s="18"/>
      <c r="AD938" s="18"/>
      <c r="AE938" s="18"/>
      <c r="AF938" s="18"/>
      <c r="AG938" s="18"/>
    </row>
    <row r="939" spans="1:33" x14ac:dyDescent="0.2">
      <c r="A939" s="1279"/>
      <c r="B939" s="1280"/>
      <c r="C939" s="18"/>
      <c r="D939" s="18"/>
      <c r="E939" s="18"/>
      <c r="F939" s="18"/>
      <c r="G939" s="18"/>
      <c r="H939" s="18"/>
      <c r="I939" s="18"/>
      <c r="J939" s="18"/>
      <c r="K939" s="18"/>
      <c r="L939" s="12"/>
      <c r="M939" s="18"/>
      <c r="N939" s="18"/>
      <c r="O939" s="18"/>
      <c r="P939" s="18"/>
      <c r="Q939" s="18"/>
      <c r="R939" s="18"/>
      <c r="S939" s="18"/>
      <c r="T939" s="18"/>
      <c r="U939" s="18"/>
      <c r="V939" s="18"/>
      <c r="W939" s="18"/>
      <c r="X939" s="18"/>
      <c r="Y939" s="18"/>
      <c r="Z939" s="18"/>
      <c r="AA939" s="18"/>
      <c r="AB939" s="18"/>
      <c r="AC939" s="18"/>
      <c r="AD939" s="18"/>
      <c r="AE939" s="18"/>
      <c r="AF939" s="18"/>
      <c r="AG939" s="18"/>
    </row>
    <row r="940" spans="1:33" x14ac:dyDescent="0.2">
      <c r="A940" s="1279"/>
      <c r="B940" s="1280"/>
      <c r="C940" s="18"/>
      <c r="D940" s="18"/>
      <c r="E940" s="18"/>
      <c r="F940" s="18"/>
      <c r="G940" s="18"/>
      <c r="H940" s="18"/>
      <c r="I940" s="18"/>
      <c r="J940" s="18"/>
      <c r="K940" s="18"/>
      <c r="L940" s="12"/>
      <c r="M940" s="18"/>
      <c r="N940" s="18"/>
      <c r="O940" s="18"/>
      <c r="P940" s="18"/>
      <c r="Q940" s="18"/>
      <c r="R940" s="18"/>
      <c r="S940" s="18"/>
      <c r="T940" s="18"/>
      <c r="U940" s="18"/>
      <c r="V940" s="18"/>
      <c r="W940" s="18"/>
      <c r="X940" s="18"/>
      <c r="Y940" s="18"/>
      <c r="Z940" s="18"/>
      <c r="AA940" s="18"/>
      <c r="AB940" s="18"/>
      <c r="AC940" s="18"/>
      <c r="AD940" s="18"/>
      <c r="AE940" s="18"/>
      <c r="AF940" s="18"/>
      <c r="AG940" s="18"/>
    </row>
    <row r="941" spans="1:33" x14ac:dyDescent="0.2">
      <c r="A941" s="1279"/>
      <c r="B941" s="1280"/>
      <c r="C941" s="18"/>
      <c r="D941" s="18"/>
      <c r="E941" s="18"/>
      <c r="F941" s="18"/>
      <c r="G941" s="18"/>
      <c r="H941" s="18"/>
      <c r="I941" s="18"/>
      <c r="J941" s="18"/>
      <c r="K941" s="18"/>
      <c r="L941" s="12"/>
      <c r="M941" s="18"/>
      <c r="N941" s="18"/>
      <c r="O941" s="18"/>
      <c r="P941" s="18"/>
      <c r="Q941" s="18"/>
      <c r="R941" s="18"/>
      <c r="S941" s="18"/>
      <c r="T941" s="18"/>
      <c r="U941" s="18"/>
      <c r="V941" s="18"/>
      <c r="W941" s="18"/>
      <c r="X941" s="18"/>
      <c r="Y941" s="18"/>
      <c r="Z941" s="18"/>
      <c r="AA941" s="18"/>
      <c r="AB941" s="18"/>
      <c r="AC941" s="18"/>
      <c r="AD941" s="18"/>
      <c r="AE941" s="18"/>
      <c r="AF941" s="18"/>
      <c r="AG941" s="18"/>
    </row>
    <row r="942" spans="1:33" x14ac:dyDescent="0.2">
      <c r="A942" s="1279"/>
      <c r="B942" s="1280"/>
      <c r="C942" s="18"/>
      <c r="D942" s="18"/>
      <c r="E942" s="18"/>
      <c r="F942" s="18"/>
      <c r="G942" s="18"/>
      <c r="H942" s="18"/>
      <c r="I942" s="18"/>
      <c r="J942" s="18"/>
      <c r="K942" s="18"/>
      <c r="L942" s="12"/>
      <c r="M942" s="18"/>
      <c r="N942" s="18"/>
      <c r="O942" s="18"/>
      <c r="P942" s="18"/>
      <c r="Q942" s="18"/>
      <c r="R942" s="18"/>
      <c r="S942" s="18"/>
      <c r="T942" s="18"/>
      <c r="U942" s="18"/>
      <c r="V942" s="18"/>
      <c r="W942" s="18"/>
      <c r="X942" s="18"/>
      <c r="Y942" s="18"/>
      <c r="Z942" s="18"/>
      <c r="AA942" s="18"/>
      <c r="AB942" s="18"/>
      <c r="AC942" s="18"/>
      <c r="AD942" s="18"/>
      <c r="AE942" s="18"/>
      <c r="AF942" s="18"/>
      <c r="AG942" s="18"/>
    </row>
    <row r="943" spans="1:33" x14ac:dyDescent="0.2">
      <c r="A943" s="1279"/>
      <c r="B943" s="1280"/>
      <c r="C943" s="18"/>
      <c r="D943" s="18"/>
      <c r="E943" s="18"/>
      <c r="F943" s="18"/>
      <c r="G943" s="18"/>
      <c r="H943" s="18"/>
      <c r="I943" s="18"/>
      <c r="J943" s="18"/>
      <c r="K943" s="18"/>
      <c r="L943" s="12"/>
      <c r="M943" s="18"/>
      <c r="N943" s="18"/>
      <c r="O943" s="18"/>
      <c r="P943" s="18"/>
      <c r="Q943" s="18"/>
      <c r="R943" s="18"/>
      <c r="S943" s="18"/>
      <c r="T943" s="18"/>
      <c r="U943" s="18"/>
      <c r="V943" s="18"/>
      <c r="W943" s="18"/>
      <c r="X943" s="18"/>
      <c r="Y943" s="18"/>
      <c r="Z943" s="18"/>
      <c r="AA943" s="18"/>
      <c r="AB943" s="18"/>
      <c r="AC943" s="18"/>
      <c r="AD943" s="18"/>
      <c r="AE943" s="18"/>
      <c r="AF943" s="18"/>
      <c r="AG943" s="18"/>
    </row>
    <row r="944" spans="1:33" x14ac:dyDescent="0.2">
      <c r="A944" s="1279"/>
      <c r="B944" s="1280"/>
      <c r="C944" s="18"/>
      <c r="D944" s="18"/>
      <c r="E944" s="18"/>
      <c r="F944" s="18"/>
      <c r="G944" s="18"/>
      <c r="H944" s="18"/>
      <c r="I944" s="18"/>
      <c r="J944" s="18"/>
      <c r="K944" s="18"/>
      <c r="L944" s="12"/>
      <c r="M944" s="18"/>
      <c r="N944" s="18"/>
      <c r="O944" s="18"/>
      <c r="P944" s="18"/>
      <c r="Q944" s="18"/>
      <c r="R944" s="18"/>
      <c r="S944" s="18"/>
      <c r="T944" s="18"/>
      <c r="U944" s="18"/>
      <c r="V944" s="18"/>
      <c r="W944" s="18"/>
      <c r="X944" s="18"/>
      <c r="Y944" s="18"/>
      <c r="Z944" s="18"/>
      <c r="AA944" s="18"/>
      <c r="AB944" s="18"/>
      <c r="AC944" s="18"/>
      <c r="AD944" s="18"/>
      <c r="AE944" s="18"/>
      <c r="AF944" s="18"/>
      <c r="AG944" s="18"/>
    </row>
    <row r="945" spans="1:33" x14ac:dyDescent="0.2">
      <c r="A945" s="1279"/>
      <c r="B945" s="1280"/>
      <c r="C945" s="18"/>
      <c r="D945" s="18"/>
      <c r="E945" s="18"/>
      <c r="F945" s="18"/>
      <c r="G945" s="18"/>
      <c r="H945" s="18"/>
      <c r="I945" s="18"/>
      <c r="J945" s="18"/>
      <c r="K945" s="18"/>
      <c r="L945" s="12"/>
      <c r="M945" s="18"/>
      <c r="N945" s="18"/>
      <c r="O945" s="18"/>
      <c r="P945" s="18"/>
      <c r="Q945" s="18"/>
      <c r="R945" s="18"/>
      <c r="S945" s="18"/>
      <c r="T945" s="18"/>
      <c r="U945" s="18"/>
      <c r="V945" s="18"/>
      <c r="W945" s="18"/>
      <c r="X945" s="18"/>
      <c r="Y945" s="18"/>
      <c r="Z945" s="18"/>
      <c r="AA945" s="18"/>
      <c r="AB945" s="18"/>
      <c r="AC945" s="18"/>
      <c r="AD945" s="18"/>
      <c r="AE945" s="18"/>
      <c r="AF945" s="18"/>
      <c r="AG945" s="18"/>
    </row>
    <row r="946" spans="1:33" x14ac:dyDescent="0.2">
      <c r="A946" s="1279"/>
      <c r="B946" s="1280"/>
      <c r="C946" s="18"/>
      <c r="D946" s="18"/>
      <c r="E946" s="18"/>
      <c r="F946" s="18"/>
      <c r="G946" s="18"/>
      <c r="H946" s="18"/>
      <c r="I946" s="18"/>
      <c r="J946" s="18"/>
      <c r="K946" s="18"/>
      <c r="L946" s="12"/>
      <c r="M946" s="18"/>
      <c r="N946" s="18"/>
      <c r="O946" s="18"/>
      <c r="P946" s="18"/>
      <c r="Q946" s="18"/>
      <c r="R946" s="18"/>
      <c r="S946" s="18"/>
      <c r="T946" s="18"/>
      <c r="U946" s="18"/>
      <c r="V946" s="18"/>
      <c r="W946" s="18"/>
      <c r="X946" s="18"/>
      <c r="Y946" s="18"/>
      <c r="Z946" s="18"/>
      <c r="AA946" s="18"/>
      <c r="AB946" s="18"/>
      <c r="AC946" s="18"/>
      <c r="AD946" s="18"/>
      <c r="AE946" s="18"/>
      <c r="AF946" s="18"/>
      <c r="AG946" s="18"/>
    </row>
    <row r="947" spans="1:33" x14ac:dyDescent="0.2">
      <c r="A947" s="1279"/>
      <c r="B947" s="1280"/>
      <c r="C947" s="18"/>
      <c r="D947" s="18"/>
      <c r="E947" s="18"/>
      <c r="F947" s="18"/>
      <c r="G947" s="18"/>
      <c r="H947" s="18"/>
      <c r="I947" s="18"/>
      <c r="J947" s="18"/>
      <c r="K947" s="18"/>
      <c r="L947" s="12"/>
      <c r="M947" s="18"/>
      <c r="N947" s="18"/>
      <c r="O947" s="18"/>
      <c r="P947" s="18"/>
      <c r="Q947" s="18"/>
      <c r="R947" s="18"/>
      <c r="S947" s="18"/>
      <c r="T947" s="18"/>
      <c r="U947" s="18"/>
      <c r="V947" s="18"/>
      <c r="W947" s="18"/>
      <c r="X947" s="18"/>
      <c r="Y947" s="18"/>
      <c r="Z947" s="18"/>
      <c r="AA947" s="18"/>
      <c r="AB947" s="18"/>
      <c r="AC947" s="18"/>
      <c r="AD947" s="18"/>
      <c r="AE947" s="18"/>
      <c r="AF947" s="18"/>
      <c r="AG947" s="18"/>
    </row>
    <row r="948" spans="1:33" x14ac:dyDescent="0.2">
      <c r="A948" s="1279"/>
      <c r="B948" s="1280"/>
      <c r="C948" s="18"/>
      <c r="D948" s="18"/>
      <c r="E948" s="18"/>
      <c r="F948" s="18"/>
      <c r="G948" s="18"/>
      <c r="H948" s="18"/>
      <c r="I948" s="18"/>
      <c r="J948" s="18"/>
      <c r="K948" s="18"/>
      <c r="L948" s="12"/>
      <c r="M948" s="18"/>
      <c r="N948" s="18"/>
      <c r="O948" s="18"/>
      <c r="P948" s="18"/>
      <c r="Q948" s="18"/>
      <c r="R948" s="18"/>
      <c r="S948" s="18"/>
      <c r="T948" s="18"/>
      <c r="U948" s="18"/>
      <c r="V948" s="18"/>
      <c r="W948" s="18"/>
      <c r="X948" s="18"/>
      <c r="Y948" s="18"/>
      <c r="Z948" s="18"/>
      <c r="AA948" s="18"/>
      <c r="AB948" s="18"/>
      <c r="AC948" s="18"/>
      <c r="AD948" s="18"/>
      <c r="AE948" s="18"/>
      <c r="AF948" s="18"/>
      <c r="AG948" s="18"/>
    </row>
    <row r="949" spans="1:33" x14ac:dyDescent="0.2">
      <c r="A949" s="1279"/>
      <c r="B949" s="1280"/>
      <c r="C949" s="18"/>
      <c r="D949" s="18"/>
      <c r="E949" s="18"/>
      <c r="F949" s="18"/>
      <c r="G949" s="18"/>
      <c r="H949" s="18"/>
      <c r="I949" s="18"/>
      <c r="J949" s="18"/>
      <c r="K949" s="18"/>
      <c r="L949" s="12"/>
      <c r="M949" s="18"/>
      <c r="N949" s="18"/>
      <c r="O949" s="18"/>
      <c r="P949" s="18"/>
      <c r="Q949" s="18"/>
      <c r="R949" s="18"/>
      <c r="S949" s="18"/>
      <c r="T949" s="18"/>
      <c r="U949" s="18"/>
      <c r="V949" s="18"/>
      <c r="W949" s="18"/>
      <c r="X949" s="18"/>
      <c r="Y949" s="18"/>
      <c r="Z949" s="18"/>
      <c r="AA949" s="18"/>
      <c r="AB949" s="18"/>
      <c r="AC949" s="18"/>
      <c r="AD949" s="18"/>
      <c r="AE949" s="18"/>
      <c r="AF949" s="18"/>
      <c r="AG949" s="18"/>
    </row>
    <row r="950" spans="1:33" x14ac:dyDescent="0.2">
      <c r="A950" s="1279"/>
      <c r="B950" s="1280"/>
      <c r="C950" s="18"/>
      <c r="D950" s="18"/>
      <c r="E950" s="18"/>
      <c r="F950" s="18"/>
      <c r="G950" s="18"/>
      <c r="H950" s="18"/>
      <c r="I950" s="18"/>
      <c r="J950" s="18"/>
      <c r="K950" s="18"/>
      <c r="L950" s="12"/>
      <c r="M950" s="18"/>
      <c r="N950" s="18"/>
      <c r="O950" s="18"/>
      <c r="P950" s="18"/>
      <c r="Q950" s="18"/>
      <c r="R950" s="18"/>
      <c r="S950" s="18"/>
      <c r="T950" s="18"/>
      <c r="U950" s="18"/>
      <c r="V950" s="18"/>
      <c r="W950" s="18"/>
      <c r="X950" s="18"/>
      <c r="Y950" s="18"/>
      <c r="Z950" s="18"/>
      <c r="AA950" s="18"/>
      <c r="AB950" s="18"/>
      <c r="AC950" s="18"/>
      <c r="AD950" s="18"/>
      <c r="AE950" s="18"/>
      <c r="AF950" s="18"/>
      <c r="AG950" s="18"/>
    </row>
    <row r="951" spans="1:33" x14ac:dyDescent="0.2">
      <c r="A951" s="1279"/>
      <c r="B951" s="1280"/>
      <c r="C951" s="18"/>
      <c r="D951" s="18"/>
      <c r="E951" s="18"/>
      <c r="F951" s="18"/>
      <c r="G951" s="18"/>
      <c r="H951" s="18"/>
      <c r="I951" s="18"/>
      <c r="J951" s="18"/>
      <c r="K951" s="18"/>
      <c r="L951" s="12"/>
      <c r="M951" s="18"/>
      <c r="N951" s="18"/>
      <c r="O951" s="18"/>
      <c r="P951" s="18"/>
      <c r="Q951" s="18"/>
      <c r="R951" s="18"/>
      <c r="S951" s="18"/>
      <c r="T951" s="18"/>
      <c r="U951" s="18"/>
      <c r="V951" s="18"/>
      <c r="W951" s="18"/>
      <c r="X951" s="18"/>
      <c r="Y951" s="18"/>
      <c r="Z951" s="18"/>
      <c r="AA951" s="18"/>
      <c r="AB951" s="18"/>
      <c r="AC951" s="18"/>
      <c r="AD951" s="18"/>
      <c r="AE951" s="18"/>
      <c r="AF951" s="18"/>
      <c r="AG951" s="18"/>
    </row>
    <row r="952" spans="1:33" x14ac:dyDescent="0.2">
      <c r="A952" s="1279"/>
      <c r="B952" s="1280"/>
      <c r="C952" s="18"/>
      <c r="D952" s="18"/>
      <c r="E952" s="18"/>
      <c r="F952" s="18"/>
      <c r="G952" s="18"/>
      <c r="H952" s="18"/>
      <c r="I952" s="18"/>
      <c r="J952" s="18"/>
      <c r="K952" s="18"/>
      <c r="L952" s="12"/>
      <c r="M952" s="18"/>
      <c r="N952" s="18"/>
      <c r="O952" s="18"/>
      <c r="P952" s="18"/>
      <c r="Q952" s="18"/>
      <c r="R952" s="18"/>
      <c r="S952" s="18"/>
      <c r="T952" s="18"/>
      <c r="U952" s="18"/>
      <c r="V952" s="18"/>
      <c r="W952" s="18"/>
      <c r="X952" s="18"/>
      <c r="Y952" s="18"/>
      <c r="Z952" s="18"/>
      <c r="AA952" s="18"/>
      <c r="AB952" s="18"/>
      <c r="AC952" s="18"/>
      <c r="AD952" s="18"/>
      <c r="AE952" s="18"/>
      <c r="AF952" s="18"/>
      <c r="AG952" s="18"/>
    </row>
    <row r="953" spans="1:33" x14ac:dyDescent="0.2">
      <c r="A953" s="1279"/>
      <c r="B953" s="1280"/>
      <c r="C953" s="18"/>
      <c r="D953" s="18"/>
      <c r="E953" s="18"/>
      <c r="F953" s="18"/>
      <c r="G953" s="18"/>
      <c r="H953" s="18"/>
      <c r="I953" s="18"/>
      <c r="J953" s="18"/>
      <c r="K953" s="18"/>
      <c r="L953" s="12"/>
      <c r="M953" s="18"/>
      <c r="N953" s="18"/>
      <c r="O953" s="18"/>
      <c r="P953" s="18"/>
      <c r="Q953" s="18"/>
      <c r="R953" s="18"/>
      <c r="S953" s="18"/>
      <c r="T953" s="18"/>
      <c r="U953" s="18"/>
      <c r="V953" s="18"/>
      <c r="W953" s="18"/>
      <c r="X953" s="18"/>
      <c r="Y953" s="18"/>
      <c r="Z953" s="18"/>
      <c r="AA953" s="18"/>
      <c r="AB953" s="18"/>
      <c r="AC953" s="18"/>
      <c r="AD953" s="18"/>
      <c r="AE953" s="18"/>
      <c r="AF953" s="18"/>
      <c r="AG953" s="18"/>
    </row>
    <row r="954" spans="1:33" x14ac:dyDescent="0.2">
      <c r="A954" s="1279"/>
      <c r="B954" s="1280"/>
      <c r="C954" s="18"/>
      <c r="D954" s="18"/>
      <c r="E954" s="18"/>
      <c r="F954" s="18"/>
      <c r="G954" s="18"/>
      <c r="H954" s="18"/>
      <c r="I954" s="18"/>
      <c r="J954" s="18"/>
      <c r="K954" s="18"/>
      <c r="L954" s="12"/>
      <c r="M954" s="18"/>
      <c r="N954" s="18"/>
      <c r="O954" s="18"/>
      <c r="P954" s="18"/>
      <c r="Q954" s="18"/>
      <c r="R954" s="18"/>
      <c r="S954" s="18"/>
      <c r="T954" s="18"/>
      <c r="U954" s="18"/>
      <c r="V954" s="18"/>
      <c r="W954" s="18"/>
      <c r="X954" s="18"/>
      <c r="Y954" s="18"/>
      <c r="Z954" s="18"/>
      <c r="AA954" s="18"/>
      <c r="AB954" s="18"/>
      <c r="AC954" s="18"/>
      <c r="AD954" s="18"/>
      <c r="AE954" s="18"/>
      <c r="AF954" s="18"/>
      <c r="AG954" s="18"/>
    </row>
    <row r="955" spans="1:33" x14ac:dyDescent="0.2">
      <c r="A955" s="1279"/>
      <c r="B955" s="1280"/>
      <c r="C955" s="18"/>
      <c r="D955" s="18"/>
      <c r="E955" s="18"/>
      <c r="F955" s="18"/>
      <c r="G955" s="18"/>
      <c r="H955" s="18"/>
      <c r="I955" s="18"/>
      <c r="J955" s="18"/>
      <c r="K955" s="18"/>
      <c r="L955" s="12"/>
      <c r="M955" s="18"/>
      <c r="N955" s="18"/>
      <c r="O955" s="18"/>
      <c r="P955" s="18"/>
      <c r="Q955" s="18"/>
      <c r="R955" s="18"/>
      <c r="S955" s="18"/>
      <c r="T955" s="18"/>
      <c r="U955" s="18"/>
      <c r="V955" s="18"/>
      <c r="W955" s="18"/>
      <c r="X955" s="18"/>
      <c r="Y955" s="18"/>
      <c r="Z955" s="18"/>
      <c r="AA955" s="18"/>
      <c r="AB955" s="18"/>
      <c r="AC955" s="18"/>
      <c r="AD955" s="18"/>
      <c r="AE955" s="18"/>
      <c r="AF955" s="18"/>
      <c r="AG955" s="18"/>
    </row>
    <row r="956" spans="1:33" x14ac:dyDescent="0.2">
      <c r="A956" s="1279"/>
      <c r="B956" s="1280"/>
      <c r="C956" s="18"/>
      <c r="D956" s="18"/>
      <c r="E956" s="18"/>
      <c r="F956" s="18"/>
      <c r="G956" s="18"/>
      <c r="H956" s="18"/>
      <c r="I956" s="18"/>
      <c r="J956" s="18"/>
      <c r="K956" s="18"/>
      <c r="L956" s="12"/>
      <c r="M956" s="18"/>
      <c r="N956" s="18"/>
      <c r="O956" s="18"/>
      <c r="P956" s="18"/>
      <c r="Q956" s="18"/>
      <c r="R956" s="18"/>
      <c r="S956" s="18"/>
      <c r="T956" s="18"/>
      <c r="U956" s="18"/>
      <c r="V956" s="18"/>
      <c r="W956" s="18"/>
      <c r="X956" s="18"/>
      <c r="Y956" s="18"/>
      <c r="Z956" s="18"/>
      <c r="AA956" s="18"/>
      <c r="AB956" s="18"/>
      <c r="AC956" s="18"/>
      <c r="AD956" s="18"/>
      <c r="AE956" s="18"/>
      <c r="AF956" s="18"/>
      <c r="AG956" s="18"/>
    </row>
    <row r="957" spans="1:33" x14ac:dyDescent="0.2">
      <c r="A957" s="1279"/>
      <c r="B957" s="1280"/>
      <c r="C957" s="18"/>
      <c r="D957" s="18"/>
      <c r="E957" s="18"/>
      <c r="F957" s="18"/>
      <c r="G957" s="18"/>
      <c r="H957" s="18"/>
      <c r="I957" s="18"/>
      <c r="J957" s="18"/>
      <c r="K957" s="18"/>
      <c r="L957" s="12"/>
      <c r="M957" s="18"/>
      <c r="N957" s="18"/>
      <c r="O957" s="18"/>
      <c r="P957" s="18"/>
      <c r="Q957" s="18"/>
      <c r="R957" s="18"/>
      <c r="S957" s="18"/>
      <c r="T957" s="18"/>
      <c r="U957" s="18"/>
      <c r="V957" s="18"/>
      <c r="W957" s="18"/>
      <c r="X957" s="18"/>
      <c r="Y957" s="18"/>
      <c r="Z957" s="18"/>
      <c r="AA957" s="18"/>
      <c r="AB957" s="18"/>
      <c r="AC957" s="18"/>
      <c r="AD957" s="18"/>
      <c r="AE957" s="18"/>
      <c r="AF957" s="18"/>
      <c r="AG957" s="18"/>
    </row>
    <row r="958" spans="1:33" x14ac:dyDescent="0.2">
      <c r="A958" s="1279"/>
      <c r="B958" s="1280"/>
      <c r="C958" s="18"/>
      <c r="D958" s="18"/>
      <c r="E958" s="18"/>
      <c r="F958" s="18"/>
      <c r="G958" s="18"/>
      <c r="H958" s="18"/>
      <c r="I958" s="18"/>
      <c r="J958" s="18"/>
      <c r="K958" s="18"/>
      <c r="L958" s="12"/>
      <c r="M958" s="18"/>
      <c r="N958" s="18"/>
      <c r="O958" s="18"/>
      <c r="P958" s="18"/>
      <c r="Q958" s="18"/>
      <c r="R958" s="18"/>
      <c r="S958" s="18"/>
      <c r="T958" s="18"/>
      <c r="U958" s="18"/>
      <c r="V958" s="18"/>
      <c r="W958" s="18"/>
      <c r="X958" s="18"/>
      <c r="Y958" s="18"/>
      <c r="Z958" s="18"/>
      <c r="AA958" s="18"/>
      <c r="AB958" s="18"/>
      <c r="AC958" s="18"/>
      <c r="AD958" s="18"/>
      <c r="AE958" s="18"/>
      <c r="AF958" s="18"/>
      <c r="AG958" s="18"/>
    </row>
    <row r="959" spans="1:33" x14ac:dyDescent="0.2">
      <c r="A959" s="1279"/>
      <c r="B959" s="1280"/>
      <c r="C959" s="18"/>
      <c r="D959" s="18"/>
      <c r="E959" s="18"/>
      <c r="F959" s="18"/>
      <c r="G959" s="18"/>
      <c r="H959" s="18"/>
      <c r="I959" s="18"/>
      <c r="J959" s="18"/>
      <c r="K959" s="18"/>
      <c r="L959" s="12"/>
      <c r="M959" s="18"/>
      <c r="N959" s="18"/>
      <c r="O959" s="18"/>
      <c r="P959" s="18"/>
      <c r="Q959" s="18"/>
      <c r="R959" s="18"/>
      <c r="S959" s="18"/>
      <c r="T959" s="18"/>
      <c r="U959" s="18"/>
      <c r="V959" s="18"/>
      <c r="W959" s="18"/>
      <c r="X959" s="18"/>
      <c r="Y959" s="18"/>
      <c r="Z959" s="18"/>
      <c r="AA959" s="18"/>
      <c r="AB959" s="18"/>
      <c r="AC959" s="18"/>
      <c r="AD959" s="18"/>
      <c r="AE959" s="18"/>
      <c r="AF959" s="18"/>
      <c r="AG959" s="18"/>
    </row>
    <row r="960" spans="1:33" x14ac:dyDescent="0.2">
      <c r="A960" s="1279"/>
      <c r="B960" s="1280"/>
      <c r="C960" s="18"/>
      <c r="D960" s="18"/>
      <c r="E960" s="18"/>
      <c r="F960" s="18"/>
      <c r="G960" s="18"/>
      <c r="H960" s="18"/>
      <c r="I960" s="18"/>
      <c r="J960" s="18"/>
      <c r="K960" s="18"/>
      <c r="L960" s="12"/>
      <c r="M960" s="18"/>
      <c r="N960" s="18"/>
      <c r="O960" s="18"/>
      <c r="P960" s="18"/>
      <c r="Q960" s="18"/>
      <c r="R960" s="18"/>
      <c r="S960" s="18"/>
      <c r="T960" s="18"/>
      <c r="U960" s="18"/>
      <c r="V960" s="18"/>
      <c r="W960" s="18"/>
      <c r="X960" s="18"/>
      <c r="Y960" s="18"/>
      <c r="Z960" s="18"/>
      <c r="AA960" s="18"/>
      <c r="AB960" s="18"/>
      <c r="AC960" s="18"/>
      <c r="AD960" s="18"/>
      <c r="AE960" s="18"/>
      <c r="AF960" s="18"/>
      <c r="AG960" s="18"/>
    </row>
    <row r="961" spans="1:33" x14ac:dyDescent="0.2">
      <c r="A961" s="1279"/>
      <c r="B961" s="1280"/>
      <c r="C961" s="18"/>
      <c r="D961" s="18"/>
      <c r="E961" s="18"/>
      <c r="F961" s="18"/>
      <c r="G961" s="18"/>
      <c r="H961" s="18"/>
      <c r="I961" s="18"/>
      <c r="J961" s="18"/>
      <c r="K961" s="18"/>
      <c r="L961" s="12"/>
      <c r="M961" s="18"/>
      <c r="N961" s="18"/>
      <c r="O961" s="18"/>
      <c r="P961" s="18"/>
      <c r="Q961" s="18"/>
      <c r="R961" s="18"/>
      <c r="S961" s="18"/>
      <c r="T961" s="18"/>
      <c r="U961" s="18"/>
      <c r="V961" s="18"/>
      <c r="W961" s="18"/>
      <c r="X961" s="18"/>
      <c r="Y961" s="18"/>
      <c r="Z961" s="18"/>
      <c r="AA961" s="18"/>
      <c r="AB961" s="18"/>
      <c r="AC961" s="18"/>
      <c r="AD961" s="18"/>
      <c r="AE961" s="18"/>
      <c r="AF961" s="18"/>
      <c r="AG961" s="18"/>
    </row>
    <row r="962" spans="1:33" x14ac:dyDescent="0.2">
      <c r="A962" s="1279"/>
      <c r="B962" s="1280"/>
      <c r="C962" s="18"/>
      <c r="D962" s="18"/>
      <c r="E962" s="18"/>
      <c r="F962" s="18"/>
      <c r="G962" s="18"/>
      <c r="H962" s="18"/>
      <c r="I962" s="18"/>
      <c r="J962" s="18"/>
      <c r="K962" s="18"/>
      <c r="L962" s="12"/>
      <c r="M962" s="18"/>
      <c r="N962" s="18"/>
      <c r="O962" s="18"/>
      <c r="P962" s="18"/>
      <c r="Q962" s="18"/>
      <c r="R962" s="18"/>
      <c r="S962" s="18"/>
      <c r="T962" s="18"/>
      <c r="U962" s="18"/>
      <c r="V962" s="18"/>
      <c r="W962" s="18"/>
      <c r="X962" s="18"/>
      <c r="Y962" s="18"/>
      <c r="Z962" s="18"/>
      <c r="AA962" s="18"/>
      <c r="AB962" s="18"/>
      <c r="AC962" s="18"/>
      <c r="AD962" s="18"/>
      <c r="AE962" s="18"/>
      <c r="AF962" s="18"/>
      <c r="AG962" s="18"/>
    </row>
    <row r="963" spans="1:33" x14ac:dyDescent="0.2">
      <c r="A963" s="1279"/>
      <c r="B963" s="1280"/>
      <c r="C963" s="18"/>
      <c r="D963" s="18"/>
      <c r="E963" s="18"/>
      <c r="F963" s="18"/>
      <c r="G963" s="18"/>
      <c r="H963" s="18"/>
      <c r="I963" s="18"/>
      <c r="J963" s="18"/>
      <c r="K963" s="18"/>
      <c r="L963" s="12"/>
      <c r="M963" s="18"/>
      <c r="N963" s="18"/>
      <c r="O963" s="18"/>
      <c r="P963" s="18"/>
      <c r="Q963" s="18"/>
      <c r="R963" s="18"/>
      <c r="S963" s="18"/>
      <c r="T963" s="18"/>
      <c r="U963" s="18"/>
      <c r="V963" s="18"/>
      <c r="W963" s="18"/>
      <c r="X963" s="18"/>
      <c r="Y963" s="18"/>
      <c r="Z963" s="18"/>
      <c r="AA963" s="18"/>
      <c r="AB963" s="18"/>
      <c r="AC963" s="18"/>
      <c r="AD963" s="18"/>
      <c r="AE963" s="18"/>
      <c r="AF963" s="18"/>
      <c r="AG963" s="18"/>
    </row>
    <row r="964" spans="1:33" x14ac:dyDescent="0.2">
      <c r="A964" s="1279"/>
      <c r="B964" s="1280"/>
      <c r="C964" s="18"/>
      <c r="D964" s="18"/>
      <c r="E964" s="18"/>
      <c r="F964" s="18"/>
      <c r="G964" s="18"/>
      <c r="H964" s="18"/>
      <c r="I964" s="18"/>
      <c r="J964" s="18"/>
      <c r="K964" s="18"/>
      <c r="L964" s="12"/>
      <c r="M964" s="18"/>
      <c r="N964" s="18"/>
      <c r="O964" s="18"/>
      <c r="P964" s="18"/>
      <c r="Q964" s="18"/>
      <c r="R964" s="18"/>
      <c r="S964" s="18"/>
      <c r="T964" s="18"/>
      <c r="U964" s="18"/>
      <c r="V964" s="18"/>
      <c r="W964" s="18"/>
      <c r="X964" s="18"/>
      <c r="Y964" s="18"/>
      <c r="Z964" s="18"/>
      <c r="AA964" s="18"/>
      <c r="AB964" s="18"/>
      <c r="AC964" s="18"/>
      <c r="AD964" s="18"/>
      <c r="AE964" s="18"/>
      <c r="AF964" s="18"/>
      <c r="AG964" s="18"/>
    </row>
    <row r="965" spans="1:33" x14ac:dyDescent="0.2">
      <c r="A965" s="1279"/>
      <c r="B965" s="1280"/>
      <c r="C965" s="18"/>
      <c r="D965" s="18"/>
      <c r="E965" s="18"/>
      <c r="F965" s="18"/>
      <c r="G965" s="18"/>
      <c r="H965" s="18"/>
      <c r="I965" s="18"/>
      <c r="J965" s="18"/>
      <c r="K965" s="18"/>
      <c r="L965" s="12"/>
      <c r="M965" s="18"/>
      <c r="N965" s="18"/>
      <c r="O965" s="18"/>
      <c r="P965" s="18"/>
      <c r="Q965" s="18"/>
      <c r="R965" s="18"/>
      <c r="S965" s="18"/>
      <c r="T965" s="18"/>
      <c r="U965" s="18"/>
      <c r="V965" s="18"/>
      <c r="W965" s="18"/>
      <c r="X965" s="18"/>
      <c r="Y965" s="18"/>
      <c r="Z965" s="18"/>
      <c r="AA965" s="18"/>
      <c r="AB965" s="18"/>
      <c r="AC965" s="18"/>
      <c r="AD965" s="18"/>
      <c r="AE965" s="18"/>
      <c r="AF965" s="18"/>
      <c r="AG965" s="18"/>
    </row>
    <row r="966" spans="1:33" x14ac:dyDescent="0.2">
      <c r="A966" s="1279"/>
      <c r="B966" s="1280"/>
      <c r="C966" s="18"/>
      <c r="D966" s="18"/>
      <c r="E966" s="18"/>
      <c r="F966" s="18"/>
      <c r="G966" s="18"/>
      <c r="H966" s="18"/>
      <c r="I966" s="18"/>
      <c r="J966" s="18"/>
      <c r="K966" s="18"/>
      <c r="L966" s="12"/>
      <c r="M966" s="18"/>
      <c r="N966" s="18"/>
      <c r="O966" s="18"/>
      <c r="P966" s="18"/>
      <c r="Q966" s="18"/>
      <c r="R966" s="18"/>
      <c r="S966" s="18"/>
      <c r="T966" s="18"/>
      <c r="U966" s="18"/>
      <c r="V966" s="18"/>
      <c r="W966" s="18"/>
      <c r="X966" s="18"/>
      <c r="Y966" s="18"/>
      <c r="Z966" s="18"/>
      <c r="AA966" s="18"/>
      <c r="AB966" s="18"/>
      <c r="AC966" s="18"/>
      <c r="AD966" s="18"/>
      <c r="AE966" s="18"/>
      <c r="AF966" s="18"/>
      <c r="AG966" s="18"/>
    </row>
    <row r="967" spans="1:33" x14ac:dyDescent="0.2">
      <c r="A967" s="1279"/>
      <c r="B967" s="1280"/>
      <c r="C967" s="18"/>
      <c r="D967" s="18"/>
      <c r="E967" s="18"/>
      <c r="F967" s="18"/>
      <c r="G967" s="18"/>
      <c r="H967" s="18"/>
      <c r="I967" s="18"/>
      <c r="J967" s="18"/>
      <c r="K967" s="18"/>
      <c r="L967" s="12"/>
      <c r="M967" s="18"/>
      <c r="N967" s="18"/>
      <c r="O967" s="18"/>
      <c r="P967" s="18"/>
      <c r="Q967" s="18"/>
      <c r="R967" s="18"/>
      <c r="S967" s="18"/>
      <c r="T967" s="18"/>
      <c r="U967" s="18"/>
      <c r="V967" s="18"/>
      <c r="W967" s="18"/>
      <c r="X967" s="18"/>
      <c r="Y967" s="18"/>
      <c r="Z967" s="18"/>
      <c r="AA967" s="18"/>
      <c r="AB967" s="18"/>
      <c r="AC967" s="18"/>
      <c r="AD967" s="18"/>
      <c r="AE967" s="18"/>
      <c r="AF967" s="18"/>
      <c r="AG967" s="18"/>
    </row>
    <row r="968" spans="1:33" x14ac:dyDescent="0.2">
      <c r="A968" s="1279"/>
      <c r="B968" s="1280"/>
      <c r="C968" s="18"/>
      <c r="D968" s="18"/>
      <c r="E968" s="18"/>
      <c r="F968" s="18"/>
      <c r="G968" s="18"/>
      <c r="H968" s="18"/>
      <c r="I968" s="18"/>
      <c r="J968" s="18"/>
      <c r="K968" s="18"/>
      <c r="L968" s="12"/>
      <c r="M968" s="18"/>
      <c r="N968" s="18"/>
      <c r="O968" s="18"/>
      <c r="P968" s="18"/>
      <c r="Q968" s="18"/>
      <c r="R968" s="18"/>
      <c r="S968" s="18"/>
      <c r="T968" s="18"/>
      <c r="U968" s="18"/>
      <c r="V968" s="18"/>
      <c r="W968" s="18"/>
      <c r="X968" s="18"/>
      <c r="Y968" s="18"/>
      <c r="Z968" s="18"/>
      <c r="AA968" s="18"/>
      <c r="AB968" s="18"/>
      <c r="AC968" s="18"/>
      <c r="AD968" s="18"/>
      <c r="AE968" s="18"/>
      <c r="AF968" s="18"/>
      <c r="AG968" s="18"/>
    </row>
    <row r="969" spans="1:33" x14ac:dyDescent="0.2">
      <c r="A969" s="1279"/>
      <c r="B969" s="1280"/>
      <c r="C969" s="18"/>
      <c r="D969" s="18"/>
      <c r="E969" s="18"/>
      <c r="F969" s="18"/>
      <c r="G969" s="18"/>
      <c r="H969" s="18"/>
      <c r="I969" s="18"/>
      <c r="J969" s="18"/>
      <c r="K969" s="18"/>
      <c r="L969" s="12"/>
      <c r="M969" s="18"/>
      <c r="N969" s="18"/>
      <c r="O969" s="18"/>
      <c r="P969" s="18"/>
      <c r="Q969" s="18"/>
      <c r="R969" s="18"/>
      <c r="S969" s="18"/>
      <c r="T969" s="18"/>
      <c r="U969" s="18"/>
      <c r="V969" s="18"/>
      <c r="W969" s="18"/>
      <c r="X969" s="18"/>
      <c r="Y969" s="18"/>
      <c r="Z969" s="18"/>
      <c r="AA969" s="18"/>
      <c r="AB969" s="18"/>
      <c r="AC969" s="18"/>
      <c r="AD969" s="18"/>
      <c r="AE969" s="18"/>
      <c r="AF969" s="18"/>
      <c r="AG969" s="18"/>
    </row>
    <row r="970" spans="1:33" x14ac:dyDescent="0.2">
      <c r="A970" s="1279"/>
      <c r="B970" s="1280"/>
      <c r="C970" s="18"/>
      <c r="D970" s="18"/>
      <c r="E970" s="18"/>
      <c r="F970" s="18"/>
      <c r="G970" s="18"/>
      <c r="H970" s="18"/>
      <c r="I970" s="18"/>
      <c r="J970" s="18"/>
      <c r="K970" s="18"/>
      <c r="L970" s="12"/>
      <c r="M970" s="18"/>
      <c r="N970" s="18"/>
      <c r="O970" s="18"/>
      <c r="P970" s="18"/>
      <c r="Q970" s="18"/>
      <c r="R970" s="18"/>
      <c r="S970" s="18"/>
      <c r="T970" s="18"/>
      <c r="U970" s="18"/>
      <c r="V970" s="18"/>
      <c r="W970" s="18"/>
      <c r="X970" s="18"/>
      <c r="Y970" s="18"/>
      <c r="Z970" s="18"/>
      <c r="AA970" s="18"/>
      <c r="AB970" s="18"/>
      <c r="AC970" s="18"/>
      <c r="AD970" s="18"/>
      <c r="AE970" s="18"/>
      <c r="AF970" s="18"/>
      <c r="AG970" s="18"/>
    </row>
    <row r="971" spans="1:33" x14ac:dyDescent="0.2">
      <c r="A971" s="1279"/>
      <c r="B971" s="1280"/>
      <c r="C971" s="18"/>
      <c r="D971" s="18"/>
      <c r="E971" s="18"/>
      <c r="F971" s="18"/>
      <c r="G971" s="18"/>
      <c r="H971" s="18"/>
      <c r="I971" s="18"/>
      <c r="J971" s="18"/>
      <c r="K971" s="18"/>
      <c r="L971" s="12"/>
      <c r="M971" s="18"/>
      <c r="N971" s="18"/>
      <c r="O971" s="18"/>
      <c r="P971" s="18"/>
      <c r="Q971" s="18"/>
      <c r="R971" s="18"/>
      <c r="S971" s="18"/>
      <c r="T971" s="18"/>
      <c r="U971" s="18"/>
      <c r="V971" s="18"/>
      <c r="W971" s="18"/>
      <c r="X971" s="18"/>
      <c r="Y971" s="18"/>
      <c r="Z971" s="18"/>
      <c r="AA971" s="18"/>
      <c r="AB971" s="18"/>
      <c r="AC971" s="18"/>
      <c r="AD971" s="18"/>
      <c r="AE971" s="18"/>
      <c r="AF971" s="18"/>
      <c r="AG971" s="18"/>
    </row>
    <row r="972" spans="1:33" x14ac:dyDescent="0.2">
      <c r="A972" s="1279"/>
      <c r="B972" s="1280"/>
      <c r="C972" s="18"/>
      <c r="D972" s="18"/>
      <c r="E972" s="18"/>
      <c r="F972" s="18"/>
      <c r="G972" s="18"/>
      <c r="H972" s="18"/>
      <c r="I972" s="18"/>
      <c r="J972" s="18"/>
      <c r="K972" s="18"/>
      <c r="L972" s="12"/>
      <c r="M972" s="18"/>
      <c r="N972" s="18"/>
      <c r="O972" s="18"/>
      <c r="P972" s="18"/>
      <c r="Q972" s="18"/>
      <c r="R972" s="18"/>
      <c r="S972" s="18"/>
      <c r="T972" s="18"/>
      <c r="U972" s="18"/>
      <c r="V972" s="18"/>
      <c r="W972" s="18"/>
      <c r="X972" s="18"/>
      <c r="Y972" s="18"/>
      <c r="Z972" s="18"/>
      <c r="AA972" s="18"/>
      <c r="AB972" s="18"/>
      <c r="AC972" s="18"/>
      <c r="AD972" s="18"/>
      <c r="AE972" s="18"/>
      <c r="AF972" s="18"/>
      <c r="AG972" s="18"/>
    </row>
    <row r="973" spans="1:33" x14ac:dyDescent="0.2">
      <c r="A973" s="1279"/>
      <c r="B973" s="1280"/>
      <c r="C973" s="18"/>
      <c r="D973" s="18"/>
      <c r="E973" s="18"/>
      <c r="F973" s="18"/>
      <c r="G973" s="18"/>
      <c r="H973" s="18"/>
      <c r="I973" s="18"/>
      <c r="J973" s="18"/>
      <c r="K973" s="18"/>
      <c r="L973" s="12"/>
      <c r="M973" s="18"/>
      <c r="N973" s="18"/>
      <c r="O973" s="18"/>
      <c r="P973" s="18"/>
      <c r="Q973" s="18"/>
      <c r="R973" s="18"/>
      <c r="S973" s="18"/>
      <c r="T973" s="18"/>
      <c r="U973" s="18"/>
      <c r="V973" s="18"/>
      <c r="W973" s="18"/>
      <c r="X973" s="18"/>
      <c r="Y973" s="18"/>
      <c r="Z973" s="18"/>
      <c r="AA973" s="18"/>
      <c r="AB973" s="18"/>
      <c r="AC973" s="18"/>
      <c r="AD973" s="18"/>
      <c r="AE973" s="18"/>
      <c r="AF973" s="18"/>
      <c r="AG973" s="18"/>
    </row>
    <row r="974" spans="1:33" x14ac:dyDescent="0.2">
      <c r="A974" s="1279"/>
      <c r="B974" s="1280"/>
      <c r="C974" s="18"/>
      <c r="D974" s="18"/>
      <c r="E974" s="18"/>
      <c r="F974" s="18"/>
      <c r="G974" s="18"/>
      <c r="H974" s="18"/>
      <c r="I974" s="18"/>
      <c r="J974" s="18"/>
      <c r="K974" s="18"/>
      <c r="L974" s="12"/>
      <c r="M974" s="18"/>
      <c r="N974" s="18"/>
      <c r="O974" s="18"/>
      <c r="P974" s="18"/>
      <c r="Q974" s="18"/>
      <c r="R974" s="18"/>
      <c r="S974" s="18"/>
      <c r="T974" s="18"/>
      <c r="U974" s="18"/>
      <c r="V974" s="18"/>
      <c r="W974" s="18"/>
      <c r="X974" s="18"/>
      <c r="Y974" s="18"/>
      <c r="Z974" s="18"/>
      <c r="AA974" s="18"/>
      <c r="AB974" s="18"/>
      <c r="AC974" s="18"/>
      <c r="AD974" s="18"/>
      <c r="AE974" s="18"/>
      <c r="AF974" s="18"/>
      <c r="AG974" s="18"/>
    </row>
    <row r="975" spans="1:33" x14ac:dyDescent="0.2">
      <c r="A975" s="1279"/>
      <c r="B975" s="1280"/>
      <c r="C975" s="18"/>
      <c r="D975" s="18"/>
      <c r="E975" s="18"/>
      <c r="F975" s="18"/>
      <c r="G975" s="18"/>
      <c r="H975" s="18"/>
      <c r="I975" s="18"/>
      <c r="J975" s="18"/>
      <c r="K975" s="18"/>
      <c r="L975" s="12"/>
      <c r="M975" s="18"/>
      <c r="N975" s="18"/>
      <c r="O975" s="18"/>
      <c r="P975" s="18"/>
      <c r="Q975" s="18"/>
      <c r="R975" s="18"/>
      <c r="S975" s="18"/>
      <c r="T975" s="18"/>
      <c r="U975" s="18"/>
      <c r="V975" s="18"/>
      <c r="W975" s="18"/>
      <c r="X975" s="18"/>
      <c r="Y975" s="18"/>
      <c r="Z975" s="18"/>
      <c r="AA975" s="18"/>
      <c r="AB975" s="18"/>
      <c r="AC975" s="18"/>
      <c r="AD975" s="18"/>
      <c r="AE975" s="18"/>
      <c r="AF975" s="18"/>
      <c r="AG975" s="18"/>
    </row>
    <row r="976" spans="1:33" x14ac:dyDescent="0.2">
      <c r="A976" s="1279"/>
      <c r="B976" s="1280"/>
      <c r="C976" s="18"/>
      <c r="D976" s="18"/>
      <c r="E976" s="18"/>
      <c r="F976" s="18"/>
      <c r="G976" s="18"/>
      <c r="H976" s="18"/>
      <c r="I976" s="18"/>
      <c r="J976" s="18"/>
      <c r="K976" s="18"/>
      <c r="L976" s="12"/>
      <c r="M976" s="18"/>
      <c r="N976" s="18"/>
      <c r="O976" s="18"/>
      <c r="P976" s="18"/>
      <c r="Q976" s="18"/>
      <c r="R976" s="18"/>
      <c r="S976" s="18"/>
      <c r="T976" s="18"/>
      <c r="U976" s="18"/>
      <c r="V976" s="18"/>
      <c r="W976" s="18"/>
      <c r="X976" s="18"/>
      <c r="Y976" s="18"/>
      <c r="Z976" s="18"/>
      <c r="AA976" s="18"/>
      <c r="AB976" s="18"/>
      <c r="AC976" s="18"/>
      <c r="AD976" s="18"/>
      <c r="AE976" s="18"/>
      <c r="AF976" s="18"/>
      <c r="AG976" s="18"/>
    </row>
    <row r="977" spans="1:33" x14ac:dyDescent="0.2">
      <c r="A977" s="1279"/>
      <c r="B977" s="1280"/>
      <c r="C977" s="18"/>
      <c r="D977" s="18"/>
      <c r="E977" s="18"/>
      <c r="F977" s="18"/>
      <c r="G977" s="18"/>
      <c r="H977" s="18"/>
      <c r="I977" s="18"/>
      <c r="J977" s="18"/>
      <c r="K977" s="18"/>
      <c r="L977" s="12"/>
      <c r="M977" s="18"/>
      <c r="N977" s="18"/>
      <c r="O977" s="18"/>
      <c r="P977" s="18"/>
      <c r="Q977" s="18"/>
      <c r="R977" s="18"/>
      <c r="S977" s="18"/>
      <c r="T977" s="18"/>
      <c r="U977" s="18"/>
      <c r="V977" s="18"/>
      <c r="W977" s="18"/>
      <c r="X977" s="18"/>
      <c r="Y977" s="18"/>
      <c r="Z977" s="18"/>
      <c r="AA977" s="18"/>
      <c r="AB977" s="18"/>
      <c r="AC977" s="18"/>
      <c r="AD977" s="18"/>
      <c r="AE977" s="18"/>
      <c r="AF977" s="18"/>
      <c r="AG977" s="18"/>
    </row>
    <row r="978" spans="1:33" x14ac:dyDescent="0.2">
      <c r="A978" s="1279"/>
      <c r="B978" s="1280"/>
      <c r="C978" s="18"/>
      <c r="D978" s="18"/>
      <c r="E978" s="18"/>
      <c r="F978" s="18"/>
      <c r="G978" s="18"/>
      <c r="H978" s="18"/>
      <c r="I978" s="18"/>
      <c r="J978" s="18"/>
      <c r="K978" s="18"/>
      <c r="L978" s="12"/>
      <c r="M978" s="18"/>
      <c r="N978" s="18"/>
      <c r="O978" s="18"/>
      <c r="P978" s="18"/>
      <c r="Q978" s="18"/>
      <c r="R978" s="18"/>
      <c r="S978" s="18"/>
      <c r="T978" s="18"/>
      <c r="U978" s="18"/>
      <c r="V978" s="18"/>
      <c r="W978" s="18"/>
      <c r="X978" s="18"/>
      <c r="Y978" s="18"/>
      <c r="Z978" s="18"/>
      <c r="AA978" s="18"/>
      <c r="AB978" s="18"/>
      <c r="AC978" s="18"/>
      <c r="AD978" s="18"/>
      <c r="AE978" s="18"/>
      <c r="AF978" s="18"/>
      <c r="AG978" s="18"/>
    </row>
    <row r="979" spans="1:33" x14ac:dyDescent="0.2">
      <c r="A979" s="1279"/>
      <c r="B979" s="1280"/>
      <c r="C979" s="18"/>
      <c r="D979" s="18"/>
      <c r="E979" s="18"/>
      <c r="F979" s="18"/>
      <c r="G979" s="18"/>
      <c r="H979" s="18"/>
      <c r="I979" s="18"/>
      <c r="J979" s="18"/>
      <c r="K979" s="18"/>
      <c r="L979" s="12"/>
      <c r="M979" s="18"/>
      <c r="N979" s="18"/>
      <c r="O979" s="18"/>
      <c r="P979" s="18"/>
      <c r="Q979" s="18"/>
      <c r="R979" s="18"/>
      <c r="S979" s="18"/>
      <c r="T979" s="18"/>
      <c r="U979" s="18"/>
      <c r="V979" s="18"/>
      <c r="W979" s="18"/>
      <c r="X979" s="18"/>
      <c r="Y979" s="18"/>
      <c r="Z979" s="18"/>
      <c r="AA979" s="18"/>
      <c r="AB979" s="18"/>
      <c r="AC979" s="18"/>
      <c r="AD979" s="18"/>
      <c r="AE979" s="18"/>
      <c r="AF979" s="18"/>
      <c r="AG979" s="18"/>
    </row>
    <row r="980" spans="1:33" x14ac:dyDescent="0.2">
      <c r="A980" s="1279"/>
      <c r="B980" s="1280"/>
      <c r="C980" s="18"/>
      <c r="D980" s="18"/>
      <c r="E980" s="18"/>
      <c r="F980" s="18"/>
      <c r="G980" s="18"/>
      <c r="H980" s="18"/>
      <c r="I980" s="18"/>
      <c r="J980" s="18"/>
      <c r="K980" s="18"/>
      <c r="L980" s="12"/>
      <c r="M980" s="18"/>
      <c r="N980" s="18"/>
      <c r="O980" s="18"/>
      <c r="P980" s="18"/>
      <c r="Q980" s="18"/>
      <c r="R980" s="18"/>
      <c r="S980" s="18"/>
      <c r="T980" s="18"/>
      <c r="U980" s="18"/>
      <c r="V980" s="18"/>
      <c r="W980" s="18"/>
      <c r="X980" s="18"/>
      <c r="Y980" s="18"/>
      <c r="Z980" s="18"/>
      <c r="AA980" s="18"/>
      <c r="AB980" s="18"/>
      <c r="AC980" s="18"/>
      <c r="AD980" s="18"/>
      <c r="AE980" s="18"/>
      <c r="AF980" s="18"/>
      <c r="AG980" s="18"/>
    </row>
    <row r="981" spans="1:33" x14ac:dyDescent="0.2">
      <c r="A981" s="1279"/>
      <c r="B981" s="1280"/>
      <c r="C981" s="18"/>
      <c r="D981" s="18"/>
      <c r="E981" s="18"/>
      <c r="F981" s="18"/>
      <c r="G981" s="18"/>
      <c r="H981" s="18"/>
      <c r="I981" s="18"/>
      <c r="J981" s="18"/>
      <c r="K981" s="18"/>
      <c r="L981" s="12"/>
      <c r="M981" s="18"/>
      <c r="N981" s="18"/>
      <c r="O981" s="18"/>
      <c r="P981" s="18"/>
      <c r="Q981" s="18"/>
      <c r="R981" s="18"/>
      <c r="S981" s="18"/>
      <c r="T981" s="18"/>
      <c r="U981" s="18"/>
      <c r="V981" s="18"/>
      <c r="W981" s="18"/>
      <c r="X981" s="18"/>
      <c r="Y981" s="18"/>
      <c r="Z981" s="18"/>
      <c r="AA981" s="18"/>
      <c r="AB981" s="18"/>
      <c r="AC981" s="18"/>
      <c r="AD981" s="18"/>
      <c r="AE981" s="18"/>
      <c r="AF981" s="18"/>
      <c r="AG981" s="18"/>
    </row>
    <row r="982" spans="1:33" x14ac:dyDescent="0.2">
      <c r="A982" s="1279"/>
      <c r="B982" s="1280"/>
      <c r="C982" s="18"/>
      <c r="D982" s="18"/>
      <c r="E982" s="18"/>
      <c r="F982" s="18"/>
      <c r="G982" s="18"/>
      <c r="H982" s="18"/>
      <c r="I982" s="18"/>
      <c r="J982" s="18"/>
      <c r="K982" s="18"/>
      <c r="L982" s="12"/>
      <c r="M982" s="18"/>
      <c r="N982" s="18"/>
      <c r="O982" s="18"/>
      <c r="P982" s="18"/>
      <c r="Q982" s="18"/>
      <c r="R982" s="18"/>
      <c r="S982" s="18"/>
      <c r="T982" s="18"/>
      <c r="U982" s="18"/>
      <c r="V982" s="18"/>
      <c r="W982" s="18"/>
      <c r="X982" s="18"/>
      <c r="Y982" s="18"/>
      <c r="Z982" s="18"/>
      <c r="AA982" s="18"/>
      <c r="AB982" s="18"/>
      <c r="AC982" s="18"/>
      <c r="AD982" s="18"/>
      <c r="AE982" s="18"/>
      <c r="AF982" s="18"/>
      <c r="AG982" s="18"/>
    </row>
    <row r="983" spans="1:33" x14ac:dyDescent="0.2">
      <c r="A983" s="1279"/>
      <c r="B983" s="1280"/>
      <c r="C983" s="18"/>
      <c r="D983" s="18"/>
      <c r="E983" s="18"/>
      <c r="F983" s="18"/>
      <c r="G983" s="18"/>
      <c r="H983" s="18"/>
      <c r="I983" s="18"/>
      <c r="J983" s="18"/>
      <c r="K983" s="18"/>
      <c r="L983" s="12"/>
      <c r="M983" s="18"/>
      <c r="N983" s="18"/>
      <c r="O983" s="18"/>
      <c r="P983" s="18"/>
      <c r="Q983" s="18"/>
      <c r="R983" s="18"/>
      <c r="S983" s="18"/>
      <c r="T983" s="18"/>
      <c r="U983" s="18"/>
      <c r="V983" s="18"/>
      <c r="W983" s="18"/>
      <c r="X983" s="18"/>
      <c r="Y983" s="18"/>
      <c r="Z983" s="18"/>
      <c r="AA983" s="18"/>
      <c r="AB983" s="18"/>
      <c r="AC983" s="18"/>
      <c r="AD983" s="18"/>
      <c r="AE983" s="18"/>
      <c r="AF983" s="18"/>
      <c r="AG983" s="18"/>
    </row>
    <row r="984" spans="1:33" x14ac:dyDescent="0.2">
      <c r="A984" s="1279"/>
      <c r="B984" s="1280"/>
      <c r="C984" s="18"/>
      <c r="D984" s="18"/>
      <c r="E984" s="18"/>
      <c r="F984" s="18"/>
      <c r="G984" s="18"/>
      <c r="H984" s="18"/>
      <c r="I984" s="18"/>
      <c r="J984" s="18"/>
      <c r="K984" s="18"/>
      <c r="L984" s="12"/>
      <c r="M984" s="18"/>
      <c r="N984" s="18"/>
      <c r="O984" s="18"/>
      <c r="P984" s="18"/>
      <c r="Q984" s="18"/>
      <c r="R984" s="18"/>
      <c r="S984" s="18"/>
      <c r="T984" s="18"/>
      <c r="U984" s="18"/>
      <c r="V984" s="18"/>
      <c r="W984" s="18"/>
      <c r="X984" s="18"/>
      <c r="Y984" s="18"/>
      <c r="Z984" s="18"/>
      <c r="AA984" s="18"/>
      <c r="AB984" s="18"/>
      <c r="AC984" s="18"/>
      <c r="AD984" s="18"/>
      <c r="AE984" s="18"/>
      <c r="AF984" s="18"/>
      <c r="AG984" s="18"/>
    </row>
    <row r="985" spans="1:33" x14ac:dyDescent="0.2">
      <c r="A985" s="1279"/>
      <c r="B985" s="1280"/>
      <c r="C985" s="18"/>
      <c r="D985" s="18"/>
      <c r="E985" s="18"/>
      <c r="F985" s="18"/>
      <c r="G985" s="18"/>
      <c r="H985" s="18"/>
      <c r="I985" s="18"/>
      <c r="J985" s="18"/>
      <c r="K985" s="18"/>
      <c r="L985" s="12"/>
      <c r="M985" s="18"/>
      <c r="N985" s="18"/>
      <c r="O985" s="18"/>
      <c r="P985" s="18"/>
      <c r="Q985" s="18"/>
      <c r="R985" s="18"/>
      <c r="S985" s="18"/>
      <c r="T985" s="18"/>
      <c r="U985" s="18"/>
      <c r="V985" s="18"/>
      <c r="W985" s="18"/>
      <c r="X985" s="18"/>
      <c r="Y985" s="18"/>
      <c r="Z985" s="18"/>
      <c r="AA985" s="18"/>
      <c r="AB985" s="18"/>
      <c r="AC985" s="18"/>
      <c r="AD985" s="18"/>
      <c r="AE985" s="18"/>
      <c r="AF985" s="18"/>
      <c r="AG985" s="18"/>
    </row>
    <row r="986" spans="1:33" x14ac:dyDescent="0.2">
      <c r="A986" s="1279"/>
      <c r="B986" s="1280"/>
      <c r="C986" s="18"/>
      <c r="D986" s="18"/>
      <c r="E986" s="18"/>
      <c r="F986" s="18"/>
      <c r="G986" s="18"/>
      <c r="H986" s="18"/>
      <c r="I986" s="18"/>
      <c r="J986" s="18"/>
      <c r="K986" s="18"/>
      <c r="L986" s="12"/>
      <c r="M986" s="18"/>
      <c r="N986" s="18"/>
      <c r="O986" s="18"/>
      <c r="P986" s="18"/>
      <c r="Q986" s="18"/>
      <c r="R986" s="18"/>
      <c r="S986" s="18"/>
      <c r="T986" s="18"/>
      <c r="U986" s="18"/>
      <c r="V986" s="18"/>
      <c r="W986" s="18"/>
      <c r="X986" s="18"/>
      <c r="Y986" s="18"/>
      <c r="Z986" s="18"/>
      <c r="AA986" s="18"/>
      <c r="AB986" s="18"/>
      <c r="AC986" s="18"/>
      <c r="AD986" s="18"/>
      <c r="AE986" s="18"/>
      <c r="AF986" s="18"/>
      <c r="AG986" s="18"/>
    </row>
    <row r="987" spans="1:33" x14ac:dyDescent="0.2">
      <c r="A987" s="1279"/>
      <c r="B987" s="1280"/>
      <c r="C987" s="18"/>
      <c r="D987" s="18"/>
      <c r="E987" s="18"/>
      <c r="F987" s="18"/>
      <c r="G987" s="18"/>
      <c r="H987" s="18"/>
      <c r="I987" s="18"/>
      <c r="J987" s="18"/>
      <c r="K987" s="18"/>
      <c r="L987" s="12"/>
      <c r="M987" s="18"/>
      <c r="N987" s="18"/>
      <c r="O987" s="18"/>
      <c r="P987" s="18"/>
      <c r="Q987" s="18"/>
      <c r="R987" s="18"/>
      <c r="S987" s="18"/>
      <c r="T987" s="18"/>
      <c r="U987" s="18"/>
      <c r="V987" s="18"/>
      <c r="W987" s="18"/>
      <c r="X987" s="18"/>
      <c r="Y987" s="18"/>
      <c r="Z987" s="18"/>
      <c r="AA987" s="18"/>
      <c r="AB987" s="18"/>
      <c r="AC987" s="18"/>
      <c r="AD987" s="18"/>
      <c r="AE987" s="18"/>
      <c r="AF987" s="18"/>
      <c r="AG987" s="18"/>
    </row>
    <row r="988" spans="1:33" x14ac:dyDescent="0.2">
      <c r="A988" s="1279"/>
      <c r="B988" s="1280"/>
      <c r="C988" s="18"/>
      <c r="D988" s="18"/>
      <c r="E988" s="18"/>
      <c r="F988" s="18"/>
      <c r="G988" s="18"/>
      <c r="H988" s="18"/>
      <c r="I988" s="18"/>
      <c r="J988" s="18"/>
      <c r="K988" s="18"/>
      <c r="L988" s="12"/>
      <c r="M988" s="18"/>
      <c r="N988" s="18"/>
      <c r="O988" s="18"/>
      <c r="P988" s="18"/>
      <c r="Q988" s="18"/>
      <c r="R988" s="18"/>
      <c r="S988" s="18"/>
      <c r="T988" s="18"/>
      <c r="U988" s="18"/>
      <c r="V988" s="18"/>
      <c r="W988" s="18"/>
      <c r="X988" s="18"/>
      <c r="Y988" s="18"/>
      <c r="Z988" s="18"/>
      <c r="AA988" s="18"/>
      <c r="AB988" s="18"/>
      <c r="AC988" s="18"/>
      <c r="AD988" s="18"/>
      <c r="AE988" s="18"/>
      <c r="AF988" s="18"/>
      <c r="AG988" s="18"/>
    </row>
    <row r="989" spans="1:33" x14ac:dyDescent="0.2">
      <c r="A989" s="1279"/>
      <c r="B989" s="1280"/>
      <c r="C989" s="18"/>
      <c r="D989" s="18"/>
      <c r="E989" s="18"/>
      <c r="F989" s="18"/>
      <c r="G989" s="18"/>
      <c r="H989" s="18"/>
      <c r="I989" s="18"/>
      <c r="J989" s="18"/>
      <c r="K989" s="18"/>
      <c r="L989" s="12"/>
      <c r="M989" s="18"/>
      <c r="N989" s="18"/>
      <c r="O989" s="18"/>
      <c r="P989" s="18"/>
      <c r="Q989" s="18"/>
      <c r="R989" s="18"/>
      <c r="S989" s="18"/>
      <c r="T989" s="18"/>
      <c r="U989" s="18"/>
      <c r="V989" s="18"/>
      <c r="W989" s="18"/>
      <c r="X989" s="18"/>
      <c r="Y989" s="18"/>
      <c r="Z989" s="18"/>
      <c r="AA989" s="18"/>
      <c r="AB989" s="18"/>
      <c r="AC989" s="18"/>
      <c r="AD989" s="18"/>
      <c r="AE989" s="18"/>
      <c r="AF989" s="18"/>
      <c r="AG989" s="18"/>
    </row>
    <row r="990" spans="1:33" x14ac:dyDescent="0.2">
      <c r="A990" s="1279"/>
      <c r="B990" s="1280"/>
      <c r="C990" s="18"/>
      <c r="D990" s="18"/>
      <c r="E990" s="18"/>
      <c r="F990" s="18"/>
      <c r="G990" s="18"/>
      <c r="H990" s="18"/>
      <c r="I990" s="18"/>
      <c r="J990" s="18"/>
      <c r="K990" s="18"/>
      <c r="L990" s="12"/>
      <c r="M990" s="18"/>
      <c r="N990" s="18"/>
      <c r="O990" s="18"/>
      <c r="P990" s="18"/>
      <c r="Q990" s="18"/>
      <c r="R990" s="18"/>
      <c r="S990" s="18"/>
      <c r="T990" s="18"/>
      <c r="U990" s="18"/>
      <c r="V990" s="18"/>
      <c r="W990" s="18"/>
      <c r="X990" s="18"/>
      <c r="Y990" s="18"/>
      <c r="Z990" s="18"/>
      <c r="AA990" s="18"/>
      <c r="AB990" s="18"/>
      <c r="AC990" s="18"/>
      <c r="AD990" s="18"/>
      <c r="AE990" s="18"/>
      <c r="AF990" s="18"/>
      <c r="AG990" s="18"/>
    </row>
    <row r="991" spans="1:33" x14ac:dyDescent="0.2">
      <c r="A991" s="1279"/>
      <c r="B991" s="1280"/>
      <c r="C991" s="18"/>
      <c r="D991" s="18"/>
      <c r="E991" s="18"/>
      <c r="F991" s="18"/>
      <c r="G991" s="18"/>
      <c r="H991" s="18"/>
      <c r="I991" s="18"/>
      <c r="J991" s="18"/>
      <c r="K991" s="18"/>
      <c r="L991" s="12"/>
      <c r="M991" s="18"/>
      <c r="N991" s="18"/>
      <c r="O991" s="18"/>
      <c r="P991" s="18"/>
      <c r="Q991" s="18"/>
      <c r="R991" s="18"/>
      <c r="S991" s="18"/>
      <c r="T991" s="18"/>
      <c r="U991" s="18"/>
      <c r="V991" s="18"/>
      <c r="W991" s="18"/>
      <c r="X991" s="18"/>
      <c r="Y991" s="18"/>
      <c r="Z991" s="18"/>
      <c r="AA991" s="18"/>
      <c r="AB991" s="18"/>
      <c r="AC991" s="18"/>
      <c r="AD991" s="18"/>
      <c r="AE991" s="18"/>
      <c r="AF991" s="18"/>
      <c r="AG991" s="18"/>
    </row>
    <row r="992" spans="1:33" x14ac:dyDescent="0.2">
      <c r="A992" s="1279"/>
      <c r="B992" s="1280"/>
      <c r="C992" s="18"/>
      <c r="D992" s="18"/>
      <c r="E992" s="18"/>
      <c r="F992" s="18"/>
      <c r="G992" s="18"/>
      <c r="H992" s="18"/>
      <c r="I992" s="18"/>
      <c r="J992" s="18"/>
      <c r="K992" s="18"/>
      <c r="L992" s="12"/>
      <c r="M992" s="18"/>
      <c r="N992" s="18"/>
      <c r="O992" s="18"/>
      <c r="P992" s="18"/>
      <c r="Q992" s="18"/>
      <c r="R992" s="18"/>
      <c r="S992" s="18"/>
      <c r="T992" s="18"/>
      <c r="U992" s="18"/>
      <c r="V992" s="18"/>
      <c r="W992" s="18"/>
      <c r="X992" s="18"/>
      <c r="Y992" s="18"/>
      <c r="Z992" s="18"/>
      <c r="AA992" s="18"/>
      <c r="AB992" s="18"/>
      <c r="AC992" s="18"/>
      <c r="AD992" s="18"/>
      <c r="AE992" s="18"/>
      <c r="AF992" s="18"/>
      <c r="AG992" s="18"/>
    </row>
    <row r="993" spans="1:33" x14ac:dyDescent="0.2">
      <c r="A993" s="1279"/>
      <c r="B993" s="1280"/>
      <c r="C993" s="18"/>
      <c r="D993" s="18"/>
      <c r="E993" s="18"/>
      <c r="F993" s="18"/>
      <c r="G993" s="18"/>
      <c r="H993" s="18"/>
      <c r="I993" s="18"/>
      <c r="J993" s="18"/>
      <c r="K993" s="18"/>
      <c r="L993" s="12"/>
      <c r="M993" s="18"/>
      <c r="N993" s="18"/>
      <c r="O993" s="18"/>
      <c r="P993" s="18"/>
      <c r="Q993" s="18"/>
      <c r="R993" s="18"/>
      <c r="S993" s="18"/>
      <c r="T993" s="18"/>
      <c r="U993" s="18"/>
      <c r="V993" s="18"/>
      <c r="W993" s="18"/>
      <c r="X993" s="18"/>
      <c r="Y993" s="18"/>
      <c r="Z993" s="18"/>
      <c r="AA993" s="18"/>
      <c r="AB993" s="18"/>
      <c r="AC993" s="18"/>
      <c r="AD993" s="18"/>
      <c r="AE993" s="18"/>
      <c r="AF993" s="18"/>
      <c r="AG993" s="18"/>
    </row>
    <row r="994" spans="1:33" x14ac:dyDescent="0.2">
      <c r="A994" s="1279"/>
      <c r="B994" s="1280"/>
      <c r="C994" s="18"/>
      <c r="D994" s="18"/>
      <c r="E994" s="18"/>
      <c r="F994" s="18"/>
      <c r="G994" s="18"/>
      <c r="H994" s="18"/>
      <c r="I994" s="18"/>
      <c r="J994" s="18"/>
      <c r="K994" s="18"/>
      <c r="L994" s="12"/>
      <c r="M994" s="18"/>
      <c r="N994" s="18"/>
      <c r="O994" s="18"/>
      <c r="P994" s="18"/>
      <c r="Q994" s="18"/>
      <c r="R994" s="18"/>
      <c r="S994" s="18"/>
      <c r="T994" s="18"/>
      <c r="U994" s="18"/>
      <c r="V994" s="18"/>
      <c r="W994" s="18"/>
      <c r="X994" s="18"/>
      <c r="Y994" s="18"/>
      <c r="Z994" s="18"/>
      <c r="AA994" s="18"/>
      <c r="AB994" s="18"/>
      <c r="AC994" s="18"/>
      <c r="AD994" s="18"/>
      <c r="AE994" s="18"/>
      <c r="AF994" s="18"/>
      <c r="AG994" s="18"/>
    </row>
    <row r="995" spans="1:33" x14ac:dyDescent="0.2">
      <c r="A995" s="1279"/>
      <c r="B995" s="1280"/>
      <c r="C995" s="18"/>
      <c r="D995" s="18"/>
      <c r="E995" s="18"/>
      <c r="F995" s="18"/>
      <c r="G995" s="18"/>
      <c r="H995" s="18"/>
      <c r="I995" s="18"/>
      <c r="J995" s="18"/>
      <c r="K995" s="18"/>
      <c r="L995" s="12"/>
      <c r="M995" s="18"/>
      <c r="N995" s="18"/>
      <c r="O995" s="18"/>
      <c r="P995" s="18"/>
      <c r="Q995" s="18"/>
      <c r="R995" s="18"/>
      <c r="S995" s="18"/>
      <c r="T995" s="18"/>
      <c r="U995" s="18"/>
      <c r="V995" s="18"/>
      <c r="W995" s="18"/>
      <c r="X995" s="18"/>
      <c r="Y995" s="18"/>
      <c r="Z995" s="18"/>
      <c r="AA995" s="18"/>
      <c r="AB995" s="18"/>
      <c r="AC995" s="18"/>
      <c r="AD995" s="18"/>
      <c r="AE995" s="18"/>
      <c r="AF995" s="18"/>
      <c r="AG995" s="18"/>
    </row>
    <row r="996" spans="1:33" x14ac:dyDescent="0.2">
      <c r="A996" s="1279"/>
      <c r="B996" s="1280"/>
      <c r="C996" s="18"/>
      <c r="D996" s="18"/>
      <c r="E996" s="18"/>
      <c r="F996" s="18"/>
      <c r="G996" s="18"/>
      <c r="H996" s="18"/>
      <c r="I996" s="18"/>
      <c r="J996" s="18"/>
      <c r="K996" s="18"/>
      <c r="L996" s="12"/>
      <c r="M996" s="18"/>
      <c r="N996" s="18"/>
      <c r="O996" s="18"/>
      <c r="P996" s="18"/>
      <c r="Q996" s="18"/>
      <c r="R996" s="18"/>
      <c r="S996" s="18"/>
      <c r="T996" s="18"/>
      <c r="U996" s="18"/>
      <c r="V996" s="18"/>
      <c r="W996" s="18"/>
      <c r="X996" s="18"/>
      <c r="Y996" s="18"/>
      <c r="Z996" s="18"/>
      <c r="AA996" s="18"/>
      <c r="AB996" s="18"/>
      <c r="AC996" s="18"/>
      <c r="AD996" s="18"/>
      <c r="AE996" s="18"/>
      <c r="AF996" s="18"/>
      <c r="AG996" s="18"/>
    </row>
    <row r="997" spans="1:33" x14ac:dyDescent="0.2">
      <c r="A997" s="1279"/>
      <c r="B997" s="1280"/>
      <c r="C997" s="18"/>
      <c r="D997" s="18"/>
      <c r="E997" s="18"/>
      <c r="F997" s="18"/>
      <c r="G997" s="18"/>
      <c r="H997" s="18"/>
      <c r="I997" s="18"/>
      <c r="J997" s="18"/>
      <c r="K997" s="18"/>
      <c r="L997" s="12"/>
      <c r="M997" s="18"/>
      <c r="N997" s="18"/>
      <c r="O997" s="18"/>
      <c r="P997" s="18"/>
      <c r="Q997" s="18"/>
      <c r="R997" s="18"/>
      <c r="S997" s="18"/>
      <c r="T997" s="18"/>
      <c r="U997" s="18"/>
      <c r="V997" s="18"/>
      <c r="W997" s="18"/>
      <c r="X997" s="18"/>
      <c r="Y997" s="18"/>
      <c r="Z997" s="18"/>
      <c r="AA997" s="18"/>
      <c r="AB997" s="18"/>
      <c r="AC997" s="18"/>
      <c r="AD997" s="18"/>
      <c r="AE997" s="18"/>
      <c r="AF997" s="18"/>
      <c r="AG997" s="18"/>
    </row>
    <row r="998" spans="1:33" x14ac:dyDescent="0.2">
      <c r="A998" s="1279"/>
      <c r="B998" s="1280"/>
      <c r="C998" s="18"/>
      <c r="D998" s="18"/>
      <c r="E998" s="18"/>
      <c r="F998" s="18"/>
      <c r="G998" s="18"/>
      <c r="H998" s="18"/>
      <c r="I998" s="18"/>
      <c r="J998" s="18"/>
      <c r="K998" s="18"/>
      <c r="L998" s="12"/>
      <c r="M998" s="18"/>
      <c r="N998" s="18"/>
      <c r="O998" s="18"/>
      <c r="P998" s="18"/>
      <c r="Q998" s="18"/>
      <c r="R998" s="18"/>
      <c r="S998" s="18"/>
      <c r="T998" s="18"/>
      <c r="U998" s="18"/>
      <c r="V998" s="18"/>
      <c r="W998" s="18"/>
      <c r="X998" s="18"/>
      <c r="Y998" s="18"/>
      <c r="Z998" s="18"/>
      <c r="AA998" s="18"/>
      <c r="AB998" s="18"/>
      <c r="AC998" s="18"/>
      <c r="AD998" s="18"/>
      <c r="AE998" s="18"/>
      <c r="AF998" s="18"/>
      <c r="AG998" s="18"/>
    </row>
    <row r="999" spans="1:33" x14ac:dyDescent="0.2">
      <c r="A999" s="1279"/>
      <c r="B999" s="1280"/>
      <c r="C999" s="18"/>
      <c r="D999" s="18"/>
      <c r="E999" s="18"/>
      <c r="F999" s="18"/>
      <c r="G999" s="18"/>
      <c r="H999" s="18"/>
      <c r="I999" s="18"/>
      <c r="J999" s="18"/>
      <c r="K999" s="18"/>
      <c r="L999" s="12"/>
      <c r="M999" s="18"/>
      <c r="N999" s="18"/>
      <c r="O999" s="18"/>
      <c r="P999" s="18"/>
      <c r="Q999" s="18"/>
      <c r="R999" s="18"/>
      <c r="S999" s="18"/>
      <c r="T999" s="18"/>
      <c r="U999" s="18"/>
      <c r="V999" s="18"/>
      <c r="W999" s="18"/>
      <c r="X999" s="18"/>
      <c r="Y999" s="18"/>
      <c r="Z999" s="18"/>
      <c r="AA999" s="18"/>
      <c r="AB999" s="18"/>
      <c r="AC999" s="18"/>
      <c r="AD999" s="18"/>
      <c r="AE999" s="18"/>
      <c r="AF999" s="18"/>
      <c r="AG999" s="18"/>
    </row>
    <row r="1000" spans="1:33" x14ac:dyDescent="0.2">
      <c r="A1000" s="1279"/>
      <c r="B1000" s="1280"/>
      <c r="C1000" s="18"/>
      <c r="D1000" s="18"/>
      <c r="E1000" s="18"/>
      <c r="F1000" s="18"/>
      <c r="G1000" s="18"/>
      <c r="H1000" s="18"/>
      <c r="I1000" s="18"/>
      <c r="J1000" s="18"/>
      <c r="K1000" s="18"/>
      <c r="L1000" s="12"/>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row>
    <row r="1001" spans="1:33" x14ac:dyDescent="0.2">
      <c r="A1001" s="1279"/>
      <c r="B1001" s="1280"/>
      <c r="C1001" s="18"/>
      <c r="D1001" s="18"/>
      <c r="E1001" s="18"/>
      <c r="F1001" s="18"/>
      <c r="G1001" s="18"/>
      <c r="H1001" s="18"/>
      <c r="I1001" s="18"/>
      <c r="J1001" s="18"/>
      <c r="K1001" s="18"/>
      <c r="L1001" s="12"/>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row>
    <row r="1002" spans="1:33" x14ac:dyDescent="0.2">
      <c r="A1002" s="1279"/>
      <c r="B1002" s="1280"/>
      <c r="C1002" s="18"/>
      <c r="D1002" s="18"/>
      <c r="E1002" s="18"/>
      <c r="F1002" s="18"/>
      <c r="G1002" s="18"/>
      <c r="H1002" s="18"/>
      <c r="I1002" s="18"/>
      <c r="J1002" s="18"/>
      <c r="K1002" s="18"/>
      <c r="L1002" s="12"/>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row>
    <row r="1003" spans="1:33" x14ac:dyDescent="0.2">
      <c r="A1003" s="1279"/>
      <c r="B1003" s="1280"/>
      <c r="C1003" s="18"/>
      <c r="D1003" s="18"/>
      <c r="E1003" s="18"/>
      <c r="F1003" s="18"/>
      <c r="G1003" s="18"/>
      <c r="H1003" s="18"/>
      <c r="I1003" s="18"/>
      <c r="J1003" s="18"/>
      <c r="K1003" s="18"/>
      <c r="L1003" s="12"/>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row>
    <row r="1004" spans="1:33" x14ac:dyDescent="0.2">
      <c r="A1004" s="1279"/>
      <c r="B1004" s="1280"/>
      <c r="C1004" s="18"/>
      <c r="D1004" s="18"/>
      <c r="E1004" s="18"/>
      <c r="F1004" s="18"/>
      <c r="G1004" s="18"/>
      <c r="H1004" s="18"/>
      <c r="I1004" s="18"/>
      <c r="J1004" s="18"/>
      <c r="K1004" s="18"/>
      <c r="L1004" s="12"/>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row>
    <row r="1005" spans="1:33" x14ac:dyDescent="0.2">
      <c r="A1005" s="1279"/>
      <c r="B1005" s="1280"/>
      <c r="C1005" s="18"/>
      <c r="D1005" s="18"/>
      <c r="E1005" s="18"/>
      <c r="F1005" s="18"/>
      <c r="G1005" s="18"/>
      <c r="H1005" s="18"/>
      <c r="I1005" s="18"/>
      <c r="J1005" s="18"/>
      <c r="K1005" s="18"/>
      <c r="L1005" s="12"/>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row>
    <row r="1006" spans="1:33" x14ac:dyDescent="0.2">
      <c r="A1006" s="1279"/>
      <c r="B1006" s="1280"/>
      <c r="C1006" s="18"/>
      <c r="D1006" s="18"/>
      <c r="E1006" s="18"/>
      <c r="F1006" s="18"/>
      <c r="G1006" s="18"/>
      <c r="H1006" s="18"/>
      <c r="I1006" s="18"/>
      <c r="J1006" s="18"/>
      <c r="K1006" s="18"/>
      <c r="L1006" s="12"/>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row>
    <row r="1007" spans="1:33" x14ac:dyDescent="0.2">
      <c r="A1007" s="1279"/>
      <c r="B1007" s="1280"/>
      <c r="C1007" s="18"/>
      <c r="D1007" s="18"/>
      <c r="E1007" s="18"/>
      <c r="F1007" s="18"/>
      <c r="G1007" s="18"/>
      <c r="H1007" s="18"/>
      <c r="I1007" s="18"/>
      <c r="J1007" s="18"/>
      <c r="K1007" s="18"/>
      <c r="L1007" s="12"/>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row>
    <row r="1008" spans="1:33" x14ac:dyDescent="0.2">
      <c r="A1008" s="1279"/>
      <c r="B1008" s="1280"/>
      <c r="C1008" s="18"/>
      <c r="D1008" s="18"/>
      <c r="E1008" s="18"/>
      <c r="F1008" s="18"/>
      <c r="G1008" s="18"/>
      <c r="H1008" s="18"/>
      <c r="I1008" s="18"/>
      <c r="J1008" s="18"/>
      <c r="K1008" s="18"/>
      <c r="L1008" s="12"/>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row>
    <row r="1009" spans="1:33" x14ac:dyDescent="0.2">
      <c r="A1009" s="1279"/>
      <c r="B1009" s="1280"/>
      <c r="C1009" s="18"/>
      <c r="D1009" s="18"/>
      <c r="E1009" s="18"/>
      <c r="F1009" s="18"/>
      <c r="G1009" s="18"/>
      <c r="H1009" s="18"/>
      <c r="I1009" s="18"/>
      <c r="J1009" s="18"/>
      <c r="K1009" s="18"/>
      <c r="L1009" s="12"/>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row>
    <row r="1010" spans="1:33" x14ac:dyDescent="0.2">
      <c r="A1010" s="1279"/>
      <c r="B1010" s="1280"/>
      <c r="C1010" s="18"/>
      <c r="D1010" s="18"/>
      <c r="E1010" s="18"/>
      <c r="F1010" s="18"/>
      <c r="G1010" s="18"/>
      <c r="H1010" s="18"/>
      <c r="I1010" s="18"/>
      <c r="J1010" s="18"/>
      <c r="K1010" s="18"/>
      <c r="L1010" s="12"/>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row>
    <row r="1011" spans="1:33" x14ac:dyDescent="0.2">
      <c r="A1011" s="1279"/>
      <c r="B1011" s="1280"/>
      <c r="C1011" s="18"/>
      <c r="D1011" s="18"/>
      <c r="E1011" s="18"/>
      <c r="F1011" s="18"/>
      <c r="G1011" s="18"/>
      <c r="H1011" s="18"/>
      <c r="I1011" s="18"/>
      <c r="J1011" s="18"/>
      <c r="K1011" s="18"/>
      <c r="L1011" s="12"/>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row>
    <row r="1012" spans="1:33" x14ac:dyDescent="0.2">
      <c r="A1012" s="1279"/>
      <c r="B1012" s="1280"/>
      <c r="C1012" s="18"/>
      <c r="D1012" s="18"/>
      <c r="E1012" s="18"/>
      <c r="F1012" s="18"/>
      <c r="G1012" s="18"/>
      <c r="H1012" s="18"/>
      <c r="I1012" s="18"/>
      <c r="J1012" s="18"/>
      <c r="K1012" s="18"/>
      <c r="L1012" s="12"/>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row>
    <row r="1013" spans="1:33" x14ac:dyDescent="0.2">
      <c r="A1013" s="1279"/>
      <c r="B1013" s="1280"/>
      <c r="C1013" s="18"/>
      <c r="D1013" s="18"/>
      <c r="E1013" s="18"/>
      <c r="F1013" s="18"/>
      <c r="G1013" s="18"/>
      <c r="H1013" s="18"/>
      <c r="I1013" s="18"/>
      <c r="J1013" s="18"/>
      <c r="K1013" s="18"/>
      <c r="L1013" s="12"/>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row>
    <row r="1014" spans="1:33" x14ac:dyDescent="0.2">
      <c r="A1014" s="1279"/>
      <c r="B1014" s="1280"/>
      <c r="C1014" s="18"/>
      <c r="D1014" s="18"/>
      <c r="E1014" s="18"/>
      <c r="F1014" s="18"/>
      <c r="G1014" s="18"/>
      <c r="H1014" s="18"/>
      <c r="I1014" s="18"/>
      <c r="J1014" s="18"/>
      <c r="K1014" s="18"/>
      <c r="L1014" s="12"/>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row>
    <row r="1015" spans="1:33" x14ac:dyDescent="0.2">
      <c r="A1015" s="1279"/>
      <c r="B1015" s="1280"/>
      <c r="C1015" s="18"/>
      <c r="D1015" s="18"/>
      <c r="E1015" s="18"/>
      <c r="F1015" s="18"/>
      <c r="G1015" s="18"/>
      <c r="H1015" s="18"/>
      <c r="I1015" s="18"/>
      <c r="J1015" s="18"/>
      <c r="K1015" s="18"/>
      <c r="L1015" s="12"/>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row>
    <row r="1016" spans="1:33" x14ac:dyDescent="0.2">
      <c r="A1016" s="1279"/>
      <c r="B1016" s="1280"/>
      <c r="C1016" s="18"/>
      <c r="D1016" s="18"/>
      <c r="E1016" s="18"/>
      <c r="F1016" s="18"/>
      <c r="G1016" s="18"/>
      <c r="H1016" s="18"/>
      <c r="I1016" s="18"/>
      <c r="J1016" s="18"/>
      <c r="K1016" s="18"/>
      <c r="L1016" s="12"/>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row>
    <row r="1017" spans="1:33" x14ac:dyDescent="0.2">
      <c r="A1017" s="1279"/>
      <c r="B1017" s="1280"/>
      <c r="C1017" s="18"/>
      <c r="D1017" s="18"/>
      <c r="E1017" s="18"/>
      <c r="F1017" s="18"/>
      <c r="G1017" s="18"/>
      <c r="H1017" s="18"/>
      <c r="I1017" s="18"/>
      <c r="J1017" s="18"/>
      <c r="K1017" s="18"/>
      <c r="L1017" s="12"/>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row>
    <row r="1018" spans="1:33" x14ac:dyDescent="0.2">
      <c r="A1018" s="1279"/>
      <c r="B1018" s="1280"/>
      <c r="C1018" s="18"/>
      <c r="D1018" s="18"/>
      <c r="E1018" s="18"/>
      <c r="F1018" s="18"/>
      <c r="G1018" s="18"/>
      <c r="H1018" s="18"/>
      <c r="I1018" s="18"/>
      <c r="J1018" s="18"/>
      <c r="K1018" s="18"/>
      <c r="L1018" s="12"/>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row>
    <row r="1019" spans="1:33" x14ac:dyDescent="0.2">
      <c r="A1019" s="1279"/>
      <c r="B1019" s="1280"/>
      <c r="C1019" s="18"/>
      <c r="D1019" s="18"/>
      <c r="E1019" s="18"/>
      <c r="F1019" s="18"/>
      <c r="G1019" s="18"/>
      <c r="H1019" s="18"/>
      <c r="I1019" s="18"/>
      <c r="J1019" s="18"/>
      <c r="K1019" s="18"/>
      <c r="L1019" s="12"/>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row>
    <row r="1020" spans="1:33" x14ac:dyDescent="0.2">
      <c r="A1020" s="1279"/>
      <c r="B1020" s="1280"/>
      <c r="C1020" s="18"/>
      <c r="D1020" s="18"/>
      <c r="E1020" s="18"/>
      <c r="F1020" s="18"/>
      <c r="G1020" s="18"/>
      <c r="H1020" s="18"/>
      <c r="I1020" s="18"/>
      <c r="J1020" s="18"/>
      <c r="K1020" s="18"/>
      <c r="L1020" s="12"/>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row>
    <row r="1021" spans="1:33" x14ac:dyDescent="0.2">
      <c r="A1021" s="1279"/>
      <c r="B1021" s="1280"/>
      <c r="C1021" s="18"/>
      <c r="D1021" s="18"/>
      <c r="E1021" s="18"/>
      <c r="F1021" s="18"/>
      <c r="G1021" s="18"/>
      <c r="H1021" s="18"/>
      <c r="I1021" s="18"/>
      <c r="J1021" s="18"/>
      <c r="K1021" s="18"/>
      <c r="L1021" s="12"/>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row>
    <row r="1022" spans="1:33" x14ac:dyDescent="0.2">
      <c r="A1022" s="1279"/>
      <c r="B1022" s="1280"/>
      <c r="C1022" s="18"/>
      <c r="D1022" s="18"/>
      <c r="E1022" s="18"/>
      <c r="F1022" s="18"/>
      <c r="G1022" s="18"/>
      <c r="H1022" s="18"/>
      <c r="I1022" s="18"/>
      <c r="J1022" s="18"/>
      <c r="K1022" s="18"/>
      <c r="L1022" s="12"/>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row>
    <row r="1023" spans="1:33" x14ac:dyDescent="0.2">
      <c r="A1023" s="1279"/>
      <c r="B1023" s="1280"/>
      <c r="C1023" s="18"/>
      <c r="D1023" s="18"/>
      <c r="E1023" s="18"/>
      <c r="F1023" s="18"/>
      <c r="G1023" s="18"/>
      <c r="H1023" s="18"/>
      <c r="I1023" s="18"/>
      <c r="J1023" s="18"/>
      <c r="K1023" s="18"/>
      <c r="L1023" s="12"/>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row>
    <row r="1024" spans="1:33" x14ac:dyDescent="0.2">
      <c r="A1024" s="1279"/>
      <c r="B1024" s="1280"/>
      <c r="C1024" s="18"/>
      <c r="D1024" s="18"/>
      <c r="E1024" s="18"/>
      <c r="F1024" s="18"/>
      <c r="G1024" s="18"/>
      <c r="H1024" s="18"/>
      <c r="I1024" s="18"/>
      <c r="J1024" s="18"/>
      <c r="K1024" s="18"/>
      <c r="L1024" s="12"/>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row>
    <row r="1025" spans="1:33" x14ac:dyDescent="0.2">
      <c r="A1025" s="1279"/>
      <c r="B1025" s="1280"/>
      <c r="C1025" s="18"/>
      <c r="D1025" s="18"/>
      <c r="E1025" s="18"/>
      <c r="F1025" s="18"/>
      <c r="G1025" s="18"/>
      <c r="H1025" s="18"/>
      <c r="I1025" s="18"/>
      <c r="J1025" s="18"/>
      <c r="K1025" s="18"/>
      <c r="L1025" s="12"/>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row>
    <row r="1026" spans="1:33" x14ac:dyDescent="0.2">
      <c r="A1026" s="1279"/>
      <c r="B1026" s="1280"/>
      <c r="C1026" s="18"/>
      <c r="D1026" s="18"/>
      <c r="E1026" s="18"/>
      <c r="F1026" s="18"/>
      <c r="G1026" s="18"/>
      <c r="H1026" s="18"/>
      <c r="I1026" s="18"/>
      <c r="J1026" s="18"/>
      <c r="K1026" s="18"/>
      <c r="L1026" s="12"/>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row>
    <row r="1027" spans="1:33" x14ac:dyDescent="0.2">
      <c r="A1027" s="1279"/>
      <c r="B1027" s="1280"/>
      <c r="C1027" s="18"/>
      <c r="D1027" s="18"/>
      <c r="E1027" s="18"/>
      <c r="F1027" s="18"/>
      <c r="G1027" s="18"/>
      <c r="H1027" s="18"/>
      <c r="I1027" s="18"/>
      <c r="J1027" s="18"/>
      <c r="K1027" s="18"/>
      <c r="L1027" s="12"/>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row>
    <row r="1028" spans="1:33" x14ac:dyDescent="0.2">
      <c r="A1028" s="1279"/>
      <c r="B1028" s="1280"/>
      <c r="C1028" s="18"/>
      <c r="D1028" s="18"/>
      <c r="E1028" s="18"/>
      <c r="F1028" s="18"/>
      <c r="G1028" s="18"/>
      <c r="H1028" s="18"/>
      <c r="I1028" s="18"/>
      <c r="J1028" s="18"/>
      <c r="K1028" s="18"/>
      <c r="L1028" s="12"/>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row>
    <row r="1029" spans="1:33" x14ac:dyDescent="0.2">
      <c r="A1029" s="1279"/>
      <c r="B1029" s="1280"/>
      <c r="C1029" s="18"/>
      <c r="D1029" s="18"/>
      <c r="E1029" s="18"/>
      <c r="F1029" s="18"/>
      <c r="G1029" s="18"/>
      <c r="H1029" s="18"/>
      <c r="I1029" s="18"/>
      <c r="J1029" s="18"/>
      <c r="K1029" s="18"/>
      <c r="L1029" s="12"/>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row>
    <row r="1030" spans="1:33" x14ac:dyDescent="0.2">
      <c r="A1030" s="1279"/>
      <c r="B1030" s="1280"/>
      <c r="C1030" s="18"/>
      <c r="D1030" s="18"/>
      <c r="E1030" s="18"/>
      <c r="F1030" s="18"/>
      <c r="G1030" s="18"/>
      <c r="H1030" s="18"/>
      <c r="I1030" s="18"/>
      <c r="J1030" s="18"/>
      <c r="K1030" s="18"/>
      <c r="L1030" s="12"/>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row>
    <row r="1031" spans="1:33" x14ac:dyDescent="0.2">
      <c r="A1031" s="1279"/>
      <c r="B1031" s="1280"/>
      <c r="C1031" s="18"/>
      <c r="D1031" s="18"/>
      <c r="E1031" s="18"/>
      <c r="F1031" s="18"/>
      <c r="G1031" s="18"/>
      <c r="H1031" s="18"/>
      <c r="I1031" s="18"/>
      <c r="J1031" s="18"/>
      <c r="K1031" s="18"/>
      <c r="L1031" s="12"/>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row>
    <row r="1032" spans="1:33" x14ac:dyDescent="0.2">
      <c r="A1032" s="1279"/>
      <c r="B1032" s="1280"/>
      <c r="C1032" s="18"/>
      <c r="D1032" s="18"/>
      <c r="E1032" s="18"/>
      <c r="F1032" s="18"/>
      <c r="G1032" s="18"/>
      <c r="H1032" s="18"/>
      <c r="I1032" s="18"/>
      <c r="J1032" s="18"/>
      <c r="K1032" s="18"/>
      <c r="L1032" s="12"/>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row>
    <row r="1033" spans="1:33" x14ac:dyDescent="0.2">
      <c r="A1033" s="1279"/>
      <c r="B1033" s="1280"/>
      <c r="C1033" s="18"/>
      <c r="D1033" s="18"/>
      <c r="E1033" s="18"/>
      <c r="F1033" s="18"/>
      <c r="G1033" s="18"/>
      <c r="H1033" s="18"/>
      <c r="I1033" s="18"/>
      <c r="J1033" s="18"/>
      <c r="K1033" s="18"/>
      <c r="L1033" s="12"/>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row>
    <row r="1034" spans="1:33" x14ac:dyDescent="0.2">
      <c r="A1034" s="1279"/>
      <c r="B1034" s="1280"/>
      <c r="C1034" s="18"/>
      <c r="D1034" s="18"/>
      <c r="E1034" s="18"/>
      <c r="F1034" s="18"/>
      <c r="G1034" s="18"/>
      <c r="H1034" s="18"/>
      <c r="I1034" s="18"/>
      <c r="J1034" s="18"/>
      <c r="K1034" s="18"/>
      <c r="L1034" s="12"/>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row>
    <row r="1035" spans="1:33" x14ac:dyDescent="0.2">
      <c r="A1035" s="1279"/>
      <c r="B1035" s="1280"/>
      <c r="C1035" s="18"/>
      <c r="D1035" s="18"/>
      <c r="E1035" s="18"/>
      <c r="F1035" s="18"/>
      <c r="G1035" s="18"/>
      <c r="H1035" s="18"/>
      <c r="I1035" s="18"/>
      <c r="J1035" s="18"/>
      <c r="K1035" s="18"/>
      <c r="L1035" s="12"/>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row>
    <row r="1036" spans="1:33" x14ac:dyDescent="0.2">
      <c r="A1036" s="1279"/>
      <c r="B1036" s="1280"/>
      <c r="C1036" s="18"/>
      <c r="D1036" s="18"/>
      <c r="E1036" s="18"/>
      <c r="F1036" s="18"/>
      <c r="G1036" s="18"/>
      <c r="H1036" s="18"/>
      <c r="I1036" s="18"/>
      <c r="J1036" s="18"/>
      <c r="K1036" s="18"/>
      <c r="L1036" s="12"/>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row>
    <row r="1037" spans="1:33" x14ac:dyDescent="0.2">
      <c r="A1037" s="1279"/>
      <c r="B1037" s="1280"/>
      <c r="C1037" s="18"/>
      <c r="D1037" s="18"/>
      <c r="E1037" s="18"/>
      <c r="F1037" s="18"/>
      <c r="G1037" s="18"/>
      <c r="H1037" s="18"/>
      <c r="I1037" s="18"/>
      <c r="J1037" s="18"/>
      <c r="K1037" s="18"/>
      <c r="L1037" s="12"/>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row>
    <row r="1038" spans="1:33" x14ac:dyDescent="0.2">
      <c r="A1038" s="1279"/>
      <c r="B1038" s="1280"/>
      <c r="C1038" s="18"/>
      <c r="D1038" s="18"/>
      <c r="E1038" s="18"/>
      <c r="F1038" s="18"/>
      <c r="G1038" s="18"/>
      <c r="H1038" s="18"/>
      <c r="I1038" s="18"/>
      <c r="J1038" s="18"/>
      <c r="K1038" s="18"/>
      <c r="L1038" s="12"/>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row>
    <row r="1039" spans="1:33" x14ac:dyDescent="0.2">
      <c r="A1039" s="1279"/>
      <c r="B1039" s="1280"/>
      <c r="C1039" s="18"/>
      <c r="D1039" s="18"/>
      <c r="E1039" s="18"/>
      <c r="F1039" s="18"/>
      <c r="G1039" s="18"/>
      <c r="H1039" s="18"/>
      <c r="I1039" s="18"/>
      <c r="J1039" s="18"/>
      <c r="K1039" s="18"/>
      <c r="L1039" s="12"/>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row>
    <row r="1040" spans="1:33" x14ac:dyDescent="0.2">
      <c r="A1040" s="1279"/>
      <c r="B1040" s="1280"/>
      <c r="C1040" s="18"/>
      <c r="D1040" s="18"/>
      <c r="E1040" s="18"/>
      <c r="F1040" s="18"/>
      <c r="G1040" s="18"/>
      <c r="H1040" s="18"/>
      <c r="I1040" s="18"/>
      <c r="J1040" s="18"/>
      <c r="K1040" s="18"/>
      <c r="L1040" s="12"/>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row>
    <row r="1041" spans="1:33" x14ac:dyDescent="0.2">
      <c r="A1041" s="1279"/>
      <c r="B1041" s="1280"/>
      <c r="C1041" s="18"/>
      <c r="D1041" s="18"/>
      <c r="E1041" s="18"/>
      <c r="F1041" s="18"/>
      <c r="G1041" s="18"/>
      <c r="H1041" s="18"/>
      <c r="I1041" s="18"/>
      <c r="J1041" s="18"/>
      <c r="K1041" s="18"/>
      <c r="L1041" s="12"/>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row>
    <row r="1042" spans="1:33" x14ac:dyDescent="0.2">
      <c r="A1042" s="1279"/>
      <c r="B1042" s="1280"/>
      <c r="C1042" s="18"/>
      <c r="D1042" s="18"/>
      <c r="E1042" s="18"/>
      <c r="F1042" s="18"/>
      <c r="G1042" s="18"/>
      <c r="H1042" s="18"/>
      <c r="I1042" s="18"/>
      <c r="J1042" s="18"/>
      <c r="K1042" s="18"/>
      <c r="L1042" s="12"/>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row>
    <row r="1043" spans="1:33" x14ac:dyDescent="0.2">
      <c r="A1043" s="1279"/>
      <c r="B1043" s="1280"/>
      <c r="C1043" s="18"/>
      <c r="D1043" s="18"/>
      <c r="E1043" s="18"/>
      <c r="F1043" s="18"/>
      <c r="G1043" s="18"/>
      <c r="H1043" s="18"/>
      <c r="I1043" s="18"/>
      <c r="J1043" s="18"/>
      <c r="K1043" s="18"/>
      <c r="L1043" s="12"/>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row>
    <row r="1044" spans="1:33" x14ac:dyDescent="0.2">
      <c r="A1044" s="1279"/>
      <c r="B1044" s="1280"/>
      <c r="C1044" s="18"/>
      <c r="D1044" s="18"/>
      <c r="E1044" s="18"/>
      <c r="F1044" s="18"/>
      <c r="G1044" s="18"/>
      <c r="H1044" s="18"/>
      <c r="I1044" s="18"/>
      <c r="J1044" s="18"/>
      <c r="K1044" s="18"/>
      <c r="L1044" s="12"/>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row>
    <row r="1045" spans="1:33" x14ac:dyDescent="0.2">
      <c r="A1045" s="1279"/>
      <c r="B1045" s="1280"/>
      <c r="C1045" s="18"/>
      <c r="D1045" s="18"/>
      <c r="E1045" s="18"/>
      <c r="F1045" s="18"/>
      <c r="G1045" s="18"/>
      <c r="H1045" s="18"/>
      <c r="I1045" s="18"/>
      <c r="J1045" s="18"/>
      <c r="K1045" s="18"/>
      <c r="L1045" s="12"/>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row>
    <row r="1046" spans="1:33" x14ac:dyDescent="0.2">
      <c r="A1046" s="1279"/>
      <c r="B1046" s="1280"/>
      <c r="C1046" s="18"/>
      <c r="D1046" s="18"/>
      <c r="E1046" s="18"/>
      <c r="F1046" s="18"/>
      <c r="G1046" s="18"/>
      <c r="H1046" s="18"/>
      <c r="I1046" s="18"/>
      <c r="J1046" s="18"/>
      <c r="K1046" s="18"/>
      <c r="L1046" s="12"/>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row>
    <row r="1047" spans="1:33" x14ac:dyDescent="0.2">
      <c r="A1047" s="1279"/>
      <c r="B1047" s="1280"/>
      <c r="C1047" s="18"/>
      <c r="D1047" s="18"/>
      <c r="E1047" s="18"/>
      <c r="F1047" s="18"/>
      <c r="G1047" s="18"/>
      <c r="H1047" s="18"/>
      <c r="I1047" s="18"/>
      <c r="J1047" s="18"/>
      <c r="K1047" s="18"/>
      <c r="L1047" s="12"/>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row>
    <row r="1048" spans="1:33" x14ac:dyDescent="0.2">
      <c r="A1048" s="1279"/>
      <c r="B1048" s="1280"/>
      <c r="C1048" s="18"/>
      <c r="D1048" s="18"/>
      <c r="E1048" s="18"/>
      <c r="F1048" s="18"/>
      <c r="G1048" s="18"/>
      <c r="H1048" s="18"/>
      <c r="I1048" s="18"/>
      <c r="J1048" s="18"/>
      <c r="K1048" s="18"/>
      <c r="L1048" s="12"/>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row>
    <row r="1049" spans="1:33" x14ac:dyDescent="0.2">
      <c r="A1049" s="1279"/>
      <c r="B1049" s="1280"/>
      <c r="C1049" s="18"/>
      <c r="D1049" s="18"/>
      <c r="E1049" s="18"/>
      <c r="F1049" s="18"/>
      <c r="G1049" s="18"/>
      <c r="H1049" s="18"/>
      <c r="I1049" s="18"/>
      <c r="J1049" s="18"/>
      <c r="K1049" s="18"/>
      <c r="L1049" s="12"/>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row>
    <row r="1050" spans="1:33" x14ac:dyDescent="0.2">
      <c r="A1050" s="1279"/>
      <c r="B1050" s="1280"/>
      <c r="C1050" s="18"/>
      <c r="D1050" s="18"/>
      <c r="E1050" s="18"/>
      <c r="F1050" s="18"/>
      <c r="G1050" s="18"/>
      <c r="H1050" s="18"/>
      <c r="I1050" s="18"/>
      <c r="J1050" s="18"/>
      <c r="K1050" s="18"/>
      <c r="L1050" s="12"/>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row>
    <row r="1051" spans="1:33" x14ac:dyDescent="0.2">
      <c r="A1051" s="1279"/>
      <c r="B1051" s="1280"/>
      <c r="C1051" s="18"/>
      <c r="D1051" s="18"/>
      <c r="E1051" s="18"/>
      <c r="F1051" s="18"/>
      <c r="G1051" s="18"/>
      <c r="H1051" s="18"/>
      <c r="I1051" s="18"/>
      <c r="J1051" s="18"/>
      <c r="K1051" s="18"/>
      <c r="L1051" s="12"/>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row>
    <row r="1052" spans="1:33" x14ac:dyDescent="0.2">
      <c r="A1052" s="1279"/>
      <c r="B1052" s="1280"/>
      <c r="C1052" s="18"/>
      <c r="D1052" s="18"/>
      <c r="E1052" s="18"/>
      <c r="F1052" s="18"/>
      <c r="G1052" s="18"/>
      <c r="H1052" s="18"/>
      <c r="I1052" s="18"/>
      <c r="J1052" s="18"/>
      <c r="K1052" s="18"/>
      <c r="L1052" s="12"/>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row>
    <row r="1053" spans="1:33" x14ac:dyDescent="0.2">
      <c r="A1053" s="1279"/>
      <c r="B1053" s="1280"/>
      <c r="C1053" s="18"/>
      <c r="D1053" s="18"/>
      <c r="E1053" s="18"/>
      <c r="F1053" s="18"/>
      <c r="G1053" s="18"/>
      <c r="H1053" s="18"/>
      <c r="I1053" s="18"/>
      <c r="J1053" s="18"/>
      <c r="K1053" s="18"/>
      <c r="L1053" s="12"/>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row>
    <row r="1054" spans="1:33" x14ac:dyDescent="0.2">
      <c r="A1054" s="1279"/>
      <c r="B1054" s="1280"/>
      <c r="C1054" s="18"/>
      <c r="D1054" s="18"/>
      <c r="E1054" s="18"/>
      <c r="F1054" s="18"/>
      <c r="G1054" s="18"/>
      <c r="H1054" s="18"/>
      <c r="I1054" s="18"/>
      <c r="J1054" s="18"/>
      <c r="K1054" s="18"/>
      <c r="L1054" s="12"/>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row>
    <row r="1055" spans="1:33" x14ac:dyDescent="0.2">
      <c r="A1055" s="1279"/>
      <c r="B1055" s="1280"/>
      <c r="C1055" s="18"/>
      <c r="D1055" s="18"/>
      <c r="E1055" s="18"/>
      <c r="F1055" s="18"/>
      <c r="G1055" s="18"/>
      <c r="H1055" s="18"/>
      <c r="I1055" s="18"/>
      <c r="J1055" s="18"/>
      <c r="K1055" s="18"/>
      <c r="L1055" s="12"/>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row>
    <row r="1056" spans="1:33" x14ac:dyDescent="0.2">
      <c r="A1056" s="1279"/>
      <c r="B1056" s="1280"/>
      <c r="C1056" s="18"/>
      <c r="D1056" s="18"/>
      <c r="E1056" s="18"/>
      <c r="F1056" s="18"/>
      <c r="G1056" s="18"/>
      <c r="H1056" s="18"/>
      <c r="I1056" s="18"/>
      <c r="J1056" s="18"/>
      <c r="K1056" s="18"/>
      <c r="L1056" s="12"/>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row>
    <row r="1057" spans="1:33" x14ac:dyDescent="0.2">
      <c r="A1057" s="1279"/>
      <c r="B1057" s="1280"/>
      <c r="C1057" s="18"/>
      <c r="D1057" s="18"/>
      <c r="E1057" s="18"/>
      <c r="F1057" s="18"/>
      <c r="G1057" s="18"/>
      <c r="H1057" s="18"/>
      <c r="I1057" s="18"/>
      <c r="J1057" s="18"/>
      <c r="K1057" s="18"/>
      <c r="L1057" s="12"/>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row>
    <row r="1058" spans="1:33" x14ac:dyDescent="0.2">
      <c r="A1058" s="1279"/>
      <c r="B1058" s="1280"/>
      <c r="C1058" s="18"/>
      <c r="D1058" s="18"/>
      <c r="E1058" s="18"/>
      <c r="F1058" s="18"/>
      <c r="G1058" s="18"/>
      <c r="H1058" s="18"/>
      <c r="I1058" s="18"/>
      <c r="J1058" s="18"/>
      <c r="K1058" s="18"/>
      <c r="L1058" s="12"/>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row>
    <row r="1059" spans="1:33" x14ac:dyDescent="0.2">
      <c r="A1059" s="1279"/>
      <c r="B1059" s="1280"/>
      <c r="C1059" s="18"/>
      <c r="D1059" s="18"/>
      <c r="E1059" s="18"/>
      <c r="F1059" s="18"/>
      <c r="G1059" s="18"/>
      <c r="H1059" s="18"/>
      <c r="I1059" s="18"/>
      <c r="J1059" s="18"/>
      <c r="K1059" s="18"/>
      <c r="L1059" s="12"/>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row>
    <row r="1060" spans="1:33" x14ac:dyDescent="0.2">
      <c r="A1060" s="1279"/>
      <c r="B1060" s="1280"/>
      <c r="C1060" s="18"/>
      <c r="D1060" s="18"/>
      <c r="E1060" s="18"/>
      <c r="F1060" s="18"/>
      <c r="G1060" s="18"/>
      <c r="H1060" s="18"/>
      <c r="I1060" s="18"/>
      <c r="J1060" s="18"/>
      <c r="K1060" s="18"/>
      <c r="L1060" s="12"/>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row>
    <row r="1061" spans="1:33" x14ac:dyDescent="0.2">
      <c r="A1061" s="1279"/>
      <c r="B1061" s="1280"/>
      <c r="C1061" s="18"/>
      <c r="D1061" s="18"/>
      <c r="E1061" s="18"/>
      <c r="F1061" s="18"/>
      <c r="G1061" s="18"/>
      <c r="H1061" s="18"/>
      <c r="I1061" s="18"/>
      <c r="J1061" s="18"/>
      <c r="K1061" s="18"/>
      <c r="L1061" s="12"/>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row>
    <row r="1062" spans="1:33" x14ac:dyDescent="0.2">
      <c r="A1062" s="1279"/>
      <c r="B1062" s="1280"/>
      <c r="C1062" s="18"/>
      <c r="D1062" s="18"/>
      <c r="E1062" s="18"/>
      <c r="F1062" s="18"/>
      <c r="G1062" s="18"/>
      <c r="H1062" s="18"/>
      <c r="I1062" s="18"/>
      <c r="J1062" s="18"/>
      <c r="K1062" s="18"/>
      <c r="L1062" s="12"/>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row>
    <row r="1063" spans="1:33" x14ac:dyDescent="0.2">
      <c r="A1063" s="1279"/>
      <c r="B1063" s="1280"/>
      <c r="C1063" s="18"/>
      <c r="D1063" s="18"/>
      <c r="E1063" s="18"/>
      <c r="F1063" s="18"/>
      <c r="G1063" s="18"/>
      <c r="H1063" s="18"/>
      <c r="I1063" s="18"/>
      <c r="J1063" s="18"/>
      <c r="K1063" s="18"/>
      <c r="L1063" s="12"/>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row>
    <row r="1064" spans="1:33" x14ac:dyDescent="0.2">
      <c r="A1064" s="1279"/>
      <c r="B1064" s="1280"/>
      <c r="C1064" s="18"/>
      <c r="D1064" s="18"/>
      <c r="E1064" s="18"/>
      <c r="F1064" s="18"/>
      <c r="G1064" s="18"/>
      <c r="H1064" s="18"/>
      <c r="I1064" s="18"/>
      <c r="J1064" s="18"/>
      <c r="K1064" s="18"/>
      <c r="L1064" s="12"/>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row>
    <row r="1065" spans="1:33" x14ac:dyDescent="0.2">
      <c r="A1065" s="1279"/>
      <c r="B1065" s="1280"/>
      <c r="C1065" s="18"/>
      <c r="D1065" s="18"/>
      <c r="E1065" s="18"/>
      <c r="F1065" s="18"/>
      <c r="G1065" s="18"/>
      <c r="H1065" s="18"/>
      <c r="I1065" s="18"/>
      <c r="J1065" s="18"/>
      <c r="K1065" s="18"/>
      <c r="L1065" s="12"/>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row>
    <row r="1066" spans="1:33" x14ac:dyDescent="0.2">
      <c r="A1066" s="1279"/>
      <c r="B1066" s="1280"/>
      <c r="C1066" s="18"/>
      <c r="D1066" s="18"/>
      <c r="E1066" s="18"/>
      <c r="F1066" s="18"/>
      <c r="G1066" s="18"/>
      <c r="H1066" s="18"/>
      <c r="I1066" s="18"/>
      <c r="J1066" s="18"/>
      <c r="K1066" s="18"/>
      <c r="L1066" s="12"/>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row>
    <row r="1067" spans="1:33" x14ac:dyDescent="0.2">
      <c r="A1067" s="1279"/>
      <c r="B1067" s="1280"/>
      <c r="C1067" s="18"/>
      <c r="D1067" s="18"/>
      <c r="E1067" s="18"/>
      <c r="F1067" s="18"/>
      <c r="G1067" s="18"/>
      <c r="H1067" s="18"/>
      <c r="I1067" s="18"/>
      <c r="J1067" s="18"/>
      <c r="K1067" s="18"/>
      <c r="L1067" s="12"/>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row>
    <row r="1068" spans="1:33" x14ac:dyDescent="0.2">
      <c r="A1068" s="1279"/>
      <c r="B1068" s="1280"/>
      <c r="C1068" s="18"/>
      <c r="D1068" s="18"/>
      <c r="E1068" s="18"/>
      <c r="F1068" s="18"/>
      <c r="G1068" s="18"/>
      <c r="H1068" s="18"/>
      <c r="I1068" s="18"/>
      <c r="J1068" s="18"/>
      <c r="K1068" s="18"/>
      <c r="L1068" s="12"/>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row>
    <row r="1069" spans="1:33" x14ac:dyDescent="0.2">
      <c r="A1069" s="1279"/>
      <c r="B1069" s="1280"/>
      <c r="C1069" s="18"/>
      <c r="D1069" s="18"/>
      <c r="E1069" s="18"/>
      <c r="F1069" s="18"/>
      <c r="G1069" s="18"/>
      <c r="H1069" s="18"/>
      <c r="I1069" s="18"/>
      <c r="J1069" s="18"/>
      <c r="K1069" s="18"/>
      <c r="L1069" s="12"/>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row>
    <row r="1070" spans="1:33" x14ac:dyDescent="0.2">
      <c r="A1070" s="1279"/>
      <c r="B1070" s="1280"/>
      <c r="C1070" s="18"/>
      <c r="D1070" s="18"/>
      <c r="E1070" s="18"/>
      <c r="F1070" s="18"/>
      <c r="G1070" s="18"/>
      <c r="H1070" s="18"/>
      <c r="I1070" s="18"/>
      <c r="J1070" s="18"/>
      <c r="K1070" s="18"/>
      <c r="L1070" s="12"/>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row>
    <row r="1071" spans="1:33" x14ac:dyDescent="0.2">
      <c r="A1071" s="1279"/>
      <c r="B1071" s="1280"/>
      <c r="C1071" s="18"/>
      <c r="D1071" s="18"/>
      <c r="E1071" s="18"/>
      <c r="F1071" s="18"/>
      <c r="G1071" s="18"/>
      <c r="H1071" s="18"/>
      <c r="I1071" s="18"/>
      <c r="J1071" s="18"/>
      <c r="K1071" s="18"/>
      <c r="L1071" s="12"/>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row>
    <row r="1072" spans="1:33" x14ac:dyDescent="0.2">
      <c r="A1072" s="1279"/>
      <c r="B1072" s="1280"/>
      <c r="C1072" s="18"/>
      <c r="D1072" s="18"/>
      <c r="E1072" s="18"/>
      <c r="F1072" s="18"/>
      <c r="G1072" s="18"/>
      <c r="H1072" s="18"/>
      <c r="I1072" s="18"/>
      <c r="J1072" s="18"/>
      <c r="K1072" s="18"/>
      <c r="L1072" s="12"/>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row>
    <row r="1073" spans="1:33" x14ac:dyDescent="0.2">
      <c r="A1073" s="1279"/>
      <c r="B1073" s="1280"/>
      <c r="C1073" s="18"/>
      <c r="D1073" s="18"/>
      <c r="E1073" s="18"/>
      <c r="F1073" s="18"/>
      <c r="G1073" s="18"/>
      <c r="H1073" s="18"/>
      <c r="I1073" s="18"/>
      <c r="J1073" s="18"/>
      <c r="K1073" s="18"/>
      <c r="L1073" s="12"/>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row>
    <row r="1074" spans="1:33" x14ac:dyDescent="0.2">
      <c r="A1074" s="1279"/>
      <c r="B1074" s="1280"/>
      <c r="C1074" s="18"/>
      <c r="D1074" s="18"/>
      <c r="E1074" s="18"/>
      <c r="F1074" s="18"/>
      <c r="G1074" s="18"/>
      <c r="H1074" s="18"/>
      <c r="I1074" s="18"/>
      <c r="J1074" s="18"/>
      <c r="K1074" s="18"/>
      <c r="L1074" s="12"/>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row>
    <row r="1075" spans="1:33" x14ac:dyDescent="0.2">
      <c r="A1075" s="1279"/>
      <c r="B1075" s="1280"/>
      <c r="C1075" s="18"/>
      <c r="D1075" s="18"/>
      <c r="E1075" s="18"/>
      <c r="F1075" s="18"/>
      <c r="G1075" s="18"/>
      <c r="H1075" s="18"/>
      <c r="I1075" s="18"/>
      <c r="J1075" s="18"/>
      <c r="K1075" s="18"/>
      <c r="L1075" s="12"/>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row>
    <row r="1076" spans="1:33" x14ac:dyDescent="0.2">
      <c r="A1076" s="1279"/>
      <c r="B1076" s="1280"/>
      <c r="C1076" s="18"/>
      <c r="D1076" s="18"/>
      <c r="E1076" s="18"/>
      <c r="F1076" s="18"/>
      <c r="G1076" s="18"/>
      <c r="H1076" s="18"/>
      <c r="I1076" s="18"/>
      <c r="J1076" s="18"/>
      <c r="K1076" s="18"/>
      <c r="L1076" s="12"/>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row>
    <row r="1077" spans="1:33" x14ac:dyDescent="0.2">
      <c r="A1077" s="1279"/>
      <c r="B1077" s="1280"/>
      <c r="C1077" s="18"/>
      <c r="D1077" s="18"/>
      <c r="E1077" s="18"/>
      <c r="F1077" s="18"/>
      <c r="G1077" s="18"/>
      <c r="H1077" s="18"/>
      <c r="I1077" s="18"/>
      <c r="J1077" s="18"/>
      <c r="K1077" s="18"/>
      <c r="L1077" s="12"/>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row>
    <row r="1078" spans="1:33" x14ac:dyDescent="0.2">
      <c r="A1078" s="1279"/>
      <c r="B1078" s="1280"/>
      <c r="C1078" s="18"/>
      <c r="D1078" s="18"/>
      <c r="E1078" s="18"/>
      <c r="F1078" s="18"/>
      <c r="G1078" s="18"/>
      <c r="H1078" s="18"/>
      <c r="I1078" s="18"/>
      <c r="J1078" s="18"/>
      <c r="K1078" s="18"/>
      <c r="L1078" s="12"/>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row>
    <row r="1079" spans="1:33" x14ac:dyDescent="0.2">
      <c r="A1079" s="1279"/>
      <c r="B1079" s="1280"/>
      <c r="C1079" s="18"/>
      <c r="D1079" s="18"/>
      <c r="E1079" s="18"/>
      <c r="F1079" s="18"/>
      <c r="G1079" s="18"/>
      <c r="H1079" s="18"/>
      <c r="I1079" s="18"/>
      <c r="J1079" s="18"/>
      <c r="K1079" s="18"/>
      <c r="L1079" s="12"/>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row>
    <row r="1080" spans="1:33" x14ac:dyDescent="0.2">
      <c r="A1080" s="1279"/>
      <c r="B1080" s="1280"/>
      <c r="C1080" s="18"/>
      <c r="D1080" s="18"/>
      <c r="E1080" s="18"/>
      <c r="F1080" s="18"/>
      <c r="G1080" s="18"/>
      <c r="H1080" s="18"/>
      <c r="I1080" s="18"/>
      <c r="J1080" s="18"/>
      <c r="K1080" s="18"/>
      <c r="L1080" s="12"/>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row>
    <row r="1081" spans="1:33" x14ac:dyDescent="0.2">
      <c r="A1081" s="1279"/>
      <c r="B1081" s="1280"/>
      <c r="C1081" s="18"/>
      <c r="D1081" s="18"/>
      <c r="E1081" s="18"/>
      <c r="F1081" s="18"/>
      <c r="G1081" s="18"/>
      <c r="H1081" s="18"/>
      <c r="I1081" s="18"/>
      <c r="J1081" s="18"/>
      <c r="K1081" s="18"/>
      <c r="L1081" s="12"/>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row>
    <row r="1082" spans="1:33" x14ac:dyDescent="0.2">
      <c r="A1082" s="1279"/>
      <c r="B1082" s="1280"/>
      <c r="C1082" s="18"/>
      <c r="D1082" s="18"/>
      <c r="E1082" s="18"/>
      <c r="F1082" s="18"/>
      <c r="G1082" s="18"/>
      <c r="H1082" s="18"/>
      <c r="I1082" s="18"/>
      <c r="J1082" s="18"/>
      <c r="K1082" s="18"/>
      <c r="L1082" s="12"/>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row>
    <row r="1083" spans="1:33" x14ac:dyDescent="0.2">
      <c r="A1083" s="1279"/>
      <c r="B1083" s="1280"/>
      <c r="C1083" s="18"/>
      <c r="D1083" s="18"/>
      <c r="E1083" s="18"/>
      <c r="F1083" s="18"/>
      <c r="G1083" s="18"/>
      <c r="H1083" s="18"/>
      <c r="I1083" s="18"/>
      <c r="J1083" s="18"/>
      <c r="K1083" s="18"/>
      <c r="L1083" s="12"/>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row>
    <row r="1084" spans="1:33" x14ac:dyDescent="0.2">
      <c r="A1084" s="1279"/>
      <c r="B1084" s="1280"/>
      <c r="C1084" s="18"/>
      <c r="D1084" s="18"/>
      <c r="E1084" s="18"/>
      <c r="F1084" s="18"/>
      <c r="G1084" s="18"/>
      <c r="H1084" s="18"/>
      <c r="I1084" s="18"/>
      <c r="J1084" s="18"/>
      <c r="K1084" s="18"/>
      <c r="L1084" s="12"/>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row>
    <row r="1085" spans="1:33" x14ac:dyDescent="0.2">
      <c r="A1085" s="1279"/>
      <c r="B1085" s="1280"/>
      <c r="C1085" s="18"/>
      <c r="D1085" s="18"/>
      <c r="E1085" s="18"/>
      <c r="F1085" s="18"/>
      <c r="G1085" s="18"/>
      <c r="H1085" s="18"/>
      <c r="I1085" s="18"/>
      <c r="J1085" s="18"/>
      <c r="K1085" s="18"/>
      <c r="L1085" s="12"/>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row>
    <row r="1086" spans="1:33" x14ac:dyDescent="0.2">
      <c r="A1086" s="1279"/>
      <c r="B1086" s="1280"/>
      <c r="C1086" s="18"/>
      <c r="D1086" s="18"/>
      <c r="E1086" s="18"/>
      <c r="F1086" s="18"/>
      <c r="G1086" s="18"/>
      <c r="H1086" s="18"/>
      <c r="I1086" s="18"/>
      <c r="J1086" s="18"/>
      <c r="K1086" s="18"/>
      <c r="L1086" s="12"/>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row>
    <row r="1087" spans="1:33" x14ac:dyDescent="0.2">
      <c r="A1087" s="1279"/>
      <c r="B1087" s="1280"/>
      <c r="C1087" s="18"/>
      <c r="D1087" s="18"/>
      <c r="E1087" s="18"/>
      <c r="F1087" s="18"/>
      <c r="G1087" s="18"/>
      <c r="H1087" s="18"/>
      <c r="I1087" s="18"/>
      <c r="J1087" s="18"/>
      <c r="K1087" s="18"/>
      <c r="L1087" s="12"/>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row>
    <row r="1088" spans="1:33" x14ac:dyDescent="0.2">
      <c r="A1088" s="1279"/>
      <c r="B1088" s="1280"/>
      <c r="C1088" s="18"/>
      <c r="D1088" s="18"/>
      <c r="E1088" s="18"/>
      <c r="F1088" s="18"/>
      <c r="G1088" s="18"/>
      <c r="H1088" s="18"/>
      <c r="I1088" s="18"/>
      <c r="J1088" s="18"/>
      <c r="K1088" s="18"/>
      <c r="L1088" s="12"/>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row>
    <row r="1089" spans="1:33" x14ac:dyDescent="0.2">
      <c r="A1089" s="1279"/>
      <c r="B1089" s="1280"/>
      <c r="C1089" s="18"/>
      <c r="D1089" s="18"/>
      <c r="E1089" s="18"/>
      <c r="F1089" s="18"/>
      <c r="G1089" s="18"/>
      <c r="H1089" s="18"/>
      <c r="I1089" s="18"/>
      <c r="J1089" s="18"/>
      <c r="K1089" s="18"/>
      <c r="L1089" s="12"/>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row>
    <row r="1090" spans="1:33" x14ac:dyDescent="0.2">
      <c r="A1090" s="1279"/>
      <c r="B1090" s="1280"/>
      <c r="C1090" s="18"/>
      <c r="D1090" s="18"/>
      <c r="E1090" s="18"/>
      <c r="F1090" s="18"/>
      <c r="G1090" s="18"/>
      <c r="H1090" s="18"/>
      <c r="I1090" s="18"/>
      <c r="J1090" s="18"/>
      <c r="K1090" s="18"/>
      <c r="L1090" s="12"/>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row>
    <row r="1091" spans="1:33" x14ac:dyDescent="0.2">
      <c r="A1091" s="1279"/>
      <c r="B1091" s="1280"/>
      <c r="C1091" s="18"/>
      <c r="D1091" s="18"/>
      <c r="E1091" s="18"/>
      <c r="F1091" s="18"/>
      <c r="G1091" s="18"/>
      <c r="H1091" s="18"/>
      <c r="I1091" s="18"/>
      <c r="J1091" s="18"/>
      <c r="K1091" s="18"/>
      <c r="L1091" s="12"/>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row>
    <row r="1092" spans="1:33" x14ac:dyDescent="0.2">
      <c r="A1092" s="1279"/>
      <c r="B1092" s="1280"/>
      <c r="C1092" s="18"/>
      <c r="D1092" s="18"/>
      <c r="E1092" s="18"/>
      <c r="F1092" s="18"/>
      <c r="G1092" s="18"/>
      <c r="H1092" s="18"/>
      <c r="I1092" s="18"/>
      <c r="J1092" s="18"/>
      <c r="K1092" s="18"/>
      <c r="L1092" s="12"/>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row>
    <row r="1093" spans="1:33" x14ac:dyDescent="0.2">
      <c r="A1093" s="1279"/>
      <c r="B1093" s="1280"/>
      <c r="C1093" s="18"/>
      <c r="D1093" s="18"/>
      <c r="E1093" s="18"/>
      <c r="F1093" s="18"/>
      <c r="G1093" s="18"/>
      <c r="H1093" s="18"/>
      <c r="I1093" s="18"/>
      <c r="J1093" s="18"/>
      <c r="K1093" s="18"/>
      <c r="L1093" s="12"/>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row>
    <row r="1094" spans="1:33" x14ac:dyDescent="0.2">
      <c r="A1094" s="1279"/>
      <c r="B1094" s="1280"/>
      <c r="C1094" s="18"/>
      <c r="D1094" s="18"/>
      <c r="E1094" s="18"/>
      <c r="F1094" s="18"/>
      <c r="G1094" s="18"/>
      <c r="H1094" s="18"/>
      <c r="I1094" s="18"/>
      <c r="J1094" s="18"/>
      <c r="K1094" s="18"/>
      <c r="L1094" s="12"/>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row>
    <row r="1095" spans="1:33" x14ac:dyDescent="0.2">
      <c r="A1095" s="1279"/>
      <c r="B1095" s="1280"/>
      <c r="C1095" s="18"/>
      <c r="D1095" s="18"/>
      <c r="E1095" s="18"/>
      <c r="F1095" s="18"/>
      <c r="G1095" s="18"/>
      <c r="H1095" s="18"/>
      <c r="I1095" s="18"/>
      <c r="J1095" s="18"/>
      <c r="K1095" s="18"/>
      <c r="L1095" s="12"/>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row>
    <row r="1096" spans="1:33" x14ac:dyDescent="0.2">
      <c r="A1096" s="1279"/>
      <c r="B1096" s="1280"/>
      <c r="C1096" s="18"/>
      <c r="D1096" s="18"/>
      <c r="E1096" s="18"/>
      <c r="F1096" s="18"/>
      <c r="G1096" s="18"/>
      <c r="H1096" s="18"/>
      <c r="I1096" s="18"/>
      <c r="J1096" s="18"/>
      <c r="K1096" s="18"/>
      <c r="L1096" s="12"/>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row>
    <row r="1097" spans="1:33" x14ac:dyDescent="0.2">
      <c r="A1097" s="1279"/>
      <c r="B1097" s="1280"/>
      <c r="C1097" s="18"/>
      <c r="D1097" s="18"/>
      <c r="E1097" s="18"/>
      <c r="F1097" s="18"/>
      <c r="G1097" s="18"/>
      <c r="H1097" s="18"/>
      <c r="I1097" s="18"/>
      <c r="J1097" s="18"/>
      <c r="K1097" s="18"/>
      <c r="L1097" s="12"/>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row>
    <row r="1098" spans="1:33" x14ac:dyDescent="0.2">
      <c r="A1098" s="1279"/>
      <c r="B1098" s="1280"/>
      <c r="C1098" s="18"/>
      <c r="D1098" s="18"/>
      <c r="E1098" s="18"/>
      <c r="F1098" s="18"/>
      <c r="G1098" s="18"/>
      <c r="H1098" s="18"/>
      <c r="I1098" s="18"/>
      <c r="J1098" s="18"/>
      <c r="K1098" s="18"/>
      <c r="L1098" s="12"/>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row>
    <row r="1099" spans="1:33" x14ac:dyDescent="0.2">
      <c r="A1099" s="1279"/>
      <c r="B1099" s="1280"/>
      <c r="C1099" s="18"/>
      <c r="D1099" s="18"/>
      <c r="E1099" s="18"/>
      <c r="F1099" s="18"/>
      <c r="G1099" s="18"/>
      <c r="H1099" s="18"/>
      <c r="I1099" s="18"/>
      <c r="J1099" s="18"/>
      <c r="K1099" s="18"/>
      <c r="L1099" s="12"/>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row>
    <row r="1100" spans="1:33" x14ac:dyDescent="0.2">
      <c r="A1100" s="1279"/>
      <c r="B1100" s="1280"/>
      <c r="C1100" s="18"/>
      <c r="D1100" s="18"/>
      <c r="E1100" s="18"/>
      <c r="F1100" s="18"/>
      <c r="G1100" s="18"/>
      <c r="H1100" s="18"/>
      <c r="I1100" s="18"/>
      <c r="J1100" s="18"/>
      <c r="K1100" s="18"/>
      <c r="L1100" s="12"/>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row>
    <row r="1101" spans="1:33" x14ac:dyDescent="0.2">
      <c r="A1101" s="1279"/>
      <c r="B1101" s="1280"/>
      <c r="C1101" s="18"/>
      <c r="D1101" s="18"/>
      <c r="E1101" s="18"/>
      <c r="F1101" s="18"/>
      <c r="G1101" s="18"/>
      <c r="H1101" s="18"/>
      <c r="I1101" s="18"/>
      <c r="J1101" s="18"/>
      <c r="K1101" s="18"/>
      <c r="L1101" s="12"/>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row>
    <row r="1102" spans="1:33" x14ac:dyDescent="0.2">
      <c r="A1102" s="1279"/>
      <c r="B1102" s="1280"/>
      <c r="C1102" s="18"/>
      <c r="D1102" s="18"/>
      <c r="E1102" s="18"/>
      <c r="F1102" s="18"/>
      <c r="G1102" s="18"/>
      <c r="H1102" s="18"/>
      <c r="I1102" s="18"/>
      <c r="J1102" s="18"/>
      <c r="K1102" s="18"/>
      <c r="L1102" s="12"/>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row>
    <row r="1103" spans="1:33" x14ac:dyDescent="0.2">
      <c r="A1103" s="1279"/>
      <c r="B1103" s="1280"/>
      <c r="C1103" s="18"/>
      <c r="D1103" s="18"/>
      <c r="E1103" s="18"/>
      <c r="F1103" s="18"/>
      <c r="G1103" s="18"/>
      <c r="H1103" s="18"/>
      <c r="I1103" s="18"/>
      <c r="J1103" s="18"/>
      <c r="K1103" s="18"/>
      <c r="L1103" s="12"/>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row>
    <row r="1104" spans="1:33" x14ac:dyDescent="0.2">
      <c r="A1104" s="1279"/>
      <c r="B1104" s="1280"/>
      <c r="C1104" s="18"/>
      <c r="D1104" s="18"/>
      <c r="E1104" s="18"/>
      <c r="F1104" s="18"/>
      <c r="G1104" s="18"/>
      <c r="H1104" s="18"/>
      <c r="I1104" s="18"/>
      <c r="J1104" s="18"/>
      <c r="K1104" s="18"/>
      <c r="L1104" s="12"/>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row>
    <row r="1105" spans="1:33" x14ac:dyDescent="0.2">
      <c r="A1105" s="1279"/>
      <c r="B1105" s="1280"/>
      <c r="C1105" s="18"/>
      <c r="D1105" s="18"/>
      <c r="E1105" s="18"/>
      <c r="F1105" s="18"/>
      <c r="G1105" s="18"/>
      <c r="H1105" s="18"/>
      <c r="I1105" s="18"/>
      <c r="J1105" s="18"/>
      <c r="K1105" s="18"/>
      <c r="L1105" s="12"/>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row>
    <row r="1106" spans="1:33" x14ac:dyDescent="0.2">
      <c r="A1106" s="1279"/>
      <c r="B1106" s="1280"/>
      <c r="C1106" s="18"/>
      <c r="D1106" s="18"/>
      <c r="E1106" s="18"/>
      <c r="F1106" s="18"/>
      <c r="G1106" s="18"/>
      <c r="H1106" s="18"/>
      <c r="I1106" s="18"/>
      <c r="J1106" s="18"/>
      <c r="K1106" s="18"/>
      <c r="L1106" s="12"/>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row>
    <row r="1107" spans="1:33" x14ac:dyDescent="0.2">
      <c r="A1107" s="1279"/>
      <c r="B1107" s="1280"/>
      <c r="C1107" s="18"/>
      <c r="D1107" s="18"/>
      <c r="E1107" s="18"/>
      <c r="F1107" s="18"/>
      <c r="G1107" s="18"/>
      <c r="H1107" s="18"/>
      <c r="I1107" s="18"/>
      <c r="J1107" s="18"/>
      <c r="K1107" s="18"/>
      <c r="L1107" s="12"/>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row>
    <row r="1108" spans="1:33" x14ac:dyDescent="0.2">
      <c r="A1108" s="1279"/>
      <c r="B1108" s="1280"/>
      <c r="C1108" s="18"/>
      <c r="D1108" s="18"/>
      <c r="E1108" s="18"/>
      <c r="F1108" s="18"/>
      <c r="G1108" s="18"/>
      <c r="H1108" s="18"/>
      <c r="I1108" s="18"/>
      <c r="J1108" s="18"/>
      <c r="K1108" s="18"/>
      <c r="L1108" s="12"/>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row>
    <row r="1109" spans="1:33" x14ac:dyDescent="0.2">
      <c r="A1109" s="1279"/>
      <c r="B1109" s="1280"/>
      <c r="C1109" s="18"/>
      <c r="D1109" s="18"/>
      <c r="E1109" s="18"/>
      <c r="F1109" s="18"/>
      <c r="G1109" s="18"/>
      <c r="H1109" s="18"/>
      <c r="I1109" s="18"/>
      <c r="J1109" s="18"/>
      <c r="K1109" s="18"/>
      <c r="L1109" s="12"/>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row>
    <row r="1110" spans="1:33" x14ac:dyDescent="0.2">
      <c r="A1110" s="1279"/>
      <c r="B1110" s="1280"/>
      <c r="C1110" s="18"/>
      <c r="D1110" s="18"/>
      <c r="E1110" s="18"/>
      <c r="F1110" s="18"/>
      <c r="G1110" s="18"/>
      <c r="H1110" s="18"/>
      <c r="I1110" s="18"/>
      <c r="J1110" s="18"/>
      <c r="K1110" s="18"/>
      <c r="L1110" s="12"/>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row>
    <row r="1111" spans="1:33" x14ac:dyDescent="0.2">
      <c r="A1111" s="1279"/>
      <c r="B1111" s="1280"/>
      <c r="C1111" s="18"/>
      <c r="D1111" s="18"/>
      <c r="E1111" s="18"/>
      <c r="F1111" s="18"/>
      <c r="G1111" s="18"/>
      <c r="H1111" s="18"/>
      <c r="I1111" s="18"/>
      <c r="J1111" s="18"/>
      <c r="K1111" s="18"/>
      <c r="L1111" s="12"/>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row>
    <row r="1112" spans="1:33" x14ac:dyDescent="0.2">
      <c r="A1112" s="1279"/>
      <c r="B1112" s="1280"/>
      <c r="C1112" s="18"/>
      <c r="D1112" s="18"/>
      <c r="E1112" s="18"/>
      <c r="F1112" s="18"/>
      <c r="G1112" s="18"/>
      <c r="H1112" s="18"/>
      <c r="I1112" s="18"/>
      <c r="J1112" s="18"/>
      <c r="K1112" s="18"/>
      <c r="L1112" s="12"/>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row>
    <row r="1113" spans="1:33" x14ac:dyDescent="0.2">
      <c r="A1113" s="1279"/>
      <c r="B1113" s="1280"/>
      <c r="C1113" s="18"/>
      <c r="D1113" s="18"/>
      <c r="E1113" s="18"/>
      <c r="F1113" s="18"/>
      <c r="G1113" s="18"/>
      <c r="H1113" s="18"/>
      <c r="I1113" s="18"/>
      <c r="J1113" s="18"/>
      <c r="K1113" s="18"/>
      <c r="L1113" s="12"/>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row>
    <row r="1114" spans="1:33" x14ac:dyDescent="0.2">
      <c r="A1114" s="1279"/>
      <c r="B1114" s="1280"/>
      <c r="C1114" s="18"/>
      <c r="D1114" s="18"/>
      <c r="E1114" s="18"/>
      <c r="F1114" s="18"/>
      <c r="G1114" s="18"/>
      <c r="H1114" s="18"/>
      <c r="I1114" s="18"/>
      <c r="J1114" s="18"/>
      <c r="K1114" s="18"/>
      <c r="L1114" s="12"/>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row>
    <row r="1115" spans="1:33" x14ac:dyDescent="0.2">
      <c r="A1115" s="1279"/>
      <c r="B1115" s="1280"/>
      <c r="C1115" s="18"/>
      <c r="D1115" s="18"/>
      <c r="E1115" s="18"/>
      <c r="F1115" s="18"/>
      <c r="G1115" s="18"/>
      <c r="H1115" s="18"/>
      <c r="I1115" s="18"/>
      <c r="J1115" s="18"/>
      <c r="K1115" s="18"/>
      <c r="L1115" s="12"/>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row>
    <row r="1116" spans="1:33" x14ac:dyDescent="0.2">
      <c r="A1116" s="1279"/>
      <c r="B1116" s="1280"/>
      <c r="C1116" s="18"/>
      <c r="D1116" s="18"/>
      <c r="E1116" s="18"/>
      <c r="F1116" s="18"/>
      <c r="G1116" s="18"/>
      <c r="H1116" s="18"/>
      <c r="I1116" s="18"/>
      <c r="J1116" s="18"/>
      <c r="K1116" s="18"/>
      <c r="L1116" s="12"/>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row>
    <row r="1117" spans="1:33" x14ac:dyDescent="0.2">
      <c r="A1117" s="1279"/>
      <c r="B1117" s="1280"/>
      <c r="C1117" s="18"/>
      <c r="D1117" s="18"/>
      <c r="E1117" s="18"/>
      <c r="F1117" s="18"/>
      <c r="G1117" s="18"/>
      <c r="H1117" s="18"/>
      <c r="I1117" s="18"/>
      <c r="J1117" s="18"/>
      <c r="K1117" s="18"/>
      <c r="L1117" s="12"/>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row>
    <row r="1118" spans="1:33" x14ac:dyDescent="0.2">
      <c r="A1118" s="1279"/>
      <c r="B1118" s="1280"/>
      <c r="C1118" s="18"/>
      <c r="D1118" s="18"/>
      <c r="E1118" s="18"/>
      <c r="F1118" s="18"/>
      <c r="G1118" s="18"/>
      <c r="H1118" s="18"/>
      <c r="I1118" s="18"/>
      <c r="J1118" s="18"/>
      <c r="K1118" s="18"/>
      <c r="L1118" s="12"/>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row>
    <row r="1119" spans="1:33" x14ac:dyDescent="0.2">
      <c r="A1119" s="1279"/>
      <c r="B1119" s="1280"/>
      <c r="C1119" s="18"/>
      <c r="D1119" s="18"/>
      <c r="E1119" s="18"/>
      <c r="F1119" s="18"/>
      <c r="G1119" s="18"/>
      <c r="H1119" s="18"/>
      <c r="I1119" s="18"/>
      <c r="J1119" s="18"/>
      <c r="K1119" s="18"/>
      <c r="L1119" s="12"/>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row>
    <row r="1120" spans="1:33" x14ac:dyDescent="0.2">
      <c r="A1120" s="1279"/>
      <c r="B1120" s="1280"/>
      <c r="C1120" s="18"/>
      <c r="D1120" s="18"/>
      <c r="E1120" s="18"/>
      <c r="F1120" s="18"/>
      <c r="G1120" s="18"/>
      <c r="H1120" s="18"/>
      <c r="I1120" s="18"/>
      <c r="J1120" s="18"/>
      <c r="K1120" s="18"/>
      <c r="L1120" s="12"/>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row>
    <row r="1121" spans="1:33" x14ac:dyDescent="0.2">
      <c r="A1121" s="1279"/>
      <c r="B1121" s="1280"/>
      <c r="C1121" s="18"/>
      <c r="D1121" s="18"/>
      <c r="E1121" s="18"/>
      <c r="F1121" s="18"/>
      <c r="G1121" s="18"/>
      <c r="H1121" s="18"/>
      <c r="I1121" s="18"/>
      <c r="J1121" s="18"/>
      <c r="K1121" s="18"/>
      <c r="L1121" s="12"/>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row>
    <row r="1122" spans="1:33" x14ac:dyDescent="0.2">
      <c r="A1122" s="1279"/>
      <c r="B1122" s="1280"/>
      <c r="C1122" s="18"/>
      <c r="D1122" s="18"/>
      <c r="E1122" s="18"/>
      <c r="F1122" s="18"/>
      <c r="G1122" s="18"/>
      <c r="H1122" s="18"/>
      <c r="I1122" s="18"/>
      <c r="J1122" s="18"/>
      <c r="K1122" s="18"/>
      <c r="L1122" s="12"/>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row>
    <row r="1123" spans="1:33" x14ac:dyDescent="0.2">
      <c r="A1123" s="1279"/>
      <c r="B1123" s="1280"/>
      <c r="C1123" s="18"/>
      <c r="D1123" s="18"/>
      <c r="E1123" s="18"/>
      <c r="F1123" s="18"/>
      <c r="G1123" s="18"/>
      <c r="H1123" s="18"/>
      <c r="I1123" s="18"/>
      <c r="J1123" s="18"/>
      <c r="K1123" s="18"/>
      <c r="L1123" s="12"/>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row>
    <row r="1124" spans="1:33" x14ac:dyDescent="0.2">
      <c r="A1124" s="1279"/>
      <c r="B1124" s="1280"/>
      <c r="C1124" s="18"/>
      <c r="D1124" s="18"/>
      <c r="E1124" s="18"/>
      <c r="F1124" s="18"/>
      <c r="G1124" s="18"/>
      <c r="H1124" s="18"/>
      <c r="I1124" s="18"/>
      <c r="J1124" s="18"/>
      <c r="K1124" s="18"/>
      <c r="L1124" s="12"/>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row>
    <row r="1125" spans="1:33" x14ac:dyDescent="0.2">
      <c r="A1125" s="1279"/>
      <c r="B1125" s="1280"/>
      <c r="C1125" s="18"/>
      <c r="D1125" s="18"/>
      <c r="E1125" s="18"/>
      <c r="F1125" s="18"/>
      <c r="G1125" s="18"/>
      <c r="H1125" s="18"/>
      <c r="I1125" s="18"/>
      <c r="J1125" s="18"/>
      <c r="K1125" s="18"/>
      <c r="L1125" s="12"/>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row>
    <row r="1126" spans="1:33" x14ac:dyDescent="0.2">
      <c r="A1126" s="1279"/>
      <c r="B1126" s="1280"/>
      <c r="C1126" s="18"/>
      <c r="D1126" s="18"/>
      <c r="E1126" s="18"/>
      <c r="F1126" s="18"/>
      <c r="G1126" s="18"/>
      <c r="H1126" s="18"/>
      <c r="I1126" s="18"/>
      <c r="J1126" s="18"/>
      <c r="K1126" s="18"/>
      <c r="L1126" s="12"/>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row>
    <row r="1127" spans="1:33" x14ac:dyDescent="0.2">
      <c r="A1127" s="1279"/>
      <c r="B1127" s="1280"/>
      <c r="C1127" s="18"/>
      <c r="D1127" s="18"/>
      <c r="E1127" s="18"/>
      <c r="F1127" s="18"/>
      <c r="G1127" s="18"/>
      <c r="H1127" s="18"/>
      <c r="I1127" s="18"/>
      <c r="J1127" s="18"/>
      <c r="K1127" s="18"/>
      <c r="L1127" s="12"/>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row>
    <row r="1128" spans="1:33" x14ac:dyDescent="0.2">
      <c r="A1128" s="1279"/>
      <c r="B1128" s="1280"/>
      <c r="C1128" s="18"/>
      <c r="D1128" s="18"/>
      <c r="E1128" s="18"/>
      <c r="F1128" s="18"/>
      <c r="G1128" s="18"/>
      <c r="H1128" s="18"/>
      <c r="I1128" s="18"/>
      <c r="J1128" s="18"/>
      <c r="K1128" s="18"/>
      <c r="L1128" s="12"/>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row>
    <row r="1129" spans="1:33" x14ac:dyDescent="0.2">
      <c r="A1129" s="1279"/>
      <c r="B1129" s="1280"/>
      <c r="C1129" s="18"/>
      <c r="D1129" s="18"/>
      <c r="E1129" s="18"/>
      <c r="F1129" s="18"/>
      <c r="G1129" s="18"/>
      <c r="H1129" s="18"/>
      <c r="I1129" s="18"/>
      <c r="J1129" s="18"/>
      <c r="K1129" s="18"/>
      <c r="L1129" s="12"/>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row>
    <row r="1130" spans="1:33" x14ac:dyDescent="0.2">
      <c r="A1130" s="1279"/>
      <c r="B1130" s="1280"/>
      <c r="C1130" s="18"/>
      <c r="D1130" s="18"/>
      <c r="E1130" s="18"/>
      <c r="F1130" s="18"/>
      <c r="G1130" s="18"/>
      <c r="H1130" s="18"/>
      <c r="I1130" s="18"/>
      <c r="J1130" s="18"/>
      <c r="K1130" s="18"/>
      <c r="L1130" s="12"/>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row>
    <row r="1131" spans="1:33" x14ac:dyDescent="0.2">
      <c r="A1131" s="1279"/>
      <c r="B1131" s="1280"/>
      <c r="C1131" s="18"/>
      <c r="D1131" s="18"/>
      <c r="E1131" s="18"/>
      <c r="F1131" s="18"/>
      <c r="G1131" s="18"/>
      <c r="H1131" s="18"/>
      <c r="I1131" s="18"/>
      <c r="J1131" s="18"/>
      <c r="K1131" s="18"/>
      <c r="L1131" s="12"/>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row>
    <row r="1132" spans="1:33" x14ac:dyDescent="0.2">
      <c r="A1132" s="1279"/>
      <c r="B1132" s="1280"/>
      <c r="C1132" s="18"/>
      <c r="D1132" s="18"/>
      <c r="E1132" s="18"/>
      <c r="F1132" s="18"/>
      <c r="G1132" s="18"/>
      <c r="H1132" s="18"/>
      <c r="I1132" s="18"/>
      <c r="J1132" s="18"/>
      <c r="K1132" s="18"/>
      <c r="L1132" s="12"/>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row>
    <row r="1133" spans="1:33" x14ac:dyDescent="0.2">
      <c r="A1133" s="1279"/>
      <c r="B1133" s="1280"/>
      <c r="C1133" s="18"/>
      <c r="D1133" s="18"/>
      <c r="E1133" s="18"/>
      <c r="F1133" s="18"/>
      <c r="G1133" s="18"/>
      <c r="H1133" s="18"/>
      <c r="I1133" s="18"/>
      <c r="J1133" s="18"/>
      <c r="K1133" s="18"/>
      <c r="L1133" s="12"/>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row>
    <row r="1134" spans="1:33" x14ac:dyDescent="0.2">
      <c r="A1134" s="1279"/>
      <c r="B1134" s="1280"/>
      <c r="C1134" s="18"/>
      <c r="D1134" s="18"/>
      <c r="E1134" s="18"/>
      <c r="F1134" s="18"/>
      <c r="G1134" s="18"/>
      <c r="H1134" s="18"/>
      <c r="I1134" s="18"/>
      <c r="J1134" s="18"/>
      <c r="K1134" s="18"/>
      <c r="L1134" s="12"/>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row>
    <row r="1135" spans="1:33" x14ac:dyDescent="0.2">
      <c r="A1135" s="1279"/>
      <c r="B1135" s="1280"/>
      <c r="C1135" s="18"/>
      <c r="D1135" s="18"/>
      <c r="E1135" s="18"/>
      <c r="F1135" s="18"/>
      <c r="G1135" s="18"/>
      <c r="H1135" s="18"/>
      <c r="I1135" s="18"/>
      <c r="J1135" s="18"/>
      <c r="K1135" s="18"/>
      <c r="L1135" s="12"/>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row>
    <row r="1136" spans="1:33" x14ac:dyDescent="0.2">
      <c r="A1136" s="1279"/>
      <c r="B1136" s="1280"/>
      <c r="C1136" s="18"/>
      <c r="D1136" s="18"/>
      <c r="E1136" s="18"/>
      <c r="F1136" s="18"/>
      <c r="G1136" s="18"/>
      <c r="H1136" s="18"/>
      <c r="I1136" s="18"/>
      <c r="J1136" s="18"/>
      <c r="K1136" s="18"/>
      <c r="L1136" s="12"/>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row>
    <row r="1137" spans="1:33" x14ac:dyDescent="0.2">
      <c r="A1137" s="1279"/>
      <c r="B1137" s="1280"/>
      <c r="C1137" s="18"/>
      <c r="D1137" s="18"/>
      <c r="E1137" s="18"/>
      <c r="F1137" s="18"/>
      <c r="G1137" s="18"/>
      <c r="H1137" s="18"/>
      <c r="I1137" s="18"/>
      <c r="J1137" s="18"/>
      <c r="K1137" s="18"/>
      <c r="L1137" s="12"/>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row>
    <row r="1138" spans="1:33" x14ac:dyDescent="0.2">
      <c r="A1138" s="1279"/>
      <c r="B1138" s="1280"/>
      <c r="C1138" s="18"/>
      <c r="D1138" s="18"/>
      <c r="E1138" s="18"/>
      <c r="F1138" s="18"/>
      <c r="G1138" s="18"/>
      <c r="H1138" s="18"/>
      <c r="I1138" s="18"/>
      <c r="J1138" s="18"/>
      <c r="K1138" s="18"/>
      <c r="L1138" s="12"/>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row>
    <row r="1139" spans="1:33" x14ac:dyDescent="0.2">
      <c r="A1139" s="1279"/>
      <c r="B1139" s="1280"/>
      <c r="C1139" s="18"/>
      <c r="D1139" s="18"/>
      <c r="E1139" s="18"/>
      <c r="F1139" s="18"/>
      <c r="G1139" s="18"/>
      <c r="H1139" s="18"/>
      <c r="I1139" s="18"/>
      <c r="J1139" s="18"/>
      <c r="K1139" s="18"/>
      <c r="L1139" s="12"/>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row>
    <row r="1140" spans="1:33" x14ac:dyDescent="0.2">
      <c r="A1140" s="1279"/>
      <c r="B1140" s="1280"/>
      <c r="C1140" s="18"/>
      <c r="D1140" s="18"/>
      <c r="E1140" s="18"/>
      <c r="F1140" s="18"/>
      <c r="G1140" s="18"/>
      <c r="H1140" s="18"/>
      <c r="I1140" s="18"/>
      <c r="J1140" s="18"/>
      <c r="K1140" s="18"/>
      <c r="L1140" s="12"/>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row>
    <row r="1141" spans="1:33" x14ac:dyDescent="0.2">
      <c r="A1141" s="1279"/>
      <c r="B1141" s="1280"/>
      <c r="C1141" s="18"/>
      <c r="D1141" s="18"/>
      <c r="E1141" s="18"/>
      <c r="F1141" s="18"/>
      <c r="G1141" s="18"/>
      <c r="H1141" s="18"/>
      <c r="I1141" s="18"/>
      <c r="J1141" s="18"/>
      <c r="K1141" s="18"/>
      <c r="L1141" s="12"/>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row>
    <row r="1142" spans="1:33" x14ac:dyDescent="0.2">
      <c r="A1142" s="1279"/>
      <c r="B1142" s="1280"/>
      <c r="C1142" s="18"/>
      <c r="D1142" s="18"/>
      <c r="E1142" s="18"/>
      <c r="F1142" s="18"/>
      <c r="G1142" s="18"/>
      <c r="H1142" s="18"/>
      <c r="I1142" s="18"/>
      <c r="J1142" s="18"/>
      <c r="K1142" s="18"/>
      <c r="L1142" s="12"/>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row>
    <row r="1143" spans="1:33" x14ac:dyDescent="0.2">
      <c r="A1143" s="1279"/>
      <c r="B1143" s="1280"/>
      <c r="C1143" s="18"/>
      <c r="D1143" s="18"/>
      <c r="E1143" s="18"/>
      <c r="F1143" s="18"/>
      <c r="G1143" s="18"/>
      <c r="H1143" s="18"/>
      <c r="I1143" s="18"/>
      <c r="J1143" s="18"/>
      <c r="K1143" s="18"/>
      <c r="L1143" s="12"/>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row>
    <row r="1144" spans="1:33" x14ac:dyDescent="0.2">
      <c r="A1144" s="1279"/>
      <c r="B1144" s="1280"/>
      <c r="C1144" s="18"/>
      <c r="D1144" s="18"/>
      <c r="E1144" s="18"/>
      <c r="F1144" s="18"/>
      <c r="G1144" s="18"/>
      <c r="H1144" s="18"/>
      <c r="I1144" s="18"/>
      <c r="J1144" s="18"/>
      <c r="K1144" s="18"/>
      <c r="L1144" s="12"/>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row>
    <row r="1145" spans="1:33" x14ac:dyDescent="0.2">
      <c r="A1145" s="1279"/>
      <c r="B1145" s="1280"/>
      <c r="C1145" s="18"/>
      <c r="D1145" s="18"/>
      <c r="E1145" s="18"/>
      <c r="F1145" s="18"/>
      <c r="G1145" s="18"/>
      <c r="H1145" s="18"/>
      <c r="I1145" s="18"/>
      <c r="J1145" s="18"/>
      <c r="K1145" s="18"/>
      <c r="L1145" s="12"/>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row>
    <row r="1146" spans="1:33" x14ac:dyDescent="0.2">
      <c r="A1146" s="1279"/>
      <c r="B1146" s="1280"/>
      <c r="C1146" s="18"/>
      <c r="D1146" s="18"/>
      <c r="E1146" s="18"/>
      <c r="F1146" s="18"/>
      <c r="G1146" s="18"/>
      <c r="H1146" s="18"/>
      <c r="I1146" s="18"/>
      <c r="J1146" s="18"/>
      <c r="K1146" s="18"/>
      <c r="L1146" s="12"/>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row>
    <row r="1147" spans="1:33" x14ac:dyDescent="0.2">
      <c r="A1147" s="1279"/>
      <c r="B1147" s="1280"/>
      <c r="C1147" s="18"/>
      <c r="D1147" s="18"/>
      <c r="E1147" s="18"/>
      <c r="F1147" s="18"/>
      <c r="G1147" s="18"/>
      <c r="H1147" s="18"/>
      <c r="I1147" s="18"/>
      <c r="J1147" s="18"/>
      <c r="K1147" s="18"/>
      <c r="L1147" s="12"/>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row>
    <row r="1148" spans="1:33" x14ac:dyDescent="0.2">
      <c r="A1148" s="1279"/>
      <c r="B1148" s="1280"/>
      <c r="C1148" s="18"/>
      <c r="D1148" s="18"/>
      <c r="E1148" s="18"/>
      <c r="F1148" s="18"/>
      <c r="G1148" s="18"/>
      <c r="H1148" s="18"/>
      <c r="I1148" s="18"/>
      <c r="J1148" s="18"/>
      <c r="K1148" s="18"/>
      <c r="L1148" s="12"/>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row>
    <row r="1149" spans="1:33" x14ac:dyDescent="0.2">
      <c r="A1149" s="1279"/>
      <c r="B1149" s="1280"/>
      <c r="C1149" s="18"/>
      <c r="D1149" s="18"/>
      <c r="E1149" s="18"/>
      <c r="F1149" s="18"/>
      <c r="G1149" s="18"/>
      <c r="H1149" s="18"/>
      <c r="I1149" s="18"/>
      <c r="J1149" s="18"/>
      <c r="K1149" s="18"/>
      <c r="L1149" s="12"/>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row>
    <row r="1150" spans="1:33" x14ac:dyDescent="0.2">
      <c r="A1150" s="1279"/>
      <c r="B1150" s="1280"/>
      <c r="C1150" s="18"/>
      <c r="D1150" s="18"/>
      <c r="E1150" s="18"/>
      <c r="F1150" s="18"/>
      <c r="G1150" s="18"/>
      <c r="H1150" s="18"/>
      <c r="I1150" s="18"/>
      <c r="J1150" s="18"/>
      <c r="K1150" s="18"/>
      <c r="L1150" s="12"/>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row>
    <row r="1151" spans="1:33" x14ac:dyDescent="0.2">
      <c r="A1151" s="1279"/>
      <c r="B1151" s="1280"/>
      <c r="C1151" s="18"/>
      <c r="D1151" s="18"/>
      <c r="E1151" s="18"/>
      <c r="F1151" s="18"/>
      <c r="G1151" s="18"/>
      <c r="H1151" s="18"/>
      <c r="I1151" s="18"/>
      <c r="J1151" s="18"/>
      <c r="K1151" s="18"/>
      <c r="L1151" s="12"/>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row>
    <row r="1152" spans="1:33" x14ac:dyDescent="0.2">
      <c r="A1152" s="1279"/>
      <c r="B1152" s="1280"/>
      <c r="C1152" s="18"/>
      <c r="D1152" s="18"/>
      <c r="E1152" s="18"/>
      <c r="F1152" s="18"/>
      <c r="G1152" s="18"/>
      <c r="H1152" s="18"/>
      <c r="I1152" s="18"/>
      <c r="J1152" s="18"/>
      <c r="K1152" s="18"/>
      <c r="L1152" s="12"/>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row>
    <row r="1153" spans="1:33" x14ac:dyDescent="0.2">
      <c r="A1153" s="1279"/>
      <c r="B1153" s="1280"/>
      <c r="C1153" s="18"/>
      <c r="D1153" s="18"/>
      <c r="E1153" s="18"/>
      <c r="F1153" s="18"/>
      <c r="G1153" s="18"/>
      <c r="H1153" s="18"/>
      <c r="I1153" s="18"/>
      <c r="J1153" s="18"/>
      <c r="K1153" s="18"/>
      <c r="L1153" s="12"/>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row>
    <row r="1154" spans="1:33" x14ac:dyDescent="0.2">
      <c r="A1154" s="1279"/>
      <c r="B1154" s="1280"/>
      <c r="C1154" s="18"/>
      <c r="D1154" s="18"/>
      <c r="E1154" s="18"/>
      <c r="F1154" s="18"/>
      <c r="G1154" s="18"/>
      <c r="H1154" s="18"/>
      <c r="I1154" s="18"/>
      <c r="J1154" s="18"/>
      <c r="K1154" s="18"/>
      <c r="L1154" s="12"/>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row>
    <row r="1155" spans="1:33" x14ac:dyDescent="0.2">
      <c r="A1155" s="1279"/>
      <c r="B1155" s="1280"/>
      <c r="C1155" s="18"/>
      <c r="D1155" s="18"/>
      <c r="E1155" s="18"/>
      <c r="F1155" s="18"/>
      <c r="G1155" s="18"/>
      <c r="H1155" s="18"/>
      <c r="I1155" s="18"/>
      <c r="J1155" s="18"/>
      <c r="K1155" s="18"/>
      <c r="L1155" s="12"/>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row>
    <row r="1156" spans="1:33" x14ac:dyDescent="0.2">
      <c r="A1156" s="1279"/>
      <c r="B1156" s="1280"/>
      <c r="C1156" s="18"/>
      <c r="D1156" s="18"/>
      <c r="E1156" s="18"/>
      <c r="F1156" s="18"/>
      <c r="G1156" s="18"/>
      <c r="H1156" s="18"/>
      <c r="I1156" s="18"/>
      <c r="J1156" s="18"/>
      <c r="K1156" s="18"/>
      <c r="L1156" s="12"/>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row>
    <row r="1157" spans="1:33" x14ac:dyDescent="0.2">
      <c r="A1157" s="1279"/>
      <c r="B1157" s="1280"/>
      <c r="C1157" s="18"/>
      <c r="D1157" s="18"/>
      <c r="E1157" s="18"/>
      <c r="F1157" s="18"/>
      <c r="G1157" s="18"/>
      <c r="H1157" s="18"/>
      <c r="I1157" s="18"/>
      <c r="J1157" s="18"/>
      <c r="K1157" s="18"/>
      <c r="L1157" s="12"/>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row>
    <row r="1158" spans="1:33" x14ac:dyDescent="0.2">
      <c r="A1158" s="1279"/>
      <c r="B1158" s="1280"/>
      <c r="C1158" s="18"/>
      <c r="D1158" s="18"/>
      <c r="E1158" s="18"/>
      <c r="F1158" s="18"/>
      <c r="G1158" s="18"/>
      <c r="H1158" s="18"/>
      <c r="I1158" s="18"/>
      <c r="J1158" s="18"/>
      <c r="K1158" s="18"/>
      <c r="L1158" s="12"/>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row>
    <row r="1159" spans="1:33" x14ac:dyDescent="0.2">
      <c r="A1159" s="1279"/>
      <c r="B1159" s="1280"/>
      <c r="C1159" s="18"/>
      <c r="D1159" s="18"/>
      <c r="E1159" s="18"/>
      <c r="F1159" s="18"/>
      <c r="G1159" s="18"/>
      <c r="H1159" s="18"/>
      <c r="I1159" s="18"/>
      <c r="J1159" s="18"/>
      <c r="K1159" s="18"/>
      <c r="L1159" s="12"/>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row>
    <row r="1160" spans="1:33" x14ac:dyDescent="0.2">
      <c r="A1160" s="1279"/>
      <c r="B1160" s="1280"/>
      <c r="C1160" s="18"/>
      <c r="D1160" s="18"/>
      <c r="E1160" s="18"/>
      <c r="F1160" s="18"/>
      <c r="G1160" s="18"/>
      <c r="H1160" s="18"/>
      <c r="I1160" s="18"/>
      <c r="J1160" s="18"/>
      <c r="K1160" s="18"/>
      <c r="L1160" s="12"/>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row>
    <row r="1161" spans="1:33" x14ac:dyDescent="0.2">
      <c r="A1161" s="1279"/>
      <c r="B1161" s="1280"/>
      <c r="C1161" s="18"/>
      <c r="D1161" s="18"/>
      <c r="E1161" s="18"/>
      <c r="F1161" s="18"/>
      <c r="G1161" s="18"/>
      <c r="H1161" s="18"/>
      <c r="I1161" s="18"/>
      <c r="J1161" s="18"/>
      <c r="K1161" s="18"/>
      <c r="L1161" s="12"/>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row>
    <row r="1162" spans="1:33" x14ac:dyDescent="0.2">
      <c r="A1162" s="1279"/>
      <c r="B1162" s="1280"/>
      <c r="C1162" s="18"/>
      <c r="D1162" s="18"/>
      <c r="E1162" s="18"/>
      <c r="F1162" s="18"/>
      <c r="G1162" s="18"/>
      <c r="H1162" s="18"/>
      <c r="I1162" s="18"/>
      <c r="J1162" s="18"/>
      <c r="K1162" s="18"/>
      <c r="L1162" s="12"/>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row>
  </sheetData>
  <sheetProtection sort="0" autoFilter="0" pivotTables="0"/>
  <protectedRanges>
    <protectedRange sqref="D23 D25 D28 D30 D32 D34 D36 D21 D38 D47 D41 D43 D19" name="SetupTab"/>
  </protectedRanges>
  <mergeCells count="11">
    <mergeCell ref="A45:A61"/>
    <mergeCell ref="A25:A26"/>
    <mergeCell ref="A28:A32"/>
    <mergeCell ref="A7:A15"/>
    <mergeCell ref="A19:A21"/>
    <mergeCell ref="B2:L2"/>
    <mergeCell ref="M2:O2"/>
    <mergeCell ref="B3:L4"/>
    <mergeCell ref="M3:O4"/>
    <mergeCell ref="A34:A43"/>
    <mergeCell ref="A2:A4"/>
  </mergeCells>
  <phoneticPr fontId="2" type="noConversion"/>
  <dataValidations count="1">
    <dataValidation type="list" allowBlank="1" showInputMessage="1" showErrorMessage="1" sqref="Q50 D43">
      <formula1>"m2,ft2"</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eSystems " id="{50C15CBB-38B6-43E4-8461-A547FE30FD69}">
            <xm:f>NOT(ISERROR(SEARCH("eSystems ",Inputs_Salaries!A5)))</xm:f>
            <x14:dxf>
              <font>
                <b/>
                <i val="0"/>
                <color rgb="FFC00000"/>
              </font>
            </x14:dxf>
          </x14:cfRule>
          <x14:cfRule type="containsText" priority="2" operator="containsText" text="hSystems " id="{B00E38B8-79D2-4A0B-AD0D-A8C5BB943586}">
            <xm:f>NOT(ISERROR(SEARCH("hSystems ",Inputs_Salaries!A5)))</xm:f>
            <x14:dxf>
              <font>
                <b/>
                <i val="0"/>
                <color rgb="FF0070C0"/>
              </font>
            </x14:dxf>
          </x14:cfRule>
          <xm:sqref>A1:XFD5</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59999389629810485"/>
    <pageSetUpPr fitToPage="1"/>
  </sheetPr>
  <dimension ref="A1:AG1163"/>
  <sheetViews>
    <sheetView zoomScaleNormal="100" workbookViewId="0"/>
  </sheetViews>
  <sheetFormatPr defaultColWidth="8.85546875" defaultRowHeight="12.75" x14ac:dyDescent="0.2"/>
  <cols>
    <col min="1" max="1" width="80.7109375" customWidth="1"/>
    <col min="2" max="2" width="5.7109375" customWidth="1"/>
    <col min="3" max="3" width="50.7109375" style="1" customWidth="1"/>
    <col min="4" max="4" width="27.42578125" style="2" customWidth="1"/>
    <col min="5" max="6" width="25.7109375" style="2" customWidth="1"/>
    <col min="7" max="16" width="25.7109375" customWidth="1"/>
    <col min="17" max="17" width="35.7109375" customWidth="1"/>
  </cols>
  <sheetData>
    <row r="1" spans="1:33" s="8" customFormat="1" ht="30" customHeight="1" x14ac:dyDescent="0.2">
      <c r="A1" s="1183" t="s">
        <v>66</v>
      </c>
      <c r="B1" s="155"/>
      <c r="C1" s="1182" t="s">
        <v>35</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c r="Q2" s="1192"/>
      <c r="R2" s="1192"/>
      <c r="S2" s="1192"/>
      <c r="T2" s="1192"/>
      <c r="U2" s="1192"/>
      <c r="V2" s="1192"/>
      <c r="W2" s="1192"/>
      <c r="X2" s="1192"/>
      <c r="Y2" s="1192"/>
      <c r="Z2" s="1192"/>
      <c r="AA2" s="1192"/>
      <c r="AB2" s="1192"/>
      <c r="AC2" s="1192"/>
      <c r="AD2" s="1192"/>
      <c r="AE2" s="1192"/>
      <c r="AF2" s="1192"/>
      <c r="AG2" s="1192"/>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c r="Q3" s="12"/>
      <c r="R3" s="12"/>
      <c r="S3" s="12"/>
      <c r="T3" s="12"/>
      <c r="U3" s="12"/>
      <c r="V3" s="12"/>
      <c r="W3" s="12"/>
      <c r="X3" s="12"/>
      <c r="Y3" s="12"/>
      <c r="Z3" s="12"/>
      <c r="AA3" s="12"/>
      <c r="AB3" s="12"/>
      <c r="AC3" s="12"/>
      <c r="AD3" s="12"/>
      <c r="AE3" s="12"/>
      <c r="AF3" s="12"/>
      <c r="AG3" s="12"/>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19"/>
    </row>
    <row r="5" spans="1:33" s="5" customFormat="1" ht="12.95" customHeight="1" x14ac:dyDescent="0.2">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row>
    <row r="6" spans="1:33" x14ac:dyDescent="0.2">
      <c r="A6" s="483"/>
      <c r="B6" s="18"/>
      <c r="C6" s="495" t="str">
        <f>"All currency -  "&amp;CurrSymbol&amp;" in "&amp;CurrUnits&amp;"s"</f>
        <v>All currency -  US$ in 1000s</v>
      </c>
      <c r="D6" s="887" t="s">
        <v>69</v>
      </c>
      <c r="E6" s="882"/>
      <c r="F6" s="882"/>
      <c r="G6" s="18"/>
      <c r="H6" s="12"/>
      <c r="I6" s="12"/>
      <c r="J6" s="12"/>
      <c r="K6" s="12"/>
      <c r="L6" s="12"/>
      <c r="M6" s="12"/>
      <c r="N6" s="12"/>
      <c r="O6" s="12"/>
      <c r="P6" s="12"/>
      <c r="Q6" s="18"/>
      <c r="R6" s="18"/>
      <c r="S6" s="18"/>
      <c r="T6" s="18"/>
      <c r="U6" s="18"/>
      <c r="V6" s="18"/>
      <c r="W6" s="18"/>
      <c r="X6" s="18"/>
      <c r="Y6" s="18"/>
      <c r="Z6" s="18"/>
      <c r="AA6" s="18"/>
      <c r="AB6" s="18"/>
      <c r="AC6" s="18"/>
      <c r="AD6" s="18"/>
      <c r="AE6" s="18"/>
      <c r="AF6" s="18"/>
      <c r="AG6" s="18"/>
    </row>
    <row r="7" spans="1:33" s="8" customFormat="1" ht="15" customHeight="1" thickBot="1" x14ac:dyDescent="0.25">
      <c r="A7" s="17"/>
      <c r="B7" s="17"/>
      <c r="C7" s="484"/>
      <c r="D7" s="1288"/>
      <c r="E7" s="1288"/>
      <c r="F7" s="1288"/>
      <c r="G7" s="485"/>
      <c r="H7" s="486"/>
      <c r="I7" s="23"/>
      <c r="J7" s="23"/>
      <c r="K7" s="23"/>
      <c r="L7" s="23"/>
      <c r="M7" s="23"/>
      <c r="N7" s="23"/>
      <c r="O7" s="23"/>
      <c r="P7" s="23"/>
      <c r="Q7" s="17"/>
      <c r="R7" s="17"/>
      <c r="S7" s="17"/>
      <c r="T7" s="17"/>
      <c r="U7" s="17"/>
      <c r="V7" s="17"/>
      <c r="W7" s="17"/>
      <c r="X7" s="17"/>
      <c r="Y7" s="17"/>
      <c r="Z7" s="17"/>
      <c r="AA7" s="17"/>
      <c r="AB7" s="17"/>
      <c r="AC7" s="17"/>
      <c r="AD7" s="17"/>
      <c r="AE7" s="17"/>
      <c r="AF7" s="17"/>
      <c r="AG7" s="17"/>
    </row>
    <row r="8" spans="1:33" s="455" customFormat="1" ht="72.75" customHeight="1" thickBot="1" x14ac:dyDescent="0.25">
      <c r="A8" s="1283" t="s">
        <v>4161</v>
      </c>
      <c r="B8" s="454"/>
      <c r="C8" s="1383" t="s">
        <v>4160</v>
      </c>
      <c r="D8" s="1384"/>
      <c r="E8" s="489" t="s">
        <v>979</v>
      </c>
      <c r="F8" s="489" t="s">
        <v>978</v>
      </c>
      <c r="G8" s="489" t="s">
        <v>411</v>
      </c>
      <c r="H8" s="489" t="s">
        <v>412</v>
      </c>
      <c r="I8" s="489" t="s">
        <v>410</v>
      </c>
      <c r="J8" s="489" t="s">
        <v>413</v>
      </c>
      <c r="K8" s="489" t="s">
        <v>414</v>
      </c>
      <c r="L8" s="489" t="s">
        <v>415</v>
      </c>
      <c r="M8" s="489" t="s">
        <v>416</v>
      </c>
      <c r="N8" s="489" t="s">
        <v>417</v>
      </c>
      <c r="O8" s="489" t="s">
        <v>190</v>
      </c>
      <c r="P8" s="490" t="s">
        <v>191</v>
      </c>
      <c r="Q8" s="1289"/>
      <c r="R8" s="1289"/>
      <c r="S8" s="1289"/>
      <c r="T8" s="1289"/>
      <c r="U8" s="1289"/>
      <c r="V8" s="1289"/>
      <c r="W8" s="1289"/>
      <c r="X8" s="1289"/>
      <c r="Y8" s="1289"/>
      <c r="Z8" s="1289"/>
      <c r="AA8" s="1289"/>
      <c r="AB8" s="1289"/>
      <c r="AC8" s="1289"/>
      <c r="AD8" s="1289"/>
      <c r="AE8" s="1289"/>
      <c r="AF8" s="1289"/>
      <c r="AG8" s="1289"/>
    </row>
    <row r="9" spans="1:33" s="458" customFormat="1" ht="12.95" customHeight="1" thickBot="1" x14ac:dyDescent="0.25">
      <c r="A9" s="977"/>
      <c r="B9" s="456"/>
      <c r="C9" s="453"/>
      <c r="D9" s="457"/>
      <c r="E9" s="447"/>
      <c r="F9" s="447"/>
      <c r="G9" s="447"/>
      <c r="H9" s="447"/>
      <c r="I9" s="447"/>
      <c r="J9" s="447"/>
      <c r="K9" s="447"/>
      <c r="L9" s="447"/>
      <c r="M9" s="447"/>
      <c r="N9" s="447"/>
      <c r="O9" s="447"/>
      <c r="P9" s="447"/>
      <c r="Q9" s="1290"/>
      <c r="R9" s="1290"/>
      <c r="S9" s="1290"/>
      <c r="T9" s="1290"/>
      <c r="U9" s="1290"/>
      <c r="V9" s="1290"/>
      <c r="W9" s="1290"/>
      <c r="X9" s="1290"/>
      <c r="Y9" s="1290"/>
      <c r="Z9" s="1290"/>
      <c r="AA9" s="1290"/>
      <c r="AB9" s="1290"/>
      <c r="AC9" s="1290"/>
      <c r="AD9" s="1290"/>
      <c r="AE9" s="1290"/>
      <c r="AF9" s="1290"/>
      <c r="AG9" s="1290"/>
    </row>
    <row r="10" spans="1:33" s="458" customFormat="1" ht="20.100000000000001" customHeight="1" x14ac:dyDescent="0.2">
      <c r="A10" s="1380" t="s">
        <v>4168</v>
      </c>
      <c r="B10" s="456"/>
      <c r="C10" s="1291" t="s">
        <v>394</v>
      </c>
      <c r="D10" s="471"/>
      <c r="E10" s="472"/>
      <c r="F10" s="472"/>
      <c r="G10" s="472"/>
      <c r="H10" s="472"/>
      <c r="I10" s="472"/>
      <c r="J10" s="472"/>
      <c r="K10" s="472"/>
      <c r="L10" s="472"/>
      <c r="M10" s="472"/>
      <c r="N10" s="472"/>
      <c r="O10" s="472"/>
      <c r="P10" s="472"/>
      <c r="Q10" s="473"/>
      <c r="R10" s="1290"/>
      <c r="S10" s="1290"/>
      <c r="T10" s="1290"/>
      <c r="U10" s="1290"/>
      <c r="V10" s="1290"/>
      <c r="W10" s="1290"/>
      <c r="X10" s="1290"/>
      <c r="Y10" s="1290"/>
      <c r="Z10" s="1290"/>
      <c r="AA10" s="1290"/>
      <c r="AB10" s="1290"/>
      <c r="AC10" s="1290"/>
      <c r="AD10" s="1290"/>
      <c r="AE10" s="1290"/>
      <c r="AF10" s="1290"/>
      <c r="AG10" s="1290"/>
    </row>
    <row r="11" spans="1:33" s="458" customFormat="1" ht="12.95" customHeight="1" x14ac:dyDescent="0.2">
      <c r="A11" s="1381"/>
      <c r="B11" s="456"/>
      <c r="C11" s="474"/>
      <c r="D11" s="459" t="s">
        <v>381</v>
      </c>
      <c r="E11" s="460">
        <v>2080</v>
      </c>
      <c r="F11" s="460">
        <v>2080</v>
      </c>
      <c r="G11" s="460">
        <v>2080</v>
      </c>
      <c r="H11" s="460">
        <v>2080</v>
      </c>
      <c r="I11" s="460">
        <v>2080</v>
      </c>
      <c r="J11" s="460">
        <v>2080</v>
      </c>
      <c r="K11" s="460">
        <v>2080</v>
      </c>
      <c r="L11" s="460">
        <v>2080</v>
      </c>
      <c r="M11" s="460">
        <v>2080</v>
      </c>
      <c r="N11" s="460">
        <v>2080</v>
      </c>
      <c r="O11" s="460">
        <v>2080</v>
      </c>
      <c r="P11" s="460">
        <v>2080</v>
      </c>
      <c r="Q11" s="451" t="s">
        <v>421</v>
      </c>
      <c r="R11" s="1290"/>
      <c r="S11" s="1290"/>
      <c r="T11" s="1290"/>
      <c r="U11" s="1290"/>
      <c r="V11" s="1290"/>
      <c r="W11" s="1290"/>
      <c r="X11" s="1290"/>
      <c r="Y11" s="1290"/>
      <c r="Z11" s="1290"/>
      <c r="AA11" s="1290"/>
      <c r="AB11" s="1290"/>
      <c r="AC11" s="1290"/>
      <c r="AD11" s="1290"/>
      <c r="AE11" s="1290"/>
      <c r="AF11" s="1290"/>
      <c r="AG11" s="1290"/>
    </row>
    <row r="12" spans="1:33" s="458" customFormat="1" ht="12.95" customHeight="1" x14ac:dyDescent="0.2">
      <c r="A12" s="1381"/>
      <c r="B12" s="456"/>
      <c r="C12" s="474"/>
      <c r="D12" s="459" t="s">
        <v>382</v>
      </c>
      <c r="E12" s="460">
        <v>100</v>
      </c>
      <c r="F12" s="460">
        <v>100</v>
      </c>
      <c r="G12" s="460">
        <v>100</v>
      </c>
      <c r="H12" s="460">
        <v>100</v>
      </c>
      <c r="I12" s="460">
        <v>100</v>
      </c>
      <c r="J12" s="460">
        <v>100</v>
      </c>
      <c r="K12" s="460">
        <v>100</v>
      </c>
      <c r="L12" s="460">
        <v>100</v>
      </c>
      <c r="M12" s="460">
        <v>100</v>
      </c>
      <c r="N12" s="460">
        <v>100</v>
      </c>
      <c r="O12" s="460">
        <v>100</v>
      </c>
      <c r="P12" s="460">
        <v>100</v>
      </c>
      <c r="Q12" s="451" t="s">
        <v>422</v>
      </c>
      <c r="R12" s="1290"/>
      <c r="S12" s="1290"/>
      <c r="T12" s="1290"/>
      <c r="U12" s="1290"/>
      <c r="V12" s="1290"/>
      <c r="W12" s="1290"/>
      <c r="X12" s="1290"/>
      <c r="Y12" s="1290"/>
      <c r="Z12" s="1290"/>
      <c r="AA12" s="1290"/>
      <c r="AB12" s="1290"/>
      <c r="AC12" s="1290"/>
      <c r="AD12" s="1290"/>
      <c r="AE12" s="1290"/>
      <c r="AF12" s="1290"/>
      <c r="AG12" s="1290"/>
    </row>
    <row r="13" spans="1:33" s="458" customFormat="1" ht="12.95" customHeight="1" x14ac:dyDescent="0.2">
      <c r="A13" s="1381"/>
      <c r="B13" s="456"/>
      <c r="C13" s="474"/>
      <c r="D13" s="461" t="s">
        <v>383</v>
      </c>
      <c r="E13" s="1292">
        <f t="shared" ref="E13:P13" si="0">SUM(FTEHoursNormalYr+FTEHoursOTYr)</f>
        <v>2180</v>
      </c>
      <c r="F13" s="1292">
        <f t="shared" si="0"/>
        <v>2180</v>
      </c>
      <c r="G13" s="1292">
        <f t="shared" si="0"/>
        <v>2180</v>
      </c>
      <c r="H13" s="1292">
        <f t="shared" si="0"/>
        <v>2180</v>
      </c>
      <c r="I13" s="1292">
        <f t="shared" si="0"/>
        <v>2180</v>
      </c>
      <c r="J13" s="1292">
        <f t="shared" si="0"/>
        <v>2180</v>
      </c>
      <c r="K13" s="1292">
        <f t="shared" si="0"/>
        <v>2180</v>
      </c>
      <c r="L13" s="1292">
        <f t="shared" si="0"/>
        <v>2180</v>
      </c>
      <c r="M13" s="1292">
        <f t="shared" si="0"/>
        <v>2180</v>
      </c>
      <c r="N13" s="1292">
        <f t="shared" si="0"/>
        <v>2180</v>
      </c>
      <c r="O13" s="1292">
        <f t="shared" si="0"/>
        <v>2180</v>
      </c>
      <c r="P13" s="1292">
        <f t="shared" si="0"/>
        <v>2180</v>
      </c>
      <c r="Q13" s="451" t="s">
        <v>397</v>
      </c>
      <c r="R13" s="1290"/>
      <c r="S13" s="1290"/>
      <c r="T13" s="1290"/>
      <c r="U13" s="1290"/>
      <c r="V13" s="1290"/>
      <c r="W13" s="1290"/>
      <c r="X13" s="1290"/>
      <c r="Y13" s="1290"/>
      <c r="Z13" s="1290"/>
      <c r="AA13" s="1290"/>
      <c r="AB13" s="1290"/>
      <c r="AC13" s="1290"/>
      <c r="AD13" s="1290"/>
      <c r="AE13" s="1290"/>
      <c r="AF13" s="1290"/>
      <c r="AG13" s="1290"/>
    </row>
    <row r="14" spans="1:33" ht="80.25" customHeight="1" thickBot="1" x14ac:dyDescent="0.25">
      <c r="A14" s="1382"/>
      <c r="B14" s="73"/>
      <c r="C14" s="475"/>
      <c r="D14" s="476"/>
      <c r="E14" s="477"/>
      <c r="F14" s="477"/>
      <c r="G14" s="478"/>
      <c r="H14" s="478"/>
      <c r="I14" s="478"/>
      <c r="J14" s="478"/>
      <c r="K14" s="478"/>
      <c r="L14" s="478"/>
      <c r="M14" s="478"/>
      <c r="N14" s="478"/>
      <c r="O14" s="478"/>
      <c r="P14" s="478"/>
      <c r="Q14" s="449"/>
      <c r="R14" s="18"/>
      <c r="S14" s="18"/>
      <c r="T14" s="18"/>
      <c r="U14" s="18"/>
      <c r="V14" s="18"/>
      <c r="W14" s="18"/>
      <c r="X14" s="18"/>
      <c r="Y14" s="18"/>
      <c r="Z14" s="18"/>
      <c r="AA14" s="18"/>
      <c r="AB14" s="18"/>
      <c r="AC14" s="18"/>
      <c r="AD14" s="18"/>
      <c r="AE14" s="18"/>
      <c r="AF14" s="18"/>
      <c r="AG14" s="18"/>
    </row>
    <row r="15" spans="1:33" ht="12.95" customHeight="1" thickBot="1" x14ac:dyDescent="0.25">
      <c r="A15" s="977"/>
      <c r="B15" s="73"/>
      <c r="C15" s="464"/>
      <c r="D15" s="457"/>
      <c r="E15" s="447"/>
      <c r="F15" s="447"/>
      <c r="G15" s="12"/>
      <c r="H15" s="12"/>
      <c r="I15" s="12"/>
      <c r="J15" s="12"/>
      <c r="K15" s="12"/>
      <c r="L15" s="12"/>
      <c r="M15" s="12"/>
      <c r="N15" s="12"/>
      <c r="O15" s="12"/>
      <c r="P15" s="12"/>
      <c r="Q15" s="12"/>
      <c r="R15" s="18"/>
      <c r="S15" s="18"/>
      <c r="T15" s="18"/>
      <c r="U15" s="18"/>
      <c r="V15" s="18"/>
      <c r="W15" s="18"/>
      <c r="X15" s="18"/>
      <c r="Y15" s="18"/>
      <c r="Z15" s="18"/>
      <c r="AA15" s="18"/>
      <c r="AB15" s="18"/>
      <c r="AC15" s="18"/>
      <c r="AD15" s="18"/>
      <c r="AE15" s="18"/>
      <c r="AF15" s="18"/>
      <c r="AG15" s="18"/>
    </row>
    <row r="16" spans="1:33" s="458" customFormat="1" ht="20.100000000000001" customHeight="1" x14ac:dyDescent="0.2">
      <c r="A16" s="977"/>
      <c r="B16" s="456"/>
      <c r="C16" s="1291" t="s">
        <v>395</v>
      </c>
      <c r="D16" s="471"/>
      <c r="E16" s="472"/>
      <c r="F16" s="472"/>
      <c r="G16" s="472"/>
      <c r="H16" s="472"/>
      <c r="I16" s="472"/>
      <c r="J16" s="472"/>
      <c r="K16" s="472"/>
      <c r="L16" s="472"/>
      <c r="M16" s="472"/>
      <c r="N16" s="472"/>
      <c r="O16" s="472"/>
      <c r="P16" s="472"/>
      <c r="Q16" s="473"/>
      <c r="R16" s="1290"/>
      <c r="S16" s="1290"/>
      <c r="T16" s="1290"/>
      <c r="U16" s="1290"/>
      <c r="V16" s="1290"/>
      <c r="W16" s="1290"/>
      <c r="X16" s="1290"/>
      <c r="Y16" s="1290"/>
      <c r="Z16" s="1290"/>
      <c r="AA16" s="1290"/>
      <c r="AB16" s="1290"/>
      <c r="AC16" s="1290"/>
      <c r="AD16" s="1290"/>
      <c r="AE16" s="1290"/>
      <c r="AF16" s="1290"/>
      <c r="AG16" s="1290"/>
    </row>
    <row r="17" spans="1:33" ht="12.95" customHeight="1" x14ac:dyDescent="0.2">
      <c r="A17" s="1380" t="s">
        <v>4383</v>
      </c>
      <c r="B17" s="73"/>
      <c r="C17" s="479"/>
      <c r="D17" s="457" t="s">
        <v>385</v>
      </c>
      <c r="E17" s="882"/>
      <c r="F17" s="882"/>
      <c r="G17" s="18"/>
      <c r="H17" s="18"/>
      <c r="I17" s="18"/>
      <c r="J17" s="18"/>
      <c r="K17" s="18"/>
      <c r="L17" s="18"/>
      <c r="M17" s="18"/>
      <c r="N17" s="18"/>
      <c r="O17" s="18"/>
      <c r="P17" s="18"/>
      <c r="Q17" s="70"/>
      <c r="R17" s="18"/>
      <c r="S17" s="18"/>
      <c r="T17" s="18"/>
      <c r="U17" s="18"/>
      <c r="V17" s="18"/>
      <c r="W17" s="18"/>
      <c r="X17" s="18"/>
      <c r="Y17" s="18"/>
      <c r="Z17" s="18"/>
      <c r="AA17" s="18"/>
      <c r="AB17" s="18"/>
      <c r="AC17" s="18"/>
      <c r="AD17" s="18"/>
      <c r="AE17" s="18"/>
      <c r="AF17" s="18"/>
      <c r="AG17" s="18"/>
    </row>
    <row r="18" spans="1:33" ht="12.95" customHeight="1" x14ac:dyDescent="0.2">
      <c r="A18" s="1381"/>
      <c r="B18" s="73"/>
      <c r="C18" s="479"/>
      <c r="D18" s="459" t="s">
        <v>370</v>
      </c>
      <c r="E18" s="460">
        <v>80</v>
      </c>
      <c r="F18" s="460">
        <v>80</v>
      </c>
      <c r="G18" s="460">
        <v>80</v>
      </c>
      <c r="H18" s="460">
        <v>80</v>
      </c>
      <c r="I18" s="460">
        <v>80</v>
      </c>
      <c r="J18" s="460">
        <v>80</v>
      </c>
      <c r="K18" s="460">
        <v>80</v>
      </c>
      <c r="L18" s="460">
        <v>80</v>
      </c>
      <c r="M18" s="460">
        <v>80</v>
      </c>
      <c r="N18" s="460">
        <v>80</v>
      </c>
      <c r="O18" s="460">
        <v>80</v>
      </c>
      <c r="P18" s="460">
        <v>80</v>
      </c>
      <c r="Q18" s="70"/>
      <c r="R18" s="18"/>
      <c r="S18" s="18"/>
      <c r="T18" s="18"/>
      <c r="U18" s="18"/>
      <c r="V18" s="18"/>
      <c r="W18" s="18"/>
      <c r="X18" s="18"/>
      <c r="Y18" s="18"/>
      <c r="Z18" s="18"/>
      <c r="AA18" s="18"/>
      <c r="AB18" s="18"/>
      <c r="AC18" s="18"/>
      <c r="AD18" s="18"/>
      <c r="AE18" s="18"/>
      <c r="AF18" s="18"/>
      <c r="AG18" s="18"/>
    </row>
    <row r="19" spans="1:33" ht="12.95" customHeight="1" x14ac:dyDescent="0.2">
      <c r="A19" s="1381"/>
      <c r="B19" s="73"/>
      <c r="C19" s="71"/>
      <c r="D19" s="459" t="s">
        <v>364</v>
      </c>
      <c r="E19" s="460">
        <v>160</v>
      </c>
      <c r="F19" s="460">
        <v>160</v>
      </c>
      <c r="G19" s="460">
        <v>160</v>
      </c>
      <c r="H19" s="460">
        <v>160</v>
      </c>
      <c r="I19" s="460">
        <v>160</v>
      </c>
      <c r="J19" s="460">
        <v>160</v>
      </c>
      <c r="K19" s="460">
        <v>160</v>
      </c>
      <c r="L19" s="460">
        <v>160</v>
      </c>
      <c r="M19" s="460">
        <v>160</v>
      </c>
      <c r="N19" s="460">
        <v>160</v>
      </c>
      <c r="O19" s="460">
        <v>160</v>
      </c>
      <c r="P19" s="460">
        <v>160</v>
      </c>
      <c r="Q19" s="70"/>
      <c r="R19" s="18"/>
      <c r="S19" s="18"/>
      <c r="T19" s="18"/>
      <c r="U19" s="18"/>
      <c r="V19" s="18"/>
      <c r="W19" s="18"/>
      <c r="X19" s="18"/>
      <c r="Y19" s="18"/>
      <c r="Z19" s="18"/>
      <c r="AA19" s="18"/>
      <c r="AB19" s="18"/>
      <c r="AC19" s="18"/>
      <c r="AD19" s="18"/>
      <c r="AE19" s="18"/>
      <c r="AF19" s="18"/>
      <c r="AG19" s="18"/>
    </row>
    <row r="20" spans="1:33" ht="12.95" customHeight="1" x14ac:dyDescent="0.2">
      <c r="A20" s="1381"/>
      <c r="B20" s="73"/>
      <c r="C20" s="71"/>
      <c r="D20" s="459" t="s">
        <v>365</v>
      </c>
      <c r="E20" s="460">
        <v>40</v>
      </c>
      <c r="F20" s="460">
        <v>40</v>
      </c>
      <c r="G20" s="460">
        <v>40</v>
      </c>
      <c r="H20" s="460">
        <v>40</v>
      </c>
      <c r="I20" s="460">
        <v>40</v>
      </c>
      <c r="J20" s="460">
        <v>40</v>
      </c>
      <c r="K20" s="460">
        <v>40</v>
      </c>
      <c r="L20" s="460">
        <v>40</v>
      </c>
      <c r="M20" s="460">
        <v>40</v>
      </c>
      <c r="N20" s="460">
        <v>40</v>
      </c>
      <c r="O20" s="460">
        <v>40</v>
      </c>
      <c r="P20" s="460">
        <v>40</v>
      </c>
      <c r="Q20" s="70"/>
      <c r="R20" s="18"/>
      <c r="S20" s="18"/>
      <c r="T20" s="18"/>
      <c r="U20" s="18"/>
      <c r="V20" s="18"/>
      <c r="W20" s="18"/>
      <c r="X20" s="18"/>
      <c r="Y20" s="18"/>
      <c r="Z20" s="18"/>
      <c r="AA20" s="18"/>
      <c r="AB20" s="18"/>
      <c r="AC20" s="18"/>
      <c r="AD20" s="18"/>
      <c r="AE20" s="18"/>
      <c r="AF20" s="18"/>
      <c r="AG20" s="18"/>
    </row>
    <row r="21" spans="1:33" ht="12.95" customHeight="1" x14ac:dyDescent="0.2">
      <c r="A21" s="1381"/>
      <c r="B21" s="73"/>
      <c r="C21" s="71"/>
      <c r="D21" s="459" t="s">
        <v>384</v>
      </c>
      <c r="E21" s="460">
        <v>40</v>
      </c>
      <c r="F21" s="460">
        <v>40</v>
      </c>
      <c r="G21" s="460">
        <v>40</v>
      </c>
      <c r="H21" s="460">
        <v>40</v>
      </c>
      <c r="I21" s="460">
        <v>40</v>
      </c>
      <c r="J21" s="460">
        <v>40</v>
      </c>
      <c r="K21" s="460">
        <v>40</v>
      </c>
      <c r="L21" s="460">
        <v>40</v>
      </c>
      <c r="M21" s="460">
        <v>40</v>
      </c>
      <c r="N21" s="460">
        <v>40</v>
      </c>
      <c r="O21" s="460">
        <v>40</v>
      </c>
      <c r="P21" s="460">
        <v>40</v>
      </c>
      <c r="Q21" s="70"/>
      <c r="R21" s="18"/>
      <c r="S21" s="18"/>
      <c r="T21" s="18"/>
      <c r="U21" s="18"/>
      <c r="V21" s="18"/>
      <c r="W21" s="18"/>
      <c r="X21" s="18"/>
      <c r="Y21" s="18"/>
      <c r="Z21" s="18"/>
      <c r="AA21" s="18"/>
      <c r="AB21" s="18"/>
      <c r="AC21" s="18"/>
      <c r="AD21" s="18"/>
      <c r="AE21" s="18"/>
      <c r="AF21" s="18"/>
      <c r="AG21" s="18"/>
    </row>
    <row r="22" spans="1:33" ht="12.95" customHeight="1" x14ac:dyDescent="0.2">
      <c r="A22" s="1381"/>
      <c r="B22" s="73"/>
      <c r="C22" s="71"/>
      <c r="D22" s="459" t="s">
        <v>366</v>
      </c>
      <c r="E22" s="460">
        <v>100</v>
      </c>
      <c r="F22" s="460">
        <v>100</v>
      </c>
      <c r="G22" s="460">
        <v>100</v>
      </c>
      <c r="H22" s="460">
        <v>100</v>
      </c>
      <c r="I22" s="460">
        <v>100</v>
      </c>
      <c r="J22" s="460">
        <v>100</v>
      </c>
      <c r="K22" s="460">
        <v>100</v>
      </c>
      <c r="L22" s="460">
        <v>100</v>
      </c>
      <c r="M22" s="460">
        <v>100</v>
      </c>
      <c r="N22" s="460">
        <v>100</v>
      </c>
      <c r="O22" s="460">
        <v>100</v>
      </c>
      <c r="P22" s="460">
        <v>100</v>
      </c>
      <c r="Q22" s="70"/>
      <c r="R22" s="18"/>
      <c r="S22" s="18"/>
      <c r="T22" s="18"/>
      <c r="U22" s="18"/>
      <c r="V22" s="18"/>
      <c r="W22" s="18"/>
      <c r="X22" s="18"/>
      <c r="Y22" s="18"/>
      <c r="Z22" s="18"/>
      <c r="AA22" s="18"/>
      <c r="AB22" s="18"/>
      <c r="AC22" s="18"/>
      <c r="AD22" s="18"/>
      <c r="AE22" s="18"/>
      <c r="AF22" s="18"/>
      <c r="AG22" s="18"/>
    </row>
    <row r="23" spans="1:33" ht="12.95" customHeight="1" x14ac:dyDescent="0.2">
      <c r="A23" s="1381"/>
      <c r="B23" s="73"/>
      <c r="C23" s="71"/>
      <c r="D23" s="459" t="s">
        <v>386</v>
      </c>
      <c r="E23" s="460">
        <v>40</v>
      </c>
      <c r="F23" s="460">
        <v>40</v>
      </c>
      <c r="G23" s="460">
        <v>40</v>
      </c>
      <c r="H23" s="460">
        <v>40</v>
      </c>
      <c r="I23" s="460">
        <v>40</v>
      </c>
      <c r="J23" s="460">
        <v>40</v>
      </c>
      <c r="K23" s="460">
        <v>40</v>
      </c>
      <c r="L23" s="460">
        <v>40</v>
      </c>
      <c r="M23" s="460">
        <v>40</v>
      </c>
      <c r="N23" s="460">
        <v>40</v>
      </c>
      <c r="O23" s="460">
        <v>40</v>
      </c>
      <c r="P23" s="460">
        <v>40</v>
      </c>
      <c r="Q23" s="70"/>
      <c r="R23" s="18"/>
      <c r="S23" s="18"/>
      <c r="T23" s="18"/>
      <c r="U23" s="18"/>
      <c r="V23" s="18"/>
      <c r="W23" s="18"/>
      <c r="X23" s="18"/>
      <c r="Y23" s="18"/>
      <c r="Z23" s="18"/>
      <c r="AA23" s="18"/>
      <c r="AB23" s="18"/>
      <c r="AC23" s="18"/>
      <c r="AD23" s="18"/>
      <c r="AE23" s="18"/>
      <c r="AF23" s="18"/>
      <c r="AG23" s="18"/>
    </row>
    <row r="24" spans="1:33" ht="12.95" customHeight="1" x14ac:dyDescent="0.2">
      <c r="A24" s="1381"/>
      <c r="B24" s="73"/>
      <c r="C24" s="71"/>
      <c r="D24" s="459" t="s">
        <v>188</v>
      </c>
      <c r="E24" s="460">
        <v>1</v>
      </c>
      <c r="F24" s="460">
        <v>1</v>
      </c>
      <c r="G24" s="460">
        <v>1</v>
      </c>
      <c r="H24" s="460">
        <v>1</v>
      </c>
      <c r="I24" s="460">
        <v>1</v>
      </c>
      <c r="J24" s="460">
        <v>1</v>
      </c>
      <c r="K24" s="460">
        <v>1</v>
      </c>
      <c r="L24" s="460">
        <v>1</v>
      </c>
      <c r="M24" s="460">
        <v>1</v>
      </c>
      <c r="N24" s="460">
        <v>1</v>
      </c>
      <c r="O24" s="460">
        <v>1</v>
      </c>
      <c r="P24" s="460">
        <v>1</v>
      </c>
      <c r="Q24" s="70"/>
      <c r="R24" s="18"/>
      <c r="S24" s="18"/>
      <c r="T24" s="18"/>
      <c r="U24" s="18"/>
      <c r="V24" s="18"/>
      <c r="W24" s="18"/>
      <c r="X24" s="18"/>
      <c r="Y24" s="18"/>
      <c r="Z24" s="18"/>
      <c r="AA24" s="18"/>
      <c r="AB24" s="18"/>
      <c r="AC24" s="18"/>
      <c r="AD24" s="18"/>
      <c r="AE24" s="18"/>
      <c r="AF24" s="18"/>
      <c r="AG24" s="18"/>
    </row>
    <row r="25" spans="1:33" ht="12.95" customHeight="1" x14ac:dyDescent="0.2">
      <c r="A25" s="1381"/>
      <c r="B25" s="73"/>
      <c r="C25" s="71"/>
      <c r="D25" s="459" t="s">
        <v>189</v>
      </c>
      <c r="E25" s="460">
        <v>2</v>
      </c>
      <c r="F25" s="460">
        <v>2</v>
      </c>
      <c r="G25" s="460">
        <v>2</v>
      </c>
      <c r="H25" s="460">
        <v>2</v>
      </c>
      <c r="I25" s="460">
        <v>2</v>
      </c>
      <c r="J25" s="460">
        <v>2</v>
      </c>
      <c r="K25" s="460">
        <v>2</v>
      </c>
      <c r="L25" s="460">
        <v>2</v>
      </c>
      <c r="M25" s="460">
        <v>2</v>
      </c>
      <c r="N25" s="460">
        <v>2</v>
      </c>
      <c r="O25" s="460">
        <v>2</v>
      </c>
      <c r="P25" s="460">
        <v>2</v>
      </c>
      <c r="Q25" s="70"/>
      <c r="R25" s="18"/>
      <c r="S25" s="18"/>
      <c r="T25" s="18"/>
      <c r="U25" s="18"/>
      <c r="V25" s="18"/>
      <c r="W25" s="18"/>
      <c r="X25" s="18"/>
      <c r="Y25" s="18"/>
      <c r="Z25" s="18"/>
      <c r="AA25" s="18"/>
      <c r="AB25" s="18"/>
      <c r="AC25" s="18"/>
      <c r="AD25" s="18"/>
      <c r="AE25" s="18"/>
      <c r="AF25" s="18"/>
      <c r="AG25" s="18"/>
    </row>
    <row r="26" spans="1:33" ht="12.95" customHeight="1" x14ac:dyDescent="0.2">
      <c r="A26" s="1381"/>
      <c r="B26" s="73"/>
      <c r="C26" s="71"/>
      <c r="D26" s="461" t="s">
        <v>371</v>
      </c>
      <c r="E26" s="1292">
        <f>SUM(E18:E25)</f>
        <v>463</v>
      </c>
      <c r="F26" s="1292">
        <f>SUM(F18:F25)</f>
        <v>463</v>
      </c>
      <c r="G26" s="1292">
        <f t="shared" ref="G26:P26" si="1">SUM(G18:G25)</f>
        <v>463</v>
      </c>
      <c r="H26" s="1292">
        <f t="shared" si="1"/>
        <v>463</v>
      </c>
      <c r="I26" s="1292">
        <f t="shared" si="1"/>
        <v>463</v>
      </c>
      <c r="J26" s="1292">
        <f t="shared" si="1"/>
        <v>463</v>
      </c>
      <c r="K26" s="1292">
        <f t="shared" si="1"/>
        <v>463</v>
      </c>
      <c r="L26" s="1292">
        <f t="shared" si="1"/>
        <v>463</v>
      </c>
      <c r="M26" s="1292">
        <f t="shared" si="1"/>
        <v>463</v>
      </c>
      <c r="N26" s="1292">
        <f t="shared" si="1"/>
        <v>463</v>
      </c>
      <c r="O26" s="1292">
        <f t="shared" si="1"/>
        <v>463</v>
      </c>
      <c r="P26" s="1292">
        <f t="shared" si="1"/>
        <v>463</v>
      </c>
      <c r="Q26" s="451" t="s">
        <v>398</v>
      </c>
      <c r="R26" s="18"/>
      <c r="S26" s="18"/>
      <c r="T26" s="18"/>
      <c r="U26" s="18"/>
      <c r="V26" s="18"/>
      <c r="W26" s="18"/>
      <c r="X26" s="18"/>
      <c r="Y26" s="18"/>
      <c r="Z26" s="18"/>
      <c r="AA26" s="18"/>
      <c r="AB26" s="18"/>
      <c r="AC26" s="18"/>
      <c r="AD26" s="18"/>
      <c r="AE26" s="18"/>
      <c r="AF26" s="18"/>
      <c r="AG26" s="18"/>
    </row>
    <row r="27" spans="1:33" ht="12.95" customHeight="1" x14ac:dyDescent="0.2">
      <c r="A27" s="1381"/>
      <c r="B27" s="73"/>
      <c r="C27" s="71"/>
      <c r="D27" s="1225"/>
      <c r="E27" s="38"/>
      <c r="F27" s="38"/>
      <c r="G27" s="38"/>
      <c r="H27" s="38"/>
      <c r="I27" s="38"/>
      <c r="J27" s="38"/>
      <c r="K27" s="38"/>
      <c r="L27" s="38"/>
      <c r="M27" s="38"/>
      <c r="N27" s="38"/>
      <c r="O27" s="38"/>
      <c r="P27" s="38"/>
      <c r="Q27" s="70"/>
      <c r="R27" s="18"/>
      <c r="S27" s="18"/>
      <c r="T27" s="18"/>
      <c r="U27" s="18"/>
      <c r="V27" s="18"/>
      <c r="W27" s="18"/>
      <c r="X27" s="18"/>
      <c r="Y27" s="18"/>
      <c r="Z27" s="18"/>
      <c r="AA27" s="18"/>
      <c r="AB27" s="18"/>
      <c r="AC27" s="18"/>
      <c r="AD27" s="18"/>
      <c r="AE27" s="18"/>
      <c r="AF27" s="18"/>
      <c r="AG27" s="18"/>
    </row>
    <row r="28" spans="1:33" ht="12.95" customHeight="1" x14ac:dyDescent="0.2">
      <c r="A28" s="1381"/>
      <c r="B28" s="73"/>
      <c r="C28" s="480"/>
      <c r="D28" s="457" t="s">
        <v>387</v>
      </c>
      <c r="E28" s="1292">
        <f t="shared" ref="E28:P28" si="2">FTEHoursPaidYr-FTEHoursAuthAbsenceYr</f>
        <v>1717</v>
      </c>
      <c r="F28" s="1292">
        <f t="shared" si="2"/>
        <v>1717</v>
      </c>
      <c r="G28" s="1292">
        <f t="shared" si="2"/>
        <v>1717</v>
      </c>
      <c r="H28" s="1292">
        <f t="shared" si="2"/>
        <v>1717</v>
      </c>
      <c r="I28" s="1292">
        <f t="shared" si="2"/>
        <v>1717</v>
      </c>
      <c r="J28" s="1292">
        <f t="shared" si="2"/>
        <v>1717</v>
      </c>
      <c r="K28" s="1292">
        <f t="shared" si="2"/>
        <v>1717</v>
      </c>
      <c r="L28" s="1292">
        <f t="shared" si="2"/>
        <v>1717</v>
      </c>
      <c r="M28" s="1292">
        <f t="shared" si="2"/>
        <v>1717</v>
      </c>
      <c r="N28" s="1292">
        <f t="shared" si="2"/>
        <v>1717</v>
      </c>
      <c r="O28" s="1292">
        <f t="shared" si="2"/>
        <v>1717</v>
      </c>
      <c r="P28" s="1292">
        <f t="shared" si="2"/>
        <v>1717</v>
      </c>
      <c r="Q28" s="451" t="s">
        <v>399</v>
      </c>
      <c r="R28" s="18"/>
      <c r="S28" s="18"/>
      <c r="T28" s="18"/>
      <c r="U28" s="18"/>
      <c r="V28" s="18"/>
      <c r="W28" s="18"/>
      <c r="X28" s="18"/>
      <c r="Y28" s="18"/>
      <c r="Z28" s="18"/>
      <c r="AA28" s="18"/>
      <c r="AB28" s="18"/>
      <c r="AC28" s="18"/>
      <c r="AD28" s="18"/>
      <c r="AE28" s="18"/>
      <c r="AF28" s="18"/>
      <c r="AG28" s="18"/>
    </row>
    <row r="29" spans="1:33" s="458" customFormat="1" ht="12.95" customHeight="1" thickBot="1" x14ac:dyDescent="0.25">
      <c r="A29" s="1382"/>
      <c r="B29" s="456"/>
      <c r="C29" s="481"/>
      <c r="D29" s="477"/>
      <c r="E29" s="477"/>
      <c r="F29" s="477"/>
      <c r="G29" s="477"/>
      <c r="H29" s="477"/>
      <c r="I29" s="477"/>
      <c r="J29" s="477"/>
      <c r="K29" s="477"/>
      <c r="L29" s="477"/>
      <c r="M29" s="477"/>
      <c r="N29" s="477"/>
      <c r="O29" s="477"/>
      <c r="P29" s="477"/>
      <c r="Q29" s="482"/>
      <c r="R29" s="1290"/>
      <c r="S29" s="1290"/>
      <c r="T29" s="1290"/>
      <c r="U29" s="1290"/>
      <c r="V29" s="1290"/>
      <c r="W29" s="1290"/>
      <c r="X29" s="1290"/>
      <c r="Y29" s="1290"/>
      <c r="Z29" s="1290"/>
      <c r="AA29" s="1290"/>
      <c r="AB29" s="1290"/>
      <c r="AC29" s="1290"/>
      <c r="AD29" s="1290"/>
      <c r="AE29" s="1290"/>
      <c r="AF29" s="1290"/>
      <c r="AG29" s="1290"/>
    </row>
    <row r="30" spans="1:33" s="458" customFormat="1" ht="12.95" customHeight="1" thickBot="1" x14ac:dyDescent="0.25">
      <c r="A30" s="977"/>
      <c r="B30" s="456"/>
      <c r="C30" s="447"/>
      <c r="D30" s="1290"/>
      <c r="E30" s="447"/>
      <c r="F30" s="447"/>
      <c r="G30" s="447"/>
      <c r="H30" s="447"/>
      <c r="I30" s="447"/>
      <c r="J30" s="447"/>
      <c r="K30" s="447"/>
      <c r="L30" s="447"/>
      <c r="M30" s="447"/>
      <c r="N30" s="447"/>
      <c r="O30" s="447"/>
      <c r="P30" s="447"/>
      <c r="Q30" s="1290"/>
      <c r="R30" s="1290"/>
      <c r="S30" s="1290"/>
      <c r="T30" s="1290"/>
      <c r="U30" s="1290"/>
      <c r="V30" s="1290"/>
      <c r="W30" s="1290"/>
      <c r="X30" s="1290"/>
      <c r="Y30" s="1290"/>
      <c r="Z30" s="1290"/>
      <c r="AA30" s="1290"/>
      <c r="AB30" s="1290"/>
      <c r="AC30" s="1290"/>
      <c r="AD30" s="1290"/>
      <c r="AE30" s="1290"/>
      <c r="AF30" s="1290"/>
      <c r="AG30" s="1290"/>
    </row>
    <row r="31" spans="1:33" s="458" customFormat="1" ht="20.100000000000001" customHeight="1" x14ac:dyDescent="0.2">
      <c r="A31" s="1379" t="s">
        <v>4384</v>
      </c>
      <c r="B31" s="456"/>
      <c r="C31" s="1291" t="s">
        <v>396</v>
      </c>
      <c r="D31" s="471"/>
      <c r="E31" s="472"/>
      <c r="F31" s="472"/>
      <c r="G31" s="472"/>
      <c r="H31" s="472"/>
      <c r="I31" s="472"/>
      <c r="J31" s="472"/>
      <c r="K31" s="472"/>
      <c r="L31" s="472"/>
      <c r="M31" s="472"/>
      <c r="N31" s="472"/>
      <c r="O31" s="472"/>
      <c r="P31" s="472"/>
      <c r="Q31" s="473"/>
      <c r="R31" s="1290"/>
      <c r="S31" s="1290"/>
      <c r="T31" s="1290"/>
      <c r="U31" s="1290"/>
      <c r="V31" s="1290"/>
      <c r="W31" s="1290"/>
      <c r="X31" s="1290"/>
      <c r="Y31" s="1290"/>
      <c r="Z31" s="1290"/>
      <c r="AA31" s="1290"/>
      <c r="AB31" s="1290"/>
      <c r="AC31" s="1290"/>
      <c r="AD31" s="1290"/>
      <c r="AE31" s="1290"/>
      <c r="AF31" s="1290"/>
      <c r="AG31" s="1290"/>
    </row>
    <row r="32" spans="1:33" s="458" customFormat="1" ht="12.95" customHeight="1" x14ac:dyDescent="0.2">
      <c r="A32" s="1379"/>
      <c r="B32" s="456"/>
      <c r="C32" s="474"/>
      <c r="D32" s="466" t="s">
        <v>372</v>
      </c>
      <c r="E32" s="462">
        <v>0.6</v>
      </c>
      <c r="F32" s="462">
        <v>0.6</v>
      </c>
      <c r="G32" s="462">
        <v>0.6</v>
      </c>
      <c r="H32" s="462">
        <v>0.6</v>
      </c>
      <c r="I32" s="462">
        <v>0.6</v>
      </c>
      <c r="J32" s="462">
        <v>0.6</v>
      </c>
      <c r="K32" s="462">
        <v>0.6</v>
      </c>
      <c r="L32" s="462">
        <v>0.6</v>
      </c>
      <c r="M32" s="462">
        <v>0.6</v>
      </c>
      <c r="N32" s="462">
        <v>0.6</v>
      </c>
      <c r="O32" s="462">
        <v>0.6</v>
      </c>
      <c r="P32" s="462">
        <v>0.6</v>
      </c>
      <c r="Q32" s="451" t="s">
        <v>400</v>
      </c>
      <c r="R32" s="1290"/>
      <c r="S32" s="1290"/>
      <c r="T32" s="1290"/>
      <c r="U32" s="1290"/>
      <c r="V32" s="1290"/>
      <c r="W32" s="1290"/>
      <c r="X32" s="1290"/>
      <c r="Y32" s="1290"/>
      <c r="Z32" s="1290"/>
      <c r="AA32" s="1290"/>
      <c r="AB32" s="1290"/>
      <c r="AC32" s="1290"/>
      <c r="AD32" s="1290"/>
      <c r="AE32" s="1290"/>
      <c r="AF32" s="1290"/>
      <c r="AG32" s="1290"/>
    </row>
    <row r="33" spans="1:33" s="458" customFormat="1" ht="12.95" customHeight="1" x14ac:dyDescent="0.2">
      <c r="A33" s="1379"/>
      <c r="B33" s="456"/>
      <c r="C33" s="474"/>
      <c r="D33" s="467" t="s">
        <v>373</v>
      </c>
      <c r="E33" s="462">
        <v>0.7</v>
      </c>
      <c r="F33" s="462">
        <v>0.7</v>
      </c>
      <c r="G33" s="462">
        <v>0.7</v>
      </c>
      <c r="H33" s="462">
        <v>0.7</v>
      </c>
      <c r="I33" s="462">
        <v>0.7</v>
      </c>
      <c r="J33" s="462">
        <v>0.7</v>
      </c>
      <c r="K33" s="462">
        <v>0.7</v>
      </c>
      <c r="L33" s="462">
        <v>0.7</v>
      </c>
      <c r="M33" s="462">
        <v>0.7</v>
      </c>
      <c r="N33" s="462">
        <v>0.7</v>
      </c>
      <c r="O33" s="462">
        <v>0.7</v>
      </c>
      <c r="P33" s="462">
        <v>0.7</v>
      </c>
      <c r="Q33" s="451" t="s">
        <v>401</v>
      </c>
      <c r="R33" s="1290"/>
      <c r="S33" s="1290"/>
      <c r="T33" s="1290"/>
      <c r="U33" s="1290"/>
      <c r="V33" s="1290"/>
      <c r="W33" s="1290"/>
      <c r="X33" s="1290"/>
      <c r="Y33" s="1290"/>
      <c r="Z33" s="1290"/>
      <c r="AA33" s="1290"/>
      <c r="AB33" s="1290"/>
      <c r="AC33" s="1290"/>
      <c r="AD33" s="1290"/>
      <c r="AE33" s="1290"/>
      <c r="AF33" s="1290"/>
      <c r="AG33" s="1290"/>
    </row>
    <row r="34" spans="1:33" s="458" customFormat="1" ht="12.95" customHeight="1" x14ac:dyDescent="0.2">
      <c r="A34" s="1379"/>
      <c r="B34" s="456"/>
      <c r="C34" s="474"/>
      <c r="D34" s="468" t="s">
        <v>374</v>
      </c>
      <c r="E34" s="462">
        <v>0.8</v>
      </c>
      <c r="F34" s="462">
        <v>0.8</v>
      </c>
      <c r="G34" s="462">
        <v>0.8</v>
      </c>
      <c r="H34" s="462">
        <v>0.8</v>
      </c>
      <c r="I34" s="462">
        <v>0.8</v>
      </c>
      <c r="J34" s="462">
        <v>0.8</v>
      </c>
      <c r="K34" s="462">
        <v>0.8</v>
      </c>
      <c r="L34" s="462">
        <v>0.8</v>
      </c>
      <c r="M34" s="462">
        <v>0.8</v>
      </c>
      <c r="N34" s="462">
        <v>0.8</v>
      </c>
      <c r="O34" s="462">
        <v>0.8</v>
      </c>
      <c r="P34" s="462">
        <v>0.8</v>
      </c>
      <c r="Q34" s="451" t="s">
        <v>402</v>
      </c>
      <c r="R34" s="1290"/>
      <c r="S34" s="1290"/>
      <c r="T34" s="1290"/>
      <c r="U34" s="1290"/>
      <c r="V34" s="1290"/>
      <c r="W34" s="1290"/>
      <c r="X34" s="1290"/>
      <c r="Y34" s="1290"/>
      <c r="Z34" s="1290"/>
      <c r="AA34" s="1290"/>
      <c r="AB34" s="1290"/>
      <c r="AC34" s="1290"/>
      <c r="AD34" s="1290"/>
      <c r="AE34" s="1290"/>
      <c r="AF34" s="1290"/>
      <c r="AG34" s="1290"/>
    </row>
    <row r="35" spans="1:33" s="458" customFormat="1" ht="12.95" customHeight="1" thickBot="1" x14ac:dyDescent="0.25">
      <c r="A35" s="1379"/>
      <c r="B35" s="18"/>
      <c r="C35" s="481"/>
      <c r="D35" s="477"/>
      <c r="E35" s="477"/>
      <c r="F35" s="477"/>
      <c r="G35" s="477"/>
      <c r="H35" s="477"/>
      <c r="I35" s="477"/>
      <c r="J35" s="477"/>
      <c r="K35" s="477"/>
      <c r="L35" s="477"/>
      <c r="M35" s="477"/>
      <c r="N35" s="477"/>
      <c r="O35" s="477"/>
      <c r="P35" s="477"/>
      <c r="Q35" s="482"/>
      <c r="R35" s="1290"/>
      <c r="S35" s="1290"/>
      <c r="T35" s="1290"/>
      <c r="U35" s="1290"/>
      <c r="V35" s="1290"/>
      <c r="W35" s="1290"/>
      <c r="X35" s="1290"/>
      <c r="Y35" s="1290"/>
      <c r="Z35" s="1290"/>
      <c r="AA35" s="1290"/>
      <c r="AB35" s="1290"/>
      <c r="AC35" s="1290"/>
      <c r="AD35" s="1290"/>
      <c r="AE35" s="1290"/>
      <c r="AF35" s="1290"/>
      <c r="AG35" s="1290"/>
    </row>
    <row r="36" spans="1:33" s="458" customFormat="1" ht="12.95" customHeight="1" thickBot="1" x14ac:dyDescent="0.25">
      <c r="A36" s="1379"/>
      <c r="B36" s="18"/>
      <c r="C36" s="447"/>
      <c r="D36" s="447"/>
      <c r="E36" s="447"/>
      <c r="F36" s="447"/>
      <c r="G36" s="447"/>
      <c r="H36" s="447"/>
      <c r="I36" s="447"/>
      <c r="J36" s="447"/>
      <c r="K36" s="447"/>
      <c r="L36" s="447"/>
      <c r="M36" s="447"/>
      <c r="N36" s="447"/>
      <c r="O36" s="447"/>
      <c r="P36" s="447"/>
      <c r="Q36" s="1290"/>
      <c r="R36" s="1290"/>
      <c r="S36" s="1290"/>
      <c r="T36" s="1290"/>
      <c r="U36" s="1290"/>
      <c r="V36" s="1290"/>
      <c r="W36" s="1290"/>
      <c r="X36" s="1290"/>
      <c r="Y36" s="1290"/>
      <c r="Z36" s="1290"/>
      <c r="AA36" s="1290"/>
      <c r="AB36" s="1290"/>
      <c r="AC36" s="1290"/>
      <c r="AD36" s="1290"/>
      <c r="AE36" s="1290"/>
      <c r="AF36" s="1290"/>
      <c r="AG36" s="1290"/>
    </row>
    <row r="37" spans="1:33" s="458" customFormat="1" ht="20.100000000000001" customHeight="1" x14ac:dyDescent="0.2">
      <c r="A37" s="1379"/>
      <c r="B37" s="18"/>
      <c r="C37" s="1291" t="s">
        <v>419</v>
      </c>
      <c r="D37" s="472"/>
      <c r="E37" s="472"/>
      <c r="F37" s="472"/>
      <c r="G37" s="472"/>
      <c r="H37" s="472"/>
      <c r="I37" s="472"/>
      <c r="J37" s="472"/>
      <c r="K37" s="472"/>
      <c r="L37" s="472"/>
      <c r="M37" s="472"/>
      <c r="N37" s="472"/>
      <c r="O37" s="472"/>
      <c r="P37" s="472"/>
      <c r="Q37" s="473"/>
      <c r="R37" s="1290"/>
      <c r="S37" s="1290"/>
      <c r="T37" s="1290"/>
      <c r="U37" s="1290"/>
      <c r="V37" s="1290"/>
      <c r="W37" s="1290"/>
      <c r="X37" s="1290"/>
      <c r="Y37" s="1290"/>
      <c r="Z37" s="1290"/>
      <c r="AA37" s="1290"/>
      <c r="AB37" s="1290"/>
      <c r="AC37" s="1290"/>
      <c r="AD37" s="1290"/>
      <c r="AE37" s="1290"/>
      <c r="AF37" s="1290"/>
      <c r="AG37" s="1290"/>
    </row>
    <row r="38" spans="1:33" s="458" customFormat="1" ht="12.95" customHeight="1" x14ac:dyDescent="0.2">
      <c r="A38" s="1379"/>
      <c r="B38" s="18"/>
      <c r="C38" s="474"/>
      <c r="D38" s="457"/>
      <c r="E38" s="553" t="s">
        <v>1646</v>
      </c>
      <c r="F38" s="553" t="s">
        <v>1647</v>
      </c>
      <c r="G38" s="553" t="s">
        <v>1648</v>
      </c>
      <c r="H38" s="553" t="s">
        <v>1649</v>
      </c>
      <c r="I38" s="553" t="s">
        <v>1650</v>
      </c>
      <c r="J38" s="553" t="s">
        <v>1651</v>
      </c>
      <c r="K38" s="553" t="s">
        <v>1652</v>
      </c>
      <c r="L38" s="553" t="s">
        <v>1653</v>
      </c>
      <c r="M38" s="553" t="s">
        <v>1654</v>
      </c>
      <c r="N38" s="553" t="s">
        <v>1655</v>
      </c>
      <c r="O38" s="553" t="s">
        <v>1656</v>
      </c>
      <c r="P38" s="553" t="s">
        <v>1657</v>
      </c>
      <c r="Q38" s="452"/>
      <c r="R38" s="1290"/>
      <c r="S38" s="1290"/>
      <c r="T38" s="1290"/>
      <c r="U38" s="1290"/>
      <c r="V38" s="1290"/>
      <c r="W38" s="1290"/>
      <c r="X38" s="1290"/>
      <c r="Y38" s="1290"/>
      <c r="Z38" s="1290"/>
      <c r="AA38" s="1290"/>
      <c r="AB38" s="1290"/>
      <c r="AC38" s="1290"/>
      <c r="AD38" s="1290"/>
      <c r="AE38" s="1290"/>
      <c r="AF38" s="1290"/>
      <c r="AG38" s="1290"/>
    </row>
    <row r="39" spans="1:33" s="458" customFormat="1" ht="12.95" customHeight="1" x14ac:dyDescent="0.2">
      <c r="A39" s="1379"/>
      <c r="B39" s="18"/>
      <c r="C39" s="474"/>
      <c r="D39" s="466" t="s">
        <v>367</v>
      </c>
      <c r="E39" s="1292">
        <f t="shared" ref="E39:P39" si="3">SUM(FTEHoursAvailProductiveYr*pSystemsLaborUtilRate)</f>
        <v>1030.2</v>
      </c>
      <c r="F39" s="1292">
        <f t="shared" si="3"/>
        <v>1030.2</v>
      </c>
      <c r="G39" s="1292">
        <f t="shared" si="3"/>
        <v>1030.2</v>
      </c>
      <c r="H39" s="1292">
        <f t="shared" si="3"/>
        <v>1030.2</v>
      </c>
      <c r="I39" s="1292">
        <f t="shared" si="3"/>
        <v>1030.2</v>
      </c>
      <c r="J39" s="1292">
        <f t="shared" si="3"/>
        <v>1030.2</v>
      </c>
      <c r="K39" s="1292">
        <f t="shared" si="3"/>
        <v>1030.2</v>
      </c>
      <c r="L39" s="1292">
        <f t="shared" si="3"/>
        <v>1030.2</v>
      </c>
      <c r="M39" s="1292">
        <f t="shared" si="3"/>
        <v>1030.2</v>
      </c>
      <c r="N39" s="1292">
        <f t="shared" si="3"/>
        <v>1030.2</v>
      </c>
      <c r="O39" s="1292">
        <f t="shared" si="3"/>
        <v>1030.2</v>
      </c>
      <c r="P39" s="1292">
        <f t="shared" si="3"/>
        <v>1030.2</v>
      </c>
      <c r="Q39" s="451"/>
      <c r="R39" s="1290"/>
      <c r="S39" s="1290"/>
      <c r="T39" s="1290"/>
      <c r="U39" s="1290"/>
      <c r="V39" s="1290"/>
      <c r="W39" s="1290"/>
      <c r="X39" s="1290"/>
      <c r="Y39" s="1290"/>
      <c r="Z39" s="1290"/>
      <c r="AA39" s="1290"/>
      <c r="AB39" s="1290"/>
      <c r="AC39" s="1290"/>
      <c r="AD39" s="1290"/>
      <c r="AE39" s="1290"/>
      <c r="AF39" s="1290"/>
      <c r="AG39" s="1290"/>
    </row>
    <row r="40" spans="1:33" s="458" customFormat="1" ht="12.95" customHeight="1" x14ac:dyDescent="0.2">
      <c r="A40" s="1379"/>
      <c r="B40" s="18"/>
      <c r="C40" s="487"/>
      <c r="D40" s="466"/>
      <c r="E40" s="553" t="s">
        <v>1658</v>
      </c>
      <c r="F40" s="553" t="s">
        <v>1659</v>
      </c>
      <c r="G40" s="553" t="s">
        <v>1660</v>
      </c>
      <c r="H40" s="553" t="s">
        <v>1661</v>
      </c>
      <c r="I40" s="553" t="s">
        <v>1662</v>
      </c>
      <c r="J40" s="553" t="s">
        <v>1663</v>
      </c>
      <c r="K40" s="553" t="s">
        <v>1664</v>
      </c>
      <c r="L40" s="553" t="s">
        <v>1665</v>
      </c>
      <c r="M40" s="553" t="s">
        <v>1666</v>
      </c>
      <c r="N40" s="553" t="s">
        <v>1667</v>
      </c>
      <c r="O40" s="553" t="s">
        <v>1668</v>
      </c>
      <c r="P40" s="553" t="s">
        <v>1669</v>
      </c>
      <c r="Q40" s="451"/>
      <c r="R40" s="1290"/>
      <c r="S40" s="1290"/>
      <c r="T40" s="1290"/>
      <c r="U40" s="1290"/>
      <c r="V40" s="1290"/>
      <c r="W40" s="1290"/>
      <c r="X40" s="1290"/>
      <c r="Y40" s="1290"/>
      <c r="Z40" s="1290"/>
      <c r="AA40" s="1290"/>
      <c r="AB40" s="1290"/>
      <c r="AC40" s="1290"/>
      <c r="AD40" s="1290"/>
      <c r="AE40" s="1290"/>
      <c r="AF40" s="1290"/>
      <c r="AG40" s="1290"/>
    </row>
    <row r="41" spans="1:33" s="458" customFormat="1" ht="12.95" customHeight="1" x14ac:dyDescent="0.2">
      <c r="A41" s="1379"/>
      <c r="B41" s="18"/>
      <c r="C41" s="474"/>
      <c r="D41" s="467" t="s">
        <v>368</v>
      </c>
      <c r="E41" s="1292">
        <f t="shared" ref="E41:P41" si="4">SUM(FTEHoursAvailProductiveYr*hSystemsLaborUtilRate)</f>
        <v>1201.8999999999999</v>
      </c>
      <c r="F41" s="1292">
        <f t="shared" si="4"/>
        <v>1201.8999999999999</v>
      </c>
      <c r="G41" s="1292">
        <f t="shared" si="4"/>
        <v>1201.8999999999999</v>
      </c>
      <c r="H41" s="1292">
        <f t="shared" si="4"/>
        <v>1201.8999999999999</v>
      </c>
      <c r="I41" s="1292">
        <f t="shared" si="4"/>
        <v>1201.8999999999999</v>
      </c>
      <c r="J41" s="1292">
        <f t="shared" si="4"/>
        <v>1201.8999999999999</v>
      </c>
      <c r="K41" s="1292">
        <f t="shared" si="4"/>
        <v>1201.8999999999999</v>
      </c>
      <c r="L41" s="1292">
        <f t="shared" si="4"/>
        <v>1201.8999999999999</v>
      </c>
      <c r="M41" s="1292">
        <f t="shared" si="4"/>
        <v>1201.8999999999999</v>
      </c>
      <c r="N41" s="1292">
        <f t="shared" si="4"/>
        <v>1201.8999999999999</v>
      </c>
      <c r="O41" s="1292">
        <f t="shared" si="4"/>
        <v>1201.8999999999999</v>
      </c>
      <c r="P41" s="1292">
        <f t="shared" si="4"/>
        <v>1201.8999999999999</v>
      </c>
      <c r="Q41" s="451"/>
      <c r="R41" s="1290"/>
      <c r="S41" s="1290"/>
      <c r="T41" s="1290"/>
      <c r="U41" s="1290"/>
      <c r="V41" s="1290"/>
      <c r="W41" s="1290"/>
      <c r="X41" s="1290"/>
      <c r="Y41" s="1290"/>
      <c r="Z41" s="1290"/>
      <c r="AA41" s="1290"/>
      <c r="AB41" s="1290"/>
      <c r="AC41" s="1290"/>
      <c r="AD41" s="1290"/>
      <c r="AE41" s="1290"/>
      <c r="AF41" s="1290"/>
      <c r="AG41" s="1290"/>
    </row>
    <row r="42" spans="1:33" s="458" customFormat="1" ht="12.95" customHeight="1" x14ac:dyDescent="0.2">
      <c r="A42" s="1379"/>
      <c r="B42" s="18"/>
      <c r="C42" s="474"/>
      <c r="D42" s="467"/>
      <c r="E42" s="553" t="s">
        <v>1670</v>
      </c>
      <c r="F42" s="553" t="s">
        <v>1671</v>
      </c>
      <c r="G42" s="553" t="s">
        <v>1672</v>
      </c>
      <c r="H42" s="553" t="s">
        <v>1673</v>
      </c>
      <c r="I42" s="553" t="s">
        <v>1674</v>
      </c>
      <c r="J42" s="553" t="s">
        <v>1675</v>
      </c>
      <c r="K42" s="553" t="s">
        <v>1676</v>
      </c>
      <c r="L42" s="553" t="s">
        <v>1677</v>
      </c>
      <c r="M42" s="553" t="s">
        <v>1678</v>
      </c>
      <c r="N42" s="553" t="s">
        <v>1679</v>
      </c>
      <c r="O42" s="553" t="s">
        <v>1680</v>
      </c>
      <c r="P42" s="553" t="s">
        <v>1681</v>
      </c>
      <c r="Q42" s="451"/>
      <c r="R42" s="1290"/>
      <c r="S42" s="1290"/>
      <c r="T42" s="1290"/>
      <c r="U42" s="1290"/>
      <c r="V42" s="1290"/>
      <c r="W42" s="1290"/>
      <c r="X42" s="1290"/>
      <c r="Y42" s="1290"/>
      <c r="Z42" s="1290"/>
      <c r="AA42" s="1290"/>
      <c r="AB42" s="1290"/>
      <c r="AC42" s="1290"/>
      <c r="AD42" s="1290"/>
      <c r="AE42" s="1290"/>
      <c r="AF42" s="1290"/>
      <c r="AG42" s="1290"/>
    </row>
    <row r="43" spans="1:33" s="458" customFormat="1" ht="12.95" customHeight="1" x14ac:dyDescent="0.2">
      <c r="A43" s="1379"/>
      <c r="B43" s="18"/>
      <c r="C43" s="474"/>
      <c r="D43" s="468" t="s">
        <v>369</v>
      </c>
      <c r="E43" s="1292">
        <f t="shared" ref="E43:P43" si="5">SUM(FTEHoursAvailProductiveYr*eSystemsLaborUtilRate)</f>
        <v>1373.6000000000001</v>
      </c>
      <c r="F43" s="1292">
        <f t="shared" si="5"/>
        <v>1373.6000000000001</v>
      </c>
      <c r="G43" s="1292">
        <f t="shared" si="5"/>
        <v>1373.6000000000001</v>
      </c>
      <c r="H43" s="1292">
        <f t="shared" si="5"/>
        <v>1373.6000000000001</v>
      </c>
      <c r="I43" s="1292">
        <f t="shared" si="5"/>
        <v>1373.6000000000001</v>
      </c>
      <c r="J43" s="1292">
        <f t="shared" si="5"/>
        <v>1373.6000000000001</v>
      </c>
      <c r="K43" s="1292">
        <f t="shared" si="5"/>
        <v>1373.6000000000001</v>
      </c>
      <c r="L43" s="1292">
        <f t="shared" si="5"/>
        <v>1373.6000000000001</v>
      </c>
      <c r="M43" s="1292">
        <f t="shared" si="5"/>
        <v>1373.6000000000001</v>
      </c>
      <c r="N43" s="1292">
        <f t="shared" si="5"/>
        <v>1373.6000000000001</v>
      </c>
      <c r="O43" s="1292">
        <f t="shared" si="5"/>
        <v>1373.6000000000001</v>
      </c>
      <c r="P43" s="1292">
        <f t="shared" si="5"/>
        <v>1373.6000000000001</v>
      </c>
      <c r="Q43" s="451"/>
      <c r="R43" s="1290"/>
      <c r="S43" s="1290"/>
      <c r="T43" s="1290"/>
      <c r="U43" s="1290"/>
      <c r="V43" s="1290"/>
      <c r="W43" s="1290"/>
      <c r="X43" s="1290"/>
      <c r="Y43" s="1290"/>
      <c r="Z43" s="1290"/>
      <c r="AA43" s="1290"/>
      <c r="AB43" s="1290"/>
      <c r="AC43" s="1290"/>
      <c r="AD43" s="1290"/>
      <c r="AE43" s="1290"/>
      <c r="AF43" s="1290"/>
      <c r="AG43" s="1290"/>
    </row>
    <row r="44" spans="1:33" s="458" customFormat="1" ht="12.95" customHeight="1" thickBot="1" x14ac:dyDescent="0.25">
      <c r="A44" s="1379"/>
      <c r="B44" s="18"/>
      <c r="C44" s="481"/>
      <c r="D44" s="477"/>
      <c r="E44" s="477"/>
      <c r="F44" s="477"/>
      <c r="G44" s="477"/>
      <c r="H44" s="477"/>
      <c r="I44" s="477"/>
      <c r="J44" s="477"/>
      <c r="K44" s="477"/>
      <c r="L44" s="477"/>
      <c r="M44" s="477"/>
      <c r="N44" s="477"/>
      <c r="O44" s="477"/>
      <c r="P44" s="477"/>
      <c r="Q44" s="482"/>
      <c r="R44" s="1290"/>
      <c r="S44" s="1290"/>
      <c r="T44" s="1290"/>
      <c r="U44" s="1290"/>
      <c r="V44" s="1290"/>
      <c r="W44" s="1290"/>
      <c r="X44" s="1290"/>
      <c r="Y44" s="1290"/>
      <c r="Z44" s="1290"/>
      <c r="AA44" s="1290"/>
      <c r="AB44" s="1290"/>
      <c r="AC44" s="1290"/>
      <c r="AD44" s="1290"/>
      <c r="AE44" s="1290"/>
      <c r="AF44" s="1290"/>
      <c r="AG44" s="1290"/>
    </row>
    <row r="45" spans="1:33" s="458" customFormat="1" ht="12.95" customHeight="1" thickBot="1" x14ac:dyDescent="0.25">
      <c r="A45" s="1379"/>
      <c r="B45" s="18"/>
      <c r="C45" s="1290"/>
      <c r="D45" s="465"/>
      <c r="E45" s="447"/>
      <c r="F45" s="447"/>
      <c r="G45" s="447"/>
      <c r="H45" s="447"/>
      <c r="I45" s="447"/>
      <c r="J45" s="447"/>
      <c r="K45" s="447"/>
      <c r="L45" s="447"/>
      <c r="M45" s="447"/>
      <c r="N45" s="447"/>
      <c r="O45" s="447"/>
      <c r="P45" s="447"/>
      <c r="Q45" s="1290"/>
      <c r="R45" s="1290"/>
      <c r="S45" s="1290"/>
      <c r="T45" s="1290"/>
      <c r="U45" s="1290"/>
      <c r="V45" s="1290"/>
      <c r="W45" s="1290"/>
      <c r="X45" s="1290"/>
      <c r="Y45" s="1290"/>
      <c r="Z45" s="1290"/>
      <c r="AA45" s="1290"/>
      <c r="AB45" s="1290"/>
      <c r="AC45" s="1290"/>
      <c r="AD45" s="1290"/>
      <c r="AE45" s="1290"/>
      <c r="AF45" s="1290"/>
      <c r="AG45" s="1290"/>
    </row>
    <row r="46" spans="1:33" s="458" customFormat="1" ht="20.100000000000001" customHeight="1" x14ac:dyDescent="0.2">
      <c r="A46" s="1379"/>
      <c r="B46" s="18"/>
      <c r="C46" s="1291" t="s">
        <v>393</v>
      </c>
      <c r="D46" s="707"/>
      <c r="E46" s="472"/>
      <c r="F46" s="472"/>
      <c r="G46" s="472"/>
      <c r="H46" s="472"/>
      <c r="I46" s="472"/>
      <c r="J46" s="472"/>
      <c r="K46" s="472"/>
      <c r="L46" s="472"/>
      <c r="M46" s="472"/>
      <c r="N46" s="472"/>
      <c r="O46" s="472"/>
      <c r="P46" s="472"/>
      <c r="Q46" s="473"/>
      <c r="R46" s="1290"/>
      <c r="S46" s="1290"/>
      <c r="T46" s="1290"/>
      <c r="U46" s="1290"/>
      <c r="V46" s="1290"/>
      <c r="W46" s="1290"/>
      <c r="X46" s="1290"/>
      <c r="Y46" s="1290"/>
      <c r="Z46" s="1290"/>
      <c r="AA46" s="1290"/>
      <c r="AB46" s="1290"/>
      <c r="AC46" s="1290"/>
      <c r="AD46" s="1290"/>
      <c r="AE46" s="1290"/>
      <c r="AF46" s="1290"/>
      <c r="AG46" s="1290"/>
    </row>
    <row r="47" spans="1:33" s="458" customFormat="1" ht="12.95" customHeight="1" x14ac:dyDescent="0.2">
      <c r="A47" s="1379"/>
      <c r="B47" s="18"/>
      <c r="C47" s="474"/>
      <c r="D47" s="447" t="s">
        <v>388</v>
      </c>
      <c r="E47" s="884">
        <v>90000</v>
      </c>
      <c r="F47" s="884">
        <v>85000</v>
      </c>
      <c r="G47" s="884">
        <v>100000</v>
      </c>
      <c r="H47" s="884">
        <v>80000</v>
      </c>
      <c r="I47" s="884">
        <v>50000</v>
      </c>
      <c r="J47" s="884">
        <v>60000</v>
      </c>
      <c r="K47" s="884">
        <v>75000</v>
      </c>
      <c r="L47" s="884">
        <v>60000</v>
      </c>
      <c r="M47" s="884">
        <v>60000</v>
      </c>
      <c r="N47" s="884">
        <v>60000</v>
      </c>
      <c r="O47" s="884">
        <v>60000</v>
      </c>
      <c r="P47" s="884">
        <v>60000</v>
      </c>
      <c r="Q47" s="451" t="s">
        <v>423</v>
      </c>
      <c r="R47" s="1290"/>
      <c r="S47" s="1290"/>
      <c r="T47" s="1290"/>
      <c r="U47" s="1290"/>
      <c r="V47" s="1290"/>
      <c r="W47" s="1290"/>
      <c r="X47" s="1290"/>
      <c r="Y47" s="1290"/>
      <c r="Z47" s="1290"/>
      <c r="AA47" s="1290"/>
      <c r="AB47" s="1290"/>
      <c r="AC47" s="1290"/>
      <c r="AD47" s="1290"/>
      <c r="AE47" s="1290"/>
      <c r="AF47" s="1290"/>
      <c r="AG47" s="1290"/>
    </row>
    <row r="48" spans="1:33" s="458" customFormat="1" ht="12.95" customHeight="1" x14ac:dyDescent="0.2">
      <c r="A48" s="1379"/>
      <c r="B48" s="456"/>
      <c r="C48" s="474"/>
      <c r="D48" s="447" t="s">
        <v>405</v>
      </c>
      <c r="E48" s="1293">
        <f t="shared" ref="E48:P48" si="6">SalaryBaseYr/FTEHoursNormalYr</f>
        <v>43.269230769230766</v>
      </c>
      <c r="F48" s="1293">
        <f t="shared" si="6"/>
        <v>40.865384615384613</v>
      </c>
      <c r="G48" s="1293">
        <f t="shared" si="6"/>
        <v>48.07692307692308</v>
      </c>
      <c r="H48" s="1293">
        <f t="shared" si="6"/>
        <v>38.46153846153846</v>
      </c>
      <c r="I48" s="1293">
        <f t="shared" si="6"/>
        <v>24.03846153846154</v>
      </c>
      <c r="J48" s="1293">
        <f t="shared" si="6"/>
        <v>28.846153846153847</v>
      </c>
      <c r="K48" s="1293">
        <f t="shared" si="6"/>
        <v>36.057692307692307</v>
      </c>
      <c r="L48" s="1293">
        <f t="shared" si="6"/>
        <v>28.846153846153847</v>
      </c>
      <c r="M48" s="1293">
        <f t="shared" si="6"/>
        <v>28.846153846153847</v>
      </c>
      <c r="N48" s="1293">
        <f t="shared" si="6"/>
        <v>28.846153846153847</v>
      </c>
      <c r="O48" s="1293">
        <f t="shared" si="6"/>
        <v>28.846153846153847</v>
      </c>
      <c r="P48" s="1293">
        <f t="shared" si="6"/>
        <v>28.846153846153847</v>
      </c>
      <c r="Q48" s="451" t="s">
        <v>407</v>
      </c>
      <c r="R48" s="1290"/>
      <c r="S48" s="1290"/>
      <c r="T48" s="1290"/>
      <c r="U48" s="1290"/>
      <c r="V48" s="1290"/>
      <c r="W48" s="1290"/>
      <c r="X48" s="1290"/>
      <c r="Y48" s="1290"/>
      <c r="Z48" s="1290"/>
      <c r="AA48" s="1290"/>
      <c r="AB48" s="1290"/>
      <c r="AC48" s="1290"/>
      <c r="AD48" s="1290"/>
      <c r="AE48" s="1290"/>
      <c r="AF48" s="1290"/>
      <c r="AG48" s="1290"/>
    </row>
    <row r="49" spans="1:33" s="458" customFormat="1" ht="12.95" customHeight="1" x14ac:dyDescent="0.2">
      <c r="A49" s="1379"/>
      <c r="B49" s="456"/>
      <c r="C49" s="474"/>
      <c r="D49" s="463" t="s">
        <v>403</v>
      </c>
      <c r="E49" s="469">
        <v>0.5</v>
      </c>
      <c r="F49" s="469">
        <v>0.5</v>
      </c>
      <c r="G49" s="469">
        <v>0.5</v>
      </c>
      <c r="H49" s="469">
        <v>0.5</v>
      </c>
      <c r="I49" s="469">
        <v>0.5</v>
      </c>
      <c r="J49" s="469">
        <v>0.5</v>
      </c>
      <c r="K49" s="469">
        <v>0.5</v>
      </c>
      <c r="L49" s="469">
        <v>0.5</v>
      </c>
      <c r="M49" s="469">
        <v>0.5</v>
      </c>
      <c r="N49" s="469">
        <v>0.5</v>
      </c>
      <c r="O49" s="469">
        <v>0.5</v>
      </c>
      <c r="P49" s="469">
        <v>0.5</v>
      </c>
      <c r="Q49" s="451" t="s">
        <v>420</v>
      </c>
      <c r="R49" s="1290"/>
      <c r="S49" s="1290"/>
      <c r="T49" s="1290"/>
      <c r="U49" s="1290"/>
      <c r="V49" s="1290"/>
      <c r="W49" s="1290"/>
      <c r="X49" s="1290"/>
      <c r="Y49" s="1290"/>
      <c r="Z49" s="1290"/>
      <c r="AA49" s="1290"/>
      <c r="AB49" s="1290"/>
      <c r="AC49" s="1290"/>
      <c r="AD49" s="1290"/>
      <c r="AE49" s="1290"/>
      <c r="AF49" s="1290"/>
      <c r="AG49" s="1290"/>
    </row>
    <row r="50" spans="1:33" s="458" customFormat="1" ht="12.95" customHeight="1" x14ac:dyDescent="0.2">
      <c r="A50" s="1379"/>
      <c r="B50" s="456"/>
      <c r="C50" s="474"/>
      <c r="D50" s="463" t="s">
        <v>404</v>
      </c>
      <c r="E50" s="1294">
        <f t="shared" ref="E50:P50" si="7">SalaryBaseRateHrly*(1+SalaryOTPercent)*FTEHoursOTYr</f>
        <v>6490.3846153846143</v>
      </c>
      <c r="F50" s="1294">
        <f t="shared" si="7"/>
        <v>6129.8076923076924</v>
      </c>
      <c r="G50" s="1294">
        <f t="shared" si="7"/>
        <v>7211.538461538461</v>
      </c>
      <c r="H50" s="1294">
        <f t="shared" si="7"/>
        <v>5769.2307692307695</v>
      </c>
      <c r="I50" s="1294">
        <f t="shared" si="7"/>
        <v>3605.7692307692305</v>
      </c>
      <c r="J50" s="1294">
        <f t="shared" si="7"/>
        <v>4326.9230769230771</v>
      </c>
      <c r="K50" s="1294">
        <f t="shared" si="7"/>
        <v>5408.6538461538457</v>
      </c>
      <c r="L50" s="1294">
        <f t="shared" si="7"/>
        <v>4326.9230769230771</v>
      </c>
      <c r="M50" s="1294">
        <f t="shared" si="7"/>
        <v>4326.9230769230771</v>
      </c>
      <c r="N50" s="1294">
        <f t="shared" si="7"/>
        <v>4326.9230769230771</v>
      </c>
      <c r="O50" s="1294">
        <f t="shared" si="7"/>
        <v>4326.9230769230771</v>
      </c>
      <c r="P50" s="1294">
        <f t="shared" si="7"/>
        <v>4326.9230769230771</v>
      </c>
      <c r="Q50" s="451" t="s">
        <v>409</v>
      </c>
      <c r="R50" s="1290"/>
      <c r="S50" s="1290"/>
      <c r="T50" s="1290"/>
      <c r="U50" s="1290"/>
      <c r="V50" s="1290"/>
      <c r="W50" s="1290"/>
      <c r="X50" s="1290"/>
      <c r="Y50" s="1290"/>
      <c r="Z50" s="1290"/>
      <c r="AA50" s="1290"/>
      <c r="AB50" s="1290"/>
      <c r="AC50" s="1290"/>
      <c r="AD50" s="1290"/>
      <c r="AE50" s="1290"/>
      <c r="AF50" s="1290"/>
      <c r="AG50" s="1290"/>
    </row>
    <row r="51" spans="1:33" s="458" customFormat="1" ht="12.95" customHeight="1" x14ac:dyDescent="0.2">
      <c r="A51" s="1379"/>
      <c r="B51" s="456"/>
      <c r="C51" s="474"/>
      <c r="D51" s="470" t="s">
        <v>406</v>
      </c>
      <c r="E51" s="1294">
        <f>SUM(E47+E50)</f>
        <v>96490.38461538461</v>
      </c>
      <c r="F51" s="1294">
        <f>SUM(F47+F50)</f>
        <v>91129.807692307688</v>
      </c>
      <c r="G51" s="1294">
        <f t="shared" ref="G51:P51" si="8">SUM(G47+G50)</f>
        <v>107211.53846153847</v>
      </c>
      <c r="H51" s="1294">
        <f t="shared" si="8"/>
        <v>85769.230769230766</v>
      </c>
      <c r="I51" s="1294">
        <f t="shared" si="8"/>
        <v>53605.769230769234</v>
      </c>
      <c r="J51" s="1294">
        <f t="shared" si="8"/>
        <v>64326.923076923078</v>
      </c>
      <c r="K51" s="1294">
        <f t="shared" si="8"/>
        <v>80408.653846153844</v>
      </c>
      <c r="L51" s="1294">
        <f t="shared" si="8"/>
        <v>64326.923076923078</v>
      </c>
      <c r="M51" s="1294">
        <f t="shared" si="8"/>
        <v>64326.923076923078</v>
      </c>
      <c r="N51" s="1294">
        <f t="shared" si="8"/>
        <v>64326.923076923078</v>
      </c>
      <c r="O51" s="1294">
        <f t="shared" si="8"/>
        <v>64326.923076923078</v>
      </c>
      <c r="P51" s="1294">
        <f t="shared" si="8"/>
        <v>64326.923076923078</v>
      </c>
      <c r="Q51" s="451" t="s">
        <v>408</v>
      </c>
      <c r="R51" s="1290"/>
      <c r="S51" s="1290"/>
      <c r="T51" s="1290"/>
      <c r="U51" s="1290"/>
      <c r="V51" s="1290"/>
      <c r="W51" s="1290"/>
      <c r="X51" s="1290"/>
      <c r="Y51" s="1290"/>
      <c r="Z51" s="1290"/>
      <c r="AA51" s="1290"/>
      <c r="AB51" s="1290"/>
      <c r="AC51" s="1290"/>
      <c r="AD51" s="1290"/>
      <c r="AE51" s="1290"/>
      <c r="AF51" s="1290"/>
      <c r="AG51" s="1290"/>
    </row>
    <row r="52" spans="1:33" s="458" customFormat="1" ht="12.95" customHeight="1" x14ac:dyDescent="0.2">
      <c r="A52" s="1379"/>
      <c r="B52" s="456"/>
      <c r="C52" s="474"/>
      <c r="D52" s="447" t="s">
        <v>389</v>
      </c>
      <c r="E52" s="491">
        <v>0.3</v>
      </c>
      <c r="F52" s="491">
        <v>0.3</v>
      </c>
      <c r="G52" s="491">
        <v>0.3</v>
      </c>
      <c r="H52" s="491">
        <v>0.3</v>
      </c>
      <c r="I52" s="491">
        <v>0.3</v>
      </c>
      <c r="J52" s="491">
        <v>0.3</v>
      </c>
      <c r="K52" s="491">
        <v>0.3</v>
      </c>
      <c r="L52" s="491">
        <v>0.3</v>
      </c>
      <c r="M52" s="491">
        <v>0.3</v>
      </c>
      <c r="N52" s="491">
        <v>0.3</v>
      </c>
      <c r="O52" s="491">
        <v>0.3</v>
      </c>
      <c r="P52" s="491">
        <v>0.3</v>
      </c>
      <c r="Q52" s="452"/>
      <c r="R52" s="1290"/>
      <c r="S52" s="1290"/>
      <c r="T52" s="1290"/>
      <c r="U52" s="1290"/>
      <c r="V52" s="1290"/>
      <c r="W52" s="1290"/>
      <c r="X52" s="1290"/>
      <c r="Y52" s="1290"/>
      <c r="Z52" s="1290"/>
      <c r="AA52" s="1290"/>
      <c r="AB52" s="1290"/>
      <c r="AC52" s="1290"/>
      <c r="AD52" s="1290"/>
      <c r="AE52" s="1290"/>
      <c r="AF52" s="1290"/>
      <c r="AG52" s="1290"/>
    </row>
    <row r="53" spans="1:33" s="455" customFormat="1" ht="12.95" customHeight="1" x14ac:dyDescent="0.2">
      <c r="A53" s="1379"/>
      <c r="B53" s="454"/>
      <c r="C53" s="599"/>
      <c r="D53" s="600"/>
      <c r="E53" s="553" t="s">
        <v>3027</v>
      </c>
      <c r="F53" s="553" t="s">
        <v>3028</v>
      </c>
      <c r="G53" s="553" t="s">
        <v>3029</v>
      </c>
      <c r="H53" s="553" t="s">
        <v>3030</v>
      </c>
      <c r="I53" s="553" t="s">
        <v>3031</v>
      </c>
      <c r="J53" s="553" t="s">
        <v>3032</v>
      </c>
      <c r="K53" s="553" t="s">
        <v>3033</v>
      </c>
      <c r="L53" s="553" t="s">
        <v>3034</v>
      </c>
      <c r="M53" s="553" t="s">
        <v>3035</v>
      </c>
      <c r="N53" s="553" t="s">
        <v>3036</v>
      </c>
      <c r="O53" s="553" t="s">
        <v>3037</v>
      </c>
      <c r="P53" s="553" t="s">
        <v>3038</v>
      </c>
      <c r="Q53" s="601"/>
      <c r="R53" s="1289"/>
      <c r="S53" s="1289"/>
      <c r="T53" s="1289"/>
      <c r="U53" s="1289"/>
      <c r="V53" s="1289"/>
      <c r="W53" s="1289"/>
      <c r="X53" s="1289"/>
      <c r="Y53" s="1289"/>
      <c r="Z53" s="1289"/>
      <c r="AA53" s="1289"/>
      <c r="AB53" s="1289"/>
      <c r="AC53" s="1289"/>
      <c r="AD53" s="1289"/>
      <c r="AE53" s="1289"/>
      <c r="AF53" s="1289"/>
      <c r="AG53" s="1289"/>
    </row>
    <row r="54" spans="1:33" s="458" customFormat="1" ht="12.95" customHeight="1" x14ac:dyDescent="0.2">
      <c r="A54" s="1379"/>
      <c r="B54" s="456"/>
      <c r="C54" s="474"/>
      <c r="D54" s="448" t="s">
        <v>375</v>
      </c>
      <c r="E54" s="1295">
        <f t="shared" ref="E54:P54" si="9">SUM(SalaryDirectpa*(1+E52))</f>
        <v>125437.5</v>
      </c>
      <c r="F54" s="1295">
        <f t="shared" ref="F54" si="10">SUM(SalaryDirectpa*(1+F52))</f>
        <v>118468.75</v>
      </c>
      <c r="G54" s="1295">
        <f t="shared" si="9"/>
        <v>139375</v>
      </c>
      <c r="H54" s="1295">
        <f t="shared" si="9"/>
        <v>111500</v>
      </c>
      <c r="I54" s="1295">
        <f t="shared" si="9"/>
        <v>69687.5</v>
      </c>
      <c r="J54" s="1295">
        <f t="shared" si="9"/>
        <v>83625</v>
      </c>
      <c r="K54" s="1295">
        <f t="shared" si="9"/>
        <v>104531.25</v>
      </c>
      <c r="L54" s="1295">
        <f t="shared" si="9"/>
        <v>83625</v>
      </c>
      <c r="M54" s="1295">
        <f t="shared" si="9"/>
        <v>83625</v>
      </c>
      <c r="N54" s="1295">
        <f t="shared" si="9"/>
        <v>83625</v>
      </c>
      <c r="O54" s="1295">
        <f t="shared" si="9"/>
        <v>83625</v>
      </c>
      <c r="P54" s="1295">
        <f t="shared" si="9"/>
        <v>83625</v>
      </c>
      <c r="Q54" s="451"/>
      <c r="R54" s="1290"/>
      <c r="S54" s="1290"/>
      <c r="T54" s="1290"/>
      <c r="U54" s="1290"/>
      <c r="V54" s="1290"/>
      <c r="W54" s="1290"/>
      <c r="X54" s="1290"/>
      <c r="Y54" s="1290"/>
      <c r="Z54" s="1290"/>
      <c r="AA54" s="1290"/>
      <c r="AB54" s="1290"/>
      <c r="AC54" s="1290"/>
      <c r="AD54" s="1290"/>
      <c r="AE54" s="1290"/>
      <c r="AF54" s="1290"/>
      <c r="AG54" s="1290"/>
    </row>
    <row r="55" spans="1:33" s="458" customFormat="1" ht="12.95" customHeight="1" thickBot="1" x14ac:dyDescent="0.25">
      <c r="A55" s="1379"/>
      <c r="B55" s="456"/>
      <c r="C55" s="481"/>
      <c r="D55" s="492"/>
      <c r="E55" s="493"/>
      <c r="F55" s="493"/>
      <c r="G55" s="493"/>
      <c r="H55" s="493"/>
      <c r="I55" s="493"/>
      <c r="J55" s="493"/>
      <c r="K55" s="493"/>
      <c r="L55" s="493"/>
      <c r="M55" s="493"/>
      <c r="N55" s="493"/>
      <c r="O55" s="493"/>
      <c r="P55" s="493"/>
      <c r="Q55" s="482"/>
      <c r="R55" s="1290"/>
      <c r="S55" s="1290"/>
      <c r="T55" s="1290"/>
      <c r="U55" s="1290"/>
      <c r="V55" s="1290"/>
      <c r="W55" s="1290"/>
      <c r="X55" s="1290"/>
      <c r="Y55" s="1290"/>
      <c r="Z55" s="1290"/>
      <c r="AA55" s="1290"/>
      <c r="AB55" s="1290"/>
      <c r="AC55" s="1290"/>
      <c r="AD55" s="1290"/>
      <c r="AE55" s="1290"/>
      <c r="AF55" s="1290"/>
      <c r="AG55" s="1290"/>
    </row>
    <row r="56" spans="1:33" s="458" customFormat="1" ht="12.95" customHeight="1" thickBot="1" x14ac:dyDescent="0.25">
      <c r="A56" s="1379"/>
      <c r="B56" s="456"/>
      <c r="C56" s="447"/>
      <c r="D56" s="463"/>
      <c r="E56" s="450"/>
      <c r="F56" s="450"/>
      <c r="G56" s="450"/>
      <c r="H56" s="450"/>
      <c r="I56" s="450"/>
      <c r="J56" s="450"/>
      <c r="K56" s="450"/>
      <c r="L56" s="450"/>
      <c r="M56" s="450"/>
      <c r="N56" s="450"/>
      <c r="O56" s="450"/>
      <c r="P56" s="450"/>
      <c r="Q56" s="447"/>
      <c r="R56" s="1290"/>
      <c r="S56" s="1290"/>
      <c r="T56" s="1290"/>
      <c r="U56" s="1290"/>
      <c r="V56" s="1290"/>
      <c r="W56" s="1290"/>
      <c r="X56" s="1290"/>
      <c r="Y56" s="1290"/>
      <c r="Z56" s="1290"/>
      <c r="AA56" s="1290"/>
      <c r="AB56" s="1290"/>
      <c r="AC56" s="1290"/>
      <c r="AD56" s="1290"/>
      <c r="AE56" s="1290"/>
      <c r="AF56" s="1290"/>
      <c r="AG56" s="1290"/>
    </row>
    <row r="57" spans="1:33" s="458" customFormat="1" ht="20.100000000000001" customHeight="1" x14ac:dyDescent="0.2">
      <c r="A57" s="1379"/>
      <c r="B57" s="456"/>
      <c r="C57" s="1291" t="s">
        <v>418</v>
      </c>
      <c r="D57" s="885"/>
      <c r="E57" s="886"/>
      <c r="F57" s="886"/>
      <c r="G57" s="886"/>
      <c r="H57" s="886"/>
      <c r="I57" s="886"/>
      <c r="J57" s="886"/>
      <c r="K57" s="886"/>
      <c r="L57" s="886"/>
      <c r="M57" s="886"/>
      <c r="N57" s="886"/>
      <c r="O57" s="886"/>
      <c r="P57" s="886"/>
      <c r="Q57" s="473"/>
      <c r="R57" s="1290"/>
      <c r="S57" s="1290"/>
      <c r="T57" s="1290"/>
      <c r="U57" s="1290"/>
      <c r="V57" s="1290"/>
      <c r="W57" s="1290"/>
      <c r="X57" s="1290"/>
      <c r="Y57" s="1290"/>
      <c r="Z57" s="1290"/>
      <c r="AA57" s="1290"/>
      <c r="AB57" s="1290"/>
      <c r="AC57" s="1290"/>
      <c r="AD57" s="1290"/>
      <c r="AE57" s="1290"/>
      <c r="AF57" s="1290"/>
      <c r="AG57" s="1290"/>
    </row>
    <row r="58" spans="1:33" s="458" customFormat="1" ht="12.95" customHeight="1" x14ac:dyDescent="0.2">
      <c r="A58" s="1379"/>
      <c r="B58" s="456"/>
      <c r="C58" s="474"/>
      <c r="D58" s="465"/>
      <c r="E58" s="553" t="s">
        <v>1374</v>
      </c>
      <c r="F58" s="553" t="s">
        <v>1375</v>
      </c>
      <c r="G58" s="553" t="s">
        <v>1376</v>
      </c>
      <c r="H58" s="553" t="s">
        <v>1377</v>
      </c>
      <c r="I58" s="553" t="s">
        <v>1378</v>
      </c>
      <c r="J58" s="553" t="s">
        <v>1379</v>
      </c>
      <c r="K58" s="553" t="s">
        <v>1380</v>
      </c>
      <c r="L58" s="553" t="s">
        <v>1381</v>
      </c>
      <c r="M58" s="553" t="s">
        <v>1382</v>
      </c>
      <c r="N58" s="553" t="s">
        <v>1383</v>
      </c>
      <c r="O58" s="553" t="s">
        <v>1384</v>
      </c>
      <c r="P58" s="553" t="s">
        <v>1385</v>
      </c>
      <c r="Q58" s="452"/>
      <c r="R58" s="1290"/>
      <c r="S58" s="1290"/>
      <c r="T58" s="1290"/>
      <c r="U58" s="1290"/>
      <c r="V58" s="1290"/>
      <c r="W58" s="1290"/>
      <c r="X58" s="1290"/>
      <c r="Y58" s="1290"/>
      <c r="Z58" s="1290"/>
      <c r="AA58" s="1290"/>
      <c r="AB58" s="1290"/>
      <c r="AC58" s="1290"/>
      <c r="AD58" s="1290"/>
      <c r="AE58" s="1290"/>
      <c r="AF58" s="1290"/>
      <c r="AG58" s="1290"/>
    </row>
    <row r="59" spans="1:33" s="458" customFormat="1" ht="12.95" customHeight="1" x14ac:dyDescent="0.2">
      <c r="A59" s="1379"/>
      <c r="B59" s="456"/>
      <c r="C59" s="474"/>
      <c r="D59" s="466" t="s">
        <v>390</v>
      </c>
      <c r="E59" s="1296">
        <f>AnnualBurdenedSalaryENG/pSystemsTouchHourspaENG</f>
        <v>121.76033779848572</v>
      </c>
      <c r="F59" s="1296">
        <f>AnnualBurdenedSalaryPLG/pSystemsTouchHourspaENG</f>
        <v>114.99587458745874</v>
      </c>
      <c r="G59" s="1296">
        <f>AnnualBurdenedSalaryLM/pSystemsTouchHourspaENG</f>
        <v>135.28926422053971</v>
      </c>
      <c r="H59" s="1296">
        <f>AnnualBurdenedSalaryHM/pSystemsTouchHourspaENG</f>
        <v>108.23141137643175</v>
      </c>
      <c r="I59" s="1296">
        <f>AnnualBurdenedSalaryCRT/pSystemsTouchHourspaENG</f>
        <v>67.644632110269853</v>
      </c>
      <c r="J59" s="1296">
        <f>AnnualBurdenedSalarySCL/pSystemsTouchHourspaENG</f>
        <v>81.173558532323824</v>
      </c>
      <c r="K59" s="1296">
        <f>AnnualBurdenedSalaryQSC/pSystemsTouchHourspaENG</f>
        <v>101.46694816540477</v>
      </c>
      <c r="L59" s="1296">
        <f>AnnualBurdenedSalaryEM/pSystemsTouchHourspaENG</f>
        <v>81.173558532323824</v>
      </c>
      <c r="M59" s="1296">
        <f>AnnualBurdenedSalaryCM/pSystemsTouchHourspaENG</f>
        <v>81.173558532323824</v>
      </c>
      <c r="N59" s="1296">
        <f>AnnualBurdenedSalarySMCS/pSystemsTouchHourspaENG</f>
        <v>81.173558532323824</v>
      </c>
      <c r="O59" s="1296">
        <f>AnnualBurdenedSalaryO1/pSystemsTouchHourspaENG</f>
        <v>81.173558532323824</v>
      </c>
      <c r="P59" s="1296">
        <f>AnnualBurdenedSalaryO2/pSystemsTouchHourspaENG</f>
        <v>81.173558532323824</v>
      </c>
      <c r="Q59" s="451"/>
      <c r="R59" s="1290"/>
      <c r="S59" s="1290"/>
      <c r="T59" s="1290"/>
      <c r="U59" s="1290"/>
      <c r="V59" s="1290"/>
      <c r="W59" s="1290"/>
      <c r="X59" s="1290"/>
      <c r="Y59" s="1290"/>
      <c r="Z59" s="1290"/>
      <c r="AA59" s="1290"/>
      <c r="AB59" s="1290"/>
      <c r="AC59" s="1290"/>
      <c r="AD59" s="1290"/>
      <c r="AE59" s="1290"/>
      <c r="AF59" s="1290"/>
      <c r="AG59" s="1290"/>
    </row>
    <row r="60" spans="1:33" s="458" customFormat="1" ht="12.95" customHeight="1" x14ac:dyDescent="0.2">
      <c r="A60" s="1379"/>
      <c r="B60" s="456"/>
      <c r="C60" s="474"/>
      <c r="D60" s="466"/>
      <c r="E60" s="553" t="s">
        <v>1386</v>
      </c>
      <c r="F60" s="553" t="s">
        <v>1387</v>
      </c>
      <c r="G60" s="553" t="s">
        <v>1388</v>
      </c>
      <c r="H60" s="553" t="s">
        <v>1389</v>
      </c>
      <c r="I60" s="553" t="s">
        <v>1390</v>
      </c>
      <c r="J60" s="553" t="s">
        <v>1391</v>
      </c>
      <c r="K60" s="553" t="s">
        <v>1392</v>
      </c>
      <c r="L60" s="553" t="s">
        <v>1393</v>
      </c>
      <c r="M60" s="553" t="s">
        <v>1394</v>
      </c>
      <c r="N60" s="553" t="s">
        <v>1395</v>
      </c>
      <c r="O60" s="553" t="s">
        <v>1396</v>
      </c>
      <c r="P60" s="553" t="s">
        <v>1397</v>
      </c>
      <c r="Q60" s="452"/>
      <c r="R60" s="1290"/>
      <c r="S60" s="1290"/>
      <c r="T60" s="1290"/>
      <c r="U60" s="1290"/>
      <c r="V60" s="1290"/>
      <c r="W60" s="1290"/>
      <c r="X60" s="1290"/>
      <c r="Y60" s="1290"/>
      <c r="Z60" s="1290"/>
      <c r="AA60" s="1290"/>
      <c r="AB60" s="1290"/>
      <c r="AC60" s="1290"/>
      <c r="AD60" s="1290"/>
      <c r="AE60" s="1290"/>
      <c r="AF60" s="1290"/>
      <c r="AG60" s="1290"/>
    </row>
    <row r="61" spans="1:33" s="458" customFormat="1" ht="12.95" customHeight="1" x14ac:dyDescent="0.2">
      <c r="A61" s="1379"/>
      <c r="B61" s="456"/>
      <c r="C61" s="474"/>
      <c r="D61" s="467" t="s">
        <v>391</v>
      </c>
      <c r="E61" s="1296">
        <f>AnnualBurdenedSalaryENG/hSystemsTouchHourspaENG</f>
        <v>104.3660038272735</v>
      </c>
      <c r="F61" s="1296">
        <f>AnnualBurdenedSalaryPLG/hSystemsTouchHourspaENG</f>
        <v>98.567892503536072</v>
      </c>
      <c r="G61" s="1296">
        <f>AnnualBurdenedSalaryLM/hSystemsTouchHourspaENG</f>
        <v>115.96222647474833</v>
      </c>
      <c r="H61" s="1296">
        <f>AnnualBurdenedSalaryHM/hSystemsTouchHourspaENG</f>
        <v>92.769781179798656</v>
      </c>
      <c r="I61" s="1296">
        <f>AnnualBurdenedSalaryCRT/hSystemsTouchHourspaENG</f>
        <v>57.981113237374167</v>
      </c>
      <c r="J61" s="1296">
        <f>AnnualBurdenedSalarySCL/hSystemsTouchHourspaENG</f>
        <v>69.577335884848992</v>
      </c>
      <c r="K61" s="1296">
        <f>AnnualBurdenedSalaryQSC/hSystemsTouchHourspaENG</f>
        <v>86.97166985606124</v>
      </c>
      <c r="L61" s="1296">
        <f>AnnualBurdenedSalaryEM/hSystemsTouchHourspaENG</f>
        <v>69.577335884848992</v>
      </c>
      <c r="M61" s="1296">
        <f>AnnualBurdenedSalaryCM/hSystemsTouchHourspaENG</f>
        <v>69.577335884848992</v>
      </c>
      <c r="N61" s="1296">
        <f>AnnualBurdenedSalarySMCS/hSystemsTouchHourspaENG</f>
        <v>69.577335884848992</v>
      </c>
      <c r="O61" s="1296">
        <f>AnnualBurdenedSalaryO1/hSystemsTouchHourspaENG</f>
        <v>69.577335884848992</v>
      </c>
      <c r="P61" s="1296">
        <f>AnnualBurdenedSalaryO2/hSystemsTouchHourspaENG</f>
        <v>69.577335884848992</v>
      </c>
      <c r="Q61" s="451"/>
      <c r="R61" s="1290"/>
      <c r="S61" s="1290"/>
      <c r="T61" s="1290"/>
      <c r="U61" s="1290"/>
      <c r="V61" s="1290"/>
      <c r="W61" s="1290"/>
      <c r="X61" s="1290"/>
      <c r="Y61" s="1290"/>
      <c r="Z61" s="1290"/>
      <c r="AA61" s="1290"/>
      <c r="AB61" s="1290"/>
      <c r="AC61" s="1290"/>
      <c r="AD61" s="1290"/>
      <c r="AE61" s="1290"/>
      <c r="AF61" s="1290"/>
      <c r="AG61" s="1290"/>
    </row>
    <row r="62" spans="1:33" s="458" customFormat="1" ht="12.95" customHeight="1" x14ac:dyDescent="0.2">
      <c r="A62" s="1379"/>
      <c r="B62" s="456"/>
      <c r="C62" s="474"/>
      <c r="D62" s="467"/>
      <c r="E62" s="553" t="s">
        <v>1398</v>
      </c>
      <c r="F62" s="553" t="s">
        <v>1399</v>
      </c>
      <c r="G62" s="553" t="s">
        <v>1400</v>
      </c>
      <c r="H62" s="553" t="s">
        <v>1401</v>
      </c>
      <c r="I62" s="553" t="s">
        <v>1402</v>
      </c>
      <c r="J62" s="553" t="s">
        <v>1403</v>
      </c>
      <c r="K62" s="553" t="s">
        <v>1404</v>
      </c>
      <c r="L62" s="553" t="s">
        <v>1405</v>
      </c>
      <c r="M62" s="553" t="s">
        <v>1406</v>
      </c>
      <c r="N62" s="553" t="s">
        <v>1407</v>
      </c>
      <c r="O62" s="553" t="s">
        <v>1408</v>
      </c>
      <c r="P62" s="553" t="s">
        <v>1409</v>
      </c>
      <c r="Q62" s="452"/>
      <c r="R62" s="1290"/>
      <c r="S62" s="1290"/>
      <c r="T62" s="1290"/>
      <c r="U62" s="1290"/>
      <c r="V62" s="1290"/>
      <c r="W62" s="1290"/>
      <c r="X62" s="1290"/>
      <c r="Y62" s="1290"/>
      <c r="Z62" s="1290"/>
      <c r="AA62" s="1290"/>
      <c r="AB62" s="1290"/>
      <c r="AC62" s="1290"/>
      <c r="AD62" s="1290"/>
      <c r="AE62" s="1290"/>
      <c r="AF62" s="1290"/>
      <c r="AG62" s="1290"/>
    </row>
    <row r="63" spans="1:33" s="458" customFormat="1" ht="12.95" customHeight="1" x14ac:dyDescent="0.2">
      <c r="A63" s="1379"/>
      <c r="B63" s="456"/>
      <c r="C63" s="474"/>
      <c r="D63" s="468" t="s">
        <v>392</v>
      </c>
      <c r="E63" s="1296">
        <f>AnnualBurdenedSalaryENG/eSystemsTouchHourspaENG</f>
        <v>91.320253348864284</v>
      </c>
      <c r="F63" s="1296">
        <f>AnnualBurdenedSalaryPLG/eSystemsTouchHourspaENG</f>
        <v>86.246905940594047</v>
      </c>
      <c r="G63" s="1296">
        <f>AnnualBurdenedSalaryLM/eSystemsTouchHourspaENG</f>
        <v>101.46694816540476</v>
      </c>
      <c r="H63" s="1296">
        <f>AnnualBurdenedSalaryHM/eSystemsTouchHourspaENG</f>
        <v>81.17355853232381</v>
      </c>
      <c r="I63" s="1296">
        <f>AnnualBurdenedSalaryCRT/eSystemsTouchHourspaENG</f>
        <v>50.733474082702379</v>
      </c>
      <c r="J63" s="1296">
        <f>AnnualBurdenedSalarySCL/eSystemsTouchHourspaENG</f>
        <v>60.880168899242861</v>
      </c>
      <c r="K63" s="1296">
        <f>AnnualBurdenedSalaryQSC/eSystemsTouchHourspaENG</f>
        <v>76.100211124053573</v>
      </c>
      <c r="L63" s="1296">
        <f>AnnualBurdenedSalaryEM/eSystemsTouchHourspaENG</f>
        <v>60.880168899242861</v>
      </c>
      <c r="M63" s="1296">
        <f>AnnualBurdenedSalaryCM/eSystemsTouchHourspaENG</f>
        <v>60.880168899242861</v>
      </c>
      <c r="N63" s="1296">
        <f>AnnualBurdenedSalarySMCS/eSystemsTouchHourspaENG</f>
        <v>60.880168899242861</v>
      </c>
      <c r="O63" s="1296">
        <f>AnnualBurdenedSalaryO1/eSystemsTouchHourspaENG</f>
        <v>60.880168899242861</v>
      </c>
      <c r="P63" s="1296">
        <f>AnnualBurdenedSalaryO2/eSystemsTouchHourspaENG</f>
        <v>60.880168899242861</v>
      </c>
      <c r="Q63" s="451"/>
      <c r="R63" s="1290"/>
      <c r="S63" s="1290"/>
      <c r="T63" s="1290"/>
      <c r="U63" s="1290"/>
      <c r="V63" s="1290"/>
      <c r="W63" s="1290"/>
      <c r="X63" s="1290"/>
      <c r="Y63" s="1290"/>
      <c r="Z63" s="1290"/>
      <c r="AA63" s="1290"/>
      <c r="AB63" s="1290"/>
      <c r="AC63" s="1290"/>
      <c r="AD63" s="1290"/>
      <c r="AE63" s="1290"/>
      <c r="AF63" s="1290"/>
      <c r="AG63" s="1290"/>
    </row>
    <row r="64" spans="1:33" s="458" customFormat="1" ht="12.95" customHeight="1" thickBot="1" x14ac:dyDescent="0.25">
      <c r="A64" s="1379"/>
      <c r="B64" s="456"/>
      <c r="C64" s="481"/>
      <c r="D64" s="477"/>
      <c r="E64" s="493"/>
      <c r="F64" s="493"/>
      <c r="G64" s="493"/>
      <c r="H64" s="493"/>
      <c r="I64" s="493"/>
      <c r="J64" s="493"/>
      <c r="K64" s="493"/>
      <c r="L64" s="493"/>
      <c r="M64" s="493"/>
      <c r="N64" s="493"/>
      <c r="O64" s="493"/>
      <c r="P64" s="493"/>
      <c r="Q64" s="482"/>
      <c r="R64" s="1290"/>
      <c r="S64" s="1290"/>
      <c r="T64" s="1290"/>
      <c r="U64" s="1290"/>
      <c r="V64" s="1290"/>
      <c r="W64" s="1290"/>
      <c r="X64" s="1290"/>
      <c r="Y64" s="1290"/>
      <c r="Z64" s="1290"/>
      <c r="AA64" s="1290"/>
      <c r="AB64" s="1290"/>
      <c r="AC64" s="1290"/>
      <c r="AD64" s="1290"/>
      <c r="AE64" s="1290"/>
      <c r="AF64" s="1290"/>
      <c r="AG64" s="1290"/>
    </row>
    <row r="65" spans="1:33" s="458" customFormat="1" ht="12.95" customHeight="1" x14ac:dyDescent="0.2">
      <c r="A65" s="456"/>
      <c r="B65" s="456"/>
      <c r="C65" s="447"/>
      <c r="D65" s="447"/>
      <c r="E65" s="447"/>
      <c r="F65" s="447"/>
      <c r="G65" s="447"/>
      <c r="H65" s="447"/>
      <c r="I65" s="447"/>
      <c r="J65" s="447"/>
      <c r="K65" s="447"/>
      <c r="L65" s="447"/>
      <c r="M65" s="447"/>
      <c r="N65" s="447"/>
      <c r="O65" s="447"/>
      <c r="P65" s="447"/>
      <c r="Q65" s="1290"/>
      <c r="R65" s="1290"/>
      <c r="S65" s="1290"/>
      <c r="T65" s="1290"/>
      <c r="U65" s="1290"/>
      <c r="V65" s="1290"/>
      <c r="W65" s="1290"/>
      <c r="X65" s="1290"/>
      <c r="Y65" s="1290"/>
      <c r="Z65" s="1290"/>
      <c r="AA65" s="1290"/>
      <c r="AB65" s="1290"/>
      <c r="AC65" s="1290"/>
      <c r="AD65" s="1290"/>
      <c r="AE65" s="1290"/>
      <c r="AF65" s="1290"/>
      <c r="AG65" s="1290"/>
    </row>
    <row r="66" spans="1:33" s="458" customFormat="1" ht="12.95" customHeight="1" x14ac:dyDescent="0.2">
      <c r="A66" s="456"/>
      <c r="B66" s="456"/>
      <c r="C66" s="447"/>
      <c r="D66" s="447"/>
      <c r="E66" s="447"/>
      <c r="F66" s="447"/>
      <c r="G66" s="447"/>
      <c r="H66" s="447"/>
      <c r="I66" s="447"/>
      <c r="J66" s="447"/>
      <c r="K66" s="447"/>
      <c r="L66" s="447"/>
      <c r="M66" s="447"/>
      <c r="N66" s="447"/>
      <c r="O66" s="447"/>
      <c r="P66" s="447"/>
      <c r="Q66" s="1290"/>
      <c r="R66" s="1290"/>
      <c r="S66" s="1290"/>
      <c r="T66" s="1290"/>
      <c r="U66" s="1290"/>
      <c r="V66" s="1290"/>
      <c r="W66" s="1290"/>
      <c r="X66" s="1290"/>
      <c r="Y66" s="1290"/>
      <c r="Z66" s="1290"/>
      <c r="AA66" s="1290"/>
      <c r="AB66" s="1290"/>
      <c r="AC66" s="1290"/>
      <c r="AD66" s="1290"/>
      <c r="AE66" s="1290"/>
      <c r="AF66" s="1290"/>
      <c r="AG66" s="1290"/>
    </row>
    <row r="67" spans="1:33" s="458" customFormat="1" ht="12.95" customHeight="1" x14ac:dyDescent="0.2">
      <c r="A67" s="456"/>
      <c r="B67" s="456"/>
      <c r="C67" s="447"/>
      <c r="D67" s="447"/>
      <c r="E67" s="447"/>
      <c r="F67" s="447"/>
      <c r="G67" s="447"/>
      <c r="H67" s="447"/>
      <c r="I67" s="447"/>
      <c r="J67" s="447"/>
      <c r="K67" s="447"/>
      <c r="L67" s="447"/>
      <c r="M67" s="447"/>
      <c r="N67" s="447"/>
      <c r="O67" s="447"/>
      <c r="P67" s="447"/>
      <c r="Q67" s="1290"/>
      <c r="R67" s="1290"/>
      <c r="S67" s="1290"/>
      <c r="T67" s="1290"/>
      <c r="U67" s="1290"/>
      <c r="V67" s="1290"/>
      <c r="W67" s="1290"/>
      <c r="X67" s="1290"/>
      <c r="Y67" s="1290"/>
      <c r="Z67" s="1290"/>
      <c r="AA67" s="1290"/>
      <c r="AB67" s="1290"/>
      <c r="AC67" s="1290"/>
      <c r="AD67" s="1290"/>
      <c r="AE67" s="1290"/>
      <c r="AF67" s="1290"/>
      <c r="AG67" s="1290"/>
    </row>
    <row r="68" spans="1:33" s="458" customFormat="1" ht="12.95" customHeight="1" x14ac:dyDescent="0.2">
      <c r="A68" s="456"/>
      <c r="B68" s="456"/>
      <c r="C68" s="447"/>
      <c r="D68" s="447"/>
      <c r="E68" s="447"/>
      <c r="F68" s="447"/>
      <c r="G68" s="447"/>
      <c r="H68" s="447"/>
      <c r="I68" s="447"/>
      <c r="J68" s="447"/>
      <c r="K68" s="447"/>
      <c r="L68" s="447"/>
      <c r="M68" s="447"/>
      <c r="N68" s="447"/>
      <c r="O68" s="447"/>
      <c r="P68" s="447"/>
      <c r="Q68" s="1290"/>
      <c r="R68" s="1290"/>
      <c r="S68" s="1290"/>
      <c r="T68" s="1290"/>
      <c r="U68" s="1290"/>
      <c r="V68" s="1290"/>
      <c r="W68" s="1290"/>
      <c r="X68" s="1290"/>
      <c r="Y68" s="1290"/>
      <c r="Z68" s="1290"/>
      <c r="AA68" s="1290"/>
      <c r="AB68" s="1290"/>
      <c r="AC68" s="1290"/>
      <c r="AD68" s="1290"/>
      <c r="AE68" s="1290"/>
      <c r="AF68" s="1290"/>
      <c r="AG68" s="1290"/>
    </row>
    <row r="69" spans="1:33" s="458" customFormat="1" ht="12.95" customHeight="1" x14ac:dyDescent="0.2">
      <c r="A69" s="456"/>
      <c r="B69" s="456"/>
      <c r="C69" s="447"/>
      <c r="D69" s="447"/>
      <c r="E69" s="447"/>
      <c r="F69" s="447"/>
      <c r="G69" s="447"/>
      <c r="H69" s="447"/>
      <c r="I69" s="447"/>
      <c r="J69" s="447"/>
      <c r="K69" s="447"/>
      <c r="L69" s="447"/>
      <c r="M69" s="447"/>
      <c r="N69" s="447"/>
      <c r="O69" s="447"/>
      <c r="P69" s="447"/>
      <c r="Q69" s="1290"/>
      <c r="R69" s="1290"/>
      <c r="S69" s="1290"/>
      <c r="T69" s="1290"/>
      <c r="U69" s="1290"/>
      <c r="V69" s="1290"/>
      <c r="W69" s="1290"/>
      <c r="X69" s="1290"/>
      <c r="Y69" s="1290"/>
      <c r="Z69" s="1290"/>
      <c r="AA69" s="1290"/>
      <c r="AB69" s="1290"/>
      <c r="AC69" s="1290"/>
      <c r="AD69" s="1290"/>
      <c r="AE69" s="1290"/>
      <c r="AF69" s="1290"/>
      <c r="AG69" s="1290"/>
    </row>
    <row r="70" spans="1:33" s="458" customFormat="1" ht="12.95" customHeight="1" x14ac:dyDescent="0.2">
      <c r="A70" s="456"/>
      <c r="B70" s="456"/>
      <c r="C70" s="447"/>
      <c r="D70" s="447"/>
      <c r="E70" s="447"/>
      <c r="F70" s="447"/>
      <c r="G70" s="447"/>
      <c r="H70" s="447"/>
      <c r="I70" s="447"/>
      <c r="J70" s="447"/>
      <c r="K70" s="447"/>
      <c r="L70" s="447"/>
      <c r="M70" s="447"/>
      <c r="N70" s="447"/>
      <c r="O70" s="447"/>
      <c r="P70" s="447"/>
      <c r="Q70" s="1290"/>
      <c r="R70" s="1290"/>
      <c r="S70" s="1290"/>
      <c r="T70" s="1290"/>
      <c r="U70" s="1290"/>
      <c r="V70" s="1290"/>
      <c r="W70" s="1290"/>
      <c r="X70" s="1290"/>
      <c r="Y70" s="1290"/>
      <c r="Z70" s="1290"/>
      <c r="AA70" s="1290"/>
      <c r="AB70" s="1290"/>
      <c r="AC70" s="1290"/>
      <c r="AD70" s="1290"/>
      <c r="AE70" s="1290"/>
      <c r="AF70" s="1290"/>
      <c r="AG70" s="1290"/>
    </row>
    <row r="71" spans="1:33" s="458" customFormat="1" ht="12.95" customHeight="1" x14ac:dyDescent="0.2">
      <c r="A71" s="456"/>
      <c r="B71" s="456"/>
      <c r="C71" s="447"/>
      <c r="D71" s="447"/>
      <c r="E71" s="447"/>
      <c r="F71" s="447"/>
      <c r="G71" s="447"/>
      <c r="H71" s="447"/>
      <c r="I71" s="447"/>
      <c r="J71" s="447"/>
      <c r="K71" s="447"/>
      <c r="L71" s="447"/>
      <c r="M71" s="447"/>
      <c r="N71" s="447"/>
      <c r="O71" s="447"/>
      <c r="P71" s="447"/>
      <c r="Q71" s="1290"/>
      <c r="R71" s="1290"/>
      <c r="S71" s="1290"/>
      <c r="T71" s="1290"/>
      <c r="U71" s="1290"/>
      <c r="V71" s="1290"/>
      <c r="W71" s="1290"/>
      <c r="X71" s="1290"/>
      <c r="Y71" s="1290"/>
      <c r="Z71" s="1290"/>
      <c r="AA71" s="1290"/>
      <c r="AB71" s="1290"/>
      <c r="AC71" s="1290"/>
      <c r="AD71" s="1290"/>
      <c r="AE71" s="1290"/>
      <c r="AF71" s="1290"/>
      <c r="AG71" s="1290"/>
    </row>
    <row r="72" spans="1:33" s="458" customFormat="1" ht="12.95" customHeight="1" x14ac:dyDescent="0.2">
      <c r="A72" s="456"/>
      <c r="B72" s="456"/>
      <c r="C72" s="447"/>
      <c r="D72" s="447"/>
      <c r="E72" s="447"/>
      <c r="F72" s="447"/>
      <c r="G72" s="447"/>
      <c r="H72" s="447"/>
      <c r="I72" s="447"/>
      <c r="J72" s="447"/>
      <c r="K72" s="447"/>
      <c r="L72" s="447"/>
      <c r="M72" s="447"/>
      <c r="N72" s="447"/>
      <c r="O72" s="447"/>
      <c r="P72" s="447"/>
      <c r="Q72" s="1290"/>
      <c r="R72" s="1290"/>
      <c r="S72" s="1290"/>
      <c r="T72" s="1290"/>
      <c r="U72" s="1290"/>
      <c r="V72" s="1290"/>
      <c r="W72" s="1290"/>
      <c r="X72" s="1290"/>
      <c r="Y72" s="1290"/>
      <c r="Z72" s="1290"/>
      <c r="AA72" s="1290"/>
      <c r="AB72" s="1290"/>
      <c r="AC72" s="1290"/>
      <c r="AD72" s="1290"/>
      <c r="AE72" s="1290"/>
      <c r="AF72" s="1290"/>
      <c r="AG72" s="1290"/>
    </row>
    <row r="73" spans="1:33" s="458" customFormat="1" ht="12.95" customHeight="1" x14ac:dyDescent="0.2">
      <c r="A73" s="456"/>
      <c r="B73" s="456"/>
      <c r="C73" s="447"/>
      <c r="D73" s="447"/>
      <c r="E73" s="447"/>
      <c r="F73" s="447"/>
      <c r="G73" s="447"/>
      <c r="H73" s="447"/>
      <c r="I73" s="447"/>
      <c r="J73" s="447"/>
      <c r="K73" s="447"/>
      <c r="L73" s="447"/>
      <c r="M73" s="447"/>
      <c r="N73" s="447"/>
      <c r="O73" s="447"/>
      <c r="P73" s="447"/>
      <c r="Q73" s="1290"/>
      <c r="R73" s="1290"/>
      <c r="S73" s="1290"/>
      <c r="T73" s="1290"/>
      <c r="U73" s="1290"/>
      <c r="V73" s="1290"/>
      <c r="W73" s="1290"/>
      <c r="X73" s="1290"/>
      <c r="Y73" s="1290"/>
      <c r="Z73" s="1290"/>
      <c r="AA73" s="1290"/>
      <c r="AB73" s="1290"/>
      <c r="AC73" s="1290"/>
      <c r="AD73" s="1290"/>
      <c r="AE73" s="1290"/>
      <c r="AF73" s="1290"/>
      <c r="AG73" s="1290"/>
    </row>
    <row r="74" spans="1:33" s="458" customFormat="1" ht="12.95" customHeight="1" x14ac:dyDescent="0.2">
      <c r="A74" s="456"/>
      <c r="B74" s="456"/>
      <c r="C74" s="447"/>
      <c r="D74" s="447"/>
      <c r="E74" s="447"/>
      <c r="F74" s="447"/>
      <c r="G74" s="447"/>
      <c r="H74" s="447"/>
      <c r="I74" s="447"/>
      <c r="J74" s="447"/>
      <c r="K74" s="447"/>
      <c r="L74" s="447"/>
      <c r="M74" s="447"/>
      <c r="N74" s="447"/>
      <c r="O74" s="447"/>
      <c r="P74" s="447"/>
      <c r="Q74" s="1290"/>
      <c r="R74" s="1290"/>
      <c r="S74" s="1290"/>
      <c r="T74" s="1290"/>
      <c r="U74" s="1290"/>
      <c r="V74" s="1290"/>
      <c r="W74" s="1290"/>
      <c r="X74" s="1290"/>
      <c r="Y74" s="1290"/>
      <c r="Z74" s="1290"/>
      <c r="AA74" s="1290"/>
      <c r="AB74" s="1290"/>
      <c r="AC74" s="1290"/>
      <c r="AD74" s="1290"/>
      <c r="AE74" s="1290"/>
      <c r="AF74" s="1290"/>
      <c r="AG74" s="1290"/>
    </row>
    <row r="75" spans="1:33" ht="12.7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row>
    <row r="76" spans="1:33" ht="12.75" customHeight="1" x14ac:dyDescent="0.2">
      <c r="A76" s="41"/>
      <c r="B76" s="18"/>
      <c r="C76" s="18"/>
      <c r="D76" s="18"/>
      <c r="E76" s="40"/>
      <c r="F76" s="40"/>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row>
    <row r="77" spans="1:33" ht="12.75" customHeight="1" x14ac:dyDescent="0.2">
      <c r="A77" s="18"/>
      <c r="B77" s="18"/>
      <c r="C77" s="18"/>
      <c r="D77" s="18"/>
      <c r="E77" s="882"/>
      <c r="F77" s="882"/>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row>
    <row r="78" spans="1:33" ht="12.75" customHeight="1" x14ac:dyDescent="0.2">
      <c r="A78" s="41"/>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row>
    <row r="79" spans="1:33" ht="12.75" customHeight="1" x14ac:dyDescent="0.2">
      <c r="A79" s="18"/>
      <c r="B79" s="18"/>
      <c r="C79" s="18"/>
      <c r="D79" s="18"/>
      <c r="E79" s="882"/>
      <c r="F79" s="882"/>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row>
    <row r="80" spans="1:33" ht="12.75" customHeight="1" x14ac:dyDescent="0.2">
      <c r="A80" s="18"/>
      <c r="B80" s="18"/>
      <c r="C80" s="18"/>
      <c r="D80" s="18"/>
      <c r="E80" s="882"/>
      <c r="F80" s="882"/>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row>
    <row r="81" spans="1:33" ht="12.75" customHeight="1" x14ac:dyDescent="0.2">
      <c r="A81" s="18"/>
      <c r="B81" s="18"/>
      <c r="C81" s="18"/>
      <c r="D81" s="18"/>
      <c r="E81" s="882"/>
      <c r="F81" s="882"/>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row>
    <row r="82" spans="1:33" ht="12.75" customHeight="1" x14ac:dyDescent="0.2">
      <c r="A82" s="18"/>
      <c r="B82" s="18"/>
      <c r="C82" s="18"/>
      <c r="D82" s="18"/>
      <c r="E82" s="882"/>
      <c r="F82" s="882"/>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row>
    <row r="83" spans="1:33" ht="12.75" customHeight="1" x14ac:dyDescent="0.2">
      <c r="A83" s="18"/>
      <c r="B83" s="18"/>
      <c r="C83" s="18"/>
      <c r="D83" s="18"/>
      <c r="E83" s="882"/>
      <c r="F83" s="882"/>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row>
    <row r="84" spans="1:33" ht="12.7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row>
    <row r="85" spans="1:33" ht="12.75" customHeight="1" x14ac:dyDescent="0.2">
      <c r="A85" s="41"/>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row>
    <row r="86" spans="1:33" ht="12.7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row>
    <row r="87" spans="1:33" ht="12.7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row>
    <row r="88" spans="1:33" ht="12.7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row>
    <row r="89" spans="1:33" ht="12.7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row>
    <row r="90" spans="1:33" ht="12.7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row>
    <row r="91" spans="1:33" ht="12.7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row>
    <row r="92" spans="1:33" ht="12.7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row>
    <row r="93" spans="1:33" ht="12.7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row>
    <row r="94" spans="1:33" ht="12.7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row>
    <row r="95" spans="1:33" ht="12.7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row>
    <row r="96" spans="1:33" ht="12.7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row>
    <row r="97" spans="1:33" ht="12.7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row>
    <row r="98" spans="1:33" ht="12.7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row>
    <row r="99" spans="1:33" ht="12.7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row>
    <row r="100" spans="1:33" ht="12.7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row>
    <row r="101" spans="1:33" ht="12.7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row>
    <row r="102" spans="1:33" ht="12.7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row>
    <row r="103" spans="1:33" ht="12.7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row>
    <row r="104" spans="1:33" ht="12.7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row>
    <row r="105" spans="1:33" ht="12.7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row>
    <row r="106" spans="1:33" ht="12.7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row>
    <row r="107" spans="1:33" ht="12.7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row>
    <row r="108" spans="1:33" ht="12.7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row>
    <row r="109" spans="1:33" ht="12.7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row>
    <row r="110" spans="1:33" ht="12.7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row>
    <row r="111" spans="1:33" ht="12.7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row>
    <row r="112" spans="1:33" ht="12.7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row>
    <row r="113" spans="1:33" ht="12.7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row>
    <row r="114" spans="1:33" ht="12.7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row>
    <row r="115" spans="1:33" ht="12.7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row>
    <row r="116" spans="1:33" ht="12.7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row>
    <row r="117" spans="1:33" ht="12.7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row>
    <row r="118" spans="1:33" ht="12.7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row>
    <row r="119" spans="1:33" ht="12.7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row>
    <row r="120" spans="1:33" ht="12.75" customHeight="1" x14ac:dyDescent="0.2">
      <c r="A120" s="1297"/>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row>
    <row r="121" spans="1:33" ht="12.7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row>
    <row r="122" spans="1:33" ht="12.7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row>
    <row r="123" spans="1:33" ht="12.75" customHeight="1" x14ac:dyDescent="0.2">
      <c r="A123" s="4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row>
    <row r="124" spans="1:33" ht="12.7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row>
    <row r="125" spans="1:33" ht="12.75" customHeight="1" x14ac:dyDescent="0.2">
      <c r="A125" s="129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row>
    <row r="126" spans="1:33" ht="12.7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row>
    <row r="127" spans="1:33" x14ac:dyDescent="0.2">
      <c r="A127" s="4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row>
    <row r="128" spans="1:33"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row>
    <row r="129" spans="1:33"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row>
    <row r="130" spans="1:33"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row>
    <row r="131" spans="1:33"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row>
    <row r="132" spans="1:33"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row>
    <row r="133" spans="1:33"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row>
    <row r="134" spans="1:33"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row>
    <row r="135" spans="1:33"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row>
    <row r="136" spans="1:33"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row>
    <row r="137" spans="1:33"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row>
    <row r="138" spans="1:33"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row>
    <row r="139" spans="1:33"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row>
    <row r="140" spans="1:33"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row>
    <row r="141" spans="1:33"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row>
    <row r="142" spans="1:33"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row>
    <row r="143" spans="1:33"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row>
    <row r="144" spans="1:33"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row>
    <row r="145" spans="1:33"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row>
    <row r="146" spans="1:33"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row>
    <row r="147" spans="1:33"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row>
    <row r="148" spans="1:33"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row>
    <row r="149" spans="1:33"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row>
    <row r="150" spans="1:33"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row>
    <row r="151" spans="1:33"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row>
    <row r="152" spans="1:33"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row>
    <row r="153" spans="1:33"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row>
    <row r="154" spans="1:33"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row>
    <row r="155" spans="1:33"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row>
    <row r="156" spans="1:33"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row>
    <row r="157" spans="1:33"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row>
    <row r="158" spans="1:33"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row>
    <row r="159" spans="1:33"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row>
    <row r="160" spans="1:33"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row>
    <row r="161" spans="1:33"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row>
    <row r="162" spans="1:33"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row>
    <row r="163" spans="1:33"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row>
    <row r="164" spans="1:33"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row>
    <row r="165" spans="1:33"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row>
    <row r="166" spans="1:33"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row>
    <row r="167" spans="1:33"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row>
    <row r="168" spans="1:33"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row>
    <row r="169" spans="1:33"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row>
    <row r="170" spans="1:33"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row>
    <row r="171" spans="1:33"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row>
    <row r="172" spans="1:33"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row>
    <row r="173" spans="1:33"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row>
    <row r="174" spans="1:33"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row>
    <row r="175" spans="1:33"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row>
    <row r="176" spans="1:33"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row>
    <row r="177" spans="1:33"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row>
    <row r="178" spans="1:33"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row>
    <row r="179" spans="1:33"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row>
    <row r="180" spans="1:33"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row>
    <row r="181" spans="1:33"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row>
    <row r="182" spans="1:33"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row>
    <row r="183" spans="1:33"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row>
    <row r="184" spans="1:33"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row>
    <row r="185" spans="1:33"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row>
    <row r="186" spans="1:33"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row>
    <row r="187" spans="1:33"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row>
    <row r="188" spans="1:33"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row>
    <row r="189" spans="1:33"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row>
    <row r="190" spans="1:33"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row>
    <row r="191" spans="1:33"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row>
    <row r="192" spans="1:33"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row>
    <row r="193" spans="1:33"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row>
    <row r="194" spans="1:33"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row>
    <row r="195" spans="1:33"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row>
    <row r="196" spans="1:33"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row>
    <row r="197" spans="1:33"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row>
    <row r="198" spans="1:33"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row>
    <row r="199" spans="1:33"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row>
    <row r="200" spans="1:33"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row>
    <row r="201" spans="1:33"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row>
    <row r="202" spans="1:33"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row>
    <row r="203" spans="1:33"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row>
    <row r="204" spans="1:33"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row>
    <row r="205" spans="1:33"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row>
    <row r="206" spans="1:33"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row>
    <row r="207" spans="1:33"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row>
    <row r="208" spans="1:33"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row>
    <row r="209" spans="1:33"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row>
    <row r="210" spans="1:33"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row>
    <row r="211" spans="1:33"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row>
    <row r="212" spans="1:33"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row>
    <row r="213" spans="1:33"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row>
    <row r="214" spans="1:33"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row>
    <row r="215" spans="1:33"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row>
    <row r="216" spans="1:33"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row>
    <row r="217" spans="1:33"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row>
    <row r="218" spans="1:33"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row>
    <row r="219" spans="1:33"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row>
    <row r="220" spans="1:33"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row>
    <row r="221" spans="1:33"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row>
    <row r="222" spans="1:33"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row>
    <row r="223" spans="1:33"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row>
    <row r="224" spans="1:33"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row>
    <row r="225" spans="1:33"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row>
    <row r="226" spans="1:33"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row>
    <row r="227" spans="1:33"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row>
    <row r="228" spans="1:33"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row>
    <row r="229" spans="1:33"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row>
    <row r="230" spans="1:33"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row>
    <row r="231" spans="1:33"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row>
    <row r="232" spans="1:33"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row>
    <row r="233" spans="1:33"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row>
    <row r="234" spans="1:33"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row>
    <row r="235" spans="1:33"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row>
    <row r="236" spans="1:33"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row>
    <row r="237" spans="1:33"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row>
    <row r="238" spans="1:33"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row>
    <row r="239" spans="1:33"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row>
    <row r="240" spans="1:33"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row>
    <row r="241" spans="1:33"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row>
    <row r="242" spans="1:33"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row>
    <row r="243" spans="1:33"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row>
    <row r="244" spans="1:33"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row>
    <row r="245" spans="1:33"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row>
    <row r="246" spans="1:33"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row>
    <row r="247" spans="1:33"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row>
    <row r="248" spans="1:33"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row>
    <row r="249" spans="1:33"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row>
    <row r="250" spans="1:33"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row>
    <row r="251" spans="1:33"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row>
    <row r="252" spans="1:33"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row>
    <row r="253" spans="1:33"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row>
    <row r="254" spans="1:33"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row>
    <row r="255" spans="1:33"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row>
    <row r="256" spans="1:33"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row>
    <row r="257" spans="1:33"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row>
    <row r="258" spans="1:33"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row>
    <row r="259" spans="1:33"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row>
    <row r="260" spans="1:33"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row>
    <row r="261" spans="1:33"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row>
    <row r="262" spans="1:33"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row>
    <row r="263" spans="1:33"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row>
    <row r="264" spans="1:33"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row>
    <row r="265" spans="1:33"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row>
    <row r="266" spans="1:33"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row>
    <row r="267" spans="1:33"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row>
    <row r="268" spans="1:33"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row>
    <row r="269" spans="1:33"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row>
    <row r="270" spans="1:33"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row>
    <row r="271" spans="1:33"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row>
    <row r="272" spans="1:33"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row>
    <row r="273" spans="1:33"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row>
    <row r="274" spans="1:33"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row>
    <row r="275" spans="1:33"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row>
    <row r="276" spans="1:33"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row>
    <row r="277" spans="1:33"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row>
    <row r="278" spans="1:33"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row>
    <row r="279" spans="1:33"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row>
    <row r="280" spans="1:33"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row>
    <row r="281" spans="1:33"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row>
    <row r="282" spans="1:33"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row>
    <row r="283" spans="1:33"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row>
    <row r="284" spans="1:33"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row>
    <row r="285" spans="1:33"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row>
    <row r="286" spans="1:33"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row>
    <row r="287" spans="1:33"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row>
    <row r="288" spans="1:33"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row>
    <row r="289" spans="1:33"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row>
    <row r="290" spans="1:33"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row>
    <row r="291" spans="1:33"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row>
    <row r="292" spans="1:33"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row>
    <row r="293" spans="1:33"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row>
    <row r="294" spans="1:33"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row>
    <row r="295" spans="1:33"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row>
    <row r="296" spans="1:33"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row>
    <row r="297" spans="1:33"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row>
    <row r="298" spans="1:33"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row>
    <row r="299" spans="1:33"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row>
    <row r="300" spans="1:33"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row>
    <row r="301" spans="1:33"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row>
    <row r="302" spans="1:33"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row>
    <row r="303" spans="1:33"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row>
    <row r="304" spans="1:33"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row>
    <row r="305" spans="1:33"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row>
    <row r="306" spans="1:33"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row>
    <row r="307" spans="1:33"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row>
    <row r="308" spans="1:33"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row>
    <row r="309" spans="1:33"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row>
    <row r="310" spans="1:33"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row>
    <row r="311" spans="1:33"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row>
    <row r="312" spans="1:33"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row>
    <row r="313" spans="1:33"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row>
    <row r="314" spans="1:33"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row>
    <row r="315" spans="1:33"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row>
    <row r="316" spans="1:33"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row>
    <row r="317" spans="1:33"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row>
    <row r="318" spans="1:33"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row>
    <row r="319" spans="1:33"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row>
    <row r="320" spans="1:33"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row>
    <row r="321" spans="1:33"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row>
    <row r="322" spans="1:33"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row>
    <row r="323" spans="1:33"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row>
    <row r="324" spans="1:33"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row>
    <row r="325" spans="1:33"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row>
    <row r="326" spans="1:33"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row>
    <row r="327" spans="1:33"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row>
    <row r="328" spans="1:33"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row>
    <row r="329" spans="1:33"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row>
    <row r="330" spans="1:33"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row>
    <row r="331" spans="1:33"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row>
    <row r="332" spans="1:33"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row>
    <row r="333" spans="1:33"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row>
    <row r="334" spans="1:33"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row>
    <row r="335" spans="1:33"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row>
    <row r="336" spans="1:33"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row>
    <row r="337" spans="1:33"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row>
    <row r="338" spans="1:33"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row>
    <row r="339" spans="1:33"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row>
    <row r="340" spans="1:33"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row>
    <row r="341" spans="1:33"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row>
    <row r="342" spans="1:33"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row>
    <row r="343" spans="1:33"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row>
    <row r="344" spans="1:33"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row>
    <row r="345" spans="1:33"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row>
    <row r="346" spans="1:33"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row>
    <row r="347" spans="1:33"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row>
    <row r="348" spans="1:33"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row>
    <row r="349" spans="1:33"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row>
    <row r="350" spans="1:33"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row>
    <row r="351" spans="1:33"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row>
    <row r="352" spans="1:33"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row>
    <row r="353" spans="1:33"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row>
    <row r="354" spans="1:33"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row>
    <row r="355" spans="1:33"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row>
    <row r="356" spans="1:33"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row>
    <row r="357" spans="1:33"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row>
    <row r="358" spans="1:33"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row>
    <row r="359" spans="1:33"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row>
    <row r="360" spans="1:33"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row>
    <row r="361" spans="1:33"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row>
    <row r="362" spans="1:33"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row>
    <row r="363" spans="1:33"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row>
    <row r="364" spans="1:33"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row>
    <row r="365" spans="1:33"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row>
    <row r="366" spans="1:33"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row>
    <row r="367" spans="1:33"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row>
    <row r="368" spans="1:33"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row>
    <row r="369" spans="1:33"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row>
    <row r="370" spans="1:33"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row>
    <row r="371" spans="1:33"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row>
    <row r="372" spans="1:33"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row>
    <row r="373" spans="1:33"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row>
    <row r="374" spans="1:33"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row>
    <row r="375" spans="1:33"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row>
    <row r="376" spans="1:33"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row>
    <row r="377" spans="1:33"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row>
    <row r="378" spans="1:33"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row>
    <row r="379" spans="1:33"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row>
    <row r="380" spans="1:33"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row>
    <row r="381" spans="1:33"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row>
    <row r="382" spans="1:33"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row>
    <row r="383" spans="1:33"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row>
    <row r="384" spans="1:33"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row>
    <row r="385" spans="1:33"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row>
    <row r="386" spans="1:33"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row>
    <row r="387" spans="1:33"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row>
    <row r="388" spans="1:33"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row>
    <row r="389" spans="1:33"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row>
    <row r="390" spans="1:33"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row>
    <row r="391" spans="1:33"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row>
    <row r="392" spans="1:33"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row>
    <row r="393" spans="1:33"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row>
    <row r="394" spans="1:33"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row>
    <row r="395" spans="1:33"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row>
    <row r="396" spans="1:33"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row>
    <row r="397" spans="1:33"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row>
    <row r="398" spans="1:33"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row>
    <row r="399" spans="1:33"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row>
    <row r="400" spans="1:33"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row>
    <row r="401" spans="1:33"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row>
    <row r="402" spans="1:33"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row>
    <row r="403" spans="1:33"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row>
    <row r="404" spans="1:33"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row>
    <row r="405" spans="1:33"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row>
    <row r="406" spans="1:33"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row>
    <row r="407" spans="1:33"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row>
    <row r="408" spans="1:33"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row>
    <row r="409" spans="1:33"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row>
    <row r="410" spans="1:33"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row>
    <row r="411" spans="1:33"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row>
    <row r="412" spans="1:33"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row>
    <row r="413" spans="1:33"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row>
    <row r="414" spans="1:33"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row>
    <row r="415" spans="1:33"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row>
    <row r="416" spans="1:33"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row>
    <row r="417" spans="1:33"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row>
    <row r="418" spans="1:33"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row>
    <row r="419" spans="1:33"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row>
    <row r="420" spans="1:33"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row>
    <row r="421" spans="1:33"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row>
    <row r="422" spans="1:33"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row>
    <row r="423" spans="1:33"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row>
    <row r="424" spans="1:33"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row>
    <row r="425" spans="1:33"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row>
    <row r="426" spans="1:33"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row>
    <row r="427" spans="1:33"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row>
    <row r="428" spans="1:33"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row>
    <row r="429" spans="1:33"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row>
    <row r="430" spans="1:33"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row>
    <row r="431" spans="1:33"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row>
    <row r="432" spans="1:33"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row>
    <row r="433" spans="1:33"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row>
    <row r="434" spans="1:33"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row>
    <row r="435" spans="1:33"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row>
    <row r="436" spans="1:33"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row>
    <row r="437" spans="1:33"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row>
    <row r="438" spans="1:33"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spans="1:33"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33"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33"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33"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row>
    <row r="463" spans="1:33"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row>
    <row r="464" spans="1:33"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row>
    <row r="465" spans="1:33"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row>
    <row r="466" spans="1:33"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row>
    <row r="467" spans="1:33"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row>
    <row r="468" spans="1:33"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33"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row>
    <row r="475" spans="1:33"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row>
    <row r="476" spans="1:33"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row>
    <row r="477" spans="1:33"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row>
    <row r="478" spans="1:33"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row>
    <row r="479" spans="1:33"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row>
    <row r="480" spans="1:33"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row>
    <row r="481" spans="1:33"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row>
    <row r="482" spans="1:33"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row>
    <row r="483" spans="1:33"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row>
    <row r="484" spans="1:33"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row>
    <row r="485" spans="1:33"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row>
    <row r="486" spans="1:33"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row>
    <row r="487" spans="1:33"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row>
    <row r="488" spans="1:33"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row>
    <row r="489" spans="1:33"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row>
    <row r="490" spans="1:33"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row>
    <row r="491" spans="1:33"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row>
    <row r="492" spans="1:33"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row>
    <row r="493" spans="1:33"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row>
    <row r="494" spans="1:33"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row>
    <row r="495" spans="1:33"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row>
    <row r="496" spans="1:33"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row>
    <row r="497" spans="1:33"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row>
    <row r="498" spans="1:33"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row>
    <row r="499" spans="1:33"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row>
    <row r="500" spans="1:33"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row>
    <row r="501" spans="1:33"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row>
    <row r="502" spans="1:33"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row>
    <row r="503" spans="1:33"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row>
    <row r="504" spans="1:33"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row>
    <row r="505" spans="1:33"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row>
    <row r="506" spans="1:33"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row>
    <row r="507" spans="1:33"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row>
    <row r="508" spans="1:33"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row>
    <row r="509" spans="1:33"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row>
    <row r="510" spans="1:33"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row>
    <row r="511" spans="1:33"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row>
    <row r="512" spans="1:33"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row>
    <row r="513" spans="1:33"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row>
    <row r="514" spans="1:33"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row>
    <row r="515" spans="1:33"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row>
    <row r="516" spans="1:33"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row>
    <row r="517" spans="1:33"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row>
    <row r="518" spans="1:33"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row>
    <row r="519" spans="1:33"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row>
    <row r="520" spans="1:33"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row>
    <row r="521" spans="1:33"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row>
    <row r="522" spans="1:33"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row>
    <row r="523" spans="1:33"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row>
    <row r="524" spans="1:33"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row>
    <row r="525" spans="1:33"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row>
    <row r="526" spans="1:33"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row>
    <row r="527" spans="1:33"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row>
    <row r="528" spans="1:33"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row>
    <row r="529" spans="1:33"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row>
    <row r="530" spans="1:33"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row>
    <row r="531" spans="1:33"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row>
    <row r="532" spans="1:33"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row>
    <row r="533" spans="1:33"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row>
    <row r="534" spans="1:33"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row>
    <row r="535" spans="1:33"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row>
    <row r="536" spans="1:33"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row>
    <row r="537" spans="1:33"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row>
    <row r="538" spans="1:33"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row>
    <row r="539" spans="1:33"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row>
    <row r="540" spans="1:33"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row>
    <row r="541" spans="1:33"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row>
    <row r="542" spans="1:33"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row>
    <row r="543" spans="1:33"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row>
    <row r="544" spans="1:33"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row>
    <row r="545" spans="1:33"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row>
    <row r="546" spans="1:33"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row>
    <row r="547" spans="1:33"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row>
    <row r="548" spans="1:33"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row>
    <row r="549" spans="1:33"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row>
    <row r="550" spans="1:33"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row>
    <row r="551" spans="1:33"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row>
    <row r="552" spans="1:33"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row>
    <row r="553" spans="1:33"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row>
    <row r="554" spans="1:33"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row>
    <row r="555" spans="1:33"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row>
    <row r="556" spans="1:33"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row>
    <row r="557" spans="1:33"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row>
    <row r="558" spans="1:33"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row>
    <row r="559" spans="1:33"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row>
    <row r="560" spans="1:33"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row>
    <row r="561" spans="1:33"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row>
    <row r="562" spans="1:33"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row>
    <row r="563" spans="1:33"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row>
    <row r="564" spans="1:33"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row>
    <row r="565" spans="1:33"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row>
    <row r="566" spans="1:33"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row>
    <row r="567" spans="1:33"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row>
    <row r="568" spans="1:33"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row>
    <row r="569" spans="1:33"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row>
    <row r="570" spans="1:33"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row>
    <row r="571" spans="1:33"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row>
    <row r="572" spans="1:33"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row>
    <row r="573" spans="1:33"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row>
    <row r="574" spans="1:33"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row>
    <row r="575" spans="1:33"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row>
    <row r="576" spans="1:33"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row>
    <row r="577" spans="1:33"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row>
    <row r="578" spans="1:33"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row>
    <row r="579" spans="1:33"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row>
    <row r="580" spans="1:33"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row>
    <row r="581" spans="1:33"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row>
    <row r="582" spans="1:33"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row>
    <row r="583" spans="1:33"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row>
    <row r="584" spans="1:33"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row>
    <row r="585" spans="1:33"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row>
    <row r="586" spans="1:33"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row>
    <row r="587" spans="1:33"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row>
    <row r="588" spans="1:33"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row>
    <row r="589" spans="1:33"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row>
    <row r="590" spans="1:33"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row>
    <row r="591" spans="1:33"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row>
    <row r="592" spans="1:33"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row>
    <row r="593" spans="1:33"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row>
    <row r="594" spans="1:33"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row>
    <row r="595" spans="1:33"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row>
    <row r="596" spans="1:33"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row>
    <row r="597" spans="1:33"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row>
    <row r="598" spans="1:33"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row>
    <row r="599" spans="1:33"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row>
    <row r="600" spans="1:33"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row>
    <row r="601" spans="1:33"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row>
    <row r="602" spans="1:33"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row>
    <row r="603" spans="1:33"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row>
    <row r="604" spans="1:33"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row>
    <row r="605" spans="1:33"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row>
    <row r="606" spans="1:33"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row>
    <row r="607" spans="1:33"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row>
    <row r="608" spans="1:33"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row>
    <row r="609" spans="1:33"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row>
    <row r="610" spans="1:33"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row>
    <row r="611" spans="1:33"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row>
    <row r="612" spans="1:33"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row>
    <row r="613" spans="1:33"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row>
    <row r="614" spans="1:33"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row>
    <row r="615" spans="1:33"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row>
    <row r="616" spans="1:33"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row>
    <row r="617" spans="1:33"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row>
    <row r="618" spans="1:33"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row>
    <row r="619" spans="1:33"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row>
    <row r="620" spans="1:33"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row>
    <row r="621" spans="1:33"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row>
    <row r="622" spans="1:33"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row>
    <row r="623" spans="1:33"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row>
    <row r="624" spans="1:33"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row>
    <row r="625" spans="1:33"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row>
    <row r="626" spans="1:33"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row>
    <row r="627" spans="1:33"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row>
    <row r="628" spans="1:33"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row>
    <row r="629" spans="1:33"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row>
    <row r="630" spans="1:33"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row>
    <row r="631" spans="1:33"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row>
    <row r="632" spans="1:33"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row>
    <row r="633" spans="1:33"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row>
    <row r="634" spans="1:33"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row>
    <row r="635" spans="1:33"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row>
    <row r="636" spans="1:33"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row>
    <row r="637" spans="1:33"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row>
    <row r="638" spans="1:33"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row>
    <row r="639" spans="1:33"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row>
    <row r="640" spans="1:33"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row>
    <row r="641" spans="1:33"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row>
    <row r="642" spans="1:33"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row>
    <row r="643" spans="1:33"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row>
    <row r="644" spans="1:33"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row>
    <row r="645" spans="1:33"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row>
    <row r="646" spans="1:33"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row>
    <row r="647" spans="1:33"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row>
    <row r="648" spans="1:33"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row>
    <row r="649" spans="1:33"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row>
    <row r="650" spans="1:33"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row>
    <row r="651" spans="1:33"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row>
    <row r="652" spans="1:33"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row>
    <row r="653" spans="1:33"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row>
    <row r="654" spans="1:33"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row>
    <row r="655" spans="1:33"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row>
    <row r="656" spans="1:33"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row>
    <row r="657" spans="1:33"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row>
    <row r="658" spans="1:33"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row>
    <row r="659" spans="1:33"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row>
    <row r="660" spans="1:33"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row>
    <row r="661" spans="1:33"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row>
    <row r="662" spans="1:33"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row>
    <row r="663" spans="1:33"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row>
    <row r="664" spans="1:33"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row>
    <row r="665" spans="1:33"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row>
    <row r="666" spans="1:33"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row>
    <row r="667" spans="1:33"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row>
    <row r="668" spans="1:33"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row>
    <row r="669" spans="1:33"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row>
    <row r="670" spans="1:33"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row>
    <row r="671" spans="1:33"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row>
    <row r="672" spans="1:33"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row>
    <row r="673" spans="1:33"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row>
    <row r="674" spans="1:33"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row>
    <row r="675" spans="1:33"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row>
    <row r="676" spans="1:33"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row>
    <row r="677" spans="1:33"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row>
    <row r="678" spans="1:33"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row>
    <row r="679" spans="1:33"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row>
    <row r="680" spans="1:33"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row>
    <row r="681" spans="1:33"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row>
    <row r="682" spans="1:33"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row>
    <row r="683" spans="1:33"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row>
    <row r="684" spans="1:33"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row>
    <row r="685" spans="1:33"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row>
    <row r="686" spans="1:33"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row>
    <row r="687" spans="1:33"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row>
    <row r="688" spans="1:33"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row>
    <row r="689" spans="1:33"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row>
    <row r="690" spans="1:33"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row>
    <row r="691" spans="1:33"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row>
    <row r="692" spans="1:33"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row>
    <row r="693" spans="1:33"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row>
    <row r="694" spans="1:33"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row>
    <row r="695" spans="1:33"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row>
    <row r="696" spans="1:33"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row>
    <row r="697" spans="1:33"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row>
    <row r="698" spans="1:33"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row>
    <row r="699" spans="1:33"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row>
    <row r="700" spans="1:33"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row>
    <row r="701" spans="1:33"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row>
    <row r="702" spans="1:33"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row>
    <row r="703" spans="1:33"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row>
    <row r="704" spans="1:33"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row>
    <row r="705" spans="1:33"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row>
    <row r="706" spans="1:33"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row>
    <row r="707" spans="1:33"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row>
    <row r="708" spans="1:33"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row>
    <row r="709" spans="1:33"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row>
    <row r="710" spans="1:33"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row>
    <row r="711" spans="1:33"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row>
    <row r="712" spans="1:33"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row>
    <row r="713" spans="1:33"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row>
    <row r="714" spans="1:33"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row>
    <row r="715" spans="1:33"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row>
    <row r="716" spans="1:33"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row>
    <row r="717" spans="1:33"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row>
    <row r="718" spans="1:33"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row>
    <row r="719" spans="1:33"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row>
    <row r="720" spans="1:33"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row>
    <row r="721" spans="1:33"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row>
    <row r="722" spans="1:33"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row>
    <row r="723" spans="1:33"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row>
    <row r="724" spans="1:33"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row>
    <row r="725" spans="1:33"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row>
    <row r="726" spans="1:33"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row>
    <row r="727" spans="1:33"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row>
    <row r="728" spans="1:33"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row>
    <row r="729" spans="1:33"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row>
    <row r="730" spans="1:33"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row>
    <row r="731" spans="1:33"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row>
    <row r="732" spans="1:33"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row>
    <row r="733" spans="1:33"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row>
    <row r="734" spans="1:33"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row>
    <row r="735" spans="1:33"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row>
    <row r="736" spans="1:33"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row>
    <row r="737" spans="1:33"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row>
    <row r="738" spans="1:33"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row>
    <row r="739" spans="1:33"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row>
    <row r="740" spans="1:33"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row>
    <row r="741" spans="1:33"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row>
    <row r="742" spans="1:33"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row>
    <row r="743" spans="1:33"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row>
    <row r="744" spans="1:33"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row>
    <row r="745" spans="1:33"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row>
    <row r="746" spans="1:33"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row>
    <row r="747" spans="1:33"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row>
    <row r="748" spans="1:33"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row>
    <row r="749" spans="1:33"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row>
    <row r="750" spans="1:33"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row>
    <row r="751" spans="1:33"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row>
    <row r="752" spans="1:33"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row>
    <row r="753" spans="1:33"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row>
    <row r="754" spans="1:33"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row>
    <row r="755" spans="1:33"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row>
    <row r="756" spans="1:33"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row>
    <row r="757" spans="1:33"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row>
    <row r="758" spans="1:33"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row>
    <row r="759" spans="1:33"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row>
    <row r="760" spans="1:33"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row>
    <row r="761" spans="1:33"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row>
    <row r="762" spans="1:33"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row>
    <row r="763" spans="1:33"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row>
    <row r="764" spans="1:33"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row>
    <row r="765" spans="1:33"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row>
    <row r="766" spans="1:33"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row>
    <row r="767" spans="1:33"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row>
    <row r="768" spans="1:33"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row>
    <row r="769" spans="1:33"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row>
    <row r="770" spans="1:33"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row>
    <row r="771" spans="1:33"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row>
    <row r="772" spans="1:33"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row>
    <row r="773" spans="1:33"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row>
    <row r="774" spans="1:33"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row>
    <row r="775" spans="1:33"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row>
    <row r="776" spans="1:33"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row>
    <row r="777" spans="1:33"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row>
    <row r="778" spans="1:33"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row>
    <row r="779" spans="1:33"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row>
    <row r="780" spans="1:33"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row>
    <row r="781" spans="1:33"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row>
    <row r="782" spans="1:33"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row>
    <row r="783" spans="1:33"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row>
    <row r="784" spans="1:33"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row>
    <row r="785" spans="1:33"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row>
    <row r="786" spans="1:33"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row>
    <row r="787" spans="1:33"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row>
    <row r="788" spans="1:33"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row>
    <row r="789" spans="1:33"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row>
    <row r="790" spans="1:33"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row>
    <row r="791" spans="1:33"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row>
    <row r="792" spans="1:33"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row>
    <row r="793" spans="1:33"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row>
    <row r="794" spans="1:33"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row>
    <row r="795" spans="1:33"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row>
    <row r="796" spans="1:33"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row>
    <row r="797" spans="1:33"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row>
    <row r="798" spans="1:33"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row>
    <row r="799" spans="1:33"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row>
    <row r="800" spans="1:33"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row>
    <row r="801" spans="1:33"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row>
    <row r="802" spans="1:33"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row>
    <row r="803" spans="1:33"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row>
    <row r="804" spans="1:33"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row>
    <row r="805" spans="1:33"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row>
    <row r="806" spans="1:33"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row>
    <row r="807" spans="1:33"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row>
    <row r="808" spans="1:33"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row>
    <row r="809" spans="1:33"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row>
    <row r="810" spans="1:33"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row>
    <row r="811" spans="1:33"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row>
    <row r="812" spans="1:33"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row>
    <row r="813" spans="1:33"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row>
    <row r="814" spans="1:33"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row>
    <row r="815" spans="1:33"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row>
    <row r="816" spans="1:33"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row>
    <row r="817" spans="1:33"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row>
    <row r="818" spans="1:33"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row>
    <row r="819" spans="1:33"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row>
    <row r="820" spans="1:33"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row>
    <row r="821" spans="1:33"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row>
    <row r="822" spans="1:33"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row>
    <row r="823" spans="1:33"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row>
    <row r="824" spans="1:33"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row>
    <row r="825" spans="1:33"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row>
    <row r="826" spans="1:33"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row>
    <row r="827" spans="1:33"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row>
    <row r="828" spans="1:33"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row>
    <row r="829" spans="1:33"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row>
    <row r="830" spans="1:33"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row>
    <row r="831" spans="1:33"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row>
    <row r="832" spans="1:33"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row>
    <row r="833" spans="1:33"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row>
    <row r="834" spans="1:33"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row>
    <row r="835" spans="1:33"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row>
    <row r="836" spans="1:33"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row>
    <row r="837" spans="1:33"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row>
    <row r="838" spans="1:33"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row>
    <row r="839" spans="1:33"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row>
    <row r="840" spans="1:33"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row>
    <row r="841" spans="1:33"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row>
    <row r="842" spans="1:33"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row>
    <row r="843" spans="1:33"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row>
    <row r="844" spans="1:33"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row>
    <row r="845" spans="1:33"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row>
    <row r="846" spans="1:33"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row>
    <row r="847" spans="1:33"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row>
    <row r="848" spans="1:33"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row>
    <row r="849" spans="1:33"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row>
    <row r="850" spans="1:33"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row>
    <row r="851" spans="1:33"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row>
    <row r="852" spans="1:33"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row>
    <row r="853" spans="1:33"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row>
    <row r="854" spans="1:33"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row>
    <row r="855" spans="1:33"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row>
    <row r="856" spans="1:33"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row>
    <row r="857" spans="1:33"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row>
    <row r="858" spans="1:33"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row>
    <row r="859" spans="1:33"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row>
    <row r="860" spans="1:33"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row>
    <row r="861" spans="1:33"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row>
    <row r="862" spans="1:33"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row>
    <row r="863" spans="1:33"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row>
    <row r="864" spans="1:33"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row>
    <row r="865" spans="1:33"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row>
    <row r="866" spans="1:33"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row>
    <row r="867" spans="1:33"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row>
    <row r="868" spans="1:33"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row>
    <row r="869" spans="1:33"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row>
    <row r="870" spans="1:33"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row>
    <row r="871" spans="1:33"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row>
    <row r="872" spans="1:33"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row>
    <row r="873" spans="1:33"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row>
    <row r="874" spans="1:33"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row>
    <row r="875" spans="1:33"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row>
    <row r="876" spans="1:33"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row>
    <row r="877" spans="1:33"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row>
    <row r="878" spans="1:33"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row>
    <row r="879" spans="1:33"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row>
    <row r="880" spans="1:33"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row>
    <row r="881" spans="1:33"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row>
    <row r="882" spans="1:33"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row>
    <row r="883" spans="1:33"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row>
    <row r="884" spans="1:33"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row>
    <row r="885" spans="1:33"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row>
    <row r="886" spans="1:33"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row>
    <row r="887" spans="1:33"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row>
    <row r="888" spans="1:33"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row>
    <row r="889" spans="1:33"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row>
    <row r="890" spans="1:33"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row>
    <row r="891" spans="1:33"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row>
    <row r="892" spans="1:33"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row>
    <row r="893" spans="1:33"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row>
    <row r="894" spans="1:33"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row>
    <row r="895" spans="1:33"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row>
    <row r="896" spans="1:33"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row>
    <row r="897" spans="1:33"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row>
    <row r="898" spans="1:33"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row>
    <row r="899" spans="1:33"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row>
    <row r="900" spans="1:33"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row>
    <row r="901" spans="1:33"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row>
    <row r="902" spans="1:33"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row>
    <row r="903" spans="1:33"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row>
    <row r="904" spans="1:33"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row>
    <row r="905" spans="1:33"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row>
    <row r="906" spans="1:33"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row>
    <row r="907" spans="1:33"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row>
    <row r="908" spans="1:33"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row>
    <row r="909" spans="1:33"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row>
    <row r="910" spans="1:33"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row>
    <row r="911" spans="1:33"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row>
    <row r="912" spans="1:33"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row>
    <row r="913" spans="1:33"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row>
    <row r="914" spans="1:33"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row>
    <row r="915" spans="1:33"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row>
    <row r="916" spans="1:33"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row>
    <row r="917" spans="1:33"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row>
    <row r="918" spans="1:33"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row>
    <row r="919" spans="1:33"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row>
    <row r="920" spans="1:33"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row>
    <row r="921" spans="1:33"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row>
    <row r="922" spans="1:33"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row>
    <row r="923" spans="1:33"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row>
    <row r="924" spans="1:33"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row>
    <row r="925" spans="1:33"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row>
    <row r="926" spans="1:33"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row>
    <row r="927" spans="1:33"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row>
    <row r="928" spans="1:33"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row>
    <row r="929" spans="1:33"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row>
    <row r="930" spans="1:33"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row>
    <row r="931" spans="1:33"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row>
    <row r="932" spans="1:33"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row>
    <row r="933" spans="1:33"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row>
    <row r="934" spans="1:33"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row>
    <row r="935" spans="1:33"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row>
    <row r="936" spans="1:33"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row>
    <row r="937" spans="1:33"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row>
    <row r="938" spans="1:33"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row>
    <row r="939" spans="1:33"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row>
    <row r="940" spans="1:33"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row>
    <row r="941" spans="1:33"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row>
    <row r="942" spans="1:33"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row>
    <row r="943" spans="1:33"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row>
    <row r="944" spans="1:33"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row>
    <row r="945" spans="1:33"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row>
    <row r="946" spans="1:33"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row>
    <row r="947" spans="1:33"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row>
    <row r="948" spans="1:33"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row>
    <row r="949" spans="1:33"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row>
    <row r="950" spans="1:33"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row>
    <row r="951" spans="1:33"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row>
    <row r="952" spans="1:33"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row>
    <row r="953" spans="1:33"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row>
    <row r="954" spans="1:33"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row>
    <row r="955" spans="1:33"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row>
    <row r="956" spans="1:33"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row>
    <row r="957" spans="1:33"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row>
    <row r="958" spans="1:33"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row>
    <row r="959" spans="1:33"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row>
    <row r="960" spans="1:33"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row>
    <row r="961" spans="1:33"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row>
    <row r="962" spans="1:33"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row>
    <row r="963" spans="1:33"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row>
    <row r="964" spans="1:33"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row>
    <row r="965" spans="1:33"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row>
    <row r="966" spans="1:33"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row>
    <row r="967" spans="1:33"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row>
    <row r="968" spans="1:33"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row>
    <row r="969" spans="1:33"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row>
    <row r="970" spans="1:33"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row>
    <row r="971" spans="1:33"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row>
    <row r="972" spans="1:33"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row>
    <row r="973" spans="1:33"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row>
    <row r="974" spans="1:33"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row>
    <row r="975" spans="1:33"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row>
    <row r="976" spans="1:33"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row>
    <row r="977" spans="1:33"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row>
    <row r="978" spans="1:33"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row>
    <row r="979" spans="1:33"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row>
    <row r="980" spans="1:33"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row>
    <row r="981" spans="1:33"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row>
    <row r="982" spans="1:33"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row>
    <row r="983" spans="1:33"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row>
    <row r="984" spans="1:33"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row>
    <row r="985" spans="1:33"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row>
    <row r="986" spans="1:33"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row>
    <row r="987" spans="1:33"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row>
    <row r="988" spans="1:33"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row>
    <row r="989" spans="1:33"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row>
    <row r="990" spans="1:33"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row>
    <row r="991" spans="1:33"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row>
    <row r="992" spans="1:33"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row>
    <row r="993" spans="1:33"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row>
    <row r="994" spans="1:33"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row>
    <row r="995" spans="1:33"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row>
    <row r="996" spans="1:33"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row>
    <row r="997" spans="1:33"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row>
    <row r="998" spans="1:33"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row>
    <row r="999" spans="1:33"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row>
    <row r="1000" spans="1:33"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row>
    <row r="1001" spans="1:33" x14ac:dyDescent="0.2">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row>
    <row r="1002" spans="1:33" x14ac:dyDescent="0.2">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row>
    <row r="1003" spans="1:33" x14ac:dyDescent="0.2">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row>
    <row r="1004" spans="1:33" x14ac:dyDescent="0.2">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row>
    <row r="1005" spans="1:33" x14ac:dyDescent="0.2">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row>
    <row r="1006" spans="1:33" x14ac:dyDescent="0.2">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row>
    <row r="1007" spans="1:33" x14ac:dyDescent="0.2">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row>
    <row r="1008" spans="1:33" x14ac:dyDescent="0.2">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row>
    <row r="1009" spans="1:33" x14ac:dyDescent="0.2">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row>
    <row r="1010" spans="1:33" x14ac:dyDescent="0.2">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row>
    <row r="1011" spans="1:33" x14ac:dyDescent="0.2">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row>
    <row r="1012" spans="1:33" x14ac:dyDescent="0.2">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row>
    <row r="1013" spans="1:33" x14ac:dyDescent="0.2">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row>
    <row r="1014" spans="1:33" x14ac:dyDescent="0.2">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row>
    <row r="1015" spans="1:33" x14ac:dyDescent="0.2">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row>
    <row r="1016" spans="1:33" x14ac:dyDescent="0.2">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row>
    <row r="1017" spans="1:33" x14ac:dyDescent="0.2">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row>
    <row r="1018" spans="1:33" x14ac:dyDescent="0.2">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row>
    <row r="1019" spans="1:33" x14ac:dyDescent="0.2">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row>
    <row r="1020" spans="1:33" x14ac:dyDescent="0.2">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row>
    <row r="1021" spans="1:33" x14ac:dyDescent="0.2">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row>
    <row r="1022" spans="1:33" x14ac:dyDescent="0.2">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row>
    <row r="1023" spans="1:33" x14ac:dyDescent="0.2">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row>
    <row r="1024" spans="1:33" x14ac:dyDescent="0.2">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row>
    <row r="1025" spans="1:33" x14ac:dyDescent="0.2">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row>
    <row r="1026" spans="1:33" x14ac:dyDescent="0.2">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row>
    <row r="1027" spans="1:33" x14ac:dyDescent="0.2">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row>
    <row r="1028" spans="1:33" x14ac:dyDescent="0.2">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row>
    <row r="1029" spans="1:33" x14ac:dyDescent="0.2">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row>
    <row r="1030" spans="1:33" x14ac:dyDescent="0.2">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row>
    <row r="1031" spans="1:33" x14ac:dyDescent="0.2">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row>
    <row r="1032" spans="1:33" x14ac:dyDescent="0.2">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row>
    <row r="1033" spans="1:33" x14ac:dyDescent="0.2">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row>
    <row r="1034" spans="1:33" x14ac:dyDescent="0.2">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row>
    <row r="1035" spans="1:33" x14ac:dyDescent="0.2">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row>
    <row r="1036" spans="1:33" x14ac:dyDescent="0.2">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row>
    <row r="1037" spans="1:33" x14ac:dyDescent="0.2">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row>
    <row r="1038" spans="1:33" x14ac:dyDescent="0.2">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row>
    <row r="1039" spans="1:33" x14ac:dyDescent="0.2">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row>
    <row r="1040" spans="1:33" x14ac:dyDescent="0.2">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row>
    <row r="1041" spans="1:33" x14ac:dyDescent="0.2">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row>
    <row r="1042" spans="1:33" x14ac:dyDescent="0.2">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row>
    <row r="1043" spans="1:33" x14ac:dyDescent="0.2">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row>
    <row r="1044" spans="1:33" x14ac:dyDescent="0.2">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row>
    <row r="1045" spans="1:33" x14ac:dyDescent="0.2">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row>
    <row r="1046" spans="1:33" x14ac:dyDescent="0.2">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row>
    <row r="1047" spans="1:33" x14ac:dyDescent="0.2">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row>
    <row r="1048" spans="1:33" x14ac:dyDescent="0.2">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row>
    <row r="1049" spans="1:33" x14ac:dyDescent="0.2">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row>
    <row r="1050" spans="1:33" x14ac:dyDescent="0.2">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row>
    <row r="1051" spans="1:33" x14ac:dyDescent="0.2">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row>
    <row r="1052" spans="1:33" x14ac:dyDescent="0.2">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row>
    <row r="1053" spans="1:33" x14ac:dyDescent="0.2">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row>
    <row r="1054" spans="1:33" x14ac:dyDescent="0.2">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row>
    <row r="1055" spans="1:33" x14ac:dyDescent="0.2">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row>
    <row r="1056" spans="1:33" x14ac:dyDescent="0.2">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row>
    <row r="1057" spans="1:33" x14ac:dyDescent="0.2">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row>
    <row r="1058" spans="1:33" x14ac:dyDescent="0.2">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row>
    <row r="1059" spans="1:33" x14ac:dyDescent="0.2">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row>
    <row r="1060" spans="1:33" x14ac:dyDescent="0.2">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row>
    <row r="1061" spans="1:33" x14ac:dyDescent="0.2">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row>
    <row r="1062" spans="1:33" x14ac:dyDescent="0.2">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row>
    <row r="1063" spans="1:33" x14ac:dyDescent="0.2">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row>
    <row r="1064" spans="1:33" x14ac:dyDescent="0.2">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row>
    <row r="1065" spans="1:33" x14ac:dyDescent="0.2">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row>
    <row r="1066" spans="1:33" x14ac:dyDescent="0.2">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row>
    <row r="1067" spans="1:33" x14ac:dyDescent="0.2">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row>
    <row r="1068" spans="1:33" x14ac:dyDescent="0.2">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row>
    <row r="1069" spans="1:33" x14ac:dyDescent="0.2">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row>
    <row r="1070" spans="1:33" x14ac:dyDescent="0.2">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row>
    <row r="1071" spans="1:33" x14ac:dyDescent="0.2">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row>
    <row r="1072" spans="1:33" x14ac:dyDescent="0.2">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row>
    <row r="1073" spans="1:33" x14ac:dyDescent="0.2">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row>
    <row r="1074" spans="1:33" x14ac:dyDescent="0.2">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row>
    <row r="1075" spans="1:33" x14ac:dyDescent="0.2">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row>
    <row r="1076" spans="1:33" x14ac:dyDescent="0.2">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row>
    <row r="1077" spans="1:33" x14ac:dyDescent="0.2">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row>
    <row r="1078" spans="1:33" x14ac:dyDescent="0.2">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row>
    <row r="1079" spans="1:33" x14ac:dyDescent="0.2">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row>
    <row r="1080" spans="1:33" x14ac:dyDescent="0.2">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row>
    <row r="1081" spans="1:33" x14ac:dyDescent="0.2">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row>
    <row r="1082" spans="1:33" x14ac:dyDescent="0.2">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row>
    <row r="1083" spans="1:33" x14ac:dyDescent="0.2">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row>
    <row r="1084" spans="1:33" x14ac:dyDescent="0.2">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row>
    <row r="1085" spans="1:33" x14ac:dyDescent="0.2">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row>
    <row r="1086" spans="1:33" x14ac:dyDescent="0.2">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row>
    <row r="1087" spans="1:33" x14ac:dyDescent="0.2">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row>
    <row r="1088" spans="1:33" x14ac:dyDescent="0.2">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row>
    <row r="1089" spans="1:33" x14ac:dyDescent="0.2">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row>
    <row r="1090" spans="1:33" x14ac:dyDescent="0.2">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row>
    <row r="1091" spans="1:33" x14ac:dyDescent="0.2">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row>
    <row r="1092" spans="1:33" x14ac:dyDescent="0.2">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row>
    <row r="1093" spans="1:33" x14ac:dyDescent="0.2">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row>
    <row r="1094" spans="1:33" x14ac:dyDescent="0.2">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row>
    <row r="1095" spans="1:33" x14ac:dyDescent="0.2">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row>
    <row r="1096" spans="1:33" x14ac:dyDescent="0.2">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row>
    <row r="1097" spans="1:33" x14ac:dyDescent="0.2">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row>
    <row r="1098" spans="1:33" x14ac:dyDescent="0.2">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row>
    <row r="1099" spans="1:33" x14ac:dyDescent="0.2">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row>
    <row r="1100" spans="1:33" x14ac:dyDescent="0.2">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row>
    <row r="1101" spans="1:33" x14ac:dyDescent="0.2">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row>
    <row r="1102" spans="1:33" x14ac:dyDescent="0.2">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row>
    <row r="1103" spans="1:33" x14ac:dyDescent="0.2">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row>
    <row r="1104" spans="1:33" x14ac:dyDescent="0.2">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row>
    <row r="1105" spans="1:33" x14ac:dyDescent="0.2">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row>
    <row r="1106" spans="1:33" x14ac:dyDescent="0.2">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row>
    <row r="1107" spans="1:33" x14ac:dyDescent="0.2">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row>
    <row r="1108" spans="1:33" x14ac:dyDescent="0.2">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row>
    <row r="1109" spans="1:33" x14ac:dyDescent="0.2">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row>
    <row r="1110" spans="1:33" x14ac:dyDescent="0.2">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row>
    <row r="1111" spans="1:33" x14ac:dyDescent="0.2">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row>
    <row r="1112" spans="1:33" x14ac:dyDescent="0.2">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row>
    <row r="1113" spans="1:33" x14ac:dyDescent="0.2">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row>
    <row r="1114" spans="1:33" x14ac:dyDescent="0.2">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row>
    <row r="1115" spans="1:33" x14ac:dyDescent="0.2">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row>
    <row r="1116" spans="1:33" x14ac:dyDescent="0.2">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row>
    <row r="1117" spans="1:33" x14ac:dyDescent="0.2">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row>
    <row r="1118" spans="1:33" x14ac:dyDescent="0.2">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row>
    <row r="1119" spans="1:33" x14ac:dyDescent="0.2">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row>
    <row r="1120" spans="1:33" x14ac:dyDescent="0.2">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row>
    <row r="1121" spans="1:33" x14ac:dyDescent="0.2">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row>
    <row r="1122" spans="1:33" x14ac:dyDescent="0.2">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row>
    <row r="1123" spans="1:33" x14ac:dyDescent="0.2">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row>
    <row r="1124" spans="1:33" x14ac:dyDescent="0.2">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row>
    <row r="1125" spans="1:33" x14ac:dyDescent="0.2">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row>
    <row r="1126" spans="1:33" x14ac:dyDescent="0.2">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row>
    <row r="1127" spans="1:33" x14ac:dyDescent="0.2">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row>
    <row r="1128" spans="1:33" x14ac:dyDescent="0.2">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row>
    <row r="1129" spans="1:33" x14ac:dyDescent="0.2">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row>
    <row r="1130" spans="1:33" x14ac:dyDescent="0.2">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row>
    <row r="1131" spans="1:33" x14ac:dyDescent="0.2">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row>
    <row r="1132" spans="1:33" x14ac:dyDescent="0.2">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row>
    <row r="1133" spans="1:33" x14ac:dyDescent="0.2">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row>
    <row r="1134" spans="1:33" x14ac:dyDescent="0.2">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row>
    <row r="1135" spans="1:33" x14ac:dyDescent="0.2">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row>
    <row r="1136" spans="1:33" x14ac:dyDescent="0.2">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row>
    <row r="1137" spans="1:33" x14ac:dyDescent="0.2">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row>
    <row r="1138" spans="1:33" x14ac:dyDescent="0.2">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row>
    <row r="1139" spans="1:33" x14ac:dyDescent="0.2">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row>
    <row r="1140" spans="1:33" x14ac:dyDescent="0.2">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row>
    <row r="1141" spans="1:33" x14ac:dyDescent="0.2">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row>
    <row r="1142" spans="1:33" x14ac:dyDescent="0.2">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row>
    <row r="1143" spans="1:33" x14ac:dyDescent="0.2">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row>
    <row r="1144" spans="1:33" x14ac:dyDescent="0.2">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row>
    <row r="1145" spans="1:33" x14ac:dyDescent="0.2">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row>
    <row r="1146" spans="1:33" x14ac:dyDescent="0.2">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row>
    <row r="1147" spans="1:33" x14ac:dyDescent="0.2">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row>
    <row r="1148" spans="1:33" x14ac:dyDescent="0.2">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row>
    <row r="1149" spans="1:33" x14ac:dyDescent="0.2">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row>
    <row r="1150" spans="1:33" x14ac:dyDescent="0.2">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row>
    <row r="1151" spans="1:33" x14ac:dyDescent="0.2">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row>
    <row r="1152" spans="1:33" x14ac:dyDescent="0.2">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row>
    <row r="1153" spans="1:33" x14ac:dyDescent="0.2">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row>
    <row r="1154" spans="1:33" x14ac:dyDescent="0.2">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row>
    <row r="1155" spans="1:33" x14ac:dyDescent="0.2">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row>
    <row r="1156" spans="1:33" x14ac:dyDescent="0.2">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row>
    <row r="1157" spans="1:33" x14ac:dyDescent="0.2">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row>
    <row r="1158" spans="1:33" x14ac:dyDescent="0.2">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row>
    <row r="1159" spans="1:33" x14ac:dyDescent="0.2">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row>
    <row r="1160" spans="1:33" x14ac:dyDescent="0.2">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row>
    <row r="1161" spans="1:33" x14ac:dyDescent="0.2">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row>
    <row r="1162" spans="1:33" x14ac:dyDescent="0.2">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row>
    <row r="1163" spans="1:33" x14ac:dyDescent="0.2">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row>
  </sheetData>
  <sheetProtection sort="0" autoFilter="0" pivotTables="0"/>
  <protectedRanges>
    <protectedRange sqref="G7 K55:P57 K64:P64 E47:P52 E32:P34" name="SalaryInputsTab"/>
  </protectedRanges>
  <mergeCells count="9">
    <mergeCell ref="B3:L4"/>
    <mergeCell ref="M3:O4"/>
    <mergeCell ref="A31:A64"/>
    <mergeCell ref="A10:A14"/>
    <mergeCell ref="A17:A29"/>
    <mergeCell ref="C8:D8"/>
    <mergeCell ref="A2:A4"/>
    <mergeCell ref="B2:L2"/>
    <mergeCell ref="M2:O2"/>
  </mergeCells>
  <conditionalFormatting sqref="B60:D60 Q60:XFD60 Q17:XFD17 B38:B39 D38:XFD39 B47 D47:XFD47 B58:B59 D58:XFD59 A17:D17 A65:A66 B31:XFD37 B40:XFD46 B48:XFD57 A8:C8 E8:XFD8 A18:XFD30 A9:XFD16 A7:XFD7 C6:XFD6 A6 B61:XFD66 A67:XFD1048576 A1:XFD5">
    <cfRule type="containsText" dxfId="758" priority="19" operator="containsText" text="eSystems ">
      <formula>NOT(ISERROR(SEARCH("eSystems ",A1)))</formula>
    </cfRule>
    <cfRule type="containsText" dxfId="757" priority="20" operator="containsText" text="hSystems ">
      <formula>NOT(ISERROR(SEARCH("hSystems ",A1)))</formula>
    </cfRule>
  </conditionalFormatting>
  <conditionalFormatting sqref="E60:P60">
    <cfRule type="containsText" dxfId="756" priority="17" operator="containsText" text="eSystems ">
      <formula>NOT(ISERROR(SEARCH("eSystems ",E60)))</formula>
    </cfRule>
    <cfRule type="containsText" dxfId="755" priority="18" operator="containsText" text="hSystems ">
      <formula>NOT(ISERROR(SEARCH("hSystems ",E60)))</formula>
    </cfRule>
  </conditionalFormatting>
  <pageMargins left="0.75" right="0.75" top="1" bottom="1" header="0.5" footer="0.5"/>
  <pageSetup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pageSetUpPr fitToPage="1"/>
  </sheetPr>
  <dimension ref="A1:AG1071"/>
  <sheetViews>
    <sheetView workbookViewId="0">
      <selection activeCell="C19" sqref="C19"/>
    </sheetView>
  </sheetViews>
  <sheetFormatPr defaultColWidth="8.85546875" defaultRowHeight="12.75" x14ac:dyDescent="0.2"/>
  <cols>
    <col min="1" max="1" width="75.7109375" style="142" customWidth="1"/>
    <col min="2" max="2" width="5.7109375" style="145" customWidth="1"/>
    <col min="3" max="3" width="50.7109375" style="146" customWidth="1"/>
    <col min="4" max="4" width="35.7109375" style="146" customWidth="1"/>
    <col min="5" max="14" width="15.7109375" style="142" customWidth="1"/>
    <col min="15" max="15" width="35.7109375" style="151" customWidth="1"/>
    <col min="16" max="16384" width="8.85546875" style="142"/>
  </cols>
  <sheetData>
    <row r="1" spans="1:33" s="8" customFormat="1" ht="30" customHeight="1" x14ac:dyDescent="0.2">
      <c r="A1" s="1183" t="s">
        <v>66</v>
      </c>
      <c r="B1" s="155"/>
      <c r="C1" s="1182" t="s">
        <v>36</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c r="Q2" s="1192"/>
      <c r="R2" s="1192"/>
      <c r="S2" s="1192"/>
      <c r="T2" s="1192"/>
      <c r="U2" s="1192"/>
      <c r="V2" s="1192"/>
      <c r="W2" s="1192"/>
      <c r="X2" s="1192"/>
      <c r="Y2" s="1192"/>
      <c r="Z2" s="1192"/>
      <c r="AA2" s="1192"/>
      <c r="AB2" s="1192"/>
      <c r="AC2" s="1192"/>
      <c r="AD2" s="1192"/>
      <c r="AE2" s="1192"/>
      <c r="AF2" s="1192"/>
      <c r="AG2" s="1192"/>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c r="Q3" s="12"/>
      <c r="R3" s="12"/>
      <c r="S3" s="12"/>
      <c r="T3" s="12"/>
      <c r="U3" s="12"/>
      <c r="V3" s="12"/>
      <c r="W3" s="12"/>
      <c r="X3" s="12"/>
      <c r="Y3" s="12"/>
      <c r="Z3" s="12"/>
      <c r="AA3" s="12"/>
      <c r="AB3" s="12"/>
      <c r="AC3" s="12"/>
      <c r="AD3" s="12"/>
      <c r="AE3" s="12"/>
      <c r="AF3" s="12"/>
      <c r="AG3" s="12"/>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19"/>
    </row>
    <row r="5" spans="1:33" s="139" customFormat="1" ht="12.75" customHeight="1" x14ac:dyDescent="0.2">
      <c r="A5" s="1299"/>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row>
    <row r="6" spans="1:33" ht="12.75" customHeight="1" x14ac:dyDescent="0.2">
      <c r="A6" s="18"/>
      <c r="B6" s="38"/>
      <c r="C6" s="38"/>
      <c r="D6" s="1300" t="s">
        <v>22</v>
      </c>
      <c r="E6" s="156" t="s">
        <v>12</v>
      </c>
      <c r="F6" s="156" t="s">
        <v>11</v>
      </c>
      <c r="G6" s="156" t="s">
        <v>10</v>
      </c>
      <c r="H6" s="156" t="s">
        <v>39</v>
      </c>
      <c r="I6" s="156" t="s">
        <v>40</v>
      </c>
      <c r="J6" s="156" t="s">
        <v>41</v>
      </c>
      <c r="K6" s="156" t="s">
        <v>42</v>
      </c>
      <c r="L6" s="156" t="s">
        <v>43</v>
      </c>
      <c r="M6" s="156" t="s">
        <v>44</v>
      </c>
      <c r="N6" s="156" t="s">
        <v>45</v>
      </c>
      <c r="O6" s="18"/>
      <c r="P6" s="18"/>
      <c r="Q6" s="18"/>
      <c r="R6" s="18"/>
      <c r="S6" s="18"/>
      <c r="T6" s="18"/>
      <c r="U6" s="18"/>
      <c r="V6" s="18"/>
      <c r="W6" s="18"/>
      <c r="X6" s="18"/>
      <c r="Y6" s="18"/>
      <c r="Z6" s="18"/>
      <c r="AA6" s="18"/>
      <c r="AB6" s="18"/>
      <c r="AC6" s="18"/>
      <c r="AD6" s="18"/>
      <c r="AE6" s="18"/>
      <c r="AF6" s="18"/>
      <c r="AG6" s="18"/>
    </row>
    <row r="7" spans="1:33" x14ac:dyDescent="0.2">
      <c r="A7" s="38"/>
      <c r="B7" s="38"/>
      <c r="C7" s="1301"/>
      <c r="D7" s="1302"/>
      <c r="E7" s="43">
        <f>Yr1End</f>
        <v>43830</v>
      </c>
      <c r="F7" s="43">
        <f>Yr2End</f>
        <v>44196</v>
      </c>
      <c r="G7" s="43">
        <f>Yr3End</f>
        <v>44561</v>
      </c>
      <c r="H7" s="43">
        <f>Yr4end</f>
        <v>44926</v>
      </c>
      <c r="I7" s="43">
        <f>Yr5end</f>
        <v>45291</v>
      </c>
      <c r="J7" s="43">
        <f>Yr6end</f>
        <v>45657</v>
      </c>
      <c r="K7" s="43">
        <f>Yr7end</f>
        <v>46022</v>
      </c>
      <c r="L7" s="43">
        <f>Yr8end</f>
        <v>46387</v>
      </c>
      <c r="M7" s="43">
        <f>Yr9end</f>
        <v>46752</v>
      </c>
      <c r="N7" s="43">
        <f>Yr10end</f>
        <v>47118</v>
      </c>
      <c r="O7" s="18"/>
      <c r="P7" s="18"/>
      <c r="Q7" s="18"/>
      <c r="R7" s="18"/>
      <c r="S7" s="18"/>
      <c r="T7" s="18"/>
      <c r="U7" s="18"/>
      <c r="V7" s="18"/>
      <c r="W7" s="18"/>
      <c r="X7" s="18"/>
      <c r="Y7" s="18"/>
      <c r="Z7" s="18"/>
      <c r="AA7" s="18"/>
      <c r="AB7" s="18"/>
      <c r="AC7" s="18"/>
      <c r="AD7" s="18"/>
      <c r="AE7" s="18"/>
      <c r="AF7" s="18"/>
      <c r="AG7" s="18"/>
    </row>
    <row r="8" spans="1:33" ht="12.95" customHeight="1" x14ac:dyDescent="0.2">
      <c r="A8" s="38"/>
      <c r="B8" s="38"/>
      <c r="C8" s="38"/>
      <c r="D8" s="38"/>
      <c r="E8" s="44">
        <f>Yr1End</f>
        <v>43830</v>
      </c>
      <c r="F8" s="44">
        <f>Yr2End</f>
        <v>44196</v>
      </c>
      <c r="G8" s="44">
        <f>Yr3End</f>
        <v>44561</v>
      </c>
      <c r="H8" s="44">
        <f>Yr4end</f>
        <v>44926</v>
      </c>
      <c r="I8" s="44">
        <f>Yr5end</f>
        <v>45291</v>
      </c>
      <c r="J8" s="44">
        <f>Yr6end</f>
        <v>45657</v>
      </c>
      <c r="K8" s="44">
        <f>Yr7end</f>
        <v>46022</v>
      </c>
      <c r="L8" s="44">
        <f>Yr8end</f>
        <v>46387</v>
      </c>
      <c r="M8" s="44">
        <f>Yr9end</f>
        <v>46752</v>
      </c>
      <c r="N8" s="44">
        <f>Yr10end</f>
        <v>47118</v>
      </c>
      <c r="O8" s="18"/>
      <c r="P8" s="18"/>
      <c r="Q8" s="18"/>
      <c r="R8" s="18"/>
      <c r="S8" s="18"/>
      <c r="T8" s="18"/>
      <c r="U8" s="18"/>
      <c r="V8" s="18"/>
      <c r="W8" s="18"/>
      <c r="X8" s="18"/>
      <c r="Y8" s="18"/>
      <c r="Z8" s="18"/>
      <c r="AA8" s="18"/>
      <c r="AB8" s="18"/>
      <c r="AC8" s="18"/>
      <c r="AD8" s="18"/>
      <c r="AE8" s="18"/>
      <c r="AF8" s="18"/>
      <c r="AG8" s="18"/>
    </row>
    <row r="9" spans="1:33" s="138" customFormat="1" ht="13.5" thickBot="1" x14ac:dyDescent="0.25">
      <c r="A9" s="17"/>
      <c r="B9" s="17"/>
      <c r="C9" s="17"/>
      <c r="D9" s="30"/>
      <c r="E9" s="31"/>
      <c r="F9" s="31"/>
      <c r="G9" s="31"/>
      <c r="H9" s="31"/>
      <c r="I9" s="31"/>
      <c r="J9" s="31"/>
      <c r="K9" s="31"/>
      <c r="L9" s="31"/>
      <c r="M9" s="31"/>
      <c r="N9" s="31"/>
      <c r="O9" s="17"/>
      <c r="P9" s="17"/>
      <c r="Q9" s="17"/>
      <c r="R9" s="17"/>
      <c r="S9" s="17"/>
      <c r="T9" s="17"/>
      <c r="U9" s="17"/>
      <c r="V9" s="17"/>
      <c r="W9" s="17"/>
      <c r="X9" s="17"/>
      <c r="Y9" s="17"/>
      <c r="Z9" s="17"/>
      <c r="AA9" s="17"/>
      <c r="AB9" s="17"/>
      <c r="AC9" s="17"/>
      <c r="AD9" s="17"/>
      <c r="AE9" s="17"/>
      <c r="AF9" s="17"/>
      <c r="AG9" s="17"/>
    </row>
    <row r="10" spans="1:33" s="138" customFormat="1" ht="20.100000000000001" customHeight="1" x14ac:dyDescent="0.2">
      <c r="A10" s="1303"/>
      <c r="B10" s="1303"/>
      <c r="C10" s="1291" t="s">
        <v>36</v>
      </c>
      <c r="D10" s="1304"/>
      <c r="E10" s="1304"/>
      <c r="F10" s="1304"/>
      <c r="G10" s="1304"/>
      <c r="H10" s="1304"/>
      <c r="I10" s="1304"/>
      <c r="J10" s="1304"/>
      <c r="K10" s="1304"/>
      <c r="L10" s="1304"/>
      <c r="M10" s="1304"/>
      <c r="N10" s="1304"/>
      <c r="O10" s="1305"/>
      <c r="P10" s="17"/>
      <c r="Q10" s="17"/>
      <c r="R10" s="17"/>
      <c r="S10" s="17"/>
      <c r="T10" s="17"/>
      <c r="U10" s="17"/>
      <c r="V10" s="17"/>
      <c r="W10" s="17"/>
      <c r="X10" s="17"/>
      <c r="Y10" s="17"/>
      <c r="Z10" s="17"/>
      <c r="AA10" s="17"/>
      <c r="AB10" s="17"/>
      <c r="AC10" s="17"/>
      <c r="AD10" s="17"/>
      <c r="AE10" s="17"/>
      <c r="AF10" s="17"/>
      <c r="AG10" s="17"/>
    </row>
    <row r="11" spans="1:33" ht="12.95" customHeight="1" x14ac:dyDescent="0.2">
      <c r="A11" s="1379" t="s">
        <v>4147</v>
      </c>
      <c r="B11" s="1306"/>
      <c r="C11" s="256"/>
      <c r="D11" s="833" t="s">
        <v>424</v>
      </c>
      <c r="E11" s="1307">
        <v>19</v>
      </c>
      <c r="F11" s="1307">
        <v>20</v>
      </c>
      <c r="G11" s="1307">
        <v>20</v>
      </c>
      <c r="H11" s="1307">
        <v>20</v>
      </c>
      <c r="I11" s="1307">
        <v>20</v>
      </c>
      <c r="J11" s="1307">
        <v>20</v>
      </c>
      <c r="K11" s="1307">
        <v>20</v>
      </c>
      <c r="L11" s="1307">
        <v>20</v>
      </c>
      <c r="M11" s="1307">
        <v>20</v>
      </c>
      <c r="N11" s="1307">
        <v>20</v>
      </c>
      <c r="O11" s="1308" t="s">
        <v>60</v>
      </c>
      <c r="P11" s="18"/>
      <c r="Q11" s="18"/>
      <c r="R11" s="18"/>
      <c r="S11" s="18"/>
      <c r="T11" s="18"/>
      <c r="U11" s="18"/>
      <c r="V11" s="18"/>
      <c r="W11" s="18"/>
      <c r="X11" s="18"/>
      <c r="Y11" s="18"/>
      <c r="Z11" s="18"/>
      <c r="AA11" s="18"/>
      <c r="AB11" s="18"/>
      <c r="AC11" s="18"/>
      <c r="AD11" s="18"/>
      <c r="AE11" s="18"/>
      <c r="AF11" s="18"/>
      <c r="AG11" s="18"/>
    </row>
    <row r="12" spans="1:33" ht="12.95" customHeight="1" x14ac:dyDescent="0.2">
      <c r="A12" s="1379"/>
      <c r="B12" s="1306"/>
      <c r="C12" s="256"/>
      <c r="D12" s="833"/>
      <c r="E12" s="38"/>
      <c r="F12" s="38"/>
      <c r="G12" s="38"/>
      <c r="H12" s="38"/>
      <c r="I12" s="38"/>
      <c r="J12" s="38"/>
      <c r="K12" s="38"/>
      <c r="L12" s="38"/>
      <c r="M12" s="38"/>
      <c r="N12" s="38"/>
      <c r="O12" s="1308"/>
      <c r="P12" s="18"/>
      <c r="Q12" s="18"/>
      <c r="R12" s="18"/>
      <c r="S12" s="18"/>
      <c r="T12" s="18"/>
      <c r="U12" s="18"/>
      <c r="V12" s="18"/>
      <c r="W12" s="18"/>
      <c r="X12" s="18"/>
      <c r="Y12" s="18"/>
      <c r="Z12" s="18"/>
      <c r="AA12" s="18"/>
      <c r="AB12" s="18"/>
      <c r="AC12" s="18"/>
      <c r="AD12" s="18"/>
      <c r="AE12" s="18"/>
      <c r="AF12" s="18"/>
      <c r="AG12" s="18"/>
    </row>
    <row r="13" spans="1:33" ht="15.75" customHeight="1" x14ac:dyDescent="0.2">
      <c r="A13" s="1379"/>
      <c r="B13" s="1306"/>
      <c r="C13" s="256"/>
      <c r="D13" s="833" t="s">
        <v>23</v>
      </c>
      <c r="E13" s="1307">
        <v>8</v>
      </c>
      <c r="F13" s="1307">
        <v>9</v>
      </c>
      <c r="G13" s="1307">
        <v>9</v>
      </c>
      <c r="H13" s="1307">
        <v>9</v>
      </c>
      <c r="I13" s="1307">
        <v>9</v>
      </c>
      <c r="J13" s="1307">
        <v>9</v>
      </c>
      <c r="K13" s="1307">
        <v>9</v>
      </c>
      <c r="L13" s="1307">
        <v>9</v>
      </c>
      <c r="M13" s="1307">
        <v>9</v>
      </c>
      <c r="N13" s="1307">
        <v>9</v>
      </c>
      <c r="O13" s="1308" t="s">
        <v>713</v>
      </c>
      <c r="P13" s="18"/>
      <c r="Q13" s="18"/>
      <c r="R13" s="18"/>
      <c r="S13" s="18"/>
      <c r="T13" s="18"/>
      <c r="U13" s="18"/>
      <c r="V13" s="18"/>
      <c r="W13" s="18"/>
      <c r="X13" s="18"/>
      <c r="Y13" s="18"/>
      <c r="Z13" s="18"/>
      <c r="AA13" s="18"/>
      <c r="AB13" s="18"/>
      <c r="AC13" s="18"/>
      <c r="AD13" s="18"/>
      <c r="AE13" s="18"/>
      <c r="AF13" s="18"/>
      <c r="AG13" s="18"/>
    </row>
    <row r="14" spans="1:33" ht="15.75" customHeight="1" x14ac:dyDescent="0.2">
      <c r="A14" s="1379"/>
      <c r="B14" s="1306"/>
      <c r="C14" s="256"/>
      <c r="D14" s="833"/>
      <c r="E14" s="38"/>
      <c r="F14" s="38"/>
      <c r="G14" s="38"/>
      <c r="H14" s="38"/>
      <c r="I14" s="38"/>
      <c r="J14" s="38"/>
      <c r="K14" s="38"/>
      <c r="L14" s="38"/>
      <c r="M14" s="38"/>
      <c r="N14" s="38"/>
      <c r="O14" s="1308"/>
      <c r="P14" s="18"/>
      <c r="Q14" s="18"/>
      <c r="R14" s="18"/>
      <c r="S14" s="18"/>
      <c r="T14" s="18"/>
      <c r="U14" s="18"/>
      <c r="V14" s="18"/>
      <c r="W14" s="18"/>
      <c r="X14" s="18"/>
      <c r="Y14" s="18"/>
      <c r="Z14" s="18"/>
      <c r="AA14" s="18"/>
      <c r="AB14" s="18"/>
      <c r="AC14" s="18"/>
      <c r="AD14" s="18"/>
      <c r="AE14" s="18"/>
      <c r="AF14" s="18"/>
      <c r="AG14" s="18"/>
    </row>
    <row r="15" spans="1:33" ht="12.95" customHeight="1" x14ac:dyDescent="0.2">
      <c r="A15" s="1379"/>
      <c r="B15" s="1306"/>
      <c r="C15" s="256"/>
      <c r="D15" s="833" t="s">
        <v>24</v>
      </c>
      <c r="E15" s="1307">
        <v>1</v>
      </c>
      <c r="F15" s="1307">
        <v>1</v>
      </c>
      <c r="G15" s="1307">
        <v>1</v>
      </c>
      <c r="H15" s="1307">
        <v>1</v>
      </c>
      <c r="I15" s="1307">
        <v>1</v>
      </c>
      <c r="J15" s="1307">
        <v>1</v>
      </c>
      <c r="K15" s="1307">
        <v>1</v>
      </c>
      <c r="L15" s="1307">
        <v>1</v>
      </c>
      <c r="M15" s="1307">
        <v>1</v>
      </c>
      <c r="N15" s="1307">
        <v>1</v>
      </c>
      <c r="O15" s="1308" t="s">
        <v>714</v>
      </c>
      <c r="P15" s="18"/>
      <c r="Q15" s="18"/>
      <c r="R15" s="18"/>
      <c r="S15" s="18"/>
      <c r="T15" s="18"/>
      <c r="U15" s="18"/>
      <c r="V15" s="18"/>
      <c r="W15" s="18"/>
      <c r="X15" s="18"/>
      <c r="Y15" s="18"/>
      <c r="Z15" s="18"/>
      <c r="AA15" s="18"/>
      <c r="AB15" s="18"/>
      <c r="AC15" s="18"/>
      <c r="AD15" s="18"/>
      <c r="AE15" s="18"/>
      <c r="AF15" s="18"/>
      <c r="AG15" s="18"/>
    </row>
    <row r="16" spans="1:33" ht="12.95" customHeight="1" x14ac:dyDescent="0.2">
      <c r="A16" s="1379"/>
      <c r="B16" s="1306"/>
      <c r="C16" s="256"/>
      <c r="D16" s="833"/>
      <c r="E16" s="38"/>
      <c r="F16" s="38"/>
      <c r="G16" s="38"/>
      <c r="H16" s="38"/>
      <c r="I16" s="38"/>
      <c r="J16" s="38"/>
      <c r="K16" s="38"/>
      <c r="L16" s="38"/>
      <c r="M16" s="38"/>
      <c r="N16" s="38"/>
      <c r="O16" s="1308"/>
      <c r="P16" s="18"/>
      <c r="Q16" s="18"/>
      <c r="R16" s="18"/>
      <c r="S16" s="18"/>
      <c r="T16" s="18"/>
      <c r="U16" s="18"/>
      <c r="V16" s="18"/>
      <c r="W16" s="18"/>
      <c r="X16" s="18"/>
      <c r="Y16" s="18"/>
      <c r="Z16" s="18"/>
      <c r="AA16" s="18"/>
      <c r="AB16" s="18"/>
      <c r="AC16" s="18"/>
      <c r="AD16" s="18"/>
      <c r="AE16" s="18"/>
      <c r="AF16" s="18"/>
      <c r="AG16" s="18"/>
    </row>
    <row r="17" spans="1:33" ht="12.95" customHeight="1" x14ac:dyDescent="0.2">
      <c r="A17" s="1379"/>
      <c r="B17" s="1306"/>
      <c r="C17" s="256"/>
      <c r="D17" s="833" t="s">
        <v>981</v>
      </c>
      <c r="E17" s="1307">
        <v>1</v>
      </c>
      <c r="F17" s="1307">
        <v>1</v>
      </c>
      <c r="G17" s="1307">
        <v>1</v>
      </c>
      <c r="H17" s="1307">
        <v>1</v>
      </c>
      <c r="I17" s="1307">
        <v>1</v>
      </c>
      <c r="J17" s="1307">
        <v>1</v>
      </c>
      <c r="K17" s="1307">
        <v>1</v>
      </c>
      <c r="L17" s="1307">
        <v>1</v>
      </c>
      <c r="M17" s="1307">
        <v>1</v>
      </c>
      <c r="N17" s="1307">
        <v>1</v>
      </c>
      <c r="O17" s="1308" t="s">
        <v>983</v>
      </c>
      <c r="P17" s="18"/>
      <c r="Q17" s="18"/>
      <c r="R17" s="18"/>
      <c r="S17" s="18"/>
      <c r="T17" s="18"/>
      <c r="U17" s="18"/>
      <c r="V17" s="18"/>
      <c r="W17" s="18"/>
      <c r="X17" s="18"/>
      <c r="Y17" s="18"/>
      <c r="Z17" s="18"/>
      <c r="AA17" s="18"/>
      <c r="AB17" s="18"/>
      <c r="AC17" s="18"/>
      <c r="AD17" s="18"/>
      <c r="AE17" s="18"/>
      <c r="AF17" s="18"/>
      <c r="AG17" s="18"/>
    </row>
    <row r="18" spans="1:33" ht="12.95" customHeight="1" x14ac:dyDescent="0.2">
      <c r="A18" s="1379"/>
      <c r="B18" s="1306"/>
      <c r="C18" s="256"/>
      <c r="D18" s="833"/>
      <c r="E18" s="38"/>
      <c r="F18" s="38"/>
      <c r="G18" s="38"/>
      <c r="H18" s="38"/>
      <c r="I18" s="38"/>
      <c r="J18" s="38"/>
      <c r="K18" s="38"/>
      <c r="L18" s="38"/>
      <c r="M18" s="38"/>
      <c r="N18" s="38"/>
      <c r="O18" s="1308"/>
      <c r="P18" s="18"/>
      <c r="Q18" s="18"/>
      <c r="R18" s="18"/>
      <c r="S18" s="18"/>
      <c r="T18" s="18"/>
      <c r="U18" s="18"/>
      <c r="V18" s="18"/>
      <c r="W18" s="18"/>
      <c r="X18" s="18"/>
      <c r="Y18" s="18"/>
      <c r="Z18" s="18"/>
      <c r="AA18" s="18"/>
      <c r="AB18" s="18"/>
      <c r="AC18" s="18"/>
      <c r="AD18" s="18"/>
      <c r="AE18" s="18"/>
      <c r="AF18" s="18"/>
      <c r="AG18" s="18"/>
    </row>
    <row r="19" spans="1:33" ht="12.95" customHeight="1" x14ac:dyDescent="0.2">
      <c r="A19" s="1379"/>
      <c r="B19" s="1306"/>
      <c r="C19" s="256"/>
      <c r="D19" s="833" t="s">
        <v>980</v>
      </c>
      <c r="E19" s="1307">
        <v>1</v>
      </c>
      <c r="F19" s="1307">
        <v>1</v>
      </c>
      <c r="G19" s="1307">
        <v>1</v>
      </c>
      <c r="H19" s="1307">
        <v>1</v>
      </c>
      <c r="I19" s="1307">
        <v>1</v>
      </c>
      <c r="J19" s="1307">
        <v>1</v>
      </c>
      <c r="K19" s="1307">
        <v>1</v>
      </c>
      <c r="L19" s="1307">
        <v>1</v>
      </c>
      <c r="M19" s="1307">
        <v>1</v>
      </c>
      <c r="N19" s="1307">
        <v>1</v>
      </c>
      <c r="O19" s="1308" t="s">
        <v>984</v>
      </c>
      <c r="P19" s="18"/>
      <c r="Q19" s="18"/>
      <c r="R19" s="18"/>
      <c r="S19" s="18"/>
      <c r="T19" s="18"/>
      <c r="U19" s="18"/>
      <c r="V19" s="18"/>
      <c r="W19" s="18"/>
      <c r="X19" s="18"/>
      <c r="Y19" s="18"/>
      <c r="Z19" s="18"/>
      <c r="AA19" s="18"/>
      <c r="AB19" s="18"/>
      <c r="AC19" s="18"/>
      <c r="AD19" s="18"/>
      <c r="AE19" s="18"/>
      <c r="AF19" s="18"/>
      <c r="AG19" s="18"/>
    </row>
    <row r="20" spans="1:33" ht="12.95" customHeight="1" x14ac:dyDescent="0.2">
      <c r="A20" s="1379"/>
      <c r="B20" s="1306"/>
      <c r="C20" s="256"/>
      <c r="D20" s="833"/>
      <c r="E20" s="833"/>
      <c r="F20" s="833"/>
      <c r="G20" s="833"/>
      <c r="H20" s="833"/>
      <c r="I20" s="833"/>
      <c r="J20" s="833"/>
      <c r="K20" s="833"/>
      <c r="L20" s="833"/>
      <c r="M20" s="833"/>
      <c r="N20" s="833"/>
      <c r="O20" s="1308"/>
      <c r="P20" s="18"/>
      <c r="Q20" s="18"/>
      <c r="R20" s="18"/>
      <c r="S20" s="18"/>
      <c r="T20" s="18"/>
      <c r="U20" s="18"/>
      <c r="V20" s="18"/>
      <c r="W20" s="18"/>
      <c r="X20" s="18"/>
      <c r="Y20" s="18"/>
      <c r="Z20" s="18"/>
      <c r="AA20" s="18"/>
      <c r="AB20" s="18"/>
      <c r="AC20" s="18"/>
      <c r="AD20" s="18"/>
      <c r="AE20" s="18"/>
      <c r="AF20" s="18"/>
      <c r="AG20" s="18"/>
    </row>
    <row r="21" spans="1:33" ht="12.95" customHeight="1" x14ac:dyDescent="0.2">
      <c r="A21" s="1379"/>
      <c r="B21" s="1306"/>
      <c r="C21" s="256"/>
      <c r="D21" s="833" t="s">
        <v>982</v>
      </c>
      <c r="E21" s="1307">
        <v>9</v>
      </c>
      <c r="F21" s="1307">
        <v>9</v>
      </c>
      <c r="G21" s="1307">
        <v>9</v>
      </c>
      <c r="H21" s="1307">
        <v>9</v>
      </c>
      <c r="I21" s="1307">
        <v>9</v>
      </c>
      <c r="J21" s="1307">
        <v>9</v>
      </c>
      <c r="K21" s="1307">
        <v>9</v>
      </c>
      <c r="L21" s="1307">
        <v>9</v>
      </c>
      <c r="M21" s="1307">
        <v>9</v>
      </c>
      <c r="N21" s="1307">
        <v>9</v>
      </c>
      <c r="O21" s="1308" t="s">
        <v>429</v>
      </c>
      <c r="P21" s="18"/>
      <c r="Q21" s="18"/>
      <c r="R21" s="18"/>
      <c r="S21" s="18"/>
      <c r="T21" s="18"/>
      <c r="U21" s="18"/>
      <c r="V21" s="18"/>
      <c r="W21" s="18"/>
      <c r="X21" s="18"/>
      <c r="Y21" s="18"/>
      <c r="Z21" s="18"/>
      <c r="AA21" s="18"/>
      <c r="AB21" s="18"/>
      <c r="AC21" s="18"/>
      <c r="AD21" s="18"/>
      <c r="AE21" s="18"/>
      <c r="AF21" s="18"/>
      <c r="AG21" s="18"/>
    </row>
    <row r="22" spans="1:33" ht="12.95" customHeight="1" x14ac:dyDescent="0.2">
      <c r="A22" s="1379"/>
      <c r="B22" s="60"/>
      <c r="C22" s="256"/>
      <c r="D22" s="57"/>
      <c r="E22" s="38"/>
      <c r="F22" s="1309"/>
      <c r="G22" s="38"/>
      <c r="H22" s="38"/>
      <c r="I22" s="38"/>
      <c r="J22" s="38"/>
      <c r="K22" s="38"/>
      <c r="L22" s="38"/>
      <c r="M22" s="38"/>
      <c r="N22" s="38"/>
      <c r="O22" s="1308"/>
      <c r="P22" s="18"/>
      <c r="Q22" s="18"/>
      <c r="R22" s="18"/>
      <c r="S22" s="18"/>
      <c r="T22" s="18"/>
      <c r="U22" s="18"/>
      <c r="V22" s="18"/>
      <c r="W22" s="18"/>
      <c r="X22" s="18"/>
      <c r="Y22" s="18"/>
      <c r="Z22" s="18"/>
      <c r="AA22" s="18"/>
      <c r="AB22" s="18"/>
      <c r="AC22" s="18"/>
      <c r="AD22" s="18"/>
      <c r="AE22" s="18"/>
      <c r="AF22" s="18"/>
      <c r="AG22" s="18"/>
    </row>
    <row r="23" spans="1:33" ht="12.95" customHeight="1" x14ac:dyDescent="0.2">
      <c r="A23" s="1379"/>
      <c r="B23" s="60"/>
      <c r="C23" s="256"/>
      <c r="D23" s="833" t="s">
        <v>56</v>
      </c>
      <c r="E23" s="1307">
        <v>8</v>
      </c>
      <c r="F23" s="1307">
        <v>9</v>
      </c>
      <c r="G23" s="1307">
        <v>9</v>
      </c>
      <c r="H23" s="1307">
        <v>9</v>
      </c>
      <c r="I23" s="1307">
        <v>9</v>
      </c>
      <c r="J23" s="1307">
        <v>9</v>
      </c>
      <c r="K23" s="1307">
        <v>9</v>
      </c>
      <c r="L23" s="1307">
        <v>9</v>
      </c>
      <c r="M23" s="1307">
        <v>9</v>
      </c>
      <c r="N23" s="1307">
        <v>9</v>
      </c>
      <c r="O23" s="1308" t="s">
        <v>61</v>
      </c>
      <c r="P23" s="18"/>
      <c r="Q23" s="18"/>
      <c r="R23" s="18"/>
      <c r="S23" s="18"/>
      <c r="T23" s="18"/>
      <c r="U23" s="18"/>
      <c r="V23" s="18"/>
      <c r="W23" s="18"/>
      <c r="X23" s="18"/>
      <c r="Y23" s="18"/>
      <c r="Z23" s="18"/>
      <c r="AA23" s="18"/>
      <c r="AB23" s="18"/>
      <c r="AC23" s="18"/>
      <c r="AD23" s="18"/>
      <c r="AE23" s="18"/>
      <c r="AF23" s="18"/>
      <c r="AG23" s="18"/>
    </row>
    <row r="24" spans="1:33" ht="12.95" customHeight="1" x14ac:dyDescent="0.2">
      <c r="A24" s="1379"/>
      <c r="B24" s="60"/>
      <c r="C24" s="1310"/>
      <c r="D24" s="57"/>
      <c r="E24" s="38"/>
      <c r="F24" s="1309"/>
      <c r="G24" s="38"/>
      <c r="H24" s="38"/>
      <c r="I24" s="38"/>
      <c r="J24" s="38"/>
      <c r="K24" s="38"/>
      <c r="L24" s="38"/>
      <c r="M24" s="38"/>
      <c r="N24" s="38"/>
      <c r="O24" s="1308"/>
      <c r="P24" s="18"/>
      <c r="Q24" s="18"/>
      <c r="R24" s="18"/>
      <c r="S24" s="18"/>
      <c r="T24" s="18"/>
      <c r="U24" s="18"/>
      <c r="V24" s="18"/>
      <c r="W24" s="18"/>
      <c r="X24" s="18"/>
      <c r="Y24" s="18"/>
      <c r="Z24" s="18"/>
      <c r="AA24" s="18"/>
      <c r="AB24" s="18"/>
      <c r="AC24" s="18"/>
      <c r="AD24" s="18"/>
      <c r="AE24" s="18"/>
      <c r="AF24" s="18"/>
      <c r="AG24" s="18"/>
    </row>
    <row r="25" spans="1:33" ht="12.95" customHeight="1" x14ac:dyDescent="0.2">
      <c r="A25" s="1379"/>
      <c r="B25" s="38"/>
      <c r="C25" s="256"/>
      <c r="D25" s="833" t="s">
        <v>425</v>
      </c>
      <c r="E25" s="1307">
        <v>1</v>
      </c>
      <c r="F25" s="1307">
        <v>1</v>
      </c>
      <c r="G25" s="1307">
        <v>1</v>
      </c>
      <c r="H25" s="1307">
        <v>1</v>
      </c>
      <c r="I25" s="1307">
        <v>1</v>
      </c>
      <c r="J25" s="1307">
        <v>1</v>
      </c>
      <c r="K25" s="1307">
        <v>1</v>
      </c>
      <c r="L25" s="1307">
        <v>1</v>
      </c>
      <c r="M25" s="1307">
        <v>1</v>
      </c>
      <c r="N25" s="1307">
        <v>1</v>
      </c>
      <c r="O25" s="1308" t="s">
        <v>430</v>
      </c>
      <c r="P25" s="18"/>
      <c r="Q25" s="18"/>
      <c r="R25" s="18"/>
      <c r="S25" s="18"/>
      <c r="T25" s="18"/>
      <c r="U25" s="18"/>
      <c r="V25" s="18"/>
      <c r="W25" s="18"/>
      <c r="X25" s="18"/>
      <c r="Y25" s="18"/>
      <c r="Z25" s="18"/>
      <c r="AA25" s="18"/>
      <c r="AB25" s="18"/>
      <c r="AC25" s="18"/>
      <c r="AD25" s="18"/>
      <c r="AE25" s="18"/>
      <c r="AF25" s="18"/>
      <c r="AG25" s="18"/>
    </row>
    <row r="26" spans="1:33" ht="12.95" customHeight="1" x14ac:dyDescent="0.2">
      <c r="A26" s="1379"/>
      <c r="B26" s="38"/>
      <c r="C26" s="256"/>
      <c r="D26" s="833"/>
      <c r="E26" s="38"/>
      <c r="F26" s="38"/>
      <c r="G26" s="38"/>
      <c r="H26" s="38"/>
      <c r="I26" s="38"/>
      <c r="J26" s="38"/>
      <c r="K26" s="38"/>
      <c r="L26" s="38"/>
      <c r="M26" s="38"/>
      <c r="N26" s="38"/>
      <c r="O26" s="1308"/>
      <c r="P26" s="18"/>
      <c r="Q26" s="18"/>
      <c r="R26" s="18"/>
      <c r="S26" s="18"/>
      <c r="T26" s="18"/>
      <c r="U26" s="18"/>
      <c r="V26" s="18"/>
      <c r="W26" s="18"/>
      <c r="X26" s="18"/>
      <c r="Y26" s="18"/>
      <c r="Z26" s="18"/>
      <c r="AA26" s="18"/>
      <c r="AB26" s="18"/>
      <c r="AC26" s="18"/>
      <c r="AD26" s="18"/>
      <c r="AE26" s="18"/>
      <c r="AF26" s="18"/>
      <c r="AG26" s="18"/>
    </row>
    <row r="27" spans="1:33" s="150" customFormat="1" ht="12.95" customHeight="1" x14ac:dyDescent="0.2">
      <c r="A27" s="1379"/>
      <c r="B27" s="38"/>
      <c r="C27" s="256"/>
      <c r="D27" s="833" t="s">
        <v>426</v>
      </c>
      <c r="E27" s="1307">
        <v>2</v>
      </c>
      <c r="F27" s="1307">
        <v>2</v>
      </c>
      <c r="G27" s="1307">
        <v>2</v>
      </c>
      <c r="H27" s="1307">
        <v>2</v>
      </c>
      <c r="I27" s="1307">
        <v>2</v>
      </c>
      <c r="J27" s="1307">
        <v>2</v>
      </c>
      <c r="K27" s="1307">
        <v>2</v>
      </c>
      <c r="L27" s="1307">
        <v>2</v>
      </c>
      <c r="M27" s="1307">
        <v>2</v>
      </c>
      <c r="N27" s="1307">
        <v>2</v>
      </c>
      <c r="O27" s="1308" t="s">
        <v>431</v>
      </c>
      <c r="P27" s="19"/>
      <c r="Q27" s="19"/>
      <c r="R27" s="19"/>
      <c r="S27" s="19"/>
      <c r="T27" s="19"/>
      <c r="U27" s="19"/>
      <c r="V27" s="19"/>
      <c r="W27" s="19"/>
      <c r="X27" s="19"/>
      <c r="Y27" s="19"/>
      <c r="Z27" s="19"/>
      <c r="AA27" s="19"/>
      <c r="AB27" s="19"/>
      <c r="AC27" s="19"/>
      <c r="AD27" s="19"/>
      <c r="AE27" s="19"/>
      <c r="AF27" s="19"/>
      <c r="AG27" s="19"/>
    </row>
    <row r="28" spans="1:33" s="150" customFormat="1" ht="12.95" customHeight="1" x14ac:dyDescent="0.2">
      <c r="A28" s="1379"/>
      <c r="B28" s="38"/>
      <c r="C28" s="256"/>
      <c r="D28" s="833"/>
      <c r="E28" s="13"/>
      <c r="F28" s="13"/>
      <c r="G28" s="13"/>
      <c r="H28" s="13"/>
      <c r="I28" s="13"/>
      <c r="J28" s="13"/>
      <c r="K28" s="13"/>
      <c r="L28" s="13"/>
      <c r="M28" s="13"/>
      <c r="N28" s="13"/>
      <c r="O28" s="1308"/>
      <c r="P28" s="19"/>
      <c r="Q28" s="19"/>
      <c r="R28" s="19"/>
      <c r="S28" s="19"/>
      <c r="T28" s="19"/>
      <c r="U28" s="19"/>
      <c r="V28" s="19"/>
      <c r="W28" s="19"/>
      <c r="X28" s="19"/>
      <c r="Y28" s="19"/>
      <c r="Z28" s="19"/>
      <c r="AA28" s="19"/>
      <c r="AB28" s="19"/>
      <c r="AC28" s="19"/>
      <c r="AD28" s="19"/>
      <c r="AE28" s="19"/>
      <c r="AF28" s="19"/>
      <c r="AG28" s="19"/>
    </row>
    <row r="29" spans="1:33" s="150" customFormat="1" ht="12.95" customHeight="1" x14ac:dyDescent="0.2">
      <c r="A29" s="1379"/>
      <c r="B29" s="38"/>
      <c r="C29" s="256"/>
      <c r="D29" s="833" t="s">
        <v>427</v>
      </c>
      <c r="E29" s="1307">
        <v>3</v>
      </c>
      <c r="F29" s="1307">
        <v>3</v>
      </c>
      <c r="G29" s="1307">
        <v>3</v>
      </c>
      <c r="H29" s="1307">
        <v>3</v>
      </c>
      <c r="I29" s="1307">
        <v>3</v>
      </c>
      <c r="J29" s="1307">
        <v>3</v>
      </c>
      <c r="K29" s="1307">
        <v>3</v>
      </c>
      <c r="L29" s="1307">
        <v>3</v>
      </c>
      <c r="M29" s="1307">
        <v>3</v>
      </c>
      <c r="N29" s="1307">
        <v>3</v>
      </c>
      <c r="O29" s="1308" t="s">
        <v>432</v>
      </c>
      <c r="P29" s="19"/>
      <c r="Q29" s="19"/>
      <c r="R29" s="19"/>
      <c r="S29" s="19"/>
      <c r="T29" s="19"/>
      <c r="U29" s="19"/>
      <c r="V29" s="19"/>
      <c r="W29" s="19"/>
      <c r="X29" s="19"/>
      <c r="Y29" s="19"/>
      <c r="Z29" s="19"/>
      <c r="AA29" s="19"/>
      <c r="AB29" s="19"/>
      <c r="AC29" s="19"/>
      <c r="AD29" s="19"/>
      <c r="AE29" s="19"/>
      <c r="AF29" s="19"/>
      <c r="AG29" s="19"/>
    </row>
    <row r="30" spans="1:33" s="150" customFormat="1" ht="12.95" customHeight="1" x14ac:dyDescent="0.2">
      <c r="A30" s="1379"/>
      <c r="B30" s="12"/>
      <c r="C30" s="71"/>
      <c r="D30" s="12"/>
      <c r="E30" s="13"/>
      <c r="F30" s="13"/>
      <c r="G30" s="13"/>
      <c r="H30" s="13"/>
      <c r="I30" s="13"/>
      <c r="J30" s="13"/>
      <c r="K30" s="13"/>
      <c r="L30" s="13"/>
      <c r="M30" s="13"/>
      <c r="N30" s="13"/>
      <c r="O30" s="1311"/>
      <c r="P30" s="19"/>
      <c r="Q30" s="19"/>
      <c r="R30" s="19"/>
      <c r="S30" s="19"/>
      <c r="T30" s="19"/>
      <c r="U30" s="19"/>
      <c r="V30" s="19"/>
      <c r="W30" s="19"/>
      <c r="X30" s="19"/>
      <c r="Y30" s="19"/>
      <c r="Z30" s="19"/>
      <c r="AA30" s="19"/>
      <c r="AB30" s="19"/>
      <c r="AC30" s="19"/>
      <c r="AD30" s="19"/>
      <c r="AE30" s="19"/>
      <c r="AF30" s="19"/>
      <c r="AG30" s="19"/>
    </row>
    <row r="31" spans="1:33" ht="12.95" customHeight="1" x14ac:dyDescent="0.2">
      <c r="A31" s="1379"/>
      <c r="B31" s="12"/>
      <c r="C31" s="71"/>
      <c r="D31" s="833" t="s">
        <v>428</v>
      </c>
      <c r="E31" s="1307">
        <v>3</v>
      </c>
      <c r="F31" s="1307">
        <v>3</v>
      </c>
      <c r="G31" s="1307">
        <v>3</v>
      </c>
      <c r="H31" s="1307">
        <v>3</v>
      </c>
      <c r="I31" s="1307">
        <v>3</v>
      </c>
      <c r="J31" s="1307">
        <v>3</v>
      </c>
      <c r="K31" s="1307">
        <v>3</v>
      </c>
      <c r="L31" s="1307">
        <v>3</v>
      </c>
      <c r="M31" s="1307">
        <v>3</v>
      </c>
      <c r="N31" s="1307">
        <v>3</v>
      </c>
      <c r="O31" s="1308" t="s">
        <v>433</v>
      </c>
      <c r="P31" s="18"/>
      <c r="Q31" s="18"/>
      <c r="R31" s="18"/>
      <c r="S31" s="18"/>
      <c r="T31" s="18"/>
      <c r="U31" s="18"/>
      <c r="V31" s="18"/>
      <c r="W31" s="18"/>
      <c r="X31" s="18"/>
      <c r="Y31" s="18"/>
      <c r="Z31" s="18"/>
      <c r="AA31" s="18"/>
      <c r="AB31" s="18"/>
      <c r="AC31" s="18"/>
      <c r="AD31" s="18"/>
      <c r="AE31" s="18"/>
      <c r="AF31" s="18"/>
      <c r="AG31" s="18"/>
    </row>
    <row r="32" spans="1:33" ht="12.95" customHeight="1" x14ac:dyDescent="0.2">
      <c r="A32" s="1379"/>
      <c r="B32" s="12"/>
      <c r="C32" s="71"/>
      <c r="D32" s="12"/>
      <c r="E32" s="12"/>
      <c r="F32" s="12"/>
      <c r="G32" s="12"/>
      <c r="H32" s="12"/>
      <c r="I32" s="12"/>
      <c r="J32" s="12"/>
      <c r="K32" s="12"/>
      <c r="L32" s="12"/>
      <c r="M32" s="12"/>
      <c r="N32" s="12"/>
      <c r="O32" s="1312"/>
      <c r="P32" s="18"/>
      <c r="Q32" s="18"/>
      <c r="R32" s="18"/>
      <c r="S32" s="18"/>
      <c r="T32" s="18"/>
      <c r="U32" s="18"/>
      <c r="V32" s="18"/>
      <c r="W32" s="18"/>
      <c r="X32" s="18"/>
      <c r="Y32" s="18"/>
      <c r="Z32" s="18"/>
      <c r="AA32" s="18"/>
      <c r="AB32" s="18"/>
      <c r="AC32" s="18"/>
      <c r="AD32" s="18"/>
      <c r="AE32" s="18"/>
      <c r="AF32" s="18"/>
      <c r="AG32" s="18"/>
    </row>
    <row r="33" spans="1:33" ht="12.95" customHeight="1" x14ac:dyDescent="0.2">
      <c r="A33" s="1379"/>
      <c r="B33" s="12"/>
      <c r="C33" s="1313" t="s">
        <v>438</v>
      </c>
      <c r="D33" s="833" t="s">
        <v>436</v>
      </c>
      <c r="E33" s="1307">
        <v>3</v>
      </c>
      <c r="F33" s="1307">
        <v>3</v>
      </c>
      <c r="G33" s="1307">
        <v>3</v>
      </c>
      <c r="H33" s="1307">
        <v>3</v>
      </c>
      <c r="I33" s="1307">
        <v>3</v>
      </c>
      <c r="J33" s="1307">
        <v>3</v>
      </c>
      <c r="K33" s="1307">
        <v>3</v>
      </c>
      <c r="L33" s="1307">
        <v>3</v>
      </c>
      <c r="M33" s="1307">
        <v>3</v>
      </c>
      <c r="N33" s="1307">
        <v>3</v>
      </c>
      <c r="O33" s="1308" t="s">
        <v>434</v>
      </c>
      <c r="P33" s="18"/>
      <c r="Q33" s="18"/>
      <c r="R33" s="18"/>
      <c r="S33" s="18"/>
      <c r="T33" s="18"/>
      <c r="U33" s="18"/>
      <c r="V33" s="18"/>
      <c r="W33" s="18"/>
      <c r="X33" s="18"/>
      <c r="Y33" s="18"/>
      <c r="Z33" s="18"/>
      <c r="AA33" s="18"/>
      <c r="AB33" s="18"/>
      <c r="AC33" s="18"/>
      <c r="AD33" s="18"/>
      <c r="AE33" s="18"/>
      <c r="AF33" s="18"/>
      <c r="AG33" s="18"/>
    </row>
    <row r="34" spans="1:33" ht="12.95" customHeight="1" x14ac:dyDescent="0.2">
      <c r="A34" s="1379"/>
      <c r="B34" s="12"/>
      <c r="C34" s="71"/>
      <c r="D34" s="12"/>
      <c r="E34" s="12"/>
      <c r="F34" s="12"/>
      <c r="G34" s="12"/>
      <c r="H34" s="12"/>
      <c r="I34" s="12"/>
      <c r="J34" s="12"/>
      <c r="K34" s="12"/>
      <c r="L34" s="12"/>
      <c r="M34" s="12"/>
      <c r="N34" s="12"/>
      <c r="O34" s="1312"/>
      <c r="P34" s="18"/>
      <c r="Q34" s="18"/>
      <c r="R34" s="18"/>
      <c r="S34" s="18"/>
      <c r="T34" s="18"/>
      <c r="U34" s="18"/>
      <c r="V34" s="18"/>
      <c r="W34" s="18"/>
      <c r="X34" s="18"/>
      <c r="Y34" s="18"/>
      <c r="Z34" s="18"/>
      <c r="AA34" s="18"/>
      <c r="AB34" s="18"/>
      <c r="AC34" s="18"/>
      <c r="AD34" s="18"/>
      <c r="AE34" s="18"/>
      <c r="AF34" s="18"/>
      <c r="AG34" s="18"/>
    </row>
    <row r="35" spans="1:33" ht="12.95" customHeight="1" x14ac:dyDescent="0.2">
      <c r="A35" s="1379"/>
      <c r="B35" s="12"/>
      <c r="C35" s="1313" t="s">
        <v>439</v>
      </c>
      <c r="D35" s="833" t="s">
        <v>437</v>
      </c>
      <c r="E35" s="1307">
        <v>3</v>
      </c>
      <c r="F35" s="1307">
        <v>3</v>
      </c>
      <c r="G35" s="1307">
        <v>3</v>
      </c>
      <c r="H35" s="1307">
        <v>3</v>
      </c>
      <c r="I35" s="1307">
        <v>3</v>
      </c>
      <c r="J35" s="1307">
        <v>3</v>
      </c>
      <c r="K35" s="1307">
        <v>3</v>
      </c>
      <c r="L35" s="1307">
        <v>3</v>
      </c>
      <c r="M35" s="1307">
        <v>3</v>
      </c>
      <c r="N35" s="1307">
        <v>3</v>
      </c>
      <c r="O35" s="1308" t="s">
        <v>435</v>
      </c>
      <c r="P35" s="18"/>
      <c r="Q35" s="18"/>
      <c r="R35" s="18"/>
      <c r="S35" s="18"/>
      <c r="T35" s="18"/>
      <c r="U35" s="18"/>
      <c r="V35" s="18"/>
      <c r="W35" s="18"/>
      <c r="X35" s="18"/>
      <c r="Y35" s="18"/>
      <c r="Z35" s="18"/>
      <c r="AA35" s="18"/>
      <c r="AB35" s="18"/>
      <c r="AC35" s="18"/>
      <c r="AD35" s="18"/>
      <c r="AE35" s="18"/>
      <c r="AF35" s="18"/>
      <c r="AG35" s="18"/>
    </row>
    <row r="36" spans="1:33" ht="12.95" customHeight="1" thickBot="1" x14ac:dyDescent="0.25">
      <c r="A36" s="63"/>
      <c r="B36" s="12"/>
      <c r="C36" s="1314"/>
      <c r="D36" s="478"/>
      <c r="E36" s="478"/>
      <c r="F36" s="478"/>
      <c r="G36" s="478"/>
      <c r="H36" s="478"/>
      <c r="I36" s="478"/>
      <c r="J36" s="478"/>
      <c r="K36" s="478"/>
      <c r="L36" s="478"/>
      <c r="M36" s="478"/>
      <c r="N36" s="478"/>
      <c r="O36" s="1315"/>
      <c r="P36" s="18"/>
      <c r="Q36" s="18"/>
      <c r="R36" s="18"/>
      <c r="S36" s="18"/>
      <c r="T36" s="18"/>
      <c r="U36" s="18"/>
      <c r="V36" s="18"/>
      <c r="W36" s="18"/>
      <c r="X36" s="18"/>
      <c r="Y36" s="18"/>
      <c r="Z36" s="18"/>
      <c r="AA36" s="18"/>
      <c r="AB36" s="18"/>
      <c r="AC36" s="18"/>
      <c r="AD36" s="18"/>
      <c r="AE36" s="18"/>
      <c r="AF36" s="18"/>
      <c r="AG36" s="18"/>
    </row>
    <row r="37" spans="1:33" ht="12.95" customHeight="1" x14ac:dyDescent="0.2">
      <c r="A37" s="63"/>
      <c r="B37" s="12"/>
      <c r="C37" s="12"/>
      <c r="D37" s="12"/>
      <c r="E37" s="12"/>
      <c r="F37" s="12"/>
      <c r="G37" s="12"/>
      <c r="H37" s="12"/>
      <c r="I37" s="18"/>
      <c r="J37" s="18"/>
      <c r="K37" s="18"/>
      <c r="L37" s="18"/>
      <c r="M37" s="18"/>
      <c r="N37" s="18"/>
      <c r="O37" s="1316"/>
      <c r="P37" s="18"/>
      <c r="Q37" s="18"/>
      <c r="R37" s="18"/>
      <c r="S37" s="18"/>
      <c r="T37" s="18"/>
      <c r="U37" s="18"/>
      <c r="V37" s="18"/>
      <c r="W37" s="18"/>
      <c r="X37" s="18"/>
      <c r="Y37" s="18"/>
      <c r="Z37" s="18"/>
      <c r="AA37" s="18"/>
      <c r="AB37" s="18"/>
      <c r="AC37" s="18"/>
      <c r="AD37" s="18"/>
      <c r="AE37" s="18"/>
      <c r="AF37" s="18"/>
      <c r="AG37" s="18"/>
    </row>
    <row r="38" spans="1:33" ht="12.95" customHeight="1" x14ac:dyDescent="0.2">
      <c r="A38" s="63"/>
      <c r="B38" s="12"/>
      <c r="C38" s="12"/>
      <c r="D38" s="12"/>
      <c r="E38" s="12"/>
      <c r="F38" s="12"/>
      <c r="G38" s="12"/>
      <c r="H38" s="12"/>
      <c r="I38" s="18"/>
      <c r="J38" s="18"/>
      <c r="K38" s="18"/>
      <c r="L38" s="18"/>
      <c r="M38" s="18"/>
      <c r="N38" s="18"/>
      <c r="O38" s="1316"/>
      <c r="P38" s="18"/>
      <c r="Q38" s="18"/>
      <c r="R38" s="18"/>
      <c r="S38" s="18"/>
      <c r="T38" s="18"/>
      <c r="U38" s="18"/>
      <c r="V38" s="18"/>
      <c r="W38" s="18"/>
      <c r="X38" s="18"/>
      <c r="Y38" s="18"/>
      <c r="Z38" s="18"/>
      <c r="AA38" s="18"/>
      <c r="AB38" s="18"/>
      <c r="AC38" s="18"/>
      <c r="AD38" s="18"/>
      <c r="AE38" s="18"/>
      <c r="AF38" s="18"/>
      <c r="AG38" s="18"/>
    </row>
    <row r="39" spans="1:33" x14ac:dyDescent="0.2">
      <c r="A39" s="18"/>
      <c r="B39" s="18"/>
      <c r="C39" s="18"/>
      <c r="D39" s="18"/>
      <c r="E39" s="18"/>
      <c r="F39" s="18"/>
      <c r="G39" s="18"/>
      <c r="H39" s="18"/>
      <c r="I39" s="18"/>
      <c r="J39" s="18"/>
      <c r="K39" s="18"/>
      <c r="L39" s="18"/>
      <c r="M39" s="18"/>
      <c r="N39" s="18"/>
      <c r="O39" s="1316"/>
      <c r="P39" s="18"/>
      <c r="Q39" s="18"/>
      <c r="R39" s="18"/>
      <c r="S39" s="18"/>
      <c r="T39" s="18"/>
      <c r="U39" s="18"/>
      <c r="V39" s="18"/>
      <c r="W39" s="18"/>
      <c r="X39" s="18"/>
      <c r="Y39" s="18"/>
      <c r="Z39" s="18"/>
      <c r="AA39" s="18"/>
      <c r="AB39" s="18"/>
      <c r="AC39" s="18"/>
      <c r="AD39" s="18"/>
      <c r="AE39" s="18"/>
      <c r="AF39" s="18"/>
      <c r="AG39" s="18"/>
    </row>
    <row r="40" spans="1:33" x14ac:dyDescent="0.2">
      <c r="A40" s="18"/>
      <c r="B40" s="18"/>
      <c r="C40" s="18"/>
      <c r="D40" s="18"/>
      <c r="E40" s="18"/>
      <c r="F40" s="18"/>
      <c r="G40" s="18"/>
      <c r="H40" s="18"/>
      <c r="I40" s="18"/>
      <c r="J40" s="18"/>
      <c r="K40" s="18"/>
      <c r="L40" s="18"/>
      <c r="M40" s="18"/>
      <c r="N40" s="18"/>
      <c r="O40" s="1316"/>
      <c r="P40" s="18"/>
      <c r="Q40" s="18"/>
      <c r="R40" s="18"/>
      <c r="S40" s="18"/>
      <c r="T40" s="18"/>
      <c r="U40" s="18"/>
      <c r="V40" s="18"/>
      <c r="W40" s="18"/>
      <c r="X40" s="18"/>
      <c r="Y40" s="18"/>
      <c r="Z40" s="18"/>
      <c r="AA40" s="18"/>
      <c r="AB40" s="18"/>
      <c r="AC40" s="18"/>
      <c r="AD40" s="18"/>
      <c r="AE40" s="18"/>
      <c r="AF40" s="18"/>
      <c r="AG40" s="18"/>
    </row>
    <row r="41" spans="1:33" x14ac:dyDescent="0.2">
      <c r="A41" s="18"/>
      <c r="B41" s="18"/>
      <c r="C41" s="18"/>
      <c r="D41" s="18"/>
      <c r="E41" s="18"/>
      <c r="F41" s="18"/>
      <c r="G41" s="18"/>
      <c r="H41" s="18"/>
      <c r="I41" s="18"/>
      <c r="J41" s="18"/>
      <c r="K41" s="18"/>
      <c r="L41" s="18"/>
      <c r="M41" s="18"/>
      <c r="N41" s="18"/>
      <c r="O41" s="1316"/>
      <c r="P41" s="18"/>
      <c r="Q41" s="18"/>
      <c r="R41" s="18"/>
      <c r="S41" s="18"/>
      <c r="T41" s="18"/>
      <c r="U41" s="18"/>
      <c r="V41" s="18"/>
      <c r="W41" s="18"/>
      <c r="X41" s="18"/>
      <c r="Y41" s="18"/>
      <c r="Z41" s="18"/>
      <c r="AA41" s="18"/>
      <c r="AB41" s="18"/>
      <c r="AC41" s="18"/>
      <c r="AD41" s="18"/>
      <c r="AE41" s="18"/>
      <c r="AF41" s="18"/>
      <c r="AG41" s="18"/>
    </row>
    <row r="42" spans="1:33" x14ac:dyDescent="0.2">
      <c r="A42" s="18"/>
      <c r="B42" s="18"/>
      <c r="C42" s="18"/>
      <c r="D42" s="18"/>
      <c r="E42" s="18"/>
      <c r="F42" s="18"/>
      <c r="G42" s="18"/>
      <c r="H42" s="18"/>
      <c r="I42" s="18"/>
      <c r="J42" s="18"/>
      <c r="K42" s="18"/>
      <c r="L42" s="18"/>
      <c r="M42" s="18"/>
      <c r="N42" s="18"/>
      <c r="O42" s="1316"/>
      <c r="P42" s="18"/>
      <c r="Q42" s="18"/>
      <c r="R42" s="18"/>
      <c r="S42" s="18"/>
      <c r="T42" s="18"/>
      <c r="U42" s="18"/>
      <c r="V42" s="18"/>
      <c r="W42" s="18"/>
      <c r="X42" s="18"/>
      <c r="Y42" s="18"/>
      <c r="Z42" s="18"/>
      <c r="AA42" s="18"/>
      <c r="AB42" s="18"/>
      <c r="AC42" s="18"/>
      <c r="AD42" s="18"/>
      <c r="AE42" s="18"/>
      <c r="AF42" s="18"/>
      <c r="AG42" s="18"/>
    </row>
    <row r="43" spans="1:33" x14ac:dyDescent="0.2">
      <c r="A43" s="18"/>
      <c r="B43" s="18"/>
      <c r="C43" s="18"/>
      <c r="D43" s="18"/>
      <c r="E43" s="18"/>
      <c r="F43" s="18"/>
      <c r="G43" s="18"/>
      <c r="H43" s="18"/>
      <c r="I43" s="18"/>
      <c r="J43" s="18"/>
      <c r="K43" s="18"/>
      <c r="L43" s="18"/>
      <c r="M43" s="18"/>
      <c r="N43" s="18"/>
      <c r="O43" s="1316"/>
      <c r="P43" s="18"/>
      <c r="Q43" s="18"/>
      <c r="R43" s="18"/>
      <c r="S43" s="18"/>
      <c r="T43" s="18"/>
      <c r="U43" s="18"/>
      <c r="V43" s="18"/>
      <c r="W43" s="18"/>
      <c r="X43" s="18"/>
      <c r="Y43" s="18"/>
      <c r="Z43" s="18"/>
      <c r="AA43" s="18"/>
      <c r="AB43" s="18"/>
      <c r="AC43" s="18"/>
      <c r="AD43" s="18"/>
      <c r="AE43" s="18"/>
      <c r="AF43" s="18"/>
      <c r="AG43" s="18"/>
    </row>
    <row r="44" spans="1:33" x14ac:dyDescent="0.2">
      <c r="A44" s="18"/>
      <c r="B44" s="18"/>
      <c r="C44" s="18"/>
      <c r="D44" s="18"/>
      <c r="E44" s="18"/>
      <c r="F44" s="18"/>
      <c r="G44" s="18"/>
      <c r="H44" s="18"/>
      <c r="I44" s="18"/>
      <c r="J44" s="18"/>
      <c r="K44" s="18"/>
      <c r="L44" s="18"/>
      <c r="M44" s="18"/>
      <c r="N44" s="18"/>
      <c r="O44" s="1316"/>
      <c r="P44" s="18"/>
      <c r="Q44" s="18"/>
      <c r="R44" s="18"/>
      <c r="S44" s="18"/>
      <c r="T44" s="18"/>
      <c r="U44" s="18"/>
      <c r="V44" s="18"/>
      <c r="W44" s="18"/>
      <c r="X44" s="18"/>
      <c r="Y44" s="18"/>
      <c r="Z44" s="18"/>
      <c r="AA44" s="18"/>
      <c r="AB44" s="18"/>
      <c r="AC44" s="18"/>
      <c r="AD44" s="18"/>
      <c r="AE44" s="18"/>
      <c r="AF44" s="18"/>
      <c r="AG44" s="18"/>
    </row>
    <row r="45" spans="1:33" x14ac:dyDescent="0.2">
      <c r="A45" s="18"/>
      <c r="B45" s="18"/>
      <c r="C45" s="18"/>
      <c r="D45" s="18"/>
      <c r="E45" s="18"/>
      <c r="F45" s="18"/>
      <c r="G45" s="18"/>
      <c r="H45" s="18"/>
      <c r="I45" s="18"/>
      <c r="J45" s="18"/>
      <c r="K45" s="18"/>
      <c r="L45" s="18"/>
      <c r="M45" s="18"/>
      <c r="N45" s="18"/>
      <c r="O45" s="1316"/>
      <c r="P45" s="18"/>
      <c r="Q45" s="18"/>
      <c r="R45" s="18"/>
      <c r="S45" s="18"/>
      <c r="T45" s="18"/>
      <c r="U45" s="18"/>
      <c r="V45" s="18"/>
      <c r="W45" s="18"/>
      <c r="X45" s="18"/>
      <c r="Y45" s="18"/>
      <c r="Z45" s="18"/>
      <c r="AA45" s="18"/>
      <c r="AB45" s="18"/>
      <c r="AC45" s="18"/>
      <c r="AD45" s="18"/>
      <c r="AE45" s="18"/>
      <c r="AF45" s="18"/>
      <c r="AG45" s="18"/>
    </row>
    <row r="46" spans="1:33" x14ac:dyDescent="0.2">
      <c r="A46" s="18"/>
      <c r="B46" s="18"/>
      <c r="C46" s="18"/>
      <c r="D46" s="18"/>
      <c r="E46" s="18"/>
      <c r="F46" s="18"/>
      <c r="G46" s="18"/>
      <c r="H46" s="18"/>
      <c r="I46" s="18"/>
      <c r="J46" s="18"/>
      <c r="K46" s="18"/>
      <c r="L46" s="18"/>
      <c r="M46" s="18"/>
      <c r="N46" s="18"/>
      <c r="O46" s="1316"/>
      <c r="P46" s="18"/>
      <c r="Q46" s="18"/>
      <c r="R46" s="18"/>
      <c r="S46" s="18"/>
      <c r="T46" s="18"/>
      <c r="U46" s="18"/>
      <c r="V46" s="18"/>
      <c r="W46" s="18"/>
      <c r="X46" s="18"/>
      <c r="Y46" s="18"/>
      <c r="Z46" s="18"/>
      <c r="AA46" s="18"/>
      <c r="AB46" s="18"/>
      <c r="AC46" s="18"/>
      <c r="AD46" s="18"/>
      <c r="AE46" s="18"/>
      <c r="AF46" s="18"/>
      <c r="AG46" s="18"/>
    </row>
    <row r="47" spans="1:33" x14ac:dyDescent="0.2">
      <c r="A47" s="18"/>
      <c r="B47" s="18"/>
      <c r="C47" s="18"/>
      <c r="D47" s="18"/>
      <c r="E47" s="18"/>
      <c r="F47" s="18"/>
      <c r="G47" s="18"/>
      <c r="H47" s="18"/>
      <c r="I47" s="18"/>
      <c r="J47" s="18"/>
      <c r="K47" s="18"/>
      <c r="L47" s="18"/>
      <c r="M47" s="18"/>
      <c r="N47" s="18"/>
      <c r="O47" s="1316"/>
      <c r="P47" s="18"/>
      <c r="Q47" s="18"/>
      <c r="R47" s="18"/>
      <c r="S47" s="18"/>
      <c r="T47" s="18"/>
      <c r="U47" s="18"/>
      <c r="V47" s="18"/>
      <c r="W47" s="18"/>
      <c r="X47" s="18"/>
      <c r="Y47" s="18"/>
      <c r="Z47" s="18"/>
      <c r="AA47" s="18"/>
      <c r="AB47" s="18"/>
      <c r="AC47" s="18"/>
      <c r="AD47" s="18"/>
      <c r="AE47" s="18"/>
      <c r="AF47" s="18"/>
      <c r="AG47" s="18"/>
    </row>
    <row r="48" spans="1:33" x14ac:dyDescent="0.2">
      <c r="A48" s="18"/>
      <c r="B48" s="18"/>
      <c r="C48" s="18"/>
      <c r="D48" s="18"/>
      <c r="E48" s="18"/>
      <c r="F48" s="18"/>
      <c r="G48" s="18"/>
      <c r="H48" s="18"/>
      <c r="I48" s="18"/>
      <c r="J48" s="18"/>
      <c r="K48" s="18"/>
      <c r="L48" s="18"/>
      <c r="M48" s="18"/>
      <c r="N48" s="18"/>
      <c r="O48" s="1316"/>
      <c r="P48" s="18"/>
      <c r="Q48" s="18"/>
      <c r="R48" s="18"/>
      <c r="S48" s="18"/>
      <c r="T48" s="18"/>
      <c r="U48" s="18"/>
      <c r="V48" s="18"/>
      <c r="W48" s="18"/>
      <c r="X48" s="18"/>
      <c r="Y48" s="18"/>
      <c r="Z48" s="18"/>
      <c r="AA48" s="18"/>
      <c r="AB48" s="18"/>
      <c r="AC48" s="18"/>
      <c r="AD48" s="18"/>
      <c r="AE48" s="18"/>
      <c r="AF48" s="18"/>
      <c r="AG48" s="18"/>
    </row>
    <row r="49" spans="1:33" x14ac:dyDescent="0.2">
      <c r="A49" s="18"/>
      <c r="B49" s="18"/>
      <c r="C49" s="18"/>
      <c r="D49" s="18"/>
      <c r="E49" s="18"/>
      <c r="F49" s="18"/>
      <c r="G49" s="18"/>
      <c r="H49" s="18"/>
      <c r="I49" s="18"/>
      <c r="J49" s="18"/>
      <c r="K49" s="18"/>
      <c r="L49" s="18"/>
      <c r="M49" s="18"/>
      <c r="N49" s="18"/>
      <c r="O49" s="1316"/>
      <c r="P49" s="18"/>
      <c r="Q49" s="18"/>
      <c r="R49" s="18"/>
      <c r="S49" s="18"/>
      <c r="T49" s="18"/>
      <c r="U49" s="18"/>
      <c r="V49" s="18"/>
      <c r="W49" s="18"/>
      <c r="X49" s="18"/>
      <c r="Y49" s="18"/>
      <c r="Z49" s="18"/>
      <c r="AA49" s="18"/>
      <c r="AB49" s="18"/>
      <c r="AC49" s="18"/>
      <c r="AD49" s="18"/>
      <c r="AE49" s="18"/>
      <c r="AF49" s="18"/>
      <c r="AG49" s="18"/>
    </row>
    <row r="50" spans="1:33" x14ac:dyDescent="0.2">
      <c r="A50" s="18"/>
      <c r="B50" s="18"/>
      <c r="C50" s="18"/>
      <c r="D50" s="18"/>
      <c r="E50" s="18"/>
      <c r="F50" s="18"/>
      <c r="G50" s="18"/>
      <c r="H50" s="18"/>
      <c r="I50" s="18"/>
      <c r="J50" s="18"/>
      <c r="K50" s="18"/>
      <c r="L50" s="18"/>
      <c r="M50" s="18"/>
      <c r="N50" s="18"/>
      <c r="O50" s="1316"/>
      <c r="P50" s="18"/>
      <c r="Q50" s="18"/>
      <c r="R50" s="18"/>
      <c r="S50" s="18"/>
      <c r="T50" s="18"/>
      <c r="U50" s="18"/>
      <c r="V50" s="18"/>
      <c r="W50" s="18"/>
      <c r="X50" s="18"/>
      <c r="Y50" s="18"/>
      <c r="Z50" s="18"/>
      <c r="AA50" s="18"/>
      <c r="AB50" s="18"/>
      <c r="AC50" s="18"/>
      <c r="AD50" s="18"/>
      <c r="AE50" s="18"/>
      <c r="AF50" s="18"/>
      <c r="AG50" s="18"/>
    </row>
    <row r="51" spans="1:33" x14ac:dyDescent="0.2">
      <c r="A51" s="18"/>
      <c r="B51" s="18"/>
      <c r="C51" s="18"/>
      <c r="D51" s="18"/>
      <c r="E51" s="18"/>
      <c r="F51" s="18"/>
      <c r="G51" s="18"/>
      <c r="H51" s="18"/>
      <c r="I51" s="18"/>
      <c r="J51" s="18"/>
      <c r="K51" s="18"/>
      <c r="L51" s="18"/>
      <c r="M51" s="18"/>
      <c r="N51" s="18"/>
      <c r="O51" s="1316"/>
      <c r="P51" s="18"/>
      <c r="Q51" s="18"/>
      <c r="R51" s="18"/>
      <c r="S51" s="18"/>
      <c r="T51" s="18"/>
      <c r="U51" s="18"/>
      <c r="V51" s="18"/>
      <c r="W51" s="18"/>
      <c r="X51" s="18"/>
      <c r="Y51" s="18"/>
      <c r="Z51" s="18"/>
      <c r="AA51" s="18"/>
      <c r="AB51" s="18"/>
      <c r="AC51" s="18"/>
      <c r="AD51" s="18"/>
      <c r="AE51" s="18"/>
      <c r="AF51" s="18"/>
      <c r="AG51" s="18"/>
    </row>
    <row r="52" spans="1:33" x14ac:dyDescent="0.2">
      <c r="A52" s="18"/>
      <c r="B52" s="18"/>
      <c r="C52" s="18"/>
      <c r="D52" s="18"/>
      <c r="E52" s="18"/>
      <c r="F52" s="18"/>
      <c r="G52" s="18"/>
      <c r="H52" s="18"/>
      <c r="I52" s="18"/>
      <c r="J52" s="18"/>
      <c r="K52" s="18"/>
      <c r="L52" s="18"/>
      <c r="M52" s="18"/>
      <c r="N52" s="18"/>
      <c r="O52" s="1316"/>
      <c r="P52" s="18"/>
      <c r="Q52" s="18"/>
      <c r="R52" s="18"/>
      <c r="S52" s="18"/>
      <c r="T52" s="18"/>
      <c r="U52" s="18"/>
      <c r="V52" s="18"/>
      <c r="W52" s="18"/>
      <c r="X52" s="18"/>
      <c r="Y52" s="18"/>
      <c r="Z52" s="18"/>
      <c r="AA52" s="18"/>
      <c r="AB52" s="18"/>
      <c r="AC52" s="18"/>
      <c r="AD52" s="18"/>
      <c r="AE52" s="18"/>
      <c r="AF52" s="18"/>
      <c r="AG52" s="18"/>
    </row>
    <row r="53" spans="1:33" x14ac:dyDescent="0.2">
      <c r="A53" s="18"/>
      <c r="B53" s="18"/>
      <c r="C53" s="18"/>
      <c r="D53" s="18"/>
      <c r="E53" s="18"/>
      <c r="F53" s="18"/>
      <c r="G53" s="18"/>
      <c r="H53" s="18"/>
      <c r="I53" s="18"/>
      <c r="J53" s="18"/>
      <c r="K53" s="18"/>
      <c r="L53" s="18"/>
      <c r="M53" s="18"/>
      <c r="N53" s="18"/>
      <c r="O53" s="1316"/>
      <c r="P53" s="18"/>
      <c r="Q53" s="18"/>
      <c r="R53" s="18"/>
      <c r="S53" s="18"/>
      <c r="T53" s="18"/>
      <c r="U53" s="18"/>
      <c r="V53" s="18"/>
      <c r="W53" s="18"/>
      <c r="X53" s="18"/>
      <c r="Y53" s="18"/>
      <c r="Z53" s="18"/>
      <c r="AA53" s="18"/>
      <c r="AB53" s="18"/>
      <c r="AC53" s="18"/>
      <c r="AD53" s="18"/>
      <c r="AE53" s="18"/>
      <c r="AF53" s="18"/>
      <c r="AG53" s="18"/>
    </row>
    <row r="54" spans="1:33" x14ac:dyDescent="0.2">
      <c r="A54" s="18"/>
      <c r="B54" s="18"/>
      <c r="C54" s="18"/>
      <c r="D54" s="18"/>
      <c r="E54" s="18"/>
      <c r="F54" s="18"/>
      <c r="G54" s="18"/>
      <c r="H54" s="18"/>
      <c r="I54" s="18"/>
      <c r="J54" s="18"/>
      <c r="K54" s="18"/>
      <c r="L54" s="18"/>
      <c r="M54" s="18"/>
      <c r="N54" s="18"/>
      <c r="O54" s="1316"/>
      <c r="P54" s="18"/>
      <c r="Q54" s="18"/>
      <c r="R54" s="18"/>
      <c r="S54" s="18"/>
      <c r="T54" s="18"/>
      <c r="U54" s="18"/>
      <c r="V54" s="18"/>
      <c r="W54" s="18"/>
      <c r="X54" s="18"/>
      <c r="Y54" s="18"/>
      <c r="Z54" s="18"/>
      <c r="AA54" s="18"/>
      <c r="AB54" s="18"/>
      <c r="AC54" s="18"/>
      <c r="AD54" s="18"/>
      <c r="AE54" s="18"/>
      <c r="AF54" s="18"/>
      <c r="AG54" s="18"/>
    </row>
    <row r="55" spans="1:33" x14ac:dyDescent="0.2">
      <c r="A55" s="18"/>
      <c r="B55" s="18"/>
      <c r="C55" s="18"/>
      <c r="D55" s="18"/>
      <c r="E55" s="18"/>
      <c r="F55" s="18"/>
      <c r="G55" s="18"/>
      <c r="H55" s="18"/>
      <c r="I55" s="18"/>
      <c r="J55" s="18"/>
      <c r="K55" s="18"/>
      <c r="L55" s="18"/>
      <c r="M55" s="18"/>
      <c r="N55" s="18"/>
      <c r="O55" s="1316"/>
      <c r="P55" s="18"/>
      <c r="Q55" s="18"/>
      <c r="R55" s="18"/>
      <c r="S55" s="18"/>
      <c r="T55" s="18"/>
      <c r="U55" s="18"/>
      <c r="V55" s="18"/>
      <c r="W55" s="18"/>
      <c r="X55" s="18"/>
      <c r="Y55" s="18"/>
      <c r="Z55" s="18"/>
      <c r="AA55" s="18"/>
      <c r="AB55" s="18"/>
      <c r="AC55" s="18"/>
      <c r="AD55" s="18"/>
      <c r="AE55" s="18"/>
      <c r="AF55" s="18"/>
      <c r="AG55" s="18"/>
    </row>
    <row r="56" spans="1:33" x14ac:dyDescent="0.2">
      <c r="A56" s="18"/>
      <c r="B56" s="18"/>
      <c r="C56" s="18"/>
      <c r="D56" s="18"/>
      <c r="E56" s="18"/>
      <c r="F56" s="18"/>
      <c r="G56" s="18"/>
      <c r="H56" s="18"/>
      <c r="I56" s="18"/>
      <c r="J56" s="18"/>
      <c r="K56" s="18"/>
      <c r="L56" s="18"/>
      <c r="M56" s="18"/>
      <c r="N56" s="18"/>
      <c r="O56" s="1316"/>
      <c r="P56" s="18"/>
      <c r="Q56" s="18"/>
      <c r="R56" s="18"/>
      <c r="S56" s="18"/>
      <c r="T56" s="18"/>
      <c r="U56" s="18"/>
      <c r="V56" s="18"/>
      <c r="W56" s="18"/>
      <c r="X56" s="18"/>
      <c r="Y56" s="18"/>
      <c r="Z56" s="18"/>
      <c r="AA56" s="18"/>
      <c r="AB56" s="18"/>
      <c r="AC56" s="18"/>
      <c r="AD56" s="18"/>
      <c r="AE56" s="18"/>
      <c r="AF56" s="18"/>
      <c r="AG56" s="18"/>
    </row>
    <row r="57" spans="1:33" x14ac:dyDescent="0.2">
      <c r="A57" s="18"/>
      <c r="B57" s="18"/>
      <c r="C57" s="18"/>
      <c r="D57" s="18"/>
      <c r="E57" s="18"/>
      <c r="F57" s="18"/>
      <c r="G57" s="18"/>
      <c r="H57" s="18"/>
      <c r="I57" s="18"/>
      <c r="J57" s="18"/>
      <c r="K57" s="18"/>
      <c r="L57" s="18"/>
      <c r="M57" s="18"/>
      <c r="N57" s="18"/>
      <c r="O57" s="1316"/>
      <c r="P57" s="18"/>
      <c r="Q57" s="18"/>
      <c r="R57" s="18"/>
      <c r="S57" s="18"/>
      <c r="T57" s="18"/>
      <c r="U57" s="18"/>
      <c r="V57" s="18"/>
      <c r="W57" s="18"/>
      <c r="X57" s="18"/>
      <c r="Y57" s="18"/>
      <c r="Z57" s="18"/>
      <c r="AA57" s="18"/>
      <c r="AB57" s="18"/>
      <c r="AC57" s="18"/>
      <c r="AD57" s="18"/>
      <c r="AE57" s="18"/>
      <c r="AF57" s="18"/>
      <c r="AG57" s="18"/>
    </row>
    <row r="58" spans="1:33" x14ac:dyDescent="0.2">
      <c r="A58" s="18"/>
      <c r="B58" s="18"/>
      <c r="C58" s="18"/>
      <c r="D58" s="18"/>
      <c r="E58" s="18"/>
      <c r="F58" s="18"/>
      <c r="G58" s="18"/>
      <c r="H58" s="18"/>
      <c r="I58" s="18"/>
      <c r="J58" s="18"/>
      <c r="K58" s="18"/>
      <c r="L58" s="18"/>
      <c r="M58" s="18"/>
      <c r="N58" s="18"/>
      <c r="O58" s="1316"/>
      <c r="P58" s="18"/>
      <c r="Q58" s="18"/>
      <c r="R58" s="18"/>
      <c r="S58" s="18"/>
      <c r="T58" s="18"/>
      <c r="U58" s="18"/>
      <c r="V58" s="18"/>
      <c r="W58" s="18"/>
      <c r="X58" s="18"/>
      <c r="Y58" s="18"/>
      <c r="Z58" s="18"/>
      <c r="AA58" s="18"/>
      <c r="AB58" s="18"/>
      <c r="AC58" s="18"/>
      <c r="AD58" s="18"/>
      <c r="AE58" s="18"/>
      <c r="AF58" s="18"/>
      <c r="AG58" s="18"/>
    </row>
    <row r="59" spans="1:33" x14ac:dyDescent="0.2">
      <c r="A59" s="18"/>
      <c r="B59" s="18"/>
      <c r="C59" s="18"/>
      <c r="D59" s="18"/>
      <c r="E59" s="18"/>
      <c r="F59" s="18"/>
      <c r="G59" s="18"/>
      <c r="H59" s="18"/>
      <c r="I59" s="18"/>
      <c r="J59" s="18"/>
      <c r="K59" s="18"/>
      <c r="L59" s="18"/>
      <c r="M59" s="18"/>
      <c r="N59" s="18"/>
      <c r="O59" s="1316"/>
      <c r="P59" s="18"/>
      <c r="Q59" s="18"/>
      <c r="R59" s="18"/>
      <c r="S59" s="18"/>
      <c r="T59" s="18"/>
      <c r="U59" s="18"/>
      <c r="V59" s="18"/>
      <c r="W59" s="18"/>
      <c r="X59" s="18"/>
      <c r="Y59" s="18"/>
      <c r="Z59" s="18"/>
      <c r="AA59" s="18"/>
      <c r="AB59" s="18"/>
      <c r="AC59" s="18"/>
      <c r="AD59" s="18"/>
      <c r="AE59" s="18"/>
      <c r="AF59" s="18"/>
      <c r="AG59" s="18"/>
    </row>
    <row r="60" spans="1:33" x14ac:dyDescent="0.2">
      <c r="A60" s="18"/>
      <c r="B60" s="18"/>
      <c r="C60" s="18"/>
      <c r="D60" s="18"/>
      <c r="E60" s="18"/>
      <c r="F60" s="18"/>
      <c r="G60" s="18"/>
      <c r="H60" s="18"/>
      <c r="I60" s="18"/>
      <c r="J60" s="18"/>
      <c r="K60" s="18"/>
      <c r="L60" s="18"/>
      <c r="M60" s="18"/>
      <c r="N60" s="18"/>
      <c r="O60" s="1316"/>
      <c r="P60" s="18"/>
      <c r="Q60" s="18"/>
      <c r="R60" s="18"/>
      <c r="S60" s="18"/>
      <c r="T60" s="18"/>
      <c r="U60" s="18"/>
      <c r="V60" s="18"/>
      <c r="W60" s="18"/>
      <c r="X60" s="18"/>
      <c r="Y60" s="18"/>
      <c r="Z60" s="18"/>
      <c r="AA60" s="18"/>
      <c r="AB60" s="18"/>
      <c r="AC60" s="18"/>
      <c r="AD60" s="18"/>
      <c r="AE60" s="18"/>
      <c r="AF60" s="18"/>
      <c r="AG60" s="18"/>
    </row>
    <row r="61" spans="1:33" x14ac:dyDescent="0.2">
      <c r="A61" s="18"/>
      <c r="B61" s="18"/>
      <c r="C61" s="18"/>
      <c r="D61" s="18"/>
      <c r="E61" s="18"/>
      <c r="F61" s="18"/>
      <c r="G61" s="18"/>
      <c r="H61" s="18"/>
      <c r="I61" s="18"/>
      <c r="J61" s="18"/>
      <c r="K61" s="18"/>
      <c r="L61" s="18"/>
      <c r="M61" s="18"/>
      <c r="N61" s="18"/>
      <c r="O61" s="1316"/>
      <c r="P61" s="18"/>
      <c r="Q61" s="18"/>
      <c r="R61" s="18"/>
      <c r="S61" s="18"/>
      <c r="T61" s="18"/>
      <c r="U61" s="18"/>
      <c r="V61" s="18"/>
      <c r="W61" s="18"/>
      <c r="X61" s="18"/>
      <c r="Y61" s="18"/>
      <c r="Z61" s="18"/>
      <c r="AA61" s="18"/>
      <c r="AB61" s="18"/>
      <c r="AC61" s="18"/>
      <c r="AD61" s="18"/>
      <c r="AE61" s="18"/>
      <c r="AF61" s="18"/>
      <c r="AG61" s="18"/>
    </row>
    <row r="62" spans="1:33" x14ac:dyDescent="0.2">
      <c r="A62" s="18"/>
      <c r="B62" s="18"/>
      <c r="C62" s="18"/>
      <c r="D62" s="18"/>
      <c r="E62" s="18"/>
      <c r="F62" s="18"/>
      <c r="G62" s="18"/>
      <c r="H62" s="18"/>
      <c r="I62" s="18"/>
      <c r="J62" s="18"/>
      <c r="K62" s="18"/>
      <c r="L62" s="18"/>
      <c r="M62" s="18"/>
      <c r="N62" s="18"/>
      <c r="O62" s="1316"/>
      <c r="P62" s="18"/>
      <c r="Q62" s="18"/>
      <c r="R62" s="18"/>
      <c r="S62" s="18"/>
      <c r="T62" s="18"/>
      <c r="U62" s="18"/>
      <c r="V62" s="18"/>
      <c r="W62" s="18"/>
      <c r="X62" s="18"/>
      <c r="Y62" s="18"/>
      <c r="Z62" s="18"/>
      <c r="AA62" s="18"/>
      <c r="AB62" s="18"/>
      <c r="AC62" s="18"/>
      <c r="AD62" s="18"/>
      <c r="AE62" s="18"/>
      <c r="AF62" s="18"/>
      <c r="AG62" s="18"/>
    </row>
    <row r="63" spans="1:33" x14ac:dyDescent="0.2">
      <c r="A63" s="18"/>
      <c r="B63" s="18"/>
      <c r="C63" s="18"/>
      <c r="D63" s="18"/>
      <c r="E63" s="18"/>
      <c r="F63" s="18"/>
      <c r="G63" s="18"/>
      <c r="H63" s="18"/>
      <c r="I63" s="18"/>
      <c r="J63" s="18"/>
      <c r="K63" s="18"/>
      <c r="L63" s="18"/>
      <c r="M63" s="18"/>
      <c r="N63" s="18"/>
      <c r="O63" s="1316"/>
      <c r="P63" s="18"/>
      <c r="Q63" s="18"/>
      <c r="R63" s="18"/>
      <c r="S63" s="18"/>
      <c r="T63" s="18"/>
      <c r="U63" s="18"/>
      <c r="V63" s="18"/>
      <c r="W63" s="18"/>
      <c r="X63" s="18"/>
      <c r="Y63" s="18"/>
      <c r="Z63" s="18"/>
      <c r="AA63" s="18"/>
      <c r="AB63" s="18"/>
      <c r="AC63" s="18"/>
      <c r="AD63" s="18"/>
      <c r="AE63" s="18"/>
      <c r="AF63" s="18"/>
      <c r="AG63" s="18"/>
    </row>
    <row r="64" spans="1:33" x14ac:dyDescent="0.2">
      <c r="A64" s="18"/>
      <c r="B64" s="18"/>
      <c r="C64" s="18"/>
      <c r="D64" s="18"/>
      <c r="E64" s="18"/>
      <c r="F64" s="18"/>
      <c r="G64" s="18"/>
      <c r="H64" s="18"/>
      <c r="I64" s="18"/>
      <c r="J64" s="18"/>
      <c r="K64" s="18"/>
      <c r="L64" s="18"/>
      <c r="M64" s="18"/>
      <c r="N64" s="18"/>
      <c r="O64" s="1316"/>
      <c r="P64" s="18"/>
      <c r="Q64" s="18"/>
      <c r="R64" s="18"/>
      <c r="S64" s="18"/>
      <c r="T64" s="18"/>
      <c r="U64" s="18"/>
      <c r="V64" s="18"/>
      <c r="W64" s="18"/>
      <c r="X64" s="18"/>
      <c r="Y64" s="18"/>
      <c r="Z64" s="18"/>
      <c r="AA64" s="18"/>
      <c r="AB64" s="18"/>
      <c r="AC64" s="18"/>
      <c r="AD64" s="18"/>
      <c r="AE64" s="18"/>
      <c r="AF64" s="18"/>
      <c r="AG64" s="18"/>
    </row>
    <row r="65" spans="1:33" x14ac:dyDescent="0.2">
      <c r="A65" s="18"/>
      <c r="B65" s="18"/>
      <c r="C65" s="18"/>
      <c r="D65" s="18"/>
      <c r="E65" s="18"/>
      <c r="F65" s="18"/>
      <c r="G65" s="18"/>
      <c r="H65" s="18"/>
      <c r="I65" s="18"/>
      <c r="J65" s="18"/>
      <c r="K65" s="18"/>
      <c r="L65" s="18"/>
      <c r="M65" s="18"/>
      <c r="N65" s="18"/>
      <c r="O65" s="1316"/>
      <c r="P65" s="18"/>
      <c r="Q65" s="18"/>
      <c r="R65" s="18"/>
      <c r="S65" s="18"/>
      <c r="T65" s="18"/>
      <c r="U65" s="18"/>
      <c r="V65" s="18"/>
      <c r="W65" s="18"/>
      <c r="X65" s="18"/>
      <c r="Y65" s="18"/>
      <c r="Z65" s="18"/>
      <c r="AA65" s="18"/>
      <c r="AB65" s="18"/>
      <c r="AC65" s="18"/>
      <c r="AD65" s="18"/>
      <c r="AE65" s="18"/>
      <c r="AF65" s="18"/>
      <c r="AG65" s="18"/>
    </row>
    <row r="66" spans="1:33" x14ac:dyDescent="0.2">
      <c r="A66" s="18"/>
      <c r="B66" s="18"/>
      <c r="C66" s="18"/>
      <c r="D66" s="18"/>
      <c r="E66" s="18"/>
      <c r="F66" s="18"/>
      <c r="G66" s="18"/>
      <c r="H66" s="18"/>
      <c r="I66" s="18"/>
      <c r="J66" s="18"/>
      <c r="K66" s="18"/>
      <c r="L66" s="18"/>
      <c r="M66" s="18"/>
      <c r="N66" s="18"/>
      <c r="O66" s="1316"/>
      <c r="P66" s="18"/>
      <c r="Q66" s="18"/>
      <c r="R66" s="18"/>
      <c r="S66" s="18"/>
      <c r="T66" s="18"/>
      <c r="U66" s="18"/>
      <c r="V66" s="18"/>
      <c r="W66" s="18"/>
      <c r="X66" s="18"/>
      <c r="Y66" s="18"/>
      <c r="Z66" s="18"/>
      <c r="AA66" s="18"/>
      <c r="AB66" s="18"/>
      <c r="AC66" s="18"/>
      <c r="AD66" s="18"/>
      <c r="AE66" s="18"/>
      <c r="AF66" s="18"/>
      <c r="AG66" s="18"/>
    </row>
    <row r="67" spans="1:33" x14ac:dyDescent="0.2">
      <c r="A67" s="18"/>
      <c r="B67" s="18"/>
      <c r="C67" s="18"/>
      <c r="D67" s="18"/>
      <c r="E67" s="18"/>
      <c r="F67" s="18"/>
      <c r="G67" s="18"/>
      <c r="H67" s="18"/>
      <c r="I67" s="18"/>
      <c r="J67" s="18"/>
      <c r="K67" s="18"/>
      <c r="L67" s="18"/>
      <c r="M67" s="18"/>
      <c r="N67" s="18"/>
      <c r="O67" s="1316"/>
      <c r="P67" s="18"/>
      <c r="Q67" s="18"/>
      <c r="R67" s="18"/>
      <c r="S67" s="18"/>
      <c r="T67" s="18"/>
      <c r="U67" s="18"/>
      <c r="V67" s="18"/>
      <c r="W67" s="18"/>
      <c r="X67" s="18"/>
      <c r="Y67" s="18"/>
      <c r="Z67" s="18"/>
      <c r="AA67" s="18"/>
      <c r="AB67" s="18"/>
      <c r="AC67" s="18"/>
      <c r="AD67" s="18"/>
      <c r="AE67" s="18"/>
      <c r="AF67" s="18"/>
      <c r="AG67" s="18"/>
    </row>
    <row r="68" spans="1:33" x14ac:dyDescent="0.2">
      <c r="A68" s="18"/>
      <c r="B68" s="18"/>
      <c r="C68" s="18"/>
      <c r="D68" s="18"/>
      <c r="E68" s="18"/>
      <c r="F68" s="18"/>
      <c r="G68" s="18"/>
      <c r="H68" s="18"/>
      <c r="I68" s="18"/>
      <c r="J68" s="18"/>
      <c r="K68" s="18"/>
      <c r="L68" s="18"/>
      <c r="M68" s="18"/>
      <c r="N68" s="18"/>
      <c r="O68" s="1316"/>
      <c r="P68" s="18"/>
      <c r="Q68" s="18"/>
      <c r="R68" s="18"/>
      <c r="S68" s="18"/>
      <c r="T68" s="18"/>
      <c r="U68" s="18"/>
      <c r="V68" s="18"/>
      <c r="W68" s="18"/>
      <c r="X68" s="18"/>
      <c r="Y68" s="18"/>
      <c r="Z68" s="18"/>
      <c r="AA68" s="18"/>
      <c r="AB68" s="18"/>
      <c r="AC68" s="18"/>
      <c r="AD68" s="18"/>
      <c r="AE68" s="18"/>
      <c r="AF68" s="18"/>
      <c r="AG68" s="18"/>
    </row>
    <row r="69" spans="1:33" x14ac:dyDescent="0.2">
      <c r="A69" s="18"/>
      <c r="B69" s="18"/>
      <c r="C69" s="18"/>
      <c r="D69" s="18"/>
      <c r="E69" s="18"/>
      <c r="F69" s="18"/>
      <c r="G69" s="18"/>
      <c r="H69" s="18"/>
      <c r="I69" s="18"/>
      <c r="J69" s="18"/>
      <c r="K69" s="18"/>
      <c r="L69" s="18"/>
      <c r="M69" s="18"/>
      <c r="N69" s="18"/>
      <c r="O69" s="1316"/>
      <c r="P69" s="18"/>
      <c r="Q69" s="18"/>
      <c r="R69" s="18"/>
      <c r="S69" s="18"/>
      <c r="T69" s="18"/>
      <c r="U69" s="18"/>
      <c r="V69" s="18"/>
      <c r="W69" s="18"/>
      <c r="X69" s="18"/>
      <c r="Y69" s="18"/>
      <c r="Z69" s="18"/>
      <c r="AA69" s="18"/>
      <c r="AB69" s="18"/>
      <c r="AC69" s="18"/>
      <c r="AD69" s="18"/>
      <c r="AE69" s="18"/>
      <c r="AF69" s="18"/>
      <c r="AG69" s="18"/>
    </row>
    <row r="70" spans="1:33" x14ac:dyDescent="0.2">
      <c r="A70" s="18"/>
      <c r="B70" s="18"/>
      <c r="C70" s="18"/>
      <c r="D70" s="18"/>
      <c r="E70" s="18"/>
      <c r="F70" s="18"/>
      <c r="G70" s="18"/>
      <c r="H70" s="18"/>
      <c r="I70" s="18"/>
      <c r="J70" s="18"/>
      <c r="K70" s="18"/>
      <c r="L70" s="18"/>
      <c r="M70" s="18"/>
      <c r="N70" s="18"/>
      <c r="O70" s="1316"/>
      <c r="P70" s="18"/>
      <c r="Q70" s="18"/>
      <c r="R70" s="18"/>
      <c r="S70" s="18"/>
      <c r="T70" s="18"/>
      <c r="U70" s="18"/>
      <c r="V70" s="18"/>
      <c r="W70" s="18"/>
      <c r="X70" s="18"/>
      <c r="Y70" s="18"/>
      <c r="Z70" s="18"/>
      <c r="AA70" s="18"/>
      <c r="AB70" s="18"/>
      <c r="AC70" s="18"/>
      <c r="AD70" s="18"/>
      <c r="AE70" s="18"/>
      <c r="AF70" s="18"/>
      <c r="AG70" s="18"/>
    </row>
    <row r="71" spans="1:33" x14ac:dyDescent="0.2">
      <c r="A71" s="18"/>
      <c r="B71" s="18"/>
      <c r="C71" s="18"/>
      <c r="D71" s="18"/>
      <c r="E71" s="18"/>
      <c r="F71" s="18"/>
      <c r="G71" s="18"/>
      <c r="H71" s="18"/>
      <c r="I71" s="18"/>
      <c r="J71" s="18"/>
      <c r="K71" s="18"/>
      <c r="L71" s="18"/>
      <c r="M71" s="18"/>
      <c r="N71" s="18"/>
      <c r="O71" s="1316"/>
      <c r="P71" s="18"/>
      <c r="Q71" s="18"/>
      <c r="R71" s="18"/>
      <c r="S71" s="18"/>
      <c r="T71" s="18"/>
      <c r="U71" s="18"/>
      <c r="V71" s="18"/>
      <c r="W71" s="18"/>
      <c r="X71" s="18"/>
      <c r="Y71" s="18"/>
      <c r="Z71" s="18"/>
      <c r="AA71" s="18"/>
      <c r="AB71" s="18"/>
      <c r="AC71" s="18"/>
      <c r="AD71" s="18"/>
      <c r="AE71" s="18"/>
      <c r="AF71" s="18"/>
      <c r="AG71" s="18"/>
    </row>
    <row r="72" spans="1:33" x14ac:dyDescent="0.2">
      <c r="A72" s="18"/>
      <c r="B72" s="18"/>
      <c r="C72" s="18"/>
      <c r="D72" s="18"/>
      <c r="E72" s="18"/>
      <c r="F72" s="18"/>
      <c r="G72" s="18"/>
      <c r="H72" s="18"/>
      <c r="I72" s="18"/>
      <c r="J72" s="18"/>
      <c r="K72" s="18"/>
      <c r="L72" s="18"/>
      <c r="M72" s="18"/>
      <c r="N72" s="18"/>
      <c r="O72" s="1316"/>
      <c r="P72" s="18"/>
      <c r="Q72" s="18"/>
      <c r="R72" s="18"/>
      <c r="S72" s="18"/>
      <c r="T72" s="18"/>
      <c r="U72" s="18"/>
      <c r="V72" s="18"/>
      <c r="W72" s="18"/>
      <c r="X72" s="18"/>
      <c r="Y72" s="18"/>
      <c r="Z72" s="18"/>
      <c r="AA72" s="18"/>
      <c r="AB72" s="18"/>
      <c r="AC72" s="18"/>
      <c r="AD72" s="18"/>
      <c r="AE72" s="18"/>
      <c r="AF72" s="18"/>
      <c r="AG72" s="18"/>
    </row>
    <row r="73" spans="1:33" x14ac:dyDescent="0.2">
      <c r="A73" s="18"/>
      <c r="B73" s="18"/>
      <c r="C73" s="18"/>
      <c r="D73" s="18"/>
      <c r="E73" s="18"/>
      <c r="F73" s="18"/>
      <c r="G73" s="18"/>
      <c r="H73" s="18"/>
      <c r="I73" s="18"/>
      <c r="J73" s="18"/>
      <c r="K73" s="18"/>
      <c r="L73" s="18"/>
      <c r="M73" s="18"/>
      <c r="N73" s="18"/>
      <c r="O73" s="1316"/>
      <c r="P73" s="18"/>
      <c r="Q73" s="18"/>
      <c r="R73" s="18"/>
      <c r="S73" s="18"/>
      <c r="T73" s="18"/>
      <c r="U73" s="18"/>
      <c r="V73" s="18"/>
      <c r="W73" s="18"/>
      <c r="X73" s="18"/>
      <c r="Y73" s="18"/>
      <c r="Z73" s="18"/>
      <c r="AA73" s="18"/>
      <c r="AB73" s="18"/>
      <c r="AC73" s="18"/>
      <c r="AD73" s="18"/>
      <c r="AE73" s="18"/>
      <c r="AF73" s="18"/>
      <c r="AG73" s="18"/>
    </row>
    <row r="74" spans="1:33" x14ac:dyDescent="0.2">
      <c r="A74" s="18"/>
      <c r="B74" s="18"/>
      <c r="C74" s="18"/>
      <c r="D74" s="18"/>
      <c r="E74" s="18"/>
      <c r="F74" s="18"/>
      <c r="G74" s="18"/>
      <c r="H74" s="18"/>
      <c r="I74" s="18"/>
      <c r="J74" s="18"/>
      <c r="K74" s="18"/>
      <c r="L74" s="18"/>
      <c r="M74" s="18"/>
      <c r="N74" s="18"/>
      <c r="O74" s="1316"/>
      <c r="P74" s="18"/>
      <c r="Q74" s="18"/>
      <c r="R74" s="18"/>
      <c r="S74" s="18"/>
      <c r="T74" s="18"/>
      <c r="U74" s="18"/>
      <c r="V74" s="18"/>
      <c r="W74" s="18"/>
      <c r="X74" s="18"/>
      <c r="Y74" s="18"/>
      <c r="Z74" s="18"/>
      <c r="AA74" s="18"/>
      <c r="AB74" s="18"/>
      <c r="AC74" s="18"/>
      <c r="AD74" s="18"/>
      <c r="AE74" s="18"/>
      <c r="AF74" s="18"/>
      <c r="AG74" s="18"/>
    </row>
    <row r="75" spans="1:33" x14ac:dyDescent="0.2">
      <c r="A75" s="18"/>
      <c r="B75" s="18"/>
      <c r="C75" s="18"/>
      <c r="D75" s="18"/>
      <c r="E75" s="18"/>
      <c r="F75" s="18"/>
      <c r="G75" s="18"/>
      <c r="H75" s="18"/>
      <c r="I75" s="18"/>
      <c r="J75" s="18"/>
      <c r="K75" s="18"/>
      <c r="L75" s="18"/>
      <c r="M75" s="18"/>
      <c r="N75" s="18"/>
      <c r="O75" s="1316"/>
      <c r="P75" s="18"/>
      <c r="Q75" s="18"/>
      <c r="R75" s="18"/>
      <c r="S75" s="18"/>
      <c r="T75" s="18"/>
      <c r="U75" s="18"/>
      <c r="V75" s="18"/>
      <c r="W75" s="18"/>
      <c r="X75" s="18"/>
      <c r="Y75" s="18"/>
      <c r="Z75" s="18"/>
      <c r="AA75" s="18"/>
      <c r="AB75" s="18"/>
      <c r="AC75" s="18"/>
      <c r="AD75" s="18"/>
      <c r="AE75" s="18"/>
      <c r="AF75" s="18"/>
      <c r="AG75" s="18"/>
    </row>
    <row r="76" spans="1:33" x14ac:dyDescent="0.2">
      <c r="A76" s="18"/>
      <c r="B76" s="18"/>
      <c r="C76" s="18"/>
      <c r="D76" s="18"/>
      <c r="E76" s="18"/>
      <c r="F76" s="18"/>
      <c r="G76" s="18"/>
      <c r="H76" s="18"/>
      <c r="I76" s="18"/>
      <c r="J76" s="18"/>
      <c r="K76" s="18"/>
      <c r="L76" s="18"/>
      <c r="M76" s="18"/>
      <c r="N76" s="18"/>
      <c r="O76" s="1316"/>
      <c r="P76" s="18"/>
      <c r="Q76" s="18"/>
      <c r="R76" s="18"/>
      <c r="S76" s="18"/>
      <c r="T76" s="18"/>
      <c r="U76" s="18"/>
      <c r="V76" s="18"/>
      <c r="W76" s="18"/>
      <c r="X76" s="18"/>
      <c r="Y76" s="18"/>
      <c r="Z76" s="18"/>
      <c r="AA76" s="18"/>
      <c r="AB76" s="18"/>
      <c r="AC76" s="18"/>
      <c r="AD76" s="18"/>
      <c r="AE76" s="18"/>
      <c r="AF76" s="18"/>
      <c r="AG76" s="18"/>
    </row>
    <row r="77" spans="1:33" x14ac:dyDescent="0.2">
      <c r="A77" s="18"/>
      <c r="B77" s="18"/>
      <c r="C77" s="18"/>
      <c r="D77" s="18"/>
      <c r="E77" s="18"/>
      <c r="F77" s="18"/>
      <c r="G77" s="18"/>
      <c r="H77" s="18"/>
      <c r="I77" s="18"/>
      <c r="J77" s="18"/>
      <c r="K77" s="18"/>
      <c r="L77" s="18"/>
      <c r="M77" s="18"/>
      <c r="N77" s="18"/>
      <c r="O77" s="1316"/>
      <c r="P77" s="18"/>
      <c r="Q77" s="18"/>
      <c r="R77" s="18"/>
      <c r="S77" s="18"/>
      <c r="T77" s="18"/>
      <c r="U77" s="18"/>
      <c r="V77" s="18"/>
      <c r="W77" s="18"/>
      <c r="X77" s="18"/>
      <c r="Y77" s="18"/>
      <c r="Z77" s="18"/>
      <c r="AA77" s="18"/>
      <c r="AB77" s="18"/>
      <c r="AC77" s="18"/>
      <c r="AD77" s="18"/>
      <c r="AE77" s="18"/>
      <c r="AF77" s="18"/>
      <c r="AG77" s="18"/>
    </row>
    <row r="78" spans="1:33" x14ac:dyDescent="0.2">
      <c r="A78" s="18"/>
      <c r="B78" s="18"/>
      <c r="C78" s="18"/>
      <c r="D78" s="18"/>
      <c r="E78" s="18"/>
      <c r="F78" s="18"/>
      <c r="G78" s="18"/>
      <c r="H78" s="18"/>
      <c r="I78" s="18"/>
      <c r="J78" s="18"/>
      <c r="K78" s="18"/>
      <c r="L78" s="18"/>
      <c r="M78" s="18"/>
      <c r="N78" s="18"/>
      <c r="O78" s="1316"/>
      <c r="P78" s="18"/>
      <c r="Q78" s="18"/>
      <c r="R78" s="18"/>
      <c r="S78" s="18"/>
      <c r="T78" s="18"/>
      <c r="U78" s="18"/>
      <c r="V78" s="18"/>
      <c r="W78" s="18"/>
      <c r="X78" s="18"/>
      <c r="Y78" s="18"/>
      <c r="Z78" s="18"/>
      <c r="AA78" s="18"/>
      <c r="AB78" s="18"/>
      <c r="AC78" s="18"/>
      <c r="AD78" s="18"/>
      <c r="AE78" s="18"/>
      <c r="AF78" s="18"/>
      <c r="AG78" s="18"/>
    </row>
    <row r="79" spans="1:33" x14ac:dyDescent="0.2">
      <c r="A79" s="18"/>
      <c r="B79" s="18"/>
      <c r="C79" s="18"/>
      <c r="D79" s="18"/>
      <c r="E79" s="18"/>
      <c r="F79" s="18"/>
      <c r="G79" s="18"/>
      <c r="H79" s="18"/>
      <c r="I79" s="18"/>
      <c r="J79" s="18"/>
      <c r="K79" s="18"/>
      <c r="L79" s="18"/>
      <c r="M79" s="18"/>
      <c r="N79" s="18"/>
      <c r="O79" s="1316"/>
      <c r="P79" s="18"/>
      <c r="Q79" s="18"/>
      <c r="R79" s="18"/>
      <c r="S79" s="18"/>
      <c r="T79" s="18"/>
      <c r="U79" s="18"/>
      <c r="V79" s="18"/>
      <c r="W79" s="18"/>
      <c r="X79" s="18"/>
      <c r="Y79" s="18"/>
      <c r="Z79" s="18"/>
      <c r="AA79" s="18"/>
      <c r="AB79" s="18"/>
      <c r="AC79" s="18"/>
      <c r="AD79" s="18"/>
      <c r="AE79" s="18"/>
      <c r="AF79" s="18"/>
      <c r="AG79" s="18"/>
    </row>
    <row r="80" spans="1:33" x14ac:dyDescent="0.2">
      <c r="A80" s="18"/>
      <c r="B80" s="18"/>
      <c r="C80" s="18"/>
      <c r="D80" s="18"/>
      <c r="E80" s="18"/>
      <c r="F80" s="18"/>
      <c r="G80" s="18"/>
      <c r="H80" s="18"/>
      <c r="I80" s="18"/>
      <c r="J80" s="18"/>
      <c r="K80" s="18"/>
      <c r="L80" s="18"/>
      <c r="M80" s="18"/>
      <c r="N80" s="18"/>
      <c r="O80" s="1316"/>
      <c r="P80" s="18"/>
      <c r="Q80" s="18"/>
      <c r="R80" s="18"/>
      <c r="S80" s="18"/>
      <c r="T80" s="18"/>
      <c r="U80" s="18"/>
      <c r="V80" s="18"/>
      <c r="W80" s="18"/>
      <c r="X80" s="18"/>
      <c r="Y80" s="18"/>
      <c r="Z80" s="18"/>
      <c r="AA80" s="18"/>
      <c r="AB80" s="18"/>
      <c r="AC80" s="18"/>
      <c r="AD80" s="18"/>
      <c r="AE80" s="18"/>
      <c r="AF80" s="18"/>
      <c r="AG80" s="18"/>
    </row>
    <row r="81" spans="1:33" x14ac:dyDescent="0.2">
      <c r="A81" s="18"/>
      <c r="B81" s="18"/>
      <c r="C81" s="18"/>
      <c r="D81" s="18"/>
      <c r="E81" s="18"/>
      <c r="F81" s="18"/>
      <c r="G81" s="18"/>
      <c r="H81" s="18"/>
      <c r="I81" s="18"/>
      <c r="J81" s="18"/>
      <c r="K81" s="18"/>
      <c r="L81" s="18"/>
      <c r="M81" s="18"/>
      <c r="N81" s="18"/>
      <c r="O81" s="1316"/>
      <c r="P81" s="18"/>
      <c r="Q81" s="18"/>
      <c r="R81" s="18"/>
      <c r="S81" s="18"/>
      <c r="T81" s="18"/>
      <c r="U81" s="18"/>
      <c r="V81" s="18"/>
      <c r="W81" s="18"/>
      <c r="X81" s="18"/>
      <c r="Y81" s="18"/>
      <c r="Z81" s="18"/>
      <c r="AA81" s="18"/>
      <c r="AB81" s="18"/>
      <c r="AC81" s="18"/>
      <c r="AD81" s="18"/>
      <c r="AE81" s="18"/>
      <c r="AF81" s="18"/>
      <c r="AG81" s="18"/>
    </row>
    <row r="82" spans="1:33" x14ac:dyDescent="0.2">
      <c r="A82" s="18"/>
      <c r="B82" s="18"/>
      <c r="C82" s="18"/>
      <c r="D82" s="18"/>
      <c r="E82" s="18"/>
      <c r="F82" s="18"/>
      <c r="G82" s="18"/>
      <c r="H82" s="18"/>
      <c r="I82" s="18"/>
      <c r="J82" s="18"/>
      <c r="K82" s="18"/>
      <c r="L82" s="18"/>
      <c r="M82" s="18"/>
      <c r="N82" s="18"/>
      <c r="O82" s="1316"/>
      <c r="P82" s="18"/>
      <c r="Q82" s="18"/>
      <c r="R82" s="18"/>
      <c r="S82" s="18"/>
      <c r="T82" s="18"/>
      <c r="U82" s="18"/>
      <c r="V82" s="18"/>
      <c r="W82" s="18"/>
      <c r="X82" s="18"/>
      <c r="Y82" s="18"/>
      <c r="Z82" s="18"/>
      <c r="AA82" s="18"/>
      <c r="AB82" s="18"/>
      <c r="AC82" s="18"/>
      <c r="AD82" s="18"/>
      <c r="AE82" s="18"/>
      <c r="AF82" s="18"/>
      <c r="AG82" s="18"/>
    </row>
    <row r="83" spans="1:33" x14ac:dyDescent="0.2">
      <c r="A83" s="18"/>
      <c r="B83" s="18"/>
      <c r="C83" s="18"/>
      <c r="D83" s="18"/>
      <c r="E83" s="18"/>
      <c r="F83" s="18"/>
      <c r="G83" s="18"/>
      <c r="H83" s="18"/>
      <c r="I83" s="18"/>
      <c r="J83" s="18"/>
      <c r="K83" s="18"/>
      <c r="L83" s="18"/>
      <c r="M83" s="18"/>
      <c r="N83" s="18"/>
      <c r="O83" s="1316"/>
      <c r="P83" s="18"/>
      <c r="Q83" s="18"/>
      <c r="R83" s="18"/>
      <c r="S83" s="18"/>
      <c r="T83" s="18"/>
      <c r="U83" s="18"/>
      <c r="V83" s="18"/>
      <c r="W83" s="18"/>
      <c r="X83" s="18"/>
      <c r="Y83" s="18"/>
      <c r="Z83" s="18"/>
      <c r="AA83" s="18"/>
      <c r="AB83" s="18"/>
      <c r="AC83" s="18"/>
      <c r="AD83" s="18"/>
      <c r="AE83" s="18"/>
      <c r="AF83" s="18"/>
      <c r="AG83" s="18"/>
    </row>
    <row r="84" spans="1:33" x14ac:dyDescent="0.2">
      <c r="A84" s="18"/>
      <c r="B84" s="18"/>
      <c r="C84" s="18"/>
      <c r="D84" s="18"/>
      <c r="E84" s="18"/>
      <c r="F84" s="18"/>
      <c r="G84" s="18"/>
      <c r="H84" s="18"/>
      <c r="I84" s="18"/>
      <c r="J84" s="18"/>
      <c r="K84" s="18"/>
      <c r="L84" s="18"/>
      <c r="M84" s="18"/>
      <c r="N84" s="18"/>
      <c r="O84" s="1316"/>
      <c r="P84" s="18"/>
      <c r="Q84" s="18"/>
      <c r="R84" s="18"/>
      <c r="S84" s="18"/>
      <c r="T84" s="18"/>
      <c r="U84" s="18"/>
      <c r="V84" s="18"/>
      <c r="W84" s="18"/>
      <c r="X84" s="18"/>
      <c r="Y84" s="18"/>
      <c r="Z84" s="18"/>
      <c r="AA84" s="18"/>
      <c r="AB84" s="18"/>
      <c r="AC84" s="18"/>
      <c r="AD84" s="18"/>
      <c r="AE84" s="18"/>
      <c r="AF84" s="18"/>
      <c r="AG84" s="18"/>
    </row>
    <row r="85" spans="1:33" x14ac:dyDescent="0.2">
      <c r="A85" s="18"/>
      <c r="B85" s="18"/>
      <c r="C85" s="18"/>
      <c r="D85" s="18"/>
      <c r="E85" s="18"/>
      <c r="F85" s="18"/>
      <c r="G85" s="18"/>
      <c r="H85" s="18"/>
      <c r="I85" s="18"/>
      <c r="J85" s="18"/>
      <c r="K85" s="18"/>
      <c r="L85" s="18"/>
      <c r="M85" s="18"/>
      <c r="N85" s="18"/>
      <c r="O85" s="1316"/>
      <c r="P85" s="18"/>
      <c r="Q85" s="18"/>
      <c r="R85" s="18"/>
      <c r="S85" s="18"/>
      <c r="T85" s="18"/>
      <c r="U85" s="18"/>
      <c r="V85" s="18"/>
      <c r="W85" s="18"/>
      <c r="X85" s="18"/>
      <c r="Y85" s="18"/>
      <c r="Z85" s="18"/>
      <c r="AA85" s="18"/>
      <c r="AB85" s="18"/>
      <c r="AC85" s="18"/>
      <c r="AD85" s="18"/>
      <c r="AE85" s="18"/>
      <c r="AF85" s="18"/>
      <c r="AG85" s="18"/>
    </row>
    <row r="86" spans="1:33" x14ac:dyDescent="0.2">
      <c r="A86" s="18"/>
      <c r="B86" s="18"/>
      <c r="C86" s="18"/>
      <c r="D86" s="18"/>
      <c r="E86" s="18"/>
      <c r="F86" s="18"/>
      <c r="G86" s="18"/>
      <c r="H86" s="18"/>
      <c r="I86" s="18"/>
      <c r="J86" s="18"/>
      <c r="K86" s="18"/>
      <c r="L86" s="18"/>
      <c r="M86" s="18"/>
      <c r="N86" s="18"/>
      <c r="O86" s="1316"/>
      <c r="P86" s="18"/>
      <c r="Q86" s="18"/>
      <c r="R86" s="18"/>
      <c r="S86" s="18"/>
      <c r="T86" s="18"/>
      <c r="U86" s="18"/>
      <c r="V86" s="18"/>
      <c r="W86" s="18"/>
      <c r="X86" s="18"/>
      <c r="Y86" s="18"/>
      <c r="Z86" s="18"/>
      <c r="AA86" s="18"/>
      <c r="AB86" s="18"/>
      <c r="AC86" s="18"/>
      <c r="AD86" s="18"/>
      <c r="AE86" s="18"/>
      <c r="AF86" s="18"/>
      <c r="AG86" s="18"/>
    </row>
    <row r="87" spans="1:33" x14ac:dyDescent="0.2">
      <c r="A87" s="18"/>
      <c r="B87" s="18"/>
      <c r="C87" s="18"/>
      <c r="D87" s="18"/>
      <c r="E87" s="18"/>
      <c r="F87" s="18"/>
      <c r="G87" s="18"/>
      <c r="H87" s="18"/>
      <c r="I87" s="18"/>
      <c r="J87" s="18"/>
      <c r="K87" s="18"/>
      <c r="L87" s="18"/>
      <c r="M87" s="18"/>
      <c r="N87" s="18"/>
      <c r="O87" s="1316"/>
      <c r="P87" s="18"/>
      <c r="Q87" s="18"/>
      <c r="R87" s="18"/>
      <c r="S87" s="18"/>
      <c r="T87" s="18"/>
      <c r="U87" s="18"/>
      <c r="V87" s="18"/>
      <c r="W87" s="18"/>
      <c r="X87" s="18"/>
      <c r="Y87" s="18"/>
      <c r="Z87" s="18"/>
      <c r="AA87" s="18"/>
      <c r="AB87" s="18"/>
      <c r="AC87" s="18"/>
      <c r="AD87" s="18"/>
      <c r="AE87" s="18"/>
      <c r="AF87" s="18"/>
      <c r="AG87" s="18"/>
    </row>
    <row r="88" spans="1:33" x14ac:dyDescent="0.2">
      <c r="A88" s="18"/>
      <c r="B88" s="18"/>
      <c r="C88" s="18"/>
      <c r="D88" s="18"/>
      <c r="E88" s="18"/>
      <c r="F88" s="18"/>
      <c r="G88" s="18"/>
      <c r="H88" s="18"/>
      <c r="I88" s="18"/>
      <c r="J88" s="18"/>
      <c r="K88" s="18"/>
      <c r="L88" s="18"/>
      <c r="M88" s="18"/>
      <c r="N88" s="18"/>
      <c r="O88" s="1316"/>
      <c r="P88" s="18"/>
      <c r="Q88" s="18"/>
      <c r="R88" s="18"/>
      <c r="S88" s="18"/>
      <c r="T88" s="18"/>
      <c r="U88" s="18"/>
      <c r="V88" s="18"/>
      <c r="W88" s="18"/>
      <c r="X88" s="18"/>
      <c r="Y88" s="18"/>
      <c r="Z88" s="18"/>
      <c r="AA88" s="18"/>
      <c r="AB88" s="18"/>
      <c r="AC88" s="18"/>
      <c r="AD88" s="18"/>
      <c r="AE88" s="18"/>
      <c r="AF88" s="18"/>
      <c r="AG88" s="18"/>
    </row>
    <row r="89" spans="1:33" x14ac:dyDescent="0.2">
      <c r="A89" s="18"/>
      <c r="B89" s="18"/>
      <c r="C89" s="18"/>
      <c r="D89" s="18"/>
      <c r="E89" s="18"/>
      <c r="F89" s="18"/>
      <c r="G89" s="18"/>
      <c r="H89" s="18"/>
      <c r="I89" s="18"/>
      <c r="J89" s="18"/>
      <c r="K89" s="18"/>
      <c r="L89" s="18"/>
      <c r="M89" s="18"/>
      <c r="N89" s="18"/>
      <c r="O89" s="1316"/>
      <c r="P89" s="18"/>
      <c r="Q89" s="18"/>
      <c r="R89" s="18"/>
      <c r="S89" s="18"/>
      <c r="T89" s="18"/>
      <c r="U89" s="18"/>
      <c r="V89" s="18"/>
      <c r="W89" s="18"/>
      <c r="X89" s="18"/>
      <c r="Y89" s="18"/>
      <c r="Z89" s="18"/>
      <c r="AA89" s="18"/>
      <c r="AB89" s="18"/>
      <c r="AC89" s="18"/>
      <c r="AD89" s="18"/>
      <c r="AE89" s="18"/>
      <c r="AF89" s="18"/>
      <c r="AG89" s="18"/>
    </row>
    <row r="90" spans="1:33" x14ac:dyDescent="0.2">
      <c r="A90" s="18"/>
      <c r="B90" s="18"/>
      <c r="C90" s="18"/>
      <c r="D90" s="18"/>
      <c r="E90" s="18"/>
      <c r="F90" s="18"/>
      <c r="G90" s="18"/>
      <c r="H90" s="18"/>
      <c r="I90" s="18"/>
      <c r="J90" s="18"/>
      <c r="K90" s="18"/>
      <c r="L90" s="18"/>
      <c r="M90" s="18"/>
      <c r="N90" s="18"/>
      <c r="O90" s="1316"/>
      <c r="P90" s="18"/>
      <c r="Q90" s="18"/>
      <c r="R90" s="18"/>
      <c r="S90" s="18"/>
      <c r="T90" s="18"/>
      <c r="U90" s="18"/>
      <c r="V90" s="18"/>
      <c r="W90" s="18"/>
      <c r="X90" s="18"/>
      <c r="Y90" s="18"/>
      <c r="Z90" s="18"/>
      <c r="AA90" s="18"/>
      <c r="AB90" s="18"/>
      <c r="AC90" s="18"/>
      <c r="AD90" s="18"/>
      <c r="AE90" s="18"/>
      <c r="AF90" s="18"/>
      <c r="AG90" s="18"/>
    </row>
    <row r="91" spans="1:33" x14ac:dyDescent="0.2">
      <c r="A91" s="18"/>
      <c r="B91" s="18"/>
      <c r="C91" s="18"/>
      <c r="D91" s="18"/>
      <c r="E91" s="18"/>
      <c r="F91" s="18"/>
      <c r="G91" s="18"/>
      <c r="H91" s="18"/>
      <c r="I91" s="18"/>
      <c r="J91" s="18"/>
      <c r="K91" s="18"/>
      <c r="L91" s="18"/>
      <c r="M91" s="18"/>
      <c r="N91" s="18"/>
      <c r="O91" s="1316"/>
      <c r="P91" s="18"/>
      <c r="Q91" s="18"/>
      <c r="R91" s="18"/>
      <c r="S91" s="18"/>
      <c r="T91" s="18"/>
      <c r="U91" s="18"/>
      <c r="V91" s="18"/>
      <c r="W91" s="18"/>
      <c r="X91" s="18"/>
      <c r="Y91" s="18"/>
      <c r="Z91" s="18"/>
      <c r="AA91" s="18"/>
      <c r="AB91" s="18"/>
      <c r="AC91" s="18"/>
      <c r="AD91" s="18"/>
      <c r="AE91" s="18"/>
      <c r="AF91" s="18"/>
      <c r="AG91" s="18"/>
    </row>
    <row r="92" spans="1:33" x14ac:dyDescent="0.2">
      <c r="A92" s="18"/>
      <c r="B92" s="18"/>
      <c r="C92" s="18"/>
      <c r="D92" s="18"/>
      <c r="E92" s="18"/>
      <c r="F92" s="18"/>
      <c r="G92" s="18"/>
      <c r="H92" s="18"/>
      <c r="I92" s="18"/>
      <c r="J92" s="18"/>
      <c r="K92" s="18"/>
      <c r="L92" s="18"/>
      <c r="M92" s="18"/>
      <c r="N92" s="18"/>
      <c r="O92" s="1316"/>
      <c r="P92" s="18"/>
      <c r="Q92" s="18"/>
      <c r="R92" s="18"/>
      <c r="S92" s="18"/>
      <c r="T92" s="18"/>
      <c r="U92" s="18"/>
      <c r="V92" s="18"/>
      <c r="W92" s="18"/>
      <c r="X92" s="18"/>
      <c r="Y92" s="18"/>
      <c r="Z92" s="18"/>
      <c r="AA92" s="18"/>
      <c r="AB92" s="18"/>
      <c r="AC92" s="18"/>
      <c r="AD92" s="18"/>
      <c r="AE92" s="18"/>
      <c r="AF92" s="18"/>
      <c r="AG92" s="18"/>
    </row>
    <row r="93" spans="1:33" x14ac:dyDescent="0.2">
      <c r="A93" s="18"/>
      <c r="B93" s="18"/>
      <c r="C93" s="18"/>
      <c r="D93" s="18"/>
      <c r="E93" s="18"/>
      <c r="F93" s="18"/>
      <c r="G93" s="18"/>
      <c r="H93" s="18"/>
      <c r="I93" s="18"/>
      <c r="J93" s="18"/>
      <c r="K93" s="18"/>
      <c r="L93" s="18"/>
      <c r="M93" s="18"/>
      <c r="N93" s="18"/>
      <c r="O93" s="1316"/>
      <c r="P93" s="18"/>
      <c r="Q93" s="18"/>
      <c r="R93" s="18"/>
      <c r="S93" s="18"/>
      <c r="T93" s="18"/>
      <c r="U93" s="18"/>
      <c r="V93" s="18"/>
      <c r="W93" s="18"/>
      <c r="X93" s="18"/>
      <c r="Y93" s="18"/>
      <c r="Z93" s="18"/>
      <c r="AA93" s="18"/>
      <c r="AB93" s="18"/>
      <c r="AC93" s="18"/>
      <c r="AD93" s="18"/>
      <c r="AE93" s="18"/>
      <c r="AF93" s="18"/>
      <c r="AG93" s="18"/>
    </row>
    <row r="94" spans="1:33" x14ac:dyDescent="0.2">
      <c r="A94" s="18"/>
      <c r="B94" s="18"/>
      <c r="C94" s="18"/>
      <c r="D94" s="18"/>
      <c r="E94" s="18"/>
      <c r="F94" s="18"/>
      <c r="G94" s="18"/>
      <c r="H94" s="18"/>
      <c r="I94" s="18"/>
      <c r="J94" s="18"/>
      <c r="K94" s="18"/>
      <c r="L94" s="18"/>
      <c r="M94" s="18"/>
      <c r="N94" s="18"/>
      <c r="O94" s="1316"/>
      <c r="P94" s="18"/>
      <c r="Q94" s="18"/>
      <c r="R94" s="18"/>
      <c r="S94" s="18"/>
      <c r="T94" s="18"/>
      <c r="U94" s="18"/>
      <c r="V94" s="18"/>
      <c r="W94" s="18"/>
      <c r="X94" s="18"/>
      <c r="Y94" s="18"/>
      <c r="Z94" s="18"/>
      <c r="AA94" s="18"/>
      <c r="AB94" s="18"/>
      <c r="AC94" s="18"/>
      <c r="AD94" s="18"/>
      <c r="AE94" s="18"/>
      <c r="AF94" s="18"/>
      <c r="AG94" s="18"/>
    </row>
    <row r="95" spans="1:33" x14ac:dyDescent="0.2">
      <c r="A95" s="18"/>
      <c r="B95" s="18"/>
      <c r="C95" s="18"/>
      <c r="D95" s="18"/>
      <c r="E95" s="18"/>
      <c r="F95" s="18"/>
      <c r="G95" s="18"/>
      <c r="H95" s="18"/>
      <c r="I95" s="18"/>
      <c r="J95" s="18"/>
      <c r="K95" s="18"/>
      <c r="L95" s="18"/>
      <c r="M95" s="18"/>
      <c r="N95" s="18"/>
      <c r="O95" s="1316"/>
      <c r="P95" s="18"/>
      <c r="Q95" s="18"/>
      <c r="R95" s="18"/>
      <c r="S95" s="18"/>
      <c r="T95" s="18"/>
      <c r="U95" s="18"/>
      <c r="V95" s="18"/>
      <c r="W95" s="18"/>
      <c r="X95" s="18"/>
      <c r="Y95" s="18"/>
      <c r="Z95" s="18"/>
      <c r="AA95" s="18"/>
      <c r="AB95" s="18"/>
      <c r="AC95" s="18"/>
      <c r="AD95" s="18"/>
      <c r="AE95" s="18"/>
      <c r="AF95" s="18"/>
      <c r="AG95" s="18"/>
    </row>
    <row r="96" spans="1:33" x14ac:dyDescent="0.2">
      <c r="A96" s="18"/>
      <c r="B96" s="18"/>
      <c r="C96" s="18"/>
      <c r="D96" s="18"/>
      <c r="E96" s="18"/>
      <c r="F96" s="18"/>
      <c r="G96" s="18"/>
      <c r="H96" s="18"/>
      <c r="I96" s="18"/>
      <c r="J96" s="18"/>
      <c r="K96" s="18"/>
      <c r="L96" s="18"/>
      <c r="M96" s="18"/>
      <c r="N96" s="18"/>
      <c r="O96" s="1316"/>
      <c r="P96" s="18"/>
      <c r="Q96" s="18"/>
      <c r="R96" s="18"/>
      <c r="S96" s="18"/>
      <c r="T96" s="18"/>
      <c r="U96" s="18"/>
      <c r="V96" s="18"/>
      <c r="W96" s="18"/>
      <c r="X96" s="18"/>
      <c r="Y96" s="18"/>
      <c r="Z96" s="18"/>
      <c r="AA96" s="18"/>
      <c r="AB96" s="18"/>
      <c r="AC96" s="18"/>
      <c r="AD96" s="18"/>
      <c r="AE96" s="18"/>
      <c r="AF96" s="18"/>
      <c r="AG96" s="18"/>
    </row>
    <row r="97" spans="1:33" x14ac:dyDescent="0.2">
      <c r="A97" s="18"/>
      <c r="B97" s="18"/>
      <c r="C97" s="18"/>
      <c r="D97" s="18"/>
      <c r="E97" s="18"/>
      <c r="F97" s="18"/>
      <c r="G97" s="18"/>
      <c r="H97" s="18"/>
      <c r="I97" s="18"/>
      <c r="J97" s="18"/>
      <c r="K97" s="18"/>
      <c r="L97" s="18"/>
      <c r="M97" s="18"/>
      <c r="N97" s="18"/>
      <c r="O97" s="1316"/>
      <c r="P97" s="18"/>
      <c r="Q97" s="18"/>
      <c r="R97" s="18"/>
      <c r="S97" s="18"/>
      <c r="T97" s="18"/>
      <c r="U97" s="18"/>
      <c r="V97" s="18"/>
      <c r="W97" s="18"/>
      <c r="X97" s="18"/>
      <c r="Y97" s="18"/>
      <c r="Z97" s="18"/>
      <c r="AA97" s="18"/>
      <c r="AB97" s="18"/>
      <c r="AC97" s="18"/>
      <c r="AD97" s="18"/>
      <c r="AE97" s="18"/>
      <c r="AF97" s="18"/>
      <c r="AG97" s="18"/>
    </row>
    <row r="98" spans="1:33" x14ac:dyDescent="0.2">
      <c r="A98" s="18"/>
      <c r="B98" s="18"/>
      <c r="C98" s="18"/>
      <c r="D98" s="18"/>
      <c r="E98" s="18"/>
      <c r="F98" s="18"/>
      <c r="G98" s="18"/>
      <c r="H98" s="18"/>
      <c r="I98" s="18"/>
      <c r="J98" s="18"/>
      <c r="K98" s="18"/>
      <c r="L98" s="18"/>
      <c r="M98" s="18"/>
      <c r="N98" s="18"/>
      <c r="O98" s="1316"/>
      <c r="P98" s="18"/>
      <c r="Q98" s="18"/>
      <c r="R98" s="18"/>
      <c r="S98" s="18"/>
      <c r="T98" s="18"/>
      <c r="U98" s="18"/>
      <c r="V98" s="18"/>
      <c r="W98" s="18"/>
      <c r="X98" s="18"/>
      <c r="Y98" s="18"/>
      <c r="Z98" s="18"/>
      <c r="AA98" s="18"/>
      <c r="AB98" s="18"/>
      <c r="AC98" s="18"/>
      <c r="AD98" s="18"/>
      <c r="AE98" s="18"/>
      <c r="AF98" s="18"/>
      <c r="AG98" s="18"/>
    </row>
    <row r="99" spans="1:33" x14ac:dyDescent="0.2">
      <c r="A99" s="18"/>
      <c r="B99" s="18"/>
      <c r="C99" s="18"/>
      <c r="D99" s="18"/>
      <c r="E99" s="18"/>
      <c r="F99" s="18"/>
      <c r="G99" s="18"/>
      <c r="H99" s="18"/>
      <c r="I99" s="18"/>
      <c r="J99" s="18"/>
      <c r="K99" s="18"/>
      <c r="L99" s="18"/>
      <c r="M99" s="18"/>
      <c r="N99" s="18"/>
      <c r="O99" s="1316"/>
      <c r="P99" s="18"/>
      <c r="Q99" s="18"/>
      <c r="R99" s="18"/>
      <c r="S99" s="18"/>
      <c r="T99" s="18"/>
      <c r="U99" s="18"/>
      <c r="V99" s="18"/>
      <c r="W99" s="18"/>
      <c r="X99" s="18"/>
      <c r="Y99" s="18"/>
      <c r="Z99" s="18"/>
      <c r="AA99" s="18"/>
      <c r="AB99" s="18"/>
      <c r="AC99" s="18"/>
      <c r="AD99" s="18"/>
      <c r="AE99" s="18"/>
      <c r="AF99" s="18"/>
      <c r="AG99" s="18"/>
    </row>
    <row r="100" spans="1:33" x14ac:dyDescent="0.2">
      <c r="A100" s="18"/>
      <c r="B100" s="18"/>
      <c r="C100" s="18"/>
      <c r="D100" s="18"/>
      <c r="E100" s="18"/>
      <c r="F100" s="18"/>
      <c r="G100" s="18"/>
      <c r="H100" s="18"/>
      <c r="I100" s="18"/>
      <c r="J100" s="18"/>
      <c r="K100" s="18"/>
      <c r="L100" s="18"/>
      <c r="M100" s="18"/>
      <c r="N100" s="18"/>
      <c r="O100" s="1316"/>
      <c r="P100" s="18"/>
      <c r="Q100" s="18"/>
      <c r="R100" s="18"/>
      <c r="S100" s="18"/>
      <c r="T100" s="18"/>
      <c r="U100" s="18"/>
      <c r="V100" s="18"/>
      <c r="W100" s="18"/>
      <c r="X100" s="18"/>
      <c r="Y100" s="18"/>
      <c r="Z100" s="18"/>
      <c r="AA100" s="18"/>
      <c r="AB100" s="18"/>
      <c r="AC100" s="18"/>
      <c r="AD100" s="18"/>
      <c r="AE100" s="18"/>
      <c r="AF100" s="18"/>
      <c r="AG100" s="18"/>
    </row>
    <row r="101" spans="1:33" x14ac:dyDescent="0.2">
      <c r="A101" s="18"/>
      <c r="B101" s="18"/>
      <c r="C101" s="18"/>
      <c r="D101" s="18"/>
      <c r="E101" s="18"/>
      <c r="F101" s="18"/>
      <c r="G101" s="18"/>
      <c r="H101" s="18"/>
      <c r="I101" s="18"/>
      <c r="J101" s="18"/>
      <c r="K101" s="18"/>
      <c r="L101" s="18"/>
      <c r="M101" s="18"/>
      <c r="N101" s="18"/>
      <c r="O101" s="1316"/>
      <c r="P101" s="18"/>
      <c r="Q101" s="18"/>
      <c r="R101" s="18"/>
      <c r="S101" s="18"/>
      <c r="T101" s="18"/>
      <c r="U101" s="18"/>
      <c r="V101" s="18"/>
      <c r="W101" s="18"/>
      <c r="X101" s="18"/>
      <c r="Y101" s="18"/>
      <c r="Z101" s="18"/>
      <c r="AA101" s="18"/>
      <c r="AB101" s="18"/>
      <c r="AC101" s="18"/>
      <c r="AD101" s="18"/>
      <c r="AE101" s="18"/>
      <c r="AF101" s="18"/>
      <c r="AG101" s="18"/>
    </row>
    <row r="102" spans="1:33" x14ac:dyDescent="0.2">
      <c r="A102" s="18"/>
      <c r="B102" s="18"/>
      <c r="C102" s="18"/>
      <c r="D102" s="18"/>
      <c r="E102" s="18"/>
      <c r="F102" s="18"/>
      <c r="G102" s="18"/>
      <c r="H102" s="18"/>
      <c r="I102" s="18"/>
      <c r="J102" s="18"/>
      <c r="K102" s="18"/>
      <c r="L102" s="18"/>
      <c r="M102" s="18"/>
      <c r="N102" s="18"/>
      <c r="O102" s="1316"/>
      <c r="P102" s="18"/>
      <c r="Q102" s="18"/>
      <c r="R102" s="18"/>
      <c r="S102" s="18"/>
      <c r="T102" s="18"/>
      <c r="U102" s="18"/>
      <c r="V102" s="18"/>
      <c r="W102" s="18"/>
      <c r="X102" s="18"/>
      <c r="Y102" s="18"/>
      <c r="Z102" s="18"/>
      <c r="AA102" s="18"/>
      <c r="AB102" s="18"/>
      <c r="AC102" s="18"/>
      <c r="AD102" s="18"/>
      <c r="AE102" s="18"/>
      <c r="AF102" s="18"/>
      <c r="AG102" s="18"/>
    </row>
    <row r="103" spans="1:33" x14ac:dyDescent="0.2">
      <c r="A103" s="18"/>
      <c r="B103" s="18"/>
      <c r="C103" s="18"/>
      <c r="D103" s="18"/>
      <c r="E103" s="18"/>
      <c r="F103" s="18"/>
      <c r="G103" s="18"/>
      <c r="H103" s="18"/>
      <c r="I103" s="18"/>
      <c r="J103" s="18"/>
      <c r="K103" s="18"/>
      <c r="L103" s="18"/>
      <c r="M103" s="18"/>
      <c r="N103" s="18"/>
      <c r="O103" s="1316"/>
      <c r="P103" s="18"/>
      <c r="Q103" s="18"/>
      <c r="R103" s="18"/>
      <c r="S103" s="18"/>
      <c r="T103" s="18"/>
      <c r="U103" s="18"/>
      <c r="V103" s="18"/>
      <c r="W103" s="18"/>
      <c r="X103" s="18"/>
      <c r="Y103" s="18"/>
      <c r="Z103" s="18"/>
      <c r="AA103" s="18"/>
      <c r="AB103" s="18"/>
      <c r="AC103" s="18"/>
      <c r="AD103" s="18"/>
      <c r="AE103" s="18"/>
      <c r="AF103" s="18"/>
      <c r="AG103" s="18"/>
    </row>
    <row r="104" spans="1:33" x14ac:dyDescent="0.2">
      <c r="A104" s="18"/>
      <c r="B104" s="18"/>
      <c r="C104" s="18"/>
      <c r="D104" s="18"/>
      <c r="E104" s="18"/>
      <c r="F104" s="18"/>
      <c r="G104" s="18"/>
      <c r="H104" s="18"/>
      <c r="I104" s="18"/>
      <c r="J104" s="18"/>
      <c r="K104" s="18"/>
      <c r="L104" s="18"/>
      <c r="M104" s="18"/>
      <c r="N104" s="18"/>
      <c r="O104" s="1316"/>
      <c r="P104" s="18"/>
      <c r="Q104" s="18"/>
      <c r="R104" s="18"/>
      <c r="S104" s="18"/>
      <c r="T104" s="18"/>
      <c r="U104" s="18"/>
      <c r="V104" s="18"/>
      <c r="W104" s="18"/>
      <c r="X104" s="18"/>
      <c r="Y104" s="18"/>
      <c r="Z104" s="18"/>
      <c r="AA104" s="18"/>
      <c r="AB104" s="18"/>
      <c r="AC104" s="18"/>
      <c r="AD104" s="18"/>
      <c r="AE104" s="18"/>
      <c r="AF104" s="18"/>
      <c r="AG104" s="18"/>
    </row>
    <row r="105" spans="1:33" x14ac:dyDescent="0.2">
      <c r="A105" s="18"/>
      <c r="B105" s="18"/>
      <c r="C105" s="18"/>
      <c r="D105" s="18"/>
      <c r="E105" s="18"/>
      <c r="F105" s="18"/>
      <c r="G105" s="18"/>
      <c r="H105" s="18"/>
      <c r="I105" s="18"/>
      <c r="J105" s="18"/>
      <c r="K105" s="18"/>
      <c r="L105" s="18"/>
      <c r="M105" s="18"/>
      <c r="N105" s="18"/>
      <c r="O105" s="1316"/>
      <c r="P105" s="18"/>
      <c r="Q105" s="18"/>
      <c r="R105" s="18"/>
      <c r="S105" s="18"/>
      <c r="T105" s="18"/>
      <c r="U105" s="18"/>
      <c r="V105" s="18"/>
      <c r="W105" s="18"/>
      <c r="X105" s="18"/>
      <c r="Y105" s="18"/>
      <c r="Z105" s="18"/>
      <c r="AA105" s="18"/>
      <c r="AB105" s="18"/>
      <c r="AC105" s="18"/>
      <c r="AD105" s="18"/>
      <c r="AE105" s="18"/>
      <c r="AF105" s="18"/>
      <c r="AG105" s="18"/>
    </row>
    <row r="106" spans="1:33" x14ac:dyDescent="0.2">
      <c r="A106" s="18"/>
      <c r="B106" s="18"/>
      <c r="C106" s="18"/>
      <c r="D106" s="18"/>
      <c r="E106" s="18"/>
      <c r="F106" s="18"/>
      <c r="G106" s="18"/>
      <c r="H106" s="18"/>
      <c r="I106" s="18"/>
      <c r="J106" s="18"/>
      <c r="K106" s="18"/>
      <c r="L106" s="18"/>
      <c r="M106" s="18"/>
      <c r="N106" s="18"/>
      <c r="O106" s="1316"/>
      <c r="P106" s="18"/>
      <c r="Q106" s="18"/>
      <c r="R106" s="18"/>
      <c r="S106" s="18"/>
      <c r="T106" s="18"/>
      <c r="U106" s="18"/>
      <c r="V106" s="18"/>
      <c r="W106" s="18"/>
      <c r="X106" s="18"/>
      <c r="Y106" s="18"/>
      <c r="Z106" s="18"/>
      <c r="AA106" s="18"/>
      <c r="AB106" s="18"/>
      <c r="AC106" s="18"/>
      <c r="AD106" s="18"/>
      <c r="AE106" s="18"/>
      <c r="AF106" s="18"/>
      <c r="AG106" s="18"/>
    </row>
    <row r="107" spans="1:33" x14ac:dyDescent="0.2">
      <c r="A107" s="18"/>
      <c r="B107" s="18"/>
      <c r="C107" s="18"/>
      <c r="D107" s="18"/>
      <c r="E107" s="18"/>
      <c r="F107" s="18"/>
      <c r="G107" s="18"/>
      <c r="H107" s="18"/>
      <c r="I107" s="18"/>
      <c r="J107" s="18"/>
      <c r="K107" s="18"/>
      <c r="L107" s="18"/>
      <c r="M107" s="18"/>
      <c r="N107" s="18"/>
      <c r="O107" s="1316"/>
      <c r="P107" s="18"/>
      <c r="Q107" s="18"/>
      <c r="R107" s="18"/>
      <c r="S107" s="18"/>
      <c r="T107" s="18"/>
      <c r="U107" s="18"/>
      <c r="V107" s="18"/>
      <c r="W107" s="18"/>
      <c r="X107" s="18"/>
      <c r="Y107" s="18"/>
      <c r="Z107" s="18"/>
      <c r="AA107" s="18"/>
      <c r="AB107" s="18"/>
      <c r="AC107" s="18"/>
      <c r="AD107" s="18"/>
      <c r="AE107" s="18"/>
      <c r="AF107" s="18"/>
      <c r="AG107" s="18"/>
    </row>
    <row r="108" spans="1:33" x14ac:dyDescent="0.2">
      <c r="A108" s="18"/>
      <c r="B108" s="18"/>
      <c r="C108" s="18"/>
      <c r="D108" s="18"/>
      <c r="E108" s="18"/>
      <c r="F108" s="18"/>
      <c r="G108" s="18"/>
      <c r="H108" s="18"/>
      <c r="I108" s="18"/>
      <c r="J108" s="18"/>
      <c r="K108" s="18"/>
      <c r="L108" s="18"/>
      <c r="M108" s="18"/>
      <c r="N108" s="18"/>
      <c r="O108" s="1316"/>
      <c r="P108" s="18"/>
      <c r="Q108" s="18"/>
      <c r="R108" s="18"/>
      <c r="S108" s="18"/>
      <c r="T108" s="18"/>
      <c r="U108" s="18"/>
      <c r="V108" s="18"/>
      <c r="W108" s="18"/>
      <c r="X108" s="18"/>
      <c r="Y108" s="18"/>
      <c r="Z108" s="18"/>
      <c r="AA108" s="18"/>
      <c r="AB108" s="18"/>
      <c r="AC108" s="18"/>
      <c r="AD108" s="18"/>
      <c r="AE108" s="18"/>
      <c r="AF108" s="18"/>
      <c r="AG108" s="18"/>
    </row>
    <row r="109" spans="1:33" x14ac:dyDescent="0.2">
      <c r="A109" s="18"/>
      <c r="B109" s="18"/>
      <c r="C109" s="18"/>
      <c r="D109" s="18"/>
      <c r="E109" s="18"/>
      <c r="F109" s="18"/>
      <c r="G109" s="18"/>
      <c r="H109" s="18"/>
      <c r="I109" s="18"/>
      <c r="J109" s="18"/>
      <c r="K109" s="18"/>
      <c r="L109" s="18"/>
      <c r="M109" s="18"/>
      <c r="N109" s="18"/>
      <c r="O109" s="1316"/>
      <c r="P109" s="18"/>
      <c r="Q109" s="18"/>
      <c r="R109" s="18"/>
      <c r="S109" s="18"/>
      <c r="T109" s="18"/>
      <c r="U109" s="18"/>
      <c r="V109" s="18"/>
      <c r="W109" s="18"/>
      <c r="X109" s="18"/>
      <c r="Y109" s="18"/>
      <c r="Z109" s="18"/>
      <c r="AA109" s="18"/>
      <c r="AB109" s="18"/>
      <c r="AC109" s="18"/>
      <c r="AD109" s="18"/>
      <c r="AE109" s="18"/>
      <c r="AF109" s="18"/>
      <c r="AG109" s="18"/>
    </row>
    <row r="110" spans="1:33" x14ac:dyDescent="0.2">
      <c r="A110" s="18"/>
      <c r="B110" s="18"/>
      <c r="C110" s="18"/>
      <c r="D110" s="18"/>
      <c r="E110" s="18"/>
      <c r="F110" s="18"/>
      <c r="G110" s="18"/>
      <c r="H110" s="18"/>
      <c r="I110" s="18"/>
      <c r="J110" s="18"/>
      <c r="K110" s="18"/>
      <c r="L110" s="18"/>
      <c r="M110" s="18"/>
      <c r="N110" s="18"/>
      <c r="O110" s="1316"/>
      <c r="P110" s="18"/>
      <c r="Q110" s="18"/>
      <c r="R110" s="18"/>
      <c r="S110" s="18"/>
      <c r="T110" s="18"/>
      <c r="U110" s="18"/>
      <c r="V110" s="18"/>
      <c r="W110" s="18"/>
      <c r="X110" s="18"/>
      <c r="Y110" s="18"/>
      <c r="Z110" s="18"/>
      <c r="AA110" s="18"/>
      <c r="AB110" s="18"/>
      <c r="AC110" s="18"/>
      <c r="AD110" s="18"/>
      <c r="AE110" s="18"/>
      <c r="AF110" s="18"/>
      <c r="AG110" s="18"/>
    </row>
    <row r="111" spans="1:33" x14ac:dyDescent="0.2">
      <c r="A111" s="18"/>
      <c r="B111" s="18"/>
      <c r="C111" s="18"/>
      <c r="D111" s="18"/>
      <c r="E111" s="18"/>
      <c r="F111" s="18"/>
      <c r="G111" s="18"/>
      <c r="H111" s="18"/>
      <c r="I111" s="18"/>
      <c r="J111" s="18"/>
      <c r="K111" s="18"/>
      <c r="L111" s="18"/>
      <c r="M111" s="18"/>
      <c r="N111" s="18"/>
      <c r="O111" s="1316"/>
      <c r="P111" s="18"/>
      <c r="Q111" s="18"/>
      <c r="R111" s="18"/>
      <c r="S111" s="18"/>
      <c r="T111" s="18"/>
      <c r="U111" s="18"/>
      <c r="V111" s="18"/>
      <c r="W111" s="18"/>
      <c r="X111" s="18"/>
      <c r="Y111" s="18"/>
      <c r="Z111" s="18"/>
      <c r="AA111" s="18"/>
      <c r="AB111" s="18"/>
      <c r="AC111" s="18"/>
      <c r="AD111" s="18"/>
      <c r="AE111" s="18"/>
      <c r="AF111" s="18"/>
      <c r="AG111" s="18"/>
    </row>
    <row r="112" spans="1:33" x14ac:dyDescent="0.2">
      <c r="A112" s="18"/>
      <c r="B112" s="18"/>
      <c r="C112" s="18"/>
      <c r="D112" s="18"/>
      <c r="E112" s="18"/>
      <c r="F112" s="18"/>
      <c r="G112" s="18"/>
      <c r="H112" s="18"/>
      <c r="I112" s="18"/>
      <c r="J112" s="18"/>
      <c r="K112" s="18"/>
      <c r="L112" s="18"/>
      <c r="M112" s="18"/>
      <c r="N112" s="18"/>
      <c r="O112" s="1316"/>
      <c r="P112" s="18"/>
      <c r="Q112" s="18"/>
      <c r="R112" s="18"/>
      <c r="S112" s="18"/>
      <c r="T112" s="18"/>
      <c r="U112" s="18"/>
      <c r="V112" s="18"/>
      <c r="W112" s="18"/>
      <c r="X112" s="18"/>
      <c r="Y112" s="18"/>
      <c r="Z112" s="18"/>
      <c r="AA112" s="18"/>
      <c r="AB112" s="18"/>
      <c r="AC112" s="18"/>
      <c r="AD112" s="18"/>
      <c r="AE112" s="18"/>
      <c r="AF112" s="18"/>
      <c r="AG112" s="18"/>
    </row>
    <row r="113" spans="1:33" x14ac:dyDescent="0.2">
      <c r="A113" s="18"/>
      <c r="B113" s="18"/>
      <c r="C113" s="18"/>
      <c r="D113" s="18"/>
      <c r="E113" s="18"/>
      <c r="F113" s="18"/>
      <c r="G113" s="18"/>
      <c r="H113" s="18"/>
      <c r="I113" s="18"/>
      <c r="J113" s="18"/>
      <c r="K113" s="18"/>
      <c r="L113" s="18"/>
      <c r="M113" s="18"/>
      <c r="N113" s="18"/>
      <c r="O113" s="1316"/>
      <c r="P113" s="18"/>
      <c r="Q113" s="18"/>
      <c r="R113" s="18"/>
      <c r="S113" s="18"/>
      <c r="T113" s="18"/>
      <c r="U113" s="18"/>
      <c r="V113" s="18"/>
      <c r="W113" s="18"/>
      <c r="X113" s="18"/>
      <c r="Y113" s="18"/>
      <c r="Z113" s="18"/>
      <c r="AA113" s="18"/>
      <c r="AB113" s="18"/>
      <c r="AC113" s="18"/>
      <c r="AD113" s="18"/>
      <c r="AE113" s="18"/>
      <c r="AF113" s="18"/>
      <c r="AG113" s="18"/>
    </row>
    <row r="114" spans="1:33" x14ac:dyDescent="0.2">
      <c r="A114" s="18"/>
      <c r="B114" s="18"/>
      <c r="C114" s="18"/>
      <c r="D114" s="18"/>
      <c r="E114" s="18"/>
      <c r="F114" s="18"/>
      <c r="G114" s="18"/>
      <c r="H114" s="18"/>
      <c r="I114" s="18"/>
      <c r="J114" s="18"/>
      <c r="K114" s="18"/>
      <c r="L114" s="18"/>
      <c r="M114" s="18"/>
      <c r="N114" s="18"/>
      <c r="O114" s="1316"/>
      <c r="P114" s="18"/>
      <c r="Q114" s="18"/>
      <c r="R114" s="18"/>
      <c r="S114" s="18"/>
      <c r="T114" s="18"/>
      <c r="U114" s="18"/>
      <c r="V114" s="18"/>
      <c r="W114" s="18"/>
      <c r="X114" s="18"/>
      <c r="Y114" s="18"/>
      <c r="Z114" s="18"/>
      <c r="AA114" s="18"/>
      <c r="AB114" s="18"/>
      <c r="AC114" s="18"/>
      <c r="AD114" s="18"/>
      <c r="AE114" s="18"/>
      <c r="AF114" s="18"/>
      <c r="AG114" s="18"/>
    </row>
    <row r="115" spans="1:33" x14ac:dyDescent="0.2">
      <c r="A115" s="18"/>
      <c r="B115" s="18"/>
      <c r="C115" s="18"/>
      <c r="D115" s="18"/>
      <c r="E115" s="18"/>
      <c r="F115" s="18"/>
      <c r="G115" s="18"/>
      <c r="H115" s="18"/>
      <c r="I115" s="18"/>
      <c r="J115" s="18"/>
      <c r="K115" s="18"/>
      <c r="L115" s="18"/>
      <c r="M115" s="18"/>
      <c r="N115" s="18"/>
      <c r="O115" s="1316"/>
      <c r="P115" s="18"/>
      <c r="Q115" s="18"/>
      <c r="R115" s="18"/>
      <c r="S115" s="18"/>
      <c r="T115" s="18"/>
      <c r="U115" s="18"/>
      <c r="V115" s="18"/>
      <c r="W115" s="18"/>
      <c r="X115" s="18"/>
      <c r="Y115" s="18"/>
      <c r="Z115" s="18"/>
      <c r="AA115" s="18"/>
      <c r="AB115" s="18"/>
      <c r="AC115" s="18"/>
      <c r="AD115" s="18"/>
      <c r="AE115" s="18"/>
      <c r="AF115" s="18"/>
      <c r="AG115" s="18"/>
    </row>
    <row r="116" spans="1:33" x14ac:dyDescent="0.2">
      <c r="A116" s="18"/>
      <c r="B116" s="18"/>
      <c r="C116" s="18"/>
      <c r="D116" s="18"/>
      <c r="E116" s="18"/>
      <c r="F116" s="18"/>
      <c r="G116" s="18"/>
      <c r="H116" s="18"/>
      <c r="I116" s="18"/>
      <c r="J116" s="18"/>
      <c r="K116" s="18"/>
      <c r="L116" s="18"/>
      <c r="M116" s="18"/>
      <c r="N116" s="18"/>
      <c r="O116" s="1316"/>
      <c r="P116" s="18"/>
      <c r="Q116" s="18"/>
      <c r="R116" s="18"/>
      <c r="S116" s="18"/>
      <c r="T116" s="18"/>
      <c r="U116" s="18"/>
      <c r="V116" s="18"/>
      <c r="W116" s="18"/>
      <c r="X116" s="18"/>
      <c r="Y116" s="18"/>
      <c r="Z116" s="18"/>
      <c r="AA116" s="18"/>
      <c r="AB116" s="18"/>
      <c r="AC116" s="18"/>
      <c r="AD116" s="18"/>
      <c r="AE116" s="18"/>
      <c r="AF116" s="18"/>
      <c r="AG116" s="18"/>
    </row>
    <row r="117" spans="1:33" x14ac:dyDescent="0.2">
      <c r="A117" s="18"/>
      <c r="B117" s="18"/>
      <c r="C117" s="18"/>
      <c r="D117" s="18"/>
      <c r="E117" s="18"/>
      <c r="F117" s="18"/>
      <c r="G117" s="18"/>
      <c r="H117" s="18"/>
      <c r="I117" s="18"/>
      <c r="J117" s="18"/>
      <c r="K117" s="18"/>
      <c r="L117" s="18"/>
      <c r="M117" s="18"/>
      <c r="N117" s="18"/>
      <c r="O117" s="1316"/>
      <c r="P117" s="18"/>
      <c r="Q117" s="18"/>
      <c r="R117" s="18"/>
      <c r="S117" s="18"/>
      <c r="T117" s="18"/>
      <c r="U117" s="18"/>
      <c r="V117" s="18"/>
      <c r="W117" s="18"/>
      <c r="X117" s="18"/>
      <c r="Y117" s="18"/>
      <c r="Z117" s="18"/>
      <c r="AA117" s="18"/>
      <c r="AB117" s="18"/>
      <c r="AC117" s="18"/>
      <c r="AD117" s="18"/>
      <c r="AE117" s="18"/>
      <c r="AF117" s="18"/>
      <c r="AG117" s="18"/>
    </row>
    <row r="118" spans="1:33" x14ac:dyDescent="0.2">
      <c r="A118" s="18"/>
      <c r="B118" s="18"/>
      <c r="C118" s="18"/>
      <c r="D118" s="18"/>
      <c r="E118" s="18"/>
      <c r="F118" s="18"/>
      <c r="G118" s="18"/>
      <c r="H118" s="18"/>
      <c r="I118" s="18"/>
      <c r="J118" s="18"/>
      <c r="K118" s="18"/>
      <c r="L118" s="18"/>
      <c r="M118" s="18"/>
      <c r="N118" s="18"/>
      <c r="O118" s="1316"/>
      <c r="P118" s="18"/>
      <c r="Q118" s="18"/>
      <c r="R118" s="18"/>
      <c r="S118" s="18"/>
      <c r="T118" s="18"/>
      <c r="U118" s="18"/>
      <c r="V118" s="18"/>
      <c r="W118" s="18"/>
      <c r="X118" s="18"/>
      <c r="Y118" s="18"/>
      <c r="Z118" s="18"/>
      <c r="AA118" s="18"/>
      <c r="AB118" s="18"/>
      <c r="AC118" s="18"/>
      <c r="AD118" s="18"/>
      <c r="AE118" s="18"/>
      <c r="AF118" s="18"/>
      <c r="AG118" s="18"/>
    </row>
    <row r="119" spans="1:33" x14ac:dyDescent="0.2">
      <c r="A119" s="18"/>
      <c r="B119" s="18"/>
      <c r="C119" s="18"/>
      <c r="D119" s="18"/>
      <c r="E119" s="18"/>
      <c r="F119" s="18"/>
      <c r="G119" s="18"/>
      <c r="H119" s="18"/>
      <c r="I119" s="18"/>
      <c r="J119" s="18"/>
      <c r="K119" s="18"/>
      <c r="L119" s="18"/>
      <c r="M119" s="18"/>
      <c r="N119" s="18"/>
      <c r="O119" s="1316"/>
      <c r="P119" s="18"/>
      <c r="Q119" s="18"/>
      <c r="R119" s="18"/>
      <c r="S119" s="18"/>
      <c r="T119" s="18"/>
      <c r="U119" s="18"/>
      <c r="V119" s="18"/>
      <c r="W119" s="18"/>
      <c r="X119" s="18"/>
      <c r="Y119" s="18"/>
      <c r="Z119" s="18"/>
      <c r="AA119" s="18"/>
      <c r="AB119" s="18"/>
      <c r="AC119" s="18"/>
      <c r="AD119" s="18"/>
      <c r="AE119" s="18"/>
      <c r="AF119" s="18"/>
      <c r="AG119" s="18"/>
    </row>
    <row r="120" spans="1:33" x14ac:dyDescent="0.2">
      <c r="A120" s="18"/>
      <c r="B120" s="18"/>
      <c r="C120" s="18"/>
      <c r="D120" s="18"/>
      <c r="E120" s="18"/>
      <c r="F120" s="18"/>
      <c r="G120" s="18"/>
      <c r="H120" s="18"/>
      <c r="I120" s="18"/>
      <c r="J120" s="18"/>
      <c r="K120" s="18"/>
      <c r="L120" s="18"/>
      <c r="M120" s="18"/>
      <c r="N120" s="18"/>
      <c r="O120" s="1316"/>
      <c r="P120" s="18"/>
      <c r="Q120" s="18"/>
      <c r="R120" s="18"/>
      <c r="S120" s="18"/>
      <c r="T120" s="18"/>
      <c r="U120" s="18"/>
      <c r="V120" s="18"/>
      <c r="W120" s="18"/>
      <c r="X120" s="18"/>
      <c r="Y120" s="18"/>
      <c r="Z120" s="18"/>
      <c r="AA120" s="18"/>
      <c r="AB120" s="18"/>
      <c r="AC120" s="18"/>
      <c r="AD120" s="18"/>
      <c r="AE120" s="18"/>
      <c r="AF120" s="18"/>
      <c r="AG120" s="18"/>
    </row>
    <row r="121" spans="1:33" x14ac:dyDescent="0.2">
      <c r="A121" s="18"/>
      <c r="B121" s="18"/>
      <c r="C121" s="18"/>
      <c r="D121" s="18"/>
      <c r="E121" s="18"/>
      <c r="F121" s="18"/>
      <c r="G121" s="18"/>
      <c r="H121" s="18"/>
      <c r="I121" s="18"/>
      <c r="J121" s="18"/>
      <c r="K121" s="18"/>
      <c r="L121" s="18"/>
      <c r="M121" s="18"/>
      <c r="N121" s="18"/>
      <c r="O121" s="1316"/>
      <c r="P121" s="18"/>
      <c r="Q121" s="18"/>
      <c r="R121" s="18"/>
      <c r="S121" s="18"/>
      <c r="T121" s="18"/>
      <c r="U121" s="18"/>
      <c r="V121" s="18"/>
      <c r="W121" s="18"/>
      <c r="X121" s="18"/>
      <c r="Y121" s="18"/>
      <c r="Z121" s="18"/>
      <c r="AA121" s="18"/>
      <c r="AB121" s="18"/>
      <c r="AC121" s="18"/>
      <c r="AD121" s="18"/>
      <c r="AE121" s="18"/>
      <c r="AF121" s="18"/>
      <c r="AG121" s="18"/>
    </row>
    <row r="122" spans="1:33" x14ac:dyDescent="0.2">
      <c r="A122" s="18"/>
      <c r="B122" s="18"/>
      <c r="C122" s="18"/>
      <c r="D122" s="18"/>
      <c r="E122" s="18"/>
      <c r="F122" s="18"/>
      <c r="G122" s="18"/>
      <c r="H122" s="18"/>
      <c r="I122" s="18"/>
      <c r="J122" s="18"/>
      <c r="K122" s="18"/>
      <c r="L122" s="18"/>
      <c r="M122" s="18"/>
      <c r="N122" s="18"/>
      <c r="O122" s="1316"/>
      <c r="P122" s="18"/>
      <c r="Q122" s="18"/>
      <c r="R122" s="18"/>
      <c r="S122" s="18"/>
      <c r="T122" s="18"/>
      <c r="U122" s="18"/>
      <c r="V122" s="18"/>
      <c r="W122" s="18"/>
      <c r="X122" s="18"/>
      <c r="Y122" s="18"/>
      <c r="Z122" s="18"/>
      <c r="AA122" s="18"/>
      <c r="AB122" s="18"/>
      <c r="AC122" s="18"/>
      <c r="AD122" s="18"/>
      <c r="AE122" s="18"/>
      <c r="AF122" s="18"/>
      <c r="AG122" s="18"/>
    </row>
    <row r="123" spans="1:33" x14ac:dyDescent="0.2">
      <c r="A123" s="18"/>
      <c r="B123" s="18"/>
      <c r="C123" s="18"/>
      <c r="D123" s="18"/>
      <c r="E123" s="18"/>
      <c r="F123" s="18"/>
      <c r="G123" s="18"/>
      <c r="H123" s="18"/>
      <c r="I123" s="18"/>
      <c r="J123" s="18"/>
      <c r="K123" s="18"/>
      <c r="L123" s="18"/>
      <c r="M123" s="18"/>
      <c r="N123" s="18"/>
      <c r="O123" s="1316"/>
      <c r="P123" s="18"/>
      <c r="Q123" s="18"/>
      <c r="R123" s="18"/>
      <c r="S123" s="18"/>
      <c r="T123" s="18"/>
      <c r="U123" s="18"/>
      <c r="V123" s="18"/>
      <c r="W123" s="18"/>
      <c r="X123" s="18"/>
      <c r="Y123" s="18"/>
      <c r="Z123" s="18"/>
      <c r="AA123" s="18"/>
      <c r="AB123" s="18"/>
      <c r="AC123" s="18"/>
      <c r="AD123" s="18"/>
      <c r="AE123" s="18"/>
      <c r="AF123" s="18"/>
      <c r="AG123" s="18"/>
    </row>
    <row r="124" spans="1:33" x14ac:dyDescent="0.2">
      <c r="A124" s="18"/>
      <c r="B124" s="18"/>
      <c r="C124" s="18"/>
      <c r="D124" s="18"/>
      <c r="E124" s="18"/>
      <c r="F124" s="18"/>
      <c r="G124" s="18"/>
      <c r="H124" s="18"/>
      <c r="I124" s="18"/>
      <c r="J124" s="18"/>
      <c r="K124" s="18"/>
      <c r="L124" s="18"/>
      <c r="M124" s="18"/>
      <c r="N124" s="18"/>
      <c r="O124" s="1316"/>
      <c r="P124" s="18"/>
      <c r="Q124" s="18"/>
      <c r="R124" s="18"/>
      <c r="S124" s="18"/>
      <c r="T124" s="18"/>
      <c r="U124" s="18"/>
      <c r="V124" s="18"/>
      <c r="W124" s="18"/>
      <c r="X124" s="18"/>
      <c r="Y124" s="18"/>
      <c r="Z124" s="18"/>
      <c r="AA124" s="18"/>
      <c r="AB124" s="18"/>
      <c r="AC124" s="18"/>
      <c r="AD124" s="18"/>
      <c r="AE124" s="18"/>
      <c r="AF124" s="18"/>
      <c r="AG124" s="18"/>
    </row>
    <row r="125" spans="1:33" x14ac:dyDescent="0.2">
      <c r="A125" s="18"/>
      <c r="B125" s="18"/>
      <c r="C125" s="18"/>
      <c r="D125" s="18"/>
      <c r="E125" s="18"/>
      <c r="F125" s="18"/>
      <c r="G125" s="18"/>
      <c r="H125" s="18"/>
      <c r="I125" s="18"/>
      <c r="J125" s="18"/>
      <c r="K125" s="18"/>
      <c r="L125" s="18"/>
      <c r="M125" s="18"/>
      <c r="N125" s="18"/>
      <c r="O125" s="1316"/>
      <c r="P125" s="18"/>
      <c r="Q125" s="18"/>
      <c r="R125" s="18"/>
      <c r="S125" s="18"/>
      <c r="T125" s="18"/>
      <c r="U125" s="18"/>
      <c r="V125" s="18"/>
      <c r="W125" s="18"/>
      <c r="X125" s="18"/>
      <c r="Y125" s="18"/>
      <c r="Z125" s="18"/>
      <c r="AA125" s="18"/>
      <c r="AB125" s="18"/>
      <c r="AC125" s="18"/>
      <c r="AD125" s="18"/>
      <c r="AE125" s="18"/>
      <c r="AF125" s="18"/>
      <c r="AG125" s="18"/>
    </row>
    <row r="126" spans="1:33" x14ac:dyDescent="0.2">
      <c r="A126" s="18"/>
      <c r="B126" s="18"/>
      <c r="C126" s="18"/>
      <c r="D126" s="18"/>
      <c r="E126" s="18"/>
      <c r="F126" s="18"/>
      <c r="G126" s="18"/>
      <c r="H126" s="18"/>
      <c r="I126" s="18"/>
      <c r="J126" s="18"/>
      <c r="K126" s="18"/>
      <c r="L126" s="18"/>
      <c r="M126" s="18"/>
      <c r="N126" s="18"/>
      <c r="O126" s="1316"/>
      <c r="P126" s="18"/>
      <c r="Q126" s="18"/>
      <c r="R126" s="18"/>
      <c r="S126" s="18"/>
      <c r="T126" s="18"/>
      <c r="U126" s="18"/>
      <c r="V126" s="18"/>
      <c r="W126" s="18"/>
      <c r="X126" s="18"/>
      <c r="Y126" s="18"/>
      <c r="Z126" s="18"/>
      <c r="AA126" s="18"/>
      <c r="AB126" s="18"/>
      <c r="AC126" s="18"/>
      <c r="AD126" s="18"/>
      <c r="AE126" s="18"/>
      <c r="AF126" s="18"/>
      <c r="AG126" s="18"/>
    </row>
    <row r="127" spans="1:33" x14ac:dyDescent="0.2">
      <c r="A127" s="18"/>
      <c r="B127" s="18"/>
      <c r="C127" s="18"/>
      <c r="D127" s="18"/>
      <c r="E127" s="18"/>
      <c r="F127" s="18"/>
      <c r="G127" s="18"/>
      <c r="H127" s="18"/>
      <c r="I127" s="18"/>
      <c r="J127" s="18"/>
      <c r="K127" s="18"/>
      <c r="L127" s="18"/>
      <c r="M127" s="18"/>
      <c r="N127" s="18"/>
      <c r="O127" s="1316"/>
      <c r="P127" s="18"/>
      <c r="Q127" s="18"/>
      <c r="R127" s="18"/>
      <c r="S127" s="18"/>
      <c r="T127" s="18"/>
      <c r="U127" s="18"/>
      <c r="V127" s="18"/>
      <c r="W127" s="18"/>
      <c r="X127" s="18"/>
      <c r="Y127" s="18"/>
      <c r="Z127" s="18"/>
      <c r="AA127" s="18"/>
      <c r="AB127" s="18"/>
      <c r="AC127" s="18"/>
      <c r="AD127" s="18"/>
      <c r="AE127" s="18"/>
      <c r="AF127" s="18"/>
      <c r="AG127" s="18"/>
    </row>
    <row r="128" spans="1:33" x14ac:dyDescent="0.2">
      <c r="A128" s="18"/>
      <c r="B128" s="18"/>
      <c r="C128" s="18"/>
      <c r="D128" s="18"/>
      <c r="E128" s="18"/>
      <c r="F128" s="18"/>
      <c r="G128" s="18"/>
      <c r="H128" s="18"/>
      <c r="I128" s="18"/>
      <c r="J128" s="18"/>
      <c r="K128" s="18"/>
      <c r="L128" s="18"/>
      <c r="M128" s="18"/>
      <c r="N128" s="18"/>
      <c r="O128" s="1316"/>
      <c r="P128" s="18"/>
      <c r="Q128" s="18"/>
      <c r="R128" s="18"/>
      <c r="S128" s="18"/>
      <c r="T128" s="18"/>
      <c r="U128" s="18"/>
      <c r="V128" s="18"/>
      <c r="W128" s="18"/>
      <c r="X128" s="18"/>
      <c r="Y128" s="18"/>
      <c r="Z128" s="18"/>
      <c r="AA128" s="18"/>
      <c r="AB128" s="18"/>
      <c r="AC128" s="18"/>
      <c r="AD128" s="18"/>
      <c r="AE128" s="18"/>
      <c r="AF128" s="18"/>
      <c r="AG128" s="18"/>
    </row>
    <row r="129" spans="1:33" x14ac:dyDescent="0.2">
      <c r="A129" s="18"/>
      <c r="B129" s="18"/>
      <c r="C129" s="18"/>
      <c r="D129" s="18"/>
      <c r="E129" s="18"/>
      <c r="F129" s="18"/>
      <c r="G129" s="18"/>
      <c r="H129" s="18"/>
      <c r="I129" s="18"/>
      <c r="J129" s="18"/>
      <c r="K129" s="18"/>
      <c r="L129" s="18"/>
      <c r="M129" s="18"/>
      <c r="N129" s="18"/>
      <c r="O129" s="1316"/>
      <c r="P129" s="18"/>
      <c r="Q129" s="18"/>
      <c r="R129" s="18"/>
      <c r="S129" s="18"/>
      <c r="T129" s="18"/>
      <c r="U129" s="18"/>
      <c r="V129" s="18"/>
      <c r="W129" s="18"/>
      <c r="X129" s="18"/>
      <c r="Y129" s="18"/>
      <c r="Z129" s="18"/>
      <c r="AA129" s="18"/>
      <c r="AB129" s="18"/>
      <c r="AC129" s="18"/>
      <c r="AD129" s="18"/>
      <c r="AE129" s="18"/>
      <c r="AF129" s="18"/>
      <c r="AG129" s="18"/>
    </row>
    <row r="130" spans="1:33" x14ac:dyDescent="0.2">
      <c r="A130" s="18"/>
      <c r="B130" s="18"/>
      <c r="C130" s="18"/>
      <c r="D130" s="18"/>
      <c r="E130" s="18"/>
      <c r="F130" s="18"/>
      <c r="G130" s="18"/>
      <c r="H130" s="18"/>
      <c r="I130" s="18"/>
      <c r="J130" s="18"/>
      <c r="K130" s="18"/>
      <c r="L130" s="18"/>
      <c r="M130" s="18"/>
      <c r="N130" s="18"/>
      <c r="O130" s="1316"/>
      <c r="P130" s="18"/>
      <c r="Q130" s="18"/>
      <c r="R130" s="18"/>
      <c r="S130" s="18"/>
      <c r="T130" s="18"/>
      <c r="U130" s="18"/>
      <c r="V130" s="18"/>
      <c r="W130" s="18"/>
      <c r="X130" s="18"/>
      <c r="Y130" s="18"/>
      <c r="Z130" s="18"/>
      <c r="AA130" s="18"/>
      <c r="AB130" s="18"/>
      <c r="AC130" s="18"/>
      <c r="AD130" s="18"/>
      <c r="AE130" s="18"/>
      <c r="AF130" s="18"/>
      <c r="AG130" s="18"/>
    </row>
    <row r="131" spans="1:33" x14ac:dyDescent="0.2">
      <c r="A131" s="18"/>
      <c r="B131" s="18"/>
      <c r="C131" s="18"/>
      <c r="D131" s="18"/>
      <c r="E131" s="18"/>
      <c r="F131" s="18"/>
      <c r="G131" s="18"/>
      <c r="H131" s="18"/>
      <c r="I131" s="18"/>
      <c r="J131" s="18"/>
      <c r="K131" s="18"/>
      <c r="L131" s="18"/>
      <c r="M131" s="18"/>
      <c r="N131" s="18"/>
      <c r="O131" s="1316"/>
      <c r="P131" s="18"/>
      <c r="Q131" s="18"/>
      <c r="R131" s="18"/>
      <c r="S131" s="18"/>
      <c r="T131" s="18"/>
      <c r="U131" s="18"/>
      <c r="V131" s="18"/>
      <c r="W131" s="18"/>
      <c r="X131" s="18"/>
      <c r="Y131" s="18"/>
      <c r="Z131" s="18"/>
      <c r="AA131" s="18"/>
      <c r="AB131" s="18"/>
      <c r="AC131" s="18"/>
      <c r="AD131" s="18"/>
      <c r="AE131" s="18"/>
      <c r="AF131" s="18"/>
      <c r="AG131" s="18"/>
    </row>
    <row r="132" spans="1:33" x14ac:dyDescent="0.2">
      <c r="A132" s="18"/>
      <c r="B132" s="18"/>
      <c r="C132" s="18"/>
      <c r="D132" s="18"/>
      <c r="E132" s="18"/>
      <c r="F132" s="18"/>
      <c r="G132" s="18"/>
      <c r="H132" s="18"/>
      <c r="I132" s="18"/>
      <c r="J132" s="18"/>
      <c r="K132" s="18"/>
      <c r="L132" s="18"/>
      <c r="M132" s="18"/>
      <c r="N132" s="18"/>
      <c r="O132" s="1316"/>
      <c r="P132" s="18"/>
      <c r="Q132" s="18"/>
      <c r="R132" s="18"/>
      <c r="S132" s="18"/>
      <c r="T132" s="18"/>
      <c r="U132" s="18"/>
      <c r="V132" s="18"/>
      <c r="W132" s="18"/>
      <c r="X132" s="18"/>
      <c r="Y132" s="18"/>
      <c r="Z132" s="18"/>
      <c r="AA132" s="18"/>
      <c r="AB132" s="18"/>
      <c r="AC132" s="18"/>
      <c r="AD132" s="18"/>
      <c r="AE132" s="18"/>
      <c r="AF132" s="18"/>
      <c r="AG132" s="18"/>
    </row>
    <row r="133" spans="1:33" x14ac:dyDescent="0.2">
      <c r="A133" s="18"/>
      <c r="B133" s="18"/>
      <c r="C133" s="18"/>
      <c r="D133" s="18"/>
      <c r="E133" s="18"/>
      <c r="F133" s="18"/>
      <c r="G133" s="18"/>
      <c r="H133" s="18"/>
      <c r="I133" s="18"/>
      <c r="J133" s="18"/>
      <c r="K133" s="18"/>
      <c r="L133" s="18"/>
      <c r="M133" s="18"/>
      <c r="N133" s="18"/>
      <c r="O133" s="1316"/>
      <c r="P133" s="18"/>
      <c r="Q133" s="18"/>
      <c r="R133" s="18"/>
      <c r="S133" s="18"/>
      <c r="T133" s="18"/>
      <c r="U133" s="18"/>
      <c r="V133" s="18"/>
      <c r="W133" s="18"/>
      <c r="X133" s="18"/>
      <c r="Y133" s="18"/>
      <c r="Z133" s="18"/>
      <c r="AA133" s="18"/>
      <c r="AB133" s="18"/>
      <c r="AC133" s="18"/>
      <c r="AD133" s="18"/>
      <c r="AE133" s="18"/>
      <c r="AF133" s="18"/>
      <c r="AG133" s="18"/>
    </row>
    <row r="134" spans="1:33" x14ac:dyDescent="0.2">
      <c r="A134" s="18"/>
      <c r="B134" s="18"/>
      <c r="C134" s="18"/>
      <c r="D134" s="18"/>
      <c r="E134" s="18"/>
      <c r="F134" s="18"/>
      <c r="G134" s="18"/>
      <c r="H134" s="18"/>
      <c r="I134" s="18"/>
      <c r="J134" s="18"/>
      <c r="K134" s="18"/>
      <c r="L134" s="18"/>
      <c r="M134" s="18"/>
      <c r="N134" s="18"/>
      <c r="O134" s="1316"/>
      <c r="P134" s="18"/>
      <c r="Q134" s="18"/>
      <c r="R134" s="18"/>
      <c r="S134" s="18"/>
      <c r="T134" s="18"/>
      <c r="U134" s="18"/>
      <c r="V134" s="18"/>
      <c r="W134" s="18"/>
      <c r="X134" s="18"/>
      <c r="Y134" s="18"/>
      <c r="Z134" s="18"/>
      <c r="AA134" s="18"/>
      <c r="AB134" s="18"/>
      <c r="AC134" s="18"/>
      <c r="AD134" s="18"/>
      <c r="AE134" s="18"/>
      <c r="AF134" s="18"/>
      <c r="AG134" s="18"/>
    </row>
    <row r="135" spans="1:33" x14ac:dyDescent="0.2">
      <c r="A135" s="18"/>
      <c r="B135" s="18"/>
      <c r="C135" s="18"/>
      <c r="D135" s="18"/>
      <c r="E135" s="18"/>
      <c r="F135" s="18"/>
      <c r="G135" s="18"/>
      <c r="H135" s="18"/>
      <c r="I135" s="18"/>
      <c r="J135" s="18"/>
      <c r="K135" s="18"/>
      <c r="L135" s="18"/>
      <c r="M135" s="18"/>
      <c r="N135" s="18"/>
      <c r="O135" s="1316"/>
      <c r="P135" s="18"/>
      <c r="Q135" s="18"/>
      <c r="R135" s="18"/>
      <c r="S135" s="18"/>
      <c r="T135" s="18"/>
      <c r="U135" s="18"/>
      <c r="V135" s="18"/>
      <c r="W135" s="18"/>
      <c r="X135" s="18"/>
      <c r="Y135" s="18"/>
      <c r="Z135" s="18"/>
      <c r="AA135" s="18"/>
      <c r="AB135" s="18"/>
      <c r="AC135" s="18"/>
      <c r="AD135" s="18"/>
      <c r="AE135" s="18"/>
      <c r="AF135" s="18"/>
      <c r="AG135" s="18"/>
    </row>
    <row r="136" spans="1:33" x14ac:dyDescent="0.2">
      <c r="A136" s="18"/>
      <c r="B136" s="18"/>
      <c r="C136" s="18"/>
      <c r="D136" s="18"/>
      <c r="E136" s="18"/>
      <c r="F136" s="18"/>
      <c r="G136" s="18"/>
      <c r="H136" s="18"/>
      <c r="I136" s="18"/>
      <c r="J136" s="18"/>
      <c r="K136" s="18"/>
      <c r="L136" s="18"/>
      <c r="M136" s="18"/>
      <c r="N136" s="18"/>
      <c r="O136" s="1316"/>
      <c r="P136" s="18"/>
      <c r="Q136" s="18"/>
      <c r="R136" s="18"/>
      <c r="S136" s="18"/>
      <c r="T136" s="18"/>
      <c r="U136" s="18"/>
      <c r="V136" s="18"/>
      <c r="W136" s="18"/>
      <c r="X136" s="18"/>
      <c r="Y136" s="18"/>
      <c r="Z136" s="18"/>
      <c r="AA136" s="18"/>
      <c r="AB136" s="18"/>
      <c r="AC136" s="18"/>
      <c r="AD136" s="18"/>
      <c r="AE136" s="18"/>
      <c r="AF136" s="18"/>
      <c r="AG136" s="18"/>
    </row>
    <row r="137" spans="1:33" x14ac:dyDescent="0.2">
      <c r="A137" s="18"/>
      <c r="B137" s="18"/>
      <c r="C137" s="18"/>
      <c r="D137" s="18"/>
      <c r="E137" s="18"/>
      <c r="F137" s="18"/>
      <c r="G137" s="18"/>
      <c r="H137" s="18"/>
      <c r="I137" s="18"/>
      <c r="J137" s="18"/>
      <c r="K137" s="18"/>
      <c r="L137" s="18"/>
      <c r="M137" s="18"/>
      <c r="N137" s="18"/>
      <c r="O137" s="1316"/>
      <c r="P137" s="18"/>
      <c r="Q137" s="18"/>
      <c r="R137" s="18"/>
      <c r="S137" s="18"/>
      <c r="T137" s="18"/>
      <c r="U137" s="18"/>
      <c r="V137" s="18"/>
      <c r="W137" s="18"/>
      <c r="X137" s="18"/>
      <c r="Y137" s="18"/>
      <c r="Z137" s="18"/>
      <c r="AA137" s="18"/>
      <c r="AB137" s="18"/>
      <c r="AC137" s="18"/>
      <c r="AD137" s="18"/>
      <c r="AE137" s="18"/>
      <c r="AF137" s="18"/>
      <c r="AG137" s="18"/>
    </row>
    <row r="138" spans="1:33" x14ac:dyDescent="0.2">
      <c r="A138" s="18"/>
      <c r="B138" s="18"/>
      <c r="C138" s="18"/>
      <c r="D138" s="18"/>
      <c r="E138" s="18"/>
      <c r="F138" s="18"/>
      <c r="G138" s="18"/>
      <c r="H138" s="18"/>
      <c r="I138" s="18"/>
      <c r="J138" s="18"/>
      <c r="K138" s="18"/>
      <c r="L138" s="18"/>
      <c r="M138" s="18"/>
      <c r="N138" s="18"/>
      <c r="O138" s="1316"/>
      <c r="P138" s="18"/>
      <c r="Q138" s="18"/>
      <c r="R138" s="18"/>
      <c r="S138" s="18"/>
      <c r="T138" s="18"/>
      <c r="U138" s="18"/>
      <c r="V138" s="18"/>
      <c r="W138" s="18"/>
      <c r="X138" s="18"/>
      <c r="Y138" s="18"/>
      <c r="Z138" s="18"/>
      <c r="AA138" s="18"/>
      <c r="AB138" s="18"/>
      <c r="AC138" s="18"/>
      <c r="AD138" s="18"/>
      <c r="AE138" s="18"/>
      <c r="AF138" s="18"/>
      <c r="AG138" s="18"/>
    </row>
    <row r="139" spans="1:33" x14ac:dyDescent="0.2">
      <c r="A139" s="18"/>
      <c r="B139" s="18"/>
      <c r="C139" s="18"/>
      <c r="D139" s="18"/>
      <c r="E139" s="18"/>
      <c r="F139" s="18"/>
      <c r="G139" s="18"/>
      <c r="H139" s="18"/>
      <c r="I139" s="18"/>
      <c r="J139" s="18"/>
      <c r="K139" s="18"/>
      <c r="L139" s="18"/>
      <c r="M139" s="18"/>
      <c r="N139" s="18"/>
      <c r="O139" s="1316"/>
      <c r="P139" s="18"/>
      <c r="Q139" s="18"/>
      <c r="R139" s="18"/>
      <c r="S139" s="18"/>
      <c r="T139" s="18"/>
      <c r="U139" s="18"/>
      <c r="V139" s="18"/>
      <c r="W139" s="18"/>
      <c r="X139" s="18"/>
      <c r="Y139" s="18"/>
      <c r="Z139" s="18"/>
      <c r="AA139" s="18"/>
      <c r="AB139" s="18"/>
      <c r="AC139" s="18"/>
      <c r="AD139" s="18"/>
      <c r="AE139" s="18"/>
      <c r="AF139" s="18"/>
      <c r="AG139" s="18"/>
    </row>
    <row r="140" spans="1:33" x14ac:dyDescent="0.2">
      <c r="A140" s="18"/>
      <c r="B140" s="18"/>
      <c r="C140" s="18"/>
      <c r="D140" s="18"/>
      <c r="E140" s="18"/>
      <c r="F140" s="18"/>
      <c r="G140" s="18"/>
      <c r="H140" s="18"/>
      <c r="I140" s="18"/>
      <c r="J140" s="18"/>
      <c r="K140" s="18"/>
      <c r="L140" s="18"/>
      <c r="M140" s="18"/>
      <c r="N140" s="18"/>
      <c r="O140" s="1316"/>
      <c r="P140" s="18"/>
      <c r="Q140" s="18"/>
      <c r="R140" s="18"/>
      <c r="S140" s="18"/>
      <c r="T140" s="18"/>
      <c r="U140" s="18"/>
      <c r="V140" s="18"/>
      <c r="W140" s="18"/>
      <c r="X140" s="18"/>
      <c r="Y140" s="18"/>
      <c r="Z140" s="18"/>
      <c r="AA140" s="18"/>
      <c r="AB140" s="18"/>
      <c r="AC140" s="18"/>
      <c r="AD140" s="18"/>
      <c r="AE140" s="18"/>
      <c r="AF140" s="18"/>
      <c r="AG140" s="18"/>
    </row>
    <row r="141" spans="1:33" x14ac:dyDescent="0.2">
      <c r="A141" s="18"/>
      <c r="B141" s="18"/>
      <c r="C141" s="18"/>
      <c r="D141" s="18"/>
      <c r="E141" s="18"/>
      <c r="F141" s="18"/>
      <c r="G141" s="18"/>
      <c r="H141" s="18"/>
      <c r="I141" s="18"/>
      <c r="J141" s="18"/>
      <c r="K141" s="18"/>
      <c r="L141" s="18"/>
      <c r="M141" s="18"/>
      <c r="N141" s="18"/>
      <c r="O141" s="1316"/>
      <c r="P141" s="18"/>
      <c r="Q141" s="18"/>
      <c r="R141" s="18"/>
      <c r="S141" s="18"/>
      <c r="T141" s="18"/>
      <c r="U141" s="18"/>
      <c r="V141" s="18"/>
      <c r="W141" s="18"/>
      <c r="X141" s="18"/>
      <c r="Y141" s="18"/>
      <c r="Z141" s="18"/>
      <c r="AA141" s="18"/>
      <c r="AB141" s="18"/>
      <c r="AC141" s="18"/>
      <c r="AD141" s="18"/>
      <c r="AE141" s="18"/>
      <c r="AF141" s="18"/>
      <c r="AG141" s="18"/>
    </row>
    <row r="142" spans="1:33" x14ac:dyDescent="0.2">
      <c r="A142" s="18"/>
      <c r="B142" s="18"/>
      <c r="C142" s="18"/>
      <c r="D142" s="18"/>
      <c r="E142" s="18"/>
      <c r="F142" s="18"/>
      <c r="G142" s="18"/>
      <c r="H142" s="18"/>
      <c r="I142" s="18"/>
      <c r="J142" s="18"/>
      <c r="K142" s="18"/>
      <c r="L142" s="18"/>
      <c r="M142" s="18"/>
      <c r="N142" s="18"/>
      <c r="O142" s="1316"/>
      <c r="P142" s="18"/>
      <c r="Q142" s="18"/>
      <c r="R142" s="18"/>
      <c r="S142" s="18"/>
      <c r="T142" s="18"/>
      <c r="U142" s="18"/>
      <c r="V142" s="18"/>
      <c r="W142" s="18"/>
      <c r="X142" s="18"/>
      <c r="Y142" s="18"/>
      <c r="Z142" s="18"/>
      <c r="AA142" s="18"/>
      <c r="AB142" s="18"/>
      <c r="AC142" s="18"/>
      <c r="AD142" s="18"/>
      <c r="AE142" s="18"/>
      <c r="AF142" s="18"/>
      <c r="AG142" s="18"/>
    </row>
    <row r="143" spans="1:33" x14ac:dyDescent="0.2">
      <c r="A143" s="18"/>
      <c r="B143" s="18"/>
      <c r="C143" s="18"/>
      <c r="D143" s="18"/>
      <c r="E143" s="18"/>
      <c r="F143" s="18"/>
      <c r="G143" s="18"/>
      <c r="H143" s="18"/>
      <c r="I143" s="18"/>
      <c r="J143" s="18"/>
      <c r="K143" s="18"/>
      <c r="L143" s="18"/>
      <c r="M143" s="18"/>
      <c r="N143" s="18"/>
      <c r="O143" s="1316"/>
      <c r="P143" s="18"/>
      <c r="Q143" s="18"/>
      <c r="R143" s="18"/>
      <c r="S143" s="18"/>
      <c r="T143" s="18"/>
      <c r="U143" s="18"/>
      <c r="V143" s="18"/>
      <c r="W143" s="18"/>
      <c r="X143" s="18"/>
      <c r="Y143" s="18"/>
      <c r="Z143" s="18"/>
      <c r="AA143" s="18"/>
      <c r="AB143" s="18"/>
      <c r="AC143" s="18"/>
      <c r="AD143" s="18"/>
      <c r="AE143" s="18"/>
      <c r="AF143" s="18"/>
      <c r="AG143" s="18"/>
    </row>
    <row r="144" spans="1:33" x14ac:dyDescent="0.2">
      <c r="A144" s="18"/>
      <c r="B144" s="18"/>
      <c r="C144" s="18"/>
      <c r="D144" s="18"/>
      <c r="E144" s="18"/>
      <c r="F144" s="18"/>
      <c r="G144" s="18"/>
      <c r="H144" s="18"/>
      <c r="I144" s="18"/>
      <c r="J144" s="18"/>
      <c r="K144" s="18"/>
      <c r="L144" s="18"/>
      <c r="M144" s="18"/>
      <c r="N144" s="18"/>
      <c r="O144" s="1316"/>
      <c r="P144" s="18"/>
      <c r="Q144" s="18"/>
      <c r="R144" s="18"/>
      <c r="S144" s="18"/>
      <c r="T144" s="18"/>
      <c r="U144" s="18"/>
      <c r="V144" s="18"/>
      <c r="W144" s="18"/>
      <c r="X144" s="18"/>
      <c r="Y144" s="18"/>
      <c r="Z144" s="18"/>
      <c r="AA144" s="18"/>
      <c r="AB144" s="18"/>
      <c r="AC144" s="18"/>
      <c r="AD144" s="18"/>
      <c r="AE144" s="18"/>
      <c r="AF144" s="18"/>
      <c r="AG144" s="18"/>
    </row>
    <row r="145" spans="1:33" x14ac:dyDescent="0.2">
      <c r="A145" s="18"/>
      <c r="B145" s="18"/>
      <c r="C145" s="18"/>
      <c r="D145" s="18"/>
      <c r="E145" s="18"/>
      <c r="F145" s="18"/>
      <c r="G145" s="18"/>
      <c r="H145" s="18"/>
      <c r="I145" s="18"/>
      <c r="J145" s="18"/>
      <c r="K145" s="18"/>
      <c r="L145" s="18"/>
      <c r="M145" s="18"/>
      <c r="N145" s="18"/>
      <c r="O145" s="1316"/>
      <c r="P145" s="18"/>
      <c r="Q145" s="18"/>
      <c r="R145" s="18"/>
      <c r="S145" s="18"/>
      <c r="T145" s="18"/>
      <c r="U145" s="18"/>
      <c r="V145" s="18"/>
      <c r="W145" s="18"/>
      <c r="X145" s="18"/>
      <c r="Y145" s="18"/>
      <c r="Z145" s="18"/>
      <c r="AA145" s="18"/>
      <c r="AB145" s="18"/>
      <c r="AC145" s="18"/>
      <c r="AD145" s="18"/>
      <c r="AE145" s="18"/>
      <c r="AF145" s="18"/>
      <c r="AG145" s="18"/>
    </row>
    <row r="146" spans="1:33" x14ac:dyDescent="0.2">
      <c r="A146" s="18"/>
      <c r="B146" s="18"/>
      <c r="C146" s="18"/>
      <c r="D146" s="18"/>
      <c r="E146" s="18"/>
      <c r="F146" s="18"/>
      <c r="G146" s="18"/>
      <c r="H146" s="18"/>
      <c r="I146" s="18"/>
      <c r="J146" s="18"/>
      <c r="K146" s="18"/>
      <c r="L146" s="18"/>
      <c r="M146" s="18"/>
      <c r="N146" s="18"/>
      <c r="O146" s="1316"/>
      <c r="P146" s="18"/>
      <c r="Q146" s="18"/>
      <c r="R146" s="18"/>
      <c r="S146" s="18"/>
      <c r="T146" s="18"/>
      <c r="U146" s="18"/>
      <c r="V146" s="18"/>
      <c r="W146" s="18"/>
      <c r="X146" s="18"/>
      <c r="Y146" s="18"/>
      <c r="Z146" s="18"/>
      <c r="AA146" s="18"/>
      <c r="AB146" s="18"/>
      <c r="AC146" s="18"/>
      <c r="AD146" s="18"/>
      <c r="AE146" s="18"/>
      <c r="AF146" s="18"/>
      <c r="AG146" s="18"/>
    </row>
    <row r="147" spans="1:33" x14ac:dyDescent="0.2">
      <c r="A147" s="18"/>
      <c r="B147" s="18"/>
      <c r="C147" s="18"/>
      <c r="D147" s="18"/>
      <c r="E147" s="18"/>
      <c r="F147" s="18"/>
      <c r="G147" s="18"/>
      <c r="H147" s="18"/>
      <c r="I147" s="18"/>
      <c r="J147" s="18"/>
      <c r="K147" s="18"/>
      <c r="L147" s="18"/>
      <c r="M147" s="18"/>
      <c r="N147" s="18"/>
      <c r="O147" s="1316"/>
      <c r="P147" s="18"/>
      <c r="Q147" s="18"/>
      <c r="R147" s="18"/>
      <c r="S147" s="18"/>
      <c r="T147" s="18"/>
      <c r="U147" s="18"/>
      <c r="V147" s="18"/>
      <c r="W147" s="18"/>
      <c r="X147" s="18"/>
      <c r="Y147" s="18"/>
      <c r="Z147" s="18"/>
      <c r="AA147" s="18"/>
      <c r="AB147" s="18"/>
      <c r="AC147" s="18"/>
      <c r="AD147" s="18"/>
      <c r="AE147" s="18"/>
      <c r="AF147" s="18"/>
      <c r="AG147" s="18"/>
    </row>
    <row r="148" spans="1:33" x14ac:dyDescent="0.2">
      <c r="A148" s="18"/>
      <c r="B148" s="18"/>
      <c r="C148" s="18"/>
      <c r="D148" s="18"/>
      <c r="E148" s="18"/>
      <c r="F148" s="18"/>
      <c r="G148" s="18"/>
      <c r="H148" s="18"/>
      <c r="I148" s="18"/>
      <c r="J148" s="18"/>
      <c r="K148" s="18"/>
      <c r="L148" s="18"/>
      <c r="M148" s="18"/>
      <c r="N148" s="18"/>
      <c r="O148" s="1316"/>
      <c r="P148" s="18"/>
      <c r="Q148" s="18"/>
      <c r="R148" s="18"/>
      <c r="S148" s="18"/>
      <c r="T148" s="18"/>
      <c r="U148" s="18"/>
      <c r="V148" s="18"/>
      <c r="W148" s="18"/>
      <c r="X148" s="18"/>
      <c r="Y148" s="18"/>
      <c r="Z148" s="18"/>
      <c r="AA148" s="18"/>
      <c r="AB148" s="18"/>
      <c r="AC148" s="18"/>
      <c r="AD148" s="18"/>
      <c r="AE148" s="18"/>
      <c r="AF148" s="18"/>
      <c r="AG148" s="18"/>
    </row>
    <row r="149" spans="1:33" x14ac:dyDescent="0.2">
      <c r="A149" s="18"/>
      <c r="B149" s="18"/>
      <c r="C149" s="18"/>
      <c r="D149" s="18"/>
      <c r="E149" s="18"/>
      <c r="F149" s="18"/>
      <c r="G149" s="18"/>
      <c r="H149" s="18"/>
      <c r="I149" s="18"/>
      <c r="J149" s="18"/>
      <c r="K149" s="18"/>
      <c r="L149" s="18"/>
      <c r="M149" s="18"/>
      <c r="N149" s="18"/>
      <c r="O149" s="1316"/>
      <c r="P149" s="18"/>
      <c r="Q149" s="18"/>
      <c r="R149" s="18"/>
      <c r="S149" s="18"/>
      <c r="T149" s="18"/>
      <c r="U149" s="18"/>
      <c r="V149" s="18"/>
      <c r="W149" s="18"/>
      <c r="X149" s="18"/>
      <c r="Y149" s="18"/>
      <c r="Z149" s="18"/>
      <c r="AA149" s="18"/>
      <c r="AB149" s="18"/>
      <c r="AC149" s="18"/>
      <c r="AD149" s="18"/>
      <c r="AE149" s="18"/>
      <c r="AF149" s="18"/>
      <c r="AG149" s="18"/>
    </row>
    <row r="150" spans="1:33" x14ac:dyDescent="0.2">
      <c r="A150" s="18"/>
      <c r="B150" s="18"/>
      <c r="C150" s="18"/>
      <c r="D150" s="18"/>
      <c r="E150" s="18"/>
      <c r="F150" s="18"/>
      <c r="G150" s="18"/>
      <c r="H150" s="18"/>
      <c r="I150" s="18"/>
      <c r="J150" s="18"/>
      <c r="K150" s="18"/>
      <c r="L150" s="18"/>
      <c r="M150" s="18"/>
      <c r="N150" s="18"/>
      <c r="O150" s="1316"/>
      <c r="P150" s="18"/>
      <c r="Q150" s="18"/>
      <c r="R150" s="18"/>
      <c r="S150" s="18"/>
      <c r="T150" s="18"/>
      <c r="U150" s="18"/>
      <c r="V150" s="18"/>
      <c r="W150" s="18"/>
      <c r="X150" s="18"/>
      <c r="Y150" s="18"/>
      <c r="Z150" s="18"/>
      <c r="AA150" s="18"/>
      <c r="AB150" s="18"/>
      <c r="AC150" s="18"/>
      <c r="AD150" s="18"/>
      <c r="AE150" s="18"/>
      <c r="AF150" s="18"/>
      <c r="AG150" s="18"/>
    </row>
    <row r="151" spans="1:33" x14ac:dyDescent="0.2">
      <c r="A151" s="18"/>
      <c r="B151" s="18"/>
      <c r="C151" s="18"/>
      <c r="D151" s="18"/>
      <c r="E151" s="18"/>
      <c r="F151" s="18"/>
      <c r="G151" s="18"/>
      <c r="H151" s="18"/>
      <c r="I151" s="18"/>
      <c r="J151" s="18"/>
      <c r="K151" s="18"/>
      <c r="L151" s="18"/>
      <c r="M151" s="18"/>
      <c r="N151" s="18"/>
      <c r="O151" s="1316"/>
      <c r="P151" s="18"/>
      <c r="Q151" s="18"/>
      <c r="R151" s="18"/>
      <c r="S151" s="18"/>
      <c r="T151" s="18"/>
      <c r="U151" s="18"/>
      <c r="V151" s="18"/>
      <c r="W151" s="18"/>
      <c r="X151" s="18"/>
      <c r="Y151" s="18"/>
      <c r="Z151" s="18"/>
      <c r="AA151" s="18"/>
      <c r="AB151" s="18"/>
      <c r="AC151" s="18"/>
      <c r="AD151" s="18"/>
      <c r="AE151" s="18"/>
      <c r="AF151" s="18"/>
      <c r="AG151" s="18"/>
    </row>
    <row r="152" spans="1:33" x14ac:dyDescent="0.2">
      <c r="A152" s="18"/>
      <c r="B152" s="18"/>
      <c r="C152" s="18"/>
      <c r="D152" s="18"/>
      <c r="E152" s="18"/>
      <c r="F152" s="18"/>
      <c r="G152" s="18"/>
      <c r="H152" s="18"/>
      <c r="I152" s="18"/>
      <c r="J152" s="18"/>
      <c r="K152" s="18"/>
      <c r="L152" s="18"/>
      <c r="M152" s="18"/>
      <c r="N152" s="18"/>
      <c r="O152" s="1316"/>
      <c r="P152" s="18"/>
      <c r="Q152" s="18"/>
      <c r="R152" s="18"/>
      <c r="S152" s="18"/>
      <c r="T152" s="18"/>
      <c r="U152" s="18"/>
      <c r="V152" s="18"/>
      <c r="W152" s="18"/>
      <c r="X152" s="18"/>
      <c r="Y152" s="18"/>
      <c r="Z152" s="18"/>
      <c r="AA152" s="18"/>
      <c r="AB152" s="18"/>
      <c r="AC152" s="18"/>
      <c r="AD152" s="18"/>
      <c r="AE152" s="18"/>
      <c r="AF152" s="18"/>
      <c r="AG152" s="18"/>
    </row>
    <row r="153" spans="1:33" x14ac:dyDescent="0.2">
      <c r="A153" s="18"/>
      <c r="B153" s="18"/>
      <c r="C153" s="18"/>
      <c r="D153" s="18"/>
      <c r="E153" s="18"/>
      <c r="F153" s="18"/>
      <c r="G153" s="18"/>
      <c r="H153" s="18"/>
      <c r="I153" s="18"/>
      <c r="J153" s="18"/>
      <c r="K153" s="18"/>
      <c r="L153" s="18"/>
      <c r="M153" s="18"/>
      <c r="N153" s="18"/>
      <c r="O153" s="1316"/>
      <c r="P153" s="18"/>
      <c r="Q153" s="18"/>
      <c r="R153" s="18"/>
      <c r="S153" s="18"/>
      <c r="T153" s="18"/>
      <c r="U153" s="18"/>
      <c r="V153" s="18"/>
      <c r="W153" s="18"/>
      <c r="X153" s="18"/>
      <c r="Y153" s="18"/>
      <c r="Z153" s="18"/>
      <c r="AA153" s="18"/>
      <c r="AB153" s="18"/>
      <c r="AC153" s="18"/>
      <c r="AD153" s="18"/>
      <c r="AE153" s="18"/>
      <c r="AF153" s="18"/>
      <c r="AG153" s="18"/>
    </row>
    <row r="154" spans="1:33" x14ac:dyDescent="0.2">
      <c r="A154" s="18"/>
      <c r="B154" s="18"/>
      <c r="C154" s="18"/>
      <c r="D154" s="18"/>
      <c r="E154" s="18"/>
      <c r="F154" s="18"/>
      <c r="G154" s="18"/>
      <c r="H154" s="18"/>
      <c r="I154" s="18"/>
      <c r="J154" s="18"/>
      <c r="K154" s="18"/>
      <c r="L154" s="18"/>
      <c r="M154" s="18"/>
      <c r="N154" s="18"/>
      <c r="O154" s="1316"/>
      <c r="P154" s="18"/>
      <c r="Q154" s="18"/>
      <c r="R154" s="18"/>
      <c r="S154" s="18"/>
      <c r="T154" s="18"/>
      <c r="U154" s="18"/>
      <c r="V154" s="18"/>
      <c r="W154" s="18"/>
      <c r="X154" s="18"/>
      <c r="Y154" s="18"/>
      <c r="Z154" s="18"/>
      <c r="AA154" s="18"/>
      <c r="AB154" s="18"/>
      <c r="AC154" s="18"/>
      <c r="AD154" s="18"/>
      <c r="AE154" s="18"/>
      <c r="AF154" s="18"/>
      <c r="AG154" s="18"/>
    </row>
    <row r="155" spans="1:33" x14ac:dyDescent="0.2">
      <c r="A155" s="18"/>
      <c r="B155" s="18"/>
      <c r="C155" s="18"/>
      <c r="D155" s="18"/>
      <c r="E155" s="18"/>
      <c r="F155" s="18"/>
      <c r="G155" s="18"/>
      <c r="H155" s="18"/>
      <c r="I155" s="18"/>
      <c r="J155" s="18"/>
      <c r="K155" s="18"/>
      <c r="L155" s="18"/>
      <c r="M155" s="18"/>
      <c r="N155" s="18"/>
      <c r="O155" s="1316"/>
      <c r="P155" s="18"/>
      <c r="Q155" s="18"/>
      <c r="R155" s="18"/>
      <c r="S155" s="18"/>
      <c r="T155" s="18"/>
      <c r="U155" s="18"/>
      <c r="V155" s="18"/>
      <c r="W155" s="18"/>
      <c r="X155" s="18"/>
      <c r="Y155" s="18"/>
      <c r="Z155" s="18"/>
      <c r="AA155" s="18"/>
      <c r="AB155" s="18"/>
      <c r="AC155" s="18"/>
      <c r="AD155" s="18"/>
      <c r="AE155" s="18"/>
      <c r="AF155" s="18"/>
      <c r="AG155" s="18"/>
    </row>
    <row r="156" spans="1:33" x14ac:dyDescent="0.2">
      <c r="A156" s="18"/>
      <c r="B156" s="18"/>
      <c r="C156" s="18"/>
      <c r="D156" s="18"/>
      <c r="E156" s="18"/>
      <c r="F156" s="18"/>
      <c r="G156" s="18"/>
      <c r="H156" s="18"/>
      <c r="I156" s="18"/>
      <c r="J156" s="18"/>
      <c r="K156" s="18"/>
      <c r="L156" s="18"/>
      <c r="M156" s="18"/>
      <c r="N156" s="18"/>
      <c r="O156" s="1316"/>
      <c r="P156" s="18"/>
      <c r="Q156" s="18"/>
      <c r="R156" s="18"/>
      <c r="S156" s="18"/>
      <c r="T156" s="18"/>
      <c r="U156" s="18"/>
      <c r="V156" s="18"/>
      <c r="W156" s="18"/>
      <c r="X156" s="18"/>
      <c r="Y156" s="18"/>
      <c r="Z156" s="18"/>
      <c r="AA156" s="18"/>
      <c r="AB156" s="18"/>
      <c r="AC156" s="18"/>
      <c r="AD156" s="18"/>
      <c r="AE156" s="18"/>
      <c r="AF156" s="18"/>
      <c r="AG156" s="18"/>
    </row>
    <row r="157" spans="1:33" x14ac:dyDescent="0.2">
      <c r="A157" s="18"/>
      <c r="B157" s="18"/>
      <c r="C157" s="18"/>
      <c r="D157" s="18"/>
      <c r="E157" s="18"/>
      <c r="F157" s="18"/>
      <c r="G157" s="18"/>
      <c r="H157" s="18"/>
      <c r="I157" s="18"/>
      <c r="J157" s="18"/>
      <c r="K157" s="18"/>
      <c r="L157" s="18"/>
      <c r="M157" s="18"/>
      <c r="N157" s="18"/>
      <c r="O157" s="1316"/>
      <c r="P157" s="18"/>
      <c r="Q157" s="18"/>
      <c r="R157" s="18"/>
      <c r="S157" s="18"/>
      <c r="T157" s="18"/>
      <c r="U157" s="18"/>
      <c r="V157" s="18"/>
      <c r="W157" s="18"/>
      <c r="X157" s="18"/>
      <c r="Y157" s="18"/>
      <c r="Z157" s="18"/>
      <c r="AA157" s="18"/>
      <c r="AB157" s="18"/>
      <c r="AC157" s="18"/>
      <c r="AD157" s="18"/>
      <c r="AE157" s="18"/>
      <c r="AF157" s="18"/>
      <c r="AG157" s="18"/>
    </row>
    <row r="158" spans="1:33" x14ac:dyDescent="0.2">
      <c r="A158" s="18"/>
      <c r="B158" s="18"/>
      <c r="C158" s="18"/>
      <c r="D158" s="18"/>
      <c r="E158" s="18"/>
      <c r="F158" s="18"/>
      <c r="G158" s="18"/>
      <c r="H158" s="18"/>
      <c r="I158" s="18"/>
      <c r="J158" s="18"/>
      <c r="K158" s="18"/>
      <c r="L158" s="18"/>
      <c r="M158" s="18"/>
      <c r="N158" s="18"/>
      <c r="O158" s="1316"/>
      <c r="P158" s="18"/>
      <c r="Q158" s="18"/>
      <c r="R158" s="18"/>
      <c r="S158" s="18"/>
      <c r="T158" s="18"/>
      <c r="U158" s="18"/>
      <c r="V158" s="18"/>
      <c r="W158" s="18"/>
      <c r="X158" s="18"/>
      <c r="Y158" s="18"/>
      <c r="Z158" s="18"/>
      <c r="AA158" s="18"/>
      <c r="AB158" s="18"/>
      <c r="AC158" s="18"/>
      <c r="AD158" s="18"/>
      <c r="AE158" s="18"/>
      <c r="AF158" s="18"/>
      <c r="AG158" s="18"/>
    </row>
    <row r="159" spans="1:33" x14ac:dyDescent="0.2">
      <c r="A159" s="18"/>
      <c r="B159" s="18"/>
      <c r="C159" s="18"/>
      <c r="D159" s="18"/>
      <c r="E159" s="18"/>
      <c r="F159" s="18"/>
      <c r="G159" s="18"/>
      <c r="H159" s="18"/>
      <c r="I159" s="18"/>
      <c r="J159" s="18"/>
      <c r="K159" s="18"/>
      <c r="L159" s="18"/>
      <c r="M159" s="18"/>
      <c r="N159" s="18"/>
      <c r="O159" s="1316"/>
      <c r="P159" s="18"/>
      <c r="Q159" s="18"/>
      <c r="R159" s="18"/>
      <c r="S159" s="18"/>
      <c r="T159" s="18"/>
      <c r="U159" s="18"/>
      <c r="V159" s="18"/>
      <c r="W159" s="18"/>
      <c r="X159" s="18"/>
      <c r="Y159" s="18"/>
      <c r="Z159" s="18"/>
      <c r="AA159" s="18"/>
      <c r="AB159" s="18"/>
      <c r="AC159" s="18"/>
      <c r="AD159" s="18"/>
      <c r="AE159" s="18"/>
      <c r="AF159" s="18"/>
      <c r="AG159" s="18"/>
    </row>
    <row r="160" spans="1:33" x14ac:dyDescent="0.2">
      <c r="A160" s="18"/>
      <c r="B160" s="18"/>
      <c r="C160" s="18"/>
      <c r="D160" s="18"/>
      <c r="E160" s="18"/>
      <c r="F160" s="18"/>
      <c r="G160" s="18"/>
      <c r="H160" s="18"/>
      <c r="I160" s="18"/>
      <c r="J160" s="18"/>
      <c r="K160" s="18"/>
      <c r="L160" s="18"/>
      <c r="M160" s="18"/>
      <c r="N160" s="18"/>
      <c r="O160" s="1316"/>
      <c r="P160" s="18"/>
      <c r="Q160" s="18"/>
      <c r="R160" s="18"/>
      <c r="S160" s="18"/>
      <c r="T160" s="18"/>
      <c r="U160" s="18"/>
      <c r="V160" s="18"/>
      <c r="W160" s="18"/>
      <c r="X160" s="18"/>
      <c r="Y160" s="18"/>
      <c r="Z160" s="18"/>
      <c r="AA160" s="18"/>
      <c r="AB160" s="18"/>
      <c r="AC160" s="18"/>
      <c r="AD160" s="18"/>
      <c r="AE160" s="18"/>
      <c r="AF160" s="18"/>
      <c r="AG160" s="18"/>
    </row>
    <row r="161" spans="1:33" x14ac:dyDescent="0.2">
      <c r="A161" s="18"/>
      <c r="B161" s="18"/>
      <c r="C161" s="18"/>
      <c r="D161" s="18"/>
      <c r="E161" s="18"/>
      <c r="F161" s="18"/>
      <c r="G161" s="18"/>
      <c r="H161" s="18"/>
      <c r="I161" s="18"/>
      <c r="J161" s="18"/>
      <c r="K161" s="18"/>
      <c r="L161" s="18"/>
      <c r="M161" s="18"/>
      <c r="N161" s="18"/>
      <c r="O161" s="1316"/>
      <c r="P161" s="18"/>
      <c r="Q161" s="18"/>
      <c r="R161" s="18"/>
      <c r="S161" s="18"/>
      <c r="T161" s="18"/>
      <c r="U161" s="18"/>
      <c r="V161" s="18"/>
      <c r="W161" s="18"/>
      <c r="X161" s="18"/>
      <c r="Y161" s="18"/>
      <c r="Z161" s="18"/>
      <c r="AA161" s="18"/>
      <c r="AB161" s="18"/>
      <c r="AC161" s="18"/>
      <c r="AD161" s="18"/>
      <c r="AE161" s="18"/>
      <c r="AF161" s="18"/>
      <c r="AG161" s="18"/>
    </row>
    <row r="162" spans="1:33" x14ac:dyDescent="0.2">
      <c r="A162" s="18"/>
      <c r="B162" s="18"/>
      <c r="C162" s="18"/>
      <c r="D162" s="18"/>
      <c r="E162" s="18"/>
      <c r="F162" s="18"/>
      <c r="G162" s="18"/>
      <c r="H162" s="18"/>
      <c r="I162" s="18"/>
      <c r="J162" s="18"/>
      <c r="K162" s="18"/>
      <c r="L162" s="18"/>
      <c r="M162" s="18"/>
      <c r="N162" s="18"/>
      <c r="O162" s="1316"/>
      <c r="P162" s="18"/>
      <c r="Q162" s="18"/>
      <c r="R162" s="18"/>
      <c r="S162" s="18"/>
      <c r="T162" s="18"/>
      <c r="U162" s="18"/>
      <c r="V162" s="18"/>
      <c r="W162" s="18"/>
      <c r="X162" s="18"/>
      <c r="Y162" s="18"/>
      <c r="Z162" s="18"/>
      <c r="AA162" s="18"/>
      <c r="AB162" s="18"/>
      <c r="AC162" s="18"/>
      <c r="AD162" s="18"/>
      <c r="AE162" s="18"/>
      <c r="AF162" s="18"/>
      <c r="AG162" s="18"/>
    </row>
    <row r="163" spans="1:33" x14ac:dyDescent="0.2">
      <c r="A163" s="18"/>
      <c r="B163" s="18"/>
      <c r="C163" s="18"/>
      <c r="D163" s="18"/>
      <c r="E163" s="18"/>
      <c r="F163" s="18"/>
      <c r="G163" s="18"/>
      <c r="H163" s="18"/>
      <c r="I163" s="18"/>
      <c r="J163" s="18"/>
      <c r="K163" s="18"/>
      <c r="L163" s="18"/>
      <c r="M163" s="18"/>
      <c r="N163" s="18"/>
      <c r="O163" s="1316"/>
      <c r="P163" s="18"/>
      <c r="Q163" s="18"/>
      <c r="R163" s="18"/>
      <c r="S163" s="18"/>
      <c r="T163" s="18"/>
      <c r="U163" s="18"/>
      <c r="V163" s="18"/>
      <c r="W163" s="18"/>
      <c r="X163" s="18"/>
      <c r="Y163" s="18"/>
      <c r="Z163" s="18"/>
      <c r="AA163" s="18"/>
      <c r="AB163" s="18"/>
      <c r="AC163" s="18"/>
      <c r="AD163" s="18"/>
      <c r="AE163" s="18"/>
      <c r="AF163" s="18"/>
      <c r="AG163" s="18"/>
    </row>
    <row r="164" spans="1:33" x14ac:dyDescent="0.2">
      <c r="A164" s="18"/>
      <c r="B164" s="18"/>
      <c r="C164" s="18"/>
      <c r="D164" s="18"/>
      <c r="E164" s="18"/>
      <c r="F164" s="18"/>
      <c r="G164" s="18"/>
      <c r="H164" s="18"/>
      <c r="I164" s="18"/>
      <c r="J164" s="18"/>
      <c r="K164" s="18"/>
      <c r="L164" s="18"/>
      <c r="M164" s="18"/>
      <c r="N164" s="18"/>
      <c r="O164" s="1316"/>
      <c r="P164" s="18"/>
      <c r="Q164" s="18"/>
      <c r="R164" s="18"/>
      <c r="S164" s="18"/>
      <c r="T164" s="18"/>
      <c r="U164" s="18"/>
      <c r="V164" s="18"/>
      <c r="W164" s="18"/>
      <c r="X164" s="18"/>
      <c r="Y164" s="18"/>
      <c r="Z164" s="18"/>
      <c r="AA164" s="18"/>
      <c r="AB164" s="18"/>
      <c r="AC164" s="18"/>
      <c r="AD164" s="18"/>
      <c r="AE164" s="18"/>
      <c r="AF164" s="18"/>
      <c r="AG164" s="18"/>
    </row>
    <row r="165" spans="1:33" x14ac:dyDescent="0.2">
      <c r="A165" s="18"/>
      <c r="B165" s="18"/>
      <c r="C165" s="18"/>
      <c r="D165" s="18"/>
      <c r="E165" s="18"/>
      <c r="F165" s="18"/>
      <c r="G165" s="18"/>
      <c r="H165" s="18"/>
      <c r="I165" s="18"/>
      <c r="J165" s="18"/>
      <c r="K165" s="18"/>
      <c r="L165" s="18"/>
      <c r="M165" s="18"/>
      <c r="N165" s="18"/>
      <c r="O165" s="1316"/>
      <c r="P165" s="18"/>
      <c r="Q165" s="18"/>
      <c r="R165" s="18"/>
      <c r="S165" s="18"/>
      <c r="T165" s="18"/>
      <c r="U165" s="18"/>
      <c r="V165" s="18"/>
      <c r="W165" s="18"/>
      <c r="X165" s="18"/>
      <c r="Y165" s="18"/>
      <c r="Z165" s="18"/>
      <c r="AA165" s="18"/>
      <c r="AB165" s="18"/>
      <c r="AC165" s="18"/>
      <c r="AD165" s="18"/>
      <c r="AE165" s="18"/>
      <c r="AF165" s="18"/>
      <c r="AG165" s="18"/>
    </row>
    <row r="166" spans="1:33" x14ac:dyDescent="0.2">
      <c r="A166" s="18"/>
      <c r="B166" s="18"/>
      <c r="C166" s="18"/>
      <c r="D166" s="18"/>
      <c r="E166" s="18"/>
      <c r="F166" s="18"/>
      <c r="G166" s="18"/>
      <c r="H166" s="18"/>
      <c r="I166" s="18"/>
      <c r="J166" s="18"/>
      <c r="K166" s="18"/>
      <c r="L166" s="18"/>
      <c r="M166" s="18"/>
      <c r="N166" s="18"/>
      <c r="O166" s="1316"/>
      <c r="P166" s="18"/>
      <c r="Q166" s="18"/>
      <c r="R166" s="18"/>
      <c r="S166" s="18"/>
      <c r="T166" s="18"/>
      <c r="U166" s="18"/>
      <c r="V166" s="18"/>
      <c r="W166" s="18"/>
      <c r="X166" s="18"/>
      <c r="Y166" s="18"/>
      <c r="Z166" s="18"/>
      <c r="AA166" s="18"/>
      <c r="AB166" s="18"/>
      <c r="AC166" s="18"/>
      <c r="AD166" s="18"/>
      <c r="AE166" s="18"/>
      <c r="AF166" s="18"/>
      <c r="AG166" s="18"/>
    </row>
    <row r="167" spans="1:33" x14ac:dyDescent="0.2">
      <c r="A167" s="18"/>
      <c r="B167" s="18"/>
      <c r="C167" s="18"/>
      <c r="D167" s="18"/>
      <c r="E167" s="18"/>
      <c r="F167" s="18"/>
      <c r="G167" s="18"/>
      <c r="H167" s="18"/>
      <c r="I167" s="18"/>
      <c r="J167" s="18"/>
      <c r="K167" s="18"/>
      <c r="L167" s="18"/>
      <c r="M167" s="18"/>
      <c r="N167" s="18"/>
      <c r="O167" s="1316"/>
      <c r="P167" s="18"/>
      <c r="Q167" s="18"/>
      <c r="R167" s="18"/>
      <c r="S167" s="18"/>
      <c r="T167" s="18"/>
      <c r="U167" s="18"/>
      <c r="V167" s="18"/>
      <c r="W167" s="18"/>
      <c r="X167" s="18"/>
      <c r="Y167" s="18"/>
      <c r="Z167" s="18"/>
      <c r="AA167" s="18"/>
      <c r="AB167" s="18"/>
      <c r="AC167" s="18"/>
      <c r="AD167" s="18"/>
      <c r="AE167" s="18"/>
      <c r="AF167" s="18"/>
      <c r="AG167" s="18"/>
    </row>
    <row r="168" spans="1:33" x14ac:dyDescent="0.2">
      <c r="A168" s="18"/>
      <c r="B168" s="18"/>
      <c r="C168" s="18"/>
      <c r="D168" s="18"/>
      <c r="E168" s="18"/>
      <c r="F168" s="18"/>
      <c r="G168" s="18"/>
      <c r="H168" s="18"/>
      <c r="I168" s="18"/>
      <c r="J168" s="18"/>
      <c r="K168" s="18"/>
      <c r="L168" s="18"/>
      <c r="M168" s="18"/>
      <c r="N168" s="18"/>
      <c r="O168" s="1316"/>
      <c r="P168" s="18"/>
      <c r="Q168" s="18"/>
      <c r="R168" s="18"/>
      <c r="S168" s="18"/>
      <c r="T168" s="18"/>
      <c r="U168" s="18"/>
      <c r="V168" s="18"/>
      <c r="W168" s="18"/>
      <c r="X168" s="18"/>
      <c r="Y168" s="18"/>
      <c r="Z168" s="18"/>
      <c r="AA168" s="18"/>
      <c r="AB168" s="18"/>
      <c r="AC168" s="18"/>
      <c r="AD168" s="18"/>
      <c r="AE168" s="18"/>
      <c r="AF168" s="18"/>
      <c r="AG168" s="18"/>
    </row>
    <row r="169" spans="1:33" x14ac:dyDescent="0.2">
      <c r="A169" s="18"/>
      <c r="B169" s="18"/>
      <c r="C169" s="18"/>
      <c r="D169" s="18"/>
      <c r="E169" s="18"/>
      <c r="F169" s="18"/>
      <c r="G169" s="18"/>
      <c r="H169" s="18"/>
      <c r="I169" s="18"/>
      <c r="J169" s="18"/>
      <c r="K169" s="18"/>
      <c r="L169" s="18"/>
      <c r="M169" s="18"/>
      <c r="N169" s="18"/>
      <c r="O169" s="1316"/>
      <c r="P169" s="18"/>
      <c r="Q169" s="18"/>
      <c r="R169" s="18"/>
      <c r="S169" s="18"/>
      <c r="T169" s="18"/>
      <c r="U169" s="18"/>
      <c r="V169" s="18"/>
      <c r="W169" s="18"/>
      <c r="X169" s="18"/>
      <c r="Y169" s="18"/>
      <c r="Z169" s="18"/>
      <c r="AA169" s="18"/>
      <c r="AB169" s="18"/>
      <c r="AC169" s="18"/>
      <c r="AD169" s="18"/>
      <c r="AE169" s="18"/>
      <c r="AF169" s="18"/>
      <c r="AG169" s="18"/>
    </row>
    <row r="170" spans="1:33" x14ac:dyDescent="0.2">
      <c r="A170" s="18"/>
      <c r="B170" s="18"/>
      <c r="C170" s="18"/>
      <c r="D170" s="18"/>
      <c r="E170" s="18"/>
      <c r="F170" s="18"/>
      <c r="G170" s="18"/>
      <c r="H170" s="18"/>
      <c r="I170" s="18"/>
      <c r="J170" s="18"/>
      <c r="K170" s="18"/>
      <c r="L170" s="18"/>
      <c r="M170" s="18"/>
      <c r="N170" s="18"/>
      <c r="O170" s="1316"/>
      <c r="P170" s="18"/>
      <c r="Q170" s="18"/>
      <c r="R170" s="18"/>
      <c r="S170" s="18"/>
      <c r="T170" s="18"/>
      <c r="U170" s="18"/>
      <c r="V170" s="18"/>
      <c r="W170" s="18"/>
      <c r="X170" s="18"/>
      <c r="Y170" s="18"/>
      <c r="Z170" s="18"/>
      <c r="AA170" s="18"/>
      <c r="AB170" s="18"/>
      <c r="AC170" s="18"/>
      <c r="AD170" s="18"/>
      <c r="AE170" s="18"/>
      <c r="AF170" s="18"/>
      <c r="AG170" s="18"/>
    </row>
    <row r="171" spans="1:33" x14ac:dyDescent="0.2">
      <c r="A171" s="18"/>
      <c r="B171" s="18"/>
      <c r="C171" s="18"/>
      <c r="D171" s="18"/>
      <c r="E171" s="18"/>
      <c r="F171" s="18"/>
      <c r="G171" s="18"/>
      <c r="H171" s="18"/>
      <c r="I171" s="18"/>
      <c r="J171" s="18"/>
      <c r="K171" s="18"/>
      <c r="L171" s="18"/>
      <c r="M171" s="18"/>
      <c r="N171" s="18"/>
      <c r="O171" s="1316"/>
      <c r="P171" s="18"/>
      <c r="Q171" s="18"/>
      <c r="R171" s="18"/>
      <c r="S171" s="18"/>
      <c r="T171" s="18"/>
      <c r="U171" s="18"/>
      <c r="V171" s="18"/>
      <c r="W171" s="18"/>
      <c r="X171" s="18"/>
      <c r="Y171" s="18"/>
      <c r="Z171" s="18"/>
      <c r="AA171" s="18"/>
      <c r="AB171" s="18"/>
      <c r="AC171" s="18"/>
      <c r="AD171" s="18"/>
      <c r="AE171" s="18"/>
      <c r="AF171" s="18"/>
      <c r="AG171" s="18"/>
    </row>
    <row r="172" spans="1:33" x14ac:dyDescent="0.2">
      <c r="A172" s="18"/>
      <c r="B172" s="18"/>
      <c r="C172" s="18"/>
      <c r="D172" s="18"/>
      <c r="E172" s="18"/>
      <c r="F172" s="18"/>
      <c r="G172" s="18"/>
      <c r="H172" s="18"/>
      <c r="I172" s="18"/>
      <c r="J172" s="18"/>
      <c r="K172" s="18"/>
      <c r="L172" s="18"/>
      <c r="M172" s="18"/>
      <c r="N172" s="18"/>
      <c r="O172" s="1316"/>
      <c r="P172" s="18"/>
      <c r="Q172" s="18"/>
      <c r="R172" s="18"/>
      <c r="S172" s="18"/>
      <c r="T172" s="18"/>
      <c r="U172" s="18"/>
      <c r="V172" s="18"/>
      <c r="W172" s="18"/>
      <c r="X172" s="18"/>
      <c r="Y172" s="18"/>
      <c r="Z172" s="18"/>
      <c r="AA172" s="18"/>
      <c r="AB172" s="18"/>
      <c r="AC172" s="18"/>
      <c r="AD172" s="18"/>
      <c r="AE172" s="18"/>
      <c r="AF172" s="18"/>
      <c r="AG172" s="18"/>
    </row>
    <row r="173" spans="1:33" x14ac:dyDescent="0.2">
      <c r="A173" s="18"/>
      <c r="B173" s="18"/>
      <c r="C173" s="18"/>
      <c r="D173" s="18"/>
      <c r="E173" s="18"/>
      <c r="F173" s="18"/>
      <c r="G173" s="18"/>
      <c r="H173" s="18"/>
      <c r="I173" s="18"/>
      <c r="J173" s="18"/>
      <c r="K173" s="18"/>
      <c r="L173" s="18"/>
      <c r="M173" s="18"/>
      <c r="N173" s="18"/>
      <c r="O173" s="1316"/>
      <c r="P173" s="18"/>
      <c r="Q173" s="18"/>
      <c r="R173" s="18"/>
      <c r="S173" s="18"/>
      <c r="T173" s="18"/>
      <c r="U173" s="18"/>
      <c r="V173" s="18"/>
      <c r="W173" s="18"/>
      <c r="X173" s="18"/>
      <c r="Y173" s="18"/>
      <c r="Z173" s="18"/>
      <c r="AA173" s="18"/>
      <c r="AB173" s="18"/>
      <c r="AC173" s="18"/>
      <c r="AD173" s="18"/>
      <c r="AE173" s="18"/>
      <c r="AF173" s="18"/>
      <c r="AG173" s="18"/>
    </row>
    <row r="174" spans="1:33" x14ac:dyDescent="0.2">
      <c r="A174" s="18"/>
      <c r="B174" s="18"/>
      <c r="C174" s="18"/>
      <c r="D174" s="18"/>
      <c r="E174" s="18"/>
      <c r="F174" s="18"/>
      <c r="G174" s="18"/>
      <c r="H174" s="18"/>
      <c r="I174" s="18"/>
      <c r="J174" s="18"/>
      <c r="K174" s="18"/>
      <c r="L174" s="18"/>
      <c r="M174" s="18"/>
      <c r="N174" s="18"/>
      <c r="O174" s="1316"/>
      <c r="P174" s="18"/>
      <c r="Q174" s="18"/>
      <c r="R174" s="18"/>
      <c r="S174" s="18"/>
      <c r="T174" s="18"/>
      <c r="U174" s="18"/>
      <c r="V174" s="18"/>
      <c r="W174" s="18"/>
      <c r="X174" s="18"/>
      <c r="Y174" s="18"/>
      <c r="Z174" s="18"/>
      <c r="AA174" s="18"/>
      <c r="AB174" s="18"/>
      <c r="AC174" s="18"/>
      <c r="AD174" s="18"/>
      <c r="AE174" s="18"/>
      <c r="AF174" s="18"/>
      <c r="AG174" s="18"/>
    </row>
    <row r="175" spans="1:33" x14ac:dyDescent="0.2">
      <c r="A175" s="18"/>
      <c r="B175" s="18"/>
      <c r="C175" s="18"/>
      <c r="D175" s="18"/>
      <c r="E175" s="18"/>
      <c r="F175" s="18"/>
      <c r="G175" s="18"/>
      <c r="H175" s="18"/>
      <c r="I175" s="18"/>
      <c r="J175" s="18"/>
      <c r="K175" s="18"/>
      <c r="L175" s="18"/>
      <c r="M175" s="18"/>
      <c r="N175" s="18"/>
      <c r="O175" s="1316"/>
      <c r="P175" s="18"/>
      <c r="Q175" s="18"/>
      <c r="R175" s="18"/>
      <c r="S175" s="18"/>
      <c r="T175" s="18"/>
      <c r="U175" s="18"/>
      <c r="V175" s="18"/>
      <c r="W175" s="18"/>
      <c r="X175" s="18"/>
      <c r="Y175" s="18"/>
      <c r="Z175" s="18"/>
      <c r="AA175" s="18"/>
      <c r="AB175" s="18"/>
      <c r="AC175" s="18"/>
      <c r="AD175" s="18"/>
      <c r="AE175" s="18"/>
      <c r="AF175" s="18"/>
      <c r="AG175" s="18"/>
    </row>
    <row r="176" spans="1:33" x14ac:dyDescent="0.2">
      <c r="A176" s="18"/>
      <c r="B176" s="18"/>
      <c r="C176" s="18"/>
      <c r="D176" s="18"/>
      <c r="E176" s="18"/>
      <c r="F176" s="18"/>
      <c r="G176" s="18"/>
      <c r="H176" s="18"/>
      <c r="I176" s="18"/>
      <c r="J176" s="18"/>
      <c r="K176" s="18"/>
      <c r="L176" s="18"/>
      <c r="M176" s="18"/>
      <c r="N176" s="18"/>
      <c r="O176" s="1316"/>
      <c r="P176" s="18"/>
      <c r="Q176" s="18"/>
      <c r="R176" s="18"/>
      <c r="S176" s="18"/>
      <c r="T176" s="18"/>
      <c r="U176" s="18"/>
      <c r="V176" s="18"/>
      <c r="W176" s="18"/>
      <c r="X176" s="18"/>
      <c r="Y176" s="18"/>
      <c r="Z176" s="18"/>
      <c r="AA176" s="18"/>
      <c r="AB176" s="18"/>
      <c r="AC176" s="18"/>
      <c r="AD176" s="18"/>
      <c r="AE176" s="18"/>
      <c r="AF176" s="18"/>
      <c r="AG176" s="18"/>
    </row>
    <row r="177" spans="1:33" x14ac:dyDescent="0.2">
      <c r="A177" s="18"/>
      <c r="B177" s="18"/>
      <c r="C177" s="18"/>
      <c r="D177" s="18"/>
      <c r="E177" s="18"/>
      <c r="F177" s="18"/>
      <c r="G177" s="18"/>
      <c r="H177" s="18"/>
      <c r="I177" s="18"/>
      <c r="J177" s="18"/>
      <c r="K177" s="18"/>
      <c r="L177" s="18"/>
      <c r="M177" s="18"/>
      <c r="N177" s="18"/>
      <c r="O177" s="1316"/>
      <c r="P177" s="18"/>
      <c r="Q177" s="18"/>
      <c r="R177" s="18"/>
      <c r="S177" s="18"/>
      <c r="T177" s="18"/>
      <c r="U177" s="18"/>
      <c r="V177" s="18"/>
      <c r="W177" s="18"/>
      <c r="X177" s="18"/>
      <c r="Y177" s="18"/>
      <c r="Z177" s="18"/>
      <c r="AA177" s="18"/>
      <c r="AB177" s="18"/>
      <c r="AC177" s="18"/>
      <c r="AD177" s="18"/>
      <c r="AE177" s="18"/>
      <c r="AF177" s="18"/>
      <c r="AG177" s="18"/>
    </row>
    <row r="178" spans="1:33" x14ac:dyDescent="0.2">
      <c r="A178" s="18"/>
      <c r="B178" s="18"/>
      <c r="C178" s="18"/>
      <c r="D178" s="18"/>
      <c r="E178" s="18"/>
      <c r="F178" s="18"/>
      <c r="G178" s="18"/>
      <c r="H178" s="18"/>
      <c r="I178" s="18"/>
      <c r="J178" s="18"/>
      <c r="K178" s="18"/>
      <c r="L178" s="18"/>
      <c r="M178" s="18"/>
      <c r="N178" s="18"/>
      <c r="O178" s="1316"/>
      <c r="P178" s="18"/>
      <c r="Q178" s="18"/>
      <c r="R178" s="18"/>
      <c r="S178" s="18"/>
      <c r="T178" s="18"/>
      <c r="U178" s="18"/>
      <c r="V178" s="18"/>
      <c r="W178" s="18"/>
      <c r="X178" s="18"/>
      <c r="Y178" s="18"/>
      <c r="Z178" s="18"/>
      <c r="AA178" s="18"/>
      <c r="AB178" s="18"/>
      <c r="AC178" s="18"/>
      <c r="AD178" s="18"/>
      <c r="AE178" s="18"/>
      <c r="AF178" s="18"/>
      <c r="AG178" s="18"/>
    </row>
    <row r="179" spans="1:33" x14ac:dyDescent="0.2">
      <c r="A179" s="18"/>
      <c r="B179" s="18"/>
      <c r="C179" s="18"/>
      <c r="D179" s="18"/>
      <c r="E179" s="18"/>
      <c r="F179" s="18"/>
      <c r="G179" s="18"/>
      <c r="H179" s="18"/>
      <c r="I179" s="18"/>
      <c r="J179" s="18"/>
      <c r="K179" s="18"/>
      <c r="L179" s="18"/>
      <c r="M179" s="18"/>
      <c r="N179" s="18"/>
      <c r="O179" s="1316"/>
      <c r="P179" s="18"/>
      <c r="Q179" s="18"/>
      <c r="R179" s="18"/>
      <c r="S179" s="18"/>
      <c r="T179" s="18"/>
      <c r="U179" s="18"/>
      <c r="V179" s="18"/>
      <c r="W179" s="18"/>
      <c r="X179" s="18"/>
      <c r="Y179" s="18"/>
      <c r="Z179" s="18"/>
      <c r="AA179" s="18"/>
      <c r="AB179" s="18"/>
      <c r="AC179" s="18"/>
      <c r="AD179" s="18"/>
      <c r="AE179" s="18"/>
      <c r="AF179" s="18"/>
      <c r="AG179" s="18"/>
    </row>
    <row r="180" spans="1:33" x14ac:dyDescent="0.2">
      <c r="A180" s="18"/>
      <c r="B180" s="18"/>
      <c r="C180" s="18"/>
      <c r="D180" s="18"/>
      <c r="E180" s="18"/>
      <c r="F180" s="18"/>
      <c r="G180" s="18"/>
      <c r="H180" s="18"/>
      <c r="I180" s="18"/>
      <c r="J180" s="18"/>
      <c r="K180" s="18"/>
      <c r="L180" s="18"/>
      <c r="M180" s="18"/>
      <c r="N180" s="18"/>
      <c r="O180" s="1316"/>
      <c r="P180" s="18"/>
      <c r="Q180" s="18"/>
      <c r="R180" s="18"/>
      <c r="S180" s="18"/>
      <c r="T180" s="18"/>
      <c r="U180" s="18"/>
      <c r="V180" s="18"/>
      <c r="W180" s="18"/>
      <c r="X180" s="18"/>
      <c r="Y180" s="18"/>
      <c r="Z180" s="18"/>
      <c r="AA180" s="18"/>
      <c r="AB180" s="18"/>
      <c r="AC180" s="18"/>
      <c r="AD180" s="18"/>
      <c r="AE180" s="18"/>
      <c r="AF180" s="18"/>
      <c r="AG180" s="18"/>
    </row>
    <row r="181" spans="1:33" x14ac:dyDescent="0.2">
      <c r="A181" s="18"/>
      <c r="B181" s="18"/>
      <c r="C181" s="18"/>
      <c r="D181" s="18"/>
      <c r="E181" s="18"/>
      <c r="F181" s="18"/>
      <c r="G181" s="18"/>
      <c r="H181" s="18"/>
      <c r="I181" s="18"/>
      <c r="J181" s="18"/>
      <c r="K181" s="18"/>
      <c r="L181" s="18"/>
      <c r="M181" s="18"/>
      <c r="N181" s="18"/>
      <c r="O181" s="1316"/>
      <c r="P181" s="18"/>
      <c r="Q181" s="18"/>
      <c r="R181" s="18"/>
      <c r="S181" s="18"/>
      <c r="T181" s="18"/>
      <c r="U181" s="18"/>
      <c r="V181" s="18"/>
      <c r="W181" s="18"/>
      <c r="X181" s="18"/>
      <c r="Y181" s="18"/>
      <c r="Z181" s="18"/>
      <c r="AA181" s="18"/>
      <c r="AB181" s="18"/>
      <c r="AC181" s="18"/>
      <c r="AD181" s="18"/>
      <c r="AE181" s="18"/>
      <c r="AF181" s="18"/>
      <c r="AG181" s="18"/>
    </row>
    <row r="182" spans="1:33" x14ac:dyDescent="0.2">
      <c r="A182" s="18"/>
      <c r="B182" s="18"/>
      <c r="C182" s="18"/>
      <c r="D182" s="18"/>
      <c r="E182" s="18"/>
      <c r="F182" s="18"/>
      <c r="G182" s="18"/>
      <c r="H182" s="18"/>
      <c r="I182" s="18"/>
      <c r="J182" s="18"/>
      <c r="K182" s="18"/>
      <c r="L182" s="18"/>
      <c r="M182" s="18"/>
      <c r="N182" s="18"/>
      <c r="O182" s="1316"/>
      <c r="P182" s="18"/>
      <c r="Q182" s="18"/>
      <c r="R182" s="18"/>
      <c r="S182" s="18"/>
      <c r="T182" s="18"/>
      <c r="U182" s="18"/>
      <c r="V182" s="18"/>
      <c r="W182" s="18"/>
      <c r="X182" s="18"/>
      <c r="Y182" s="18"/>
      <c r="Z182" s="18"/>
      <c r="AA182" s="18"/>
      <c r="AB182" s="18"/>
      <c r="AC182" s="18"/>
      <c r="AD182" s="18"/>
      <c r="AE182" s="18"/>
      <c r="AF182" s="18"/>
      <c r="AG182" s="18"/>
    </row>
    <row r="183" spans="1:33" x14ac:dyDescent="0.2">
      <c r="A183" s="18"/>
      <c r="B183" s="18"/>
      <c r="C183" s="18"/>
      <c r="D183" s="18"/>
      <c r="E183" s="18"/>
      <c r="F183" s="18"/>
      <c r="G183" s="18"/>
      <c r="H183" s="18"/>
      <c r="I183" s="18"/>
      <c r="J183" s="18"/>
      <c r="K183" s="18"/>
      <c r="L183" s="18"/>
      <c r="M183" s="18"/>
      <c r="N183" s="18"/>
      <c r="O183" s="1316"/>
      <c r="P183" s="18"/>
      <c r="Q183" s="18"/>
      <c r="R183" s="18"/>
      <c r="S183" s="18"/>
      <c r="T183" s="18"/>
      <c r="U183" s="18"/>
      <c r="V183" s="18"/>
      <c r="W183" s="18"/>
      <c r="X183" s="18"/>
      <c r="Y183" s="18"/>
      <c r="Z183" s="18"/>
      <c r="AA183" s="18"/>
      <c r="AB183" s="18"/>
      <c r="AC183" s="18"/>
      <c r="AD183" s="18"/>
      <c r="AE183" s="18"/>
      <c r="AF183" s="18"/>
      <c r="AG183" s="18"/>
    </row>
    <row r="184" spans="1:33" x14ac:dyDescent="0.2">
      <c r="A184" s="18"/>
      <c r="B184" s="18"/>
      <c r="C184" s="18"/>
      <c r="D184" s="18"/>
      <c r="E184" s="18"/>
      <c r="F184" s="18"/>
      <c r="G184" s="18"/>
      <c r="H184" s="18"/>
      <c r="I184" s="18"/>
      <c r="J184" s="18"/>
      <c r="K184" s="18"/>
      <c r="L184" s="18"/>
      <c r="M184" s="18"/>
      <c r="N184" s="18"/>
      <c r="O184" s="1316"/>
      <c r="P184" s="18"/>
      <c r="Q184" s="18"/>
      <c r="R184" s="18"/>
      <c r="S184" s="18"/>
      <c r="T184" s="18"/>
      <c r="U184" s="18"/>
      <c r="V184" s="18"/>
      <c r="W184" s="18"/>
      <c r="X184" s="18"/>
      <c r="Y184" s="18"/>
      <c r="Z184" s="18"/>
      <c r="AA184" s="18"/>
      <c r="AB184" s="18"/>
      <c r="AC184" s="18"/>
      <c r="AD184" s="18"/>
      <c r="AE184" s="18"/>
      <c r="AF184" s="18"/>
      <c r="AG184" s="18"/>
    </row>
    <row r="185" spans="1:33" x14ac:dyDescent="0.2">
      <c r="A185" s="18"/>
      <c r="B185" s="18"/>
      <c r="C185" s="18"/>
      <c r="D185" s="18"/>
      <c r="E185" s="18"/>
      <c r="F185" s="18"/>
      <c r="G185" s="18"/>
      <c r="H185" s="18"/>
      <c r="I185" s="18"/>
      <c r="J185" s="18"/>
      <c r="K185" s="18"/>
      <c r="L185" s="18"/>
      <c r="M185" s="18"/>
      <c r="N185" s="18"/>
      <c r="O185" s="1316"/>
      <c r="P185" s="18"/>
      <c r="Q185" s="18"/>
      <c r="R185" s="18"/>
      <c r="S185" s="18"/>
      <c r="T185" s="18"/>
      <c r="U185" s="18"/>
      <c r="V185" s="18"/>
      <c r="W185" s="18"/>
      <c r="X185" s="18"/>
      <c r="Y185" s="18"/>
      <c r="Z185" s="18"/>
      <c r="AA185" s="18"/>
      <c r="AB185" s="18"/>
      <c r="AC185" s="18"/>
      <c r="AD185" s="18"/>
      <c r="AE185" s="18"/>
      <c r="AF185" s="18"/>
      <c r="AG185" s="18"/>
    </row>
    <row r="186" spans="1:33" x14ac:dyDescent="0.2">
      <c r="A186" s="18"/>
      <c r="B186" s="18"/>
      <c r="C186" s="18"/>
      <c r="D186" s="18"/>
      <c r="E186" s="18"/>
      <c r="F186" s="18"/>
      <c r="G186" s="18"/>
      <c r="H186" s="18"/>
      <c r="I186" s="18"/>
      <c r="J186" s="18"/>
      <c r="K186" s="18"/>
      <c r="L186" s="18"/>
      <c r="M186" s="18"/>
      <c r="N186" s="18"/>
      <c r="O186" s="1316"/>
      <c r="P186" s="18"/>
      <c r="Q186" s="18"/>
      <c r="R186" s="18"/>
      <c r="S186" s="18"/>
      <c r="T186" s="18"/>
      <c r="U186" s="18"/>
      <c r="V186" s="18"/>
      <c r="W186" s="18"/>
      <c r="X186" s="18"/>
      <c r="Y186" s="18"/>
      <c r="Z186" s="18"/>
      <c r="AA186" s="18"/>
      <c r="AB186" s="18"/>
      <c r="AC186" s="18"/>
      <c r="AD186" s="18"/>
      <c r="AE186" s="18"/>
      <c r="AF186" s="18"/>
      <c r="AG186" s="18"/>
    </row>
    <row r="187" spans="1:33" x14ac:dyDescent="0.2">
      <c r="A187" s="18"/>
      <c r="B187" s="18"/>
      <c r="C187" s="18"/>
      <c r="D187" s="18"/>
      <c r="E187" s="18"/>
      <c r="F187" s="18"/>
      <c r="G187" s="18"/>
      <c r="H187" s="18"/>
      <c r="I187" s="18"/>
      <c r="J187" s="18"/>
      <c r="K187" s="18"/>
      <c r="L187" s="18"/>
      <c r="M187" s="18"/>
      <c r="N187" s="18"/>
      <c r="O187" s="1316"/>
      <c r="P187" s="18"/>
      <c r="Q187" s="18"/>
      <c r="R187" s="18"/>
      <c r="S187" s="18"/>
      <c r="T187" s="18"/>
      <c r="U187" s="18"/>
      <c r="V187" s="18"/>
      <c r="W187" s="18"/>
      <c r="X187" s="18"/>
      <c r="Y187" s="18"/>
      <c r="Z187" s="18"/>
      <c r="AA187" s="18"/>
      <c r="AB187" s="18"/>
      <c r="AC187" s="18"/>
      <c r="AD187" s="18"/>
      <c r="AE187" s="18"/>
      <c r="AF187" s="18"/>
      <c r="AG187" s="18"/>
    </row>
    <row r="188" spans="1:33" x14ac:dyDescent="0.2">
      <c r="A188" s="18"/>
      <c r="B188" s="18"/>
      <c r="C188" s="18"/>
      <c r="D188" s="18"/>
      <c r="E188" s="18"/>
      <c r="F188" s="18"/>
      <c r="G188" s="18"/>
      <c r="H188" s="18"/>
      <c r="I188" s="18"/>
      <c r="J188" s="18"/>
      <c r="K188" s="18"/>
      <c r="L188" s="18"/>
      <c r="M188" s="18"/>
      <c r="N188" s="18"/>
      <c r="O188" s="1316"/>
      <c r="P188" s="18"/>
      <c r="Q188" s="18"/>
      <c r="R188" s="18"/>
      <c r="S188" s="18"/>
      <c r="T188" s="18"/>
      <c r="U188" s="18"/>
      <c r="V188" s="18"/>
      <c r="W188" s="18"/>
      <c r="X188" s="18"/>
      <c r="Y188" s="18"/>
      <c r="Z188" s="18"/>
      <c r="AA188" s="18"/>
      <c r="AB188" s="18"/>
      <c r="AC188" s="18"/>
      <c r="AD188" s="18"/>
      <c r="AE188" s="18"/>
      <c r="AF188" s="18"/>
      <c r="AG188" s="18"/>
    </row>
    <row r="189" spans="1:33" x14ac:dyDescent="0.2">
      <c r="A189" s="18"/>
      <c r="B189" s="18"/>
      <c r="C189" s="18"/>
      <c r="D189" s="18"/>
      <c r="E189" s="18"/>
      <c r="F189" s="18"/>
      <c r="G189" s="18"/>
      <c r="H189" s="18"/>
      <c r="I189" s="18"/>
      <c r="J189" s="18"/>
      <c r="K189" s="18"/>
      <c r="L189" s="18"/>
      <c r="M189" s="18"/>
      <c r="N189" s="18"/>
      <c r="O189" s="1316"/>
      <c r="P189" s="18"/>
      <c r="Q189" s="18"/>
      <c r="R189" s="18"/>
      <c r="S189" s="18"/>
      <c r="T189" s="18"/>
      <c r="U189" s="18"/>
      <c r="V189" s="18"/>
      <c r="W189" s="18"/>
      <c r="X189" s="18"/>
      <c r="Y189" s="18"/>
      <c r="Z189" s="18"/>
      <c r="AA189" s="18"/>
      <c r="AB189" s="18"/>
      <c r="AC189" s="18"/>
      <c r="AD189" s="18"/>
      <c r="AE189" s="18"/>
      <c r="AF189" s="18"/>
      <c r="AG189" s="18"/>
    </row>
    <row r="190" spans="1:33" x14ac:dyDescent="0.2">
      <c r="A190" s="18"/>
      <c r="B190" s="18"/>
      <c r="C190" s="18"/>
      <c r="D190" s="18"/>
      <c r="E190" s="18"/>
      <c r="F190" s="18"/>
      <c r="G190" s="18"/>
      <c r="H190" s="18"/>
      <c r="I190" s="18"/>
      <c r="J190" s="18"/>
      <c r="K190" s="18"/>
      <c r="L190" s="18"/>
      <c r="M190" s="18"/>
      <c r="N190" s="18"/>
      <c r="O190" s="1316"/>
      <c r="P190" s="18"/>
      <c r="Q190" s="18"/>
      <c r="R190" s="18"/>
      <c r="S190" s="18"/>
      <c r="T190" s="18"/>
      <c r="U190" s="18"/>
      <c r="V190" s="18"/>
      <c r="W190" s="18"/>
      <c r="X190" s="18"/>
      <c r="Y190" s="18"/>
      <c r="Z190" s="18"/>
      <c r="AA190" s="18"/>
      <c r="AB190" s="18"/>
      <c r="AC190" s="18"/>
      <c r="AD190" s="18"/>
      <c r="AE190" s="18"/>
      <c r="AF190" s="18"/>
      <c r="AG190" s="18"/>
    </row>
    <row r="191" spans="1:33" x14ac:dyDescent="0.2">
      <c r="A191" s="18"/>
      <c r="B191" s="18"/>
      <c r="C191" s="18"/>
      <c r="D191" s="18"/>
      <c r="E191" s="18"/>
      <c r="F191" s="18"/>
      <c r="G191" s="18"/>
      <c r="H191" s="18"/>
      <c r="I191" s="18"/>
      <c r="J191" s="18"/>
      <c r="K191" s="18"/>
      <c r="L191" s="18"/>
      <c r="M191" s="18"/>
      <c r="N191" s="18"/>
      <c r="O191" s="1316"/>
      <c r="P191" s="18"/>
      <c r="Q191" s="18"/>
      <c r="R191" s="18"/>
      <c r="S191" s="18"/>
      <c r="T191" s="18"/>
      <c r="U191" s="18"/>
      <c r="V191" s="18"/>
      <c r="W191" s="18"/>
      <c r="X191" s="18"/>
      <c r="Y191" s="18"/>
      <c r="Z191" s="18"/>
      <c r="AA191" s="18"/>
      <c r="AB191" s="18"/>
      <c r="AC191" s="18"/>
      <c r="AD191" s="18"/>
      <c r="AE191" s="18"/>
      <c r="AF191" s="18"/>
      <c r="AG191" s="18"/>
    </row>
    <row r="192" spans="1:33" x14ac:dyDescent="0.2">
      <c r="A192" s="18"/>
      <c r="B192" s="18"/>
      <c r="C192" s="18"/>
      <c r="D192" s="18"/>
      <c r="E192" s="18"/>
      <c r="F192" s="18"/>
      <c r="G192" s="18"/>
      <c r="H192" s="18"/>
      <c r="I192" s="18"/>
      <c r="J192" s="18"/>
      <c r="K192" s="18"/>
      <c r="L192" s="18"/>
      <c r="M192" s="18"/>
      <c r="N192" s="18"/>
      <c r="O192" s="1316"/>
      <c r="P192" s="18"/>
      <c r="Q192" s="18"/>
      <c r="R192" s="18"/>
      <c r="S192" s="18"/>
      <c r="T192" s="18"/>
      <c r="U192" s="18"/>
      <c r="V192" s="18"/>
      <c r="W192" s="18"/>
      <c r="X192" s="18"/>
      <c r="Y192" s="18"/>
      <c r="Z192" s="18"/>
      <c r="AA192" s="18"/>
      <c r="AB192" s="18"/>
      <c r="AC192" s="18"/>
      <c r="AD192" s="18"/>
      <c r="AE192" s="18"/>
      <c r="AF192" s="18"/>
      <c r="AG192" s="18"/>
    </row>
    <row r="193" spans="1:33" x14ac:dyDescent="0.2">
      <c r="A193" s="18"/>
      <c r="B193" s="18"/>
      <c r="C193" s="18"/>
      <c r="D193" s="18"/>
      <c r="E193" s="18"/>
      <c r="F193" s="18"/>
      <c r="G193" s="18"/>
      <c r="H193" s="18"/>
      <c r="I193" s="18"/>
      <c r="J193" s="18"/>
      <c r="K193" s="18"/>
      <c r="L193" s="18"/>
      <c r="M193" s="18"/>
      <c r="N193" s="18"/>
      <c r="O193" s="1316"/>
      <c r="P193" s="18"/>
      <c r="Q193" s="18"/>
      <c r="R193" s="18"/>
      <c r="S193" s="18"/>
      <c r="T193" s="18"/>
      <c r="U193" s="18"/>
      <c r="V193" s="18"/>
      <c r="W193" s="18"/>
      <c r="X193" s="18"/>
      <c r="Y193" s="18"/>
      <c r="Z193" s="18"/>
      <c r="AA193" s="18"/>
      <c r="AB193" s="18"/>
      <c r="AC193" s="18"/>
      <c r="AD193" s="18"/>
      <c r="AE193" s="18"/>
      <c r="AF193" s="18"/>
      <c r="AG193" s="18"/>
    </row>
    <row r="194" spans="1:33" x14ac:dyDescent="0.2">
      <c r="A194" s="18"/>
      <c r="B194" s="18"/>
      <c r="C194" s="18"/>
      <c r="D194" s="18"/>
      <c r="E194" s="18"/>
      <c r="F194" s="18"/>
      <c r="G194" s="18"/>
      <c r="H194" s="18"/>
      <c r="I194" s="18"/>
      <c r="J194" s="18"/>
      <c r="K194" s="18"/>
      <c r="L194" s="18"/>
      <c r="M194" s="18"/>
      <c r="N194" s="18"/>
      <c r="O194" s="1316"/>
      <c r="P194" s="18"/>
      <c r="Q194" s="18"/>
      <c r="R194" s="18"/>
      <c r="S194" s="18"/>
      <c r="T194" s="18"/>
      <c r="U194" s="18"/>
      <c r="V194" s="18"/>
      <c r="W194" s="18"/>
      <c r="X194" s="18"/>
      <c r="Y194" s="18"/>
      <c r="Z194" s="18"/>
      <c r="AA194" s="18"/>
      <c r="AB194" s="18"/>
      <c r="AC194" s="18"/>
      <c r="AD194" s="18"/>
      <c r="AE194" s="18"/>
      <c r="AF194" s="18"/>
      <c r="AG194" s="18"/>
    </row>
    <row r="195" spans="1:33" x14ac:dyDescent="0.2">
      <c r="A195" s="18"/>
      <c r="B195" s="18"/>
      <c r="C195" s="18"/>
      <c r="D195" s="18"/>
      <c r="E195" s="18"/>
      <c r="F195" s="18"/>
      <c r="G195" s="18"/>
      <c r="H195" s="18"/>
      <c r="I195" s="18"/>
      <c r="J195" s="18"/>
      <c r="K195" s="18"/>
      <c r="L195" s="18"/>
      <c r="M195" s="18"/>
      <c r="N195" s="18"/>
      <c r="O195" s="1316"/>
      <c r="P195" s="18"/>
      <c r="Q195" s="18"/>
      <c r="R195" s="18"/>
      <c r="S195" s="18"/>
      <c r="T195" s="18"/>
      <c r="U195" s="18"/>
      <c r="V195" s="18"/>
      <c r="W195" s="18"/>
      <c r="X195" s="18"/>
      <c r="Y195" s="18"/>
      <c r="Z195" s="18"/>
      <c r="AA195" s="18"/>
      <c r="AB195" s="18"/>
      <c r="AC195" s="18"/>
      <c r="AD195" s="18"/>
      <c r="AE195" s="18"/>
      <c r="AF195" s="18"/>
      <c r="AG195" s="18"/>
    </row>
    <row r="196" spans="1:33" x14ac:dyDescent="0.2">
      <c r="A196" s="18"/>
      <c r="B196" s="18"/>
      <c r="C196" s="18"/>
      <c r="D196" s="18"/>
      <c r="E196" s="18"/>
      <c r="F196" s="18"/>
      <c r="G196" s="18"/>
      <c r="H196" s="18"/>
      <c r="I196" s="18"/>
      <c r="J196" s="18"/>
      <c r="K196" s="18"/>
      <c r="L196" s="18"/>
      <c r="M196" s="18"/>
      <c r="N196" s="18"/>
      <c r="O196" s="1316"/>
      <c r="P196" s="18"/>
      <c r="Q196" s="18"/>
      <c r="R196" s="18"/>
      <c r="S196" s="18"/>
      <c r="T196" s="18"/>
      <c r="U196" s="18"/>
      <c r="V196" s="18"/>
      <c r="W196" s="18"/>
      <c r="X196" s="18"/>
      <c r="Y196" s="18"/>
      <c r="Z196" s="18"/>
      <c r="AA196" s="18"/>
      <c r="AB196" s="18"/>
      <c r="AC196" s="18"/>
      <c r="AD196" s="18"/>
      <c r="AE196" s="18"/>
      <c r="AF196" s="18"/>
      <c r="AG196" s="18"/>
    </row>
    <row r="197" spans="1:33" x14ac:dyDescent="0.2">
      <c r="A197" s="18"/>
      <c r="B197" s="18"/>
      <c r="C197" s="18"/>
      <c r="D197" s="18"/>
      <c r="E197" s="18"/>
      <c r="F197" s="18"/>
      <c r="G197" s="18"/>
      <c r="H197" s="18"/>
      <c r="I197" s="18"/>
      <c r="J197" s="18"/>
      <c r="K197" s="18"/>
      <c r="L197" s="18"/>
      <c r="M197" s="18"/>
      <c r="N197" s="18"/>
      <c r="O197" s="1316"/>
      <c r="P197" s="18"/>
      <c r="Q197" s="18"/>
      <c r="R197" s="18"/>
      <c r="S197" s="18"/>
      <c r="T197" s="18"/>
      <c r="U197" s="18"/>
      <c r="V197" s="18"/>
      <c r="W197" s="18"/>
      <c r="X197" s="18"/>
      <c r="Y197" s="18"/>
      <c r="Z197" s="18"/>
      <c r="AA197" s="18"/>
      <c r="AB197" s="18"/>
      <c r="AC197" s="18"/>
      <c r="AD197" s="18"/>
      <c r="AE197" s="18"/>
      <c r="AF197" s="18"/>
      <c r="AG197" s="18"/>
    </row>
    <row r="198" spans="1:33" x14ac:dyDescent="0.2">
      <c r="A198" s="18"/>
      <c r="B198" s="18"/>
      <c r="C198" s="18"/>
      <c r="D198" s="18"/>
      <c r="E198" s="18"/>
      <c r="F198" s="18"/>
      <c r="G198" s="18"/>
      <c r="H198" s="18"/>
      <c r="I198" s="18"/>
      <c r="J198" s="18"/>
      <c r="K198" s="18"/>
      <c r="L198" s="18"/>
      <c r="M198" s="18"/>
      <c r="N198" s="18"/>
      <c r="O198" s="1316"/>
      <c r="P198" s="18"/>
      <c r="Q198" s="18"/>
      <c r="R198" s="18"/>
      <c r="S198" s="18"/>
      <c r="T198" s="18"/>
      <c r="U198" s="18"/>
      <c r="V198" s="18"/>
      <c r="W198" s="18"/>
      <c r="X198" s="18"/>
      <c r="Y198" s="18"/>
      <c r="Z198" s="18"/>
      <c r="AA198" s="18"/>
      <c r="AB198" s="18"/>
      <c r="AC198" s="18"/>
      <c r="AD198" s="18"/>
      <c r="AE198" s="18"/>
      <c r="AF198" s="18"/>
      <c r="AG198" s="18"/>
    </row>
    <row r="199" spans="1:33" x14ac:dyDescent="0.2">
      <c r="A199" s="18"/>
      <c r="B199" s="18"/>
      <c r="C199" s="18"/>
      <c r="D199" s="18"/>
      <c r="E199" s="18"/>
      <c r="F199" s="18"/>
      <c r="G199" s="18"/>
      <c r="H199" s="18"/>
      <c r="I199" s="18"/>
      <c r="J199" s="18"/>
      <c r="K199" s="18"/>
      <c r="L199" s="18"/>
      <c r="M199" s="18"/>
      <c r="N199" s="18"/>
      <c r="O199" s="1316"/>
      <c r="P199" s="18"/>
      <c r="Q199" s="18"/>
      <c r="R199" s="18"/>
      <c r="S199" s="18"/>
      <c r="T199" s="18"/>
      <c r="U199" s="18"/>
      <c r="V199" s="18"/>
      <c r="W199" s="18"/>
      <c r="X199" s="18"/>
      <c r="Y199" s="18"/>
      <c r="Z199" s="18"/>
      <c r="AA199" s="18"/>
      <c r="AB199" s="18"/>
      <c r="AC199" s="18"/>
      <c r="AD199" s="18"/>
      <c r="AE199" s="18"/>
      <c r="AF199" s="18"/>
      <c r="AG199" s="18"/>
    </row>
    <row r="200" spans="1:33" x14ac:dyDescent="0.2">
      <c r="A200" s="18"/>
      <c r="B200" s="18"/>
      <c r="C200" s="18"/>
      <c r="D200" s="18"/>
      <c r="E200" s="18"/>
      <c r="F200" s="18"/>
      <c r="G200" s="18"/>
      <c r="H200" s="18"/>
      <c r="I200" s="18"/>
      <c r="J200" s="18"/>
      <c r="K200" s="18"/>
      <c r="L200" s="18"/>
      <c r="M200" s="18"/>
      <c r="N200" s="18"/>
      <c r="O200" s="1316"/>
      <c r="P200" s="18"/>
      <c r="Q200" s="18"/>
      <c r="R200" s="18"/>
      <c r="S200" s="18"/>
      <c r="T200" s="18"/>
      <c r="U200" s="18"/>
      <c r="V200" s="18"/>
      <c r="W200" s="18"/>
      <c r="X200" s="18"/>
      <c r="Y200" s="18"/>
      <c r="Z200" s="18"/>
      <c r="AA200" s="18"/>
      <c r="AB200" s="18"/>
      <c r="AC200" s="18"/>
      <c r="AD200" s="18"/>
      <c r="AE200" s="18"/>
      <c r="AF200" s="18"/>
      <c r="AG200" s="18"/>
    </row>
    <row r="201" spans="1:33" x14ac:dyDescent="0.2">
      <c r="A201" s="18"/>
      <c r="B201" s="18"/>
      <c r="C201" s="18"/>
      <c r="D201" s="18"/>
      <c r="E201" s="18"/>
      <c r="F201" s="18"/>
      <c r="G201" s="18"/>
      <c r="H201" s="18"/>
      <c r="I201" s="18"/>
      <c r="J201" s="18"/>
      <c r="K201" s="18"/>
      <c r="L201" s="18"/>
      <c r="M201" s="18"/>
      <c r="N201" s="18"/>
      <c r="O201" s="1316"/>
      <c r="P201" s="18"/>
      <c r="Q201" s="18"/>
      <c r="R201" s="18"/>
      <c r="S201" s="18"/>
      <c r="T201" s="18"/>
      <c r="U201" s="18"/>
      <c r="V201" s="18"/>
      <c r="W201" s="18"/>
      <c r="X201" s="18"/>
      <c r="Y201" s="18"/>
      <c r="Z201" s="18"/>
      <c r="AA201" s="18"/>
      <c r="AB201" s="18"/>
      <c r="AC201" s="18"/>
      <c r="AD201" s="18"/>
      <c r="AE201" s="18"/>
      <c r="AF201" s="18"/>
      <c r="AG201" s="18"/>
    </row>
    <row r="202" spans="1:33" x14ac:dyDescent="0.2">
      <c r="A202" s="18"/>
      <c r="B202" s="18"/>
      <c r="C202" s="18"/>
      <c r="D202" s="18"/>
      <c r="E202" s="18"/>
      <c r="F202" s="18"/>
      <c r="G202" s="18"/>
      <c r="H202" s="18"/>
      <c r="I202" s="18"/>
      <c r="J202" s="18"/>
      <c r="K202" s="18"/>
      <c r="L202" s="18"/>
      <c r="M202" s="18"/>
      <c r="N202" s="18"/>
      <c r="O202" s="1316"/>
      <c r="P202" s="18"/>
      <c r="Q202" s="18"/>
      <c r="R202" s="18"/>
      <c r="S202" s="18"/>
      <c r="T202" s="18"/>
      <c r="U202" s="18"/>
      <c r="V202" s="18"/>
      <c r="W202" s="18"/>
      <c r="X202" s="18"/>
      <c r="Y202" s="18"/>
      <c r="Z202" s="18"/>
      <c r="AA202" s="18"/>
      <c r="AB202" s="18"/>
      <c r="AC202" s="18"/>
      <c r="AD202" s="18"/>
      <c r="AE202" s="18"/>
      <c r="AF202" s="18"/>
      <c r="AG202" s="18"/>
    </row>
    <row r="203" spans="1:33" x14ac:dyDescent="0.2">
      <c r="A203" s="18"/>
      <c r="B203" s="18"/>
      <c r="C203" s="18"/>
      <c r="D203" s="18"/>
      <c r="E203" s="18"/>
      <c r="F203" s="18"/>
      <c r="G203" s="18"/>
      <c r="H203" s="18"/>
      <c r="I203" s="18"/>
      <c r="J203" s="18"/>
      <c r="K203" s="18"/>
      <c r="L203" s="18"/>
      <c r="M203" s="18"/>
      <c r="N203" s="18"/>
      <c r="O203" s="1316"/>
      <c r="P203" s="18"/>
      <c r="Q203" s="18"/>
      <c r="R203" s="18"/>
      <c r="S203" s="18"/>
      <c r="T203" s="18"/>
      <c r="U203" s="18"/>
      <c r="V203" s="18"/>
      <c r="W203" s="18"/>
      <c r="X203" s="18"/>
      <c r="Y203" s="18"/>
      <c r="Z203" s="18"/>
      <c r="AA203" s="18"/>
      <c r="AB203" s="18"/>
      <c r="AC203" s="18"/>
      <c r="AD203" s="18"/>
      <c r="AE203" s="18"/>
      <c r="AF203" s="18"/>
      <c r="AG203" s="18"/>
    </row>
    <row r="204" spans="1:33" x14ac:dyDescent="0.2">
      <c r="A204" s="18"/>
      <c r="B204" s="18"/>
      <c r="C204" s="18"/>
      <c r="D204" s="18"/>
      <c r="E204" s="18"/>
      <c r="F204" s="18"/>
      <c r="G204" s="18"/>
      <c r="H204" s="18"/>
      <c r="I204" s="18"/>
      <c r="J204" s="18"/>
      <c r="K204" s="18"/>
      <c r="L204" s="18"/>
      <c r="M204" s="18"/>
      <c r="N204" s="18"/>
      <c r="O204" s="1316"/>
      <c r="P204" s="18"/>
      <c r="Q204" s="18"/>
      <c r="R204" s="18"/>
      <c r="S204" s="18"/>
      <c r="T204" s="18"/>
      <c r="U204" s="18"/>
      <c r="V204" s="18"/>
      <c r="W204" s="18"/>
      <c r="X204" s="18"/>
      <c r="Y204" s="18"/>
      <c r="Z204" s="18"/>
      <c r="AA204" s="18"/>
      <c r="AB204" s="18"/>
      <c r="AC204" s="18"/>
      <c r="AD204" s="18"/>
      <c r="AE204" s="18"/>
      <c r="AF204" s="18"/>
      <c r="AG204" s="18"/>
    </row>
    <row r="205" spans="1:33" x14ac:dyDescent="0.2">
      <c r="A205" s="18"/>
      <c r="B205" s="18"/>
      <c r="C205" s="18"/>
      <c r="D205" s="18"/>
      <c r="E205" s="18"/>
      <c r="F205" s="18"/>
      <c r="G205" s="18"/>
      <c r="H205" s="18"/>
      <c r="I205" s="18"/>
      <c r="J205" s="18"/>
      <c r="K205" s="18"/>
      <c r="L205" s="18"/>
      <c r="M205" s="18"/>
      <c r="N205" s="18"/>
      <c r="O205" s="1316"/>
      <c r="P205" s="18"/>
      <c r="Q205" s="18"/>
      <c r="R205" s="18"/>
      <c r="S205" s="18"/>
      <c r="T205" s="18"/>
      <c r="U205" s="18"/>
      <c r="V205" s="18"/>
      <c r="W205" s="18"/>
      <c r="X205" s="18"/>
      <c r="Y205" s="18"/>
      <c r="Z205" s="18"/>
      <c r="AA205" s="18"/>
      <c r="AB205" s="18"/>
      <c r="AC205" s="18"/>
      <c r="AD205" s="18"/>
      <c r="AE205" s="18"/>
      <c r="AF205" s="18"/>
      <c r="AG205" s="18"/>
    </row>
    <row r="206" spans="1:33" x14ac:dyDescent="0.2">
      <c r="A206" s="18"/>
      <c r="B206" s="18"/>
      <c r="C206" s="18"/>
      <c r="D206" s="18"/>
      <c r="E206" s="18"/>
      <c r="F206" s="18"/>
      <c r="G206" s="18"/>
      <c r="H206" s="18"/>
      <c r="I206" s="18"/>
      <c r="J206" s="18"/>
      <c r="K206" s="18"/>
      <c r="L206" s="18"/>
      <c r="M206" s="18"/>
      <c r="N206" s="18"/>
      <c r="O206" s="1316"/>
      <c r="P206" s="18"/>
      <c r="Q206" s="18"/>
      <c r="R206" s="18"/>
      <c r="S206" s="18"/>
      <c r="T206" s="18"/>
      <c r="U206" s="18"/>
      <c r="V206" s="18"/>
      <c r="W206" s="18"/>
      <c r="X206" s="18"/>
      <c r="Y206" s="18"/>
      <c r="Z206" s="18"/>
      <c r="AA206" s="18"/>
      <c r="AB206" s="18"/>
      <c r="AC206" s="18"/>
      <c r="AD206" s="18"/>
      <c r="AE206" s="18"/>
      <c r="AF206" s="18"/>
      <c r="AG206" s="18"/>
    </row>
    <row r="207" spans="1:33" x14ac:dyDescent="0.2">
      <c r="A207" s="18"/>
      <c r="B207" s="18"/>
      <c r="C207" s="18"/>
      <c r="D207" s="18"/>
      <c r="E207" s="18"/>
      <c r="F207" s="18"/>
      <c r="G207" s="18"/>
      <c r="H207" s="18"/>
      <c r="I207" s="18"/>
      <c r="J207" s="18"/>
      <c r="K207" s="18"/>
      <c r="L207" s="18"/>
      <c r="M207" s="18"/>
      <c r="N207" s="18"/>
      <c r="O207" s="1316"/>
      <c r="P207" s="18"/>
      <c r="Q207" s="18"/>
      <c r="R207" s="18"/>
      <c r="S207" s="18"/>
      <c r="T207" s="18"/>
      <c r="U207" s="18"/>
      <c r="V207" s="18"/>
      <c r="W207" s="18"/>
      <c r="X207" s="18"/>
      <c r="Y207" s="18"/>
      <c r="Z207" s="18"/>
      <c r="AA207" s="18"/>
      <c r="AB207" s="18"/>
      <c r="AC207" s="18"/>
      <c r="AD207" s="18"/>
      <c r="AE207" s="18"/>
      <c r="AF207" s="18"/>
      <c r="AG207" s="18"/>
    </row>
    <row r="208" spans="1:33" x14ac:dyDescent="0.2">
      <c r="A208" s="18"/>
      <c r="B208" s="18"/>
      <c r="C208" s="18"/>
      <c r="D208" s="18"/>
      <c r="E208" s="18"/>
      <c r="F208" s="18"/>
      <c r="G208" s="18"/>
      <c r="H208" s="18"/>
      <c r="I208" s="18"/>
      <c r="J208" s="18"/>
      <c r="K208" s="18"/>
      <c r="L208" s="18"/>
      <c r="M208" s="18"/>
      <c r="N208" s="18"/>
      <c r="O208" s="1316"/>
      <c r="P208" s="18"/>
      <c r="Q208" s="18"/>
      <c r="R208" s="18"/>
      <c r="S208" s="18"/>
      <c r="T208" s="18"/>
      <c r="U208" s="18"/>
      <c r="V208" s="18"/>
      <c r="W208" s="18"/>
      <c r="X208" s="18"/>
      <c r="Y208" s="18"/>
      <c r="Z208" s="18"/>
      <c r="AA208" s="18"/>
      <c r="AB208" s="18"/>
      <c r="AC208" s="18"/>
      <c r="AD208" s="18"/>
      <c r="AE208" s="18"/>
      <c r="AF208" s="18"/>
      <c r="AG208" s="18"/>
    </row>
    <row r="209" spans="1:33" x14ac:dyDescent="0.2">
      <c r="A209" s="18"/>
      <c r="B209" s="18"/>
      <c r="C209" s="18"/>
      <c r="D209" s="18"/>
      <c r="E209" s="18"/>
      <c r="F209" s="18"/>
      <c r="G209" s="18"/>
      <c r="H209" s="18"/>
      <c r="I209" s="18"/>
      <c r="J209" s="18"/>
      <c r="K209" s="18"/>
      <c r="L209" s="18"/>
      <c r="M209" s="18"/>
      <c r="N209" s="18"/>
      <c r="O209" s="1316"/>
      <c r="P209" s="18"/>
      <c r="Q209" s="18"/>
      <c r="R209" s="18"/>
      <c r="S209" s="18"/>
      <c r="T209" s="18"/>
      <c r="U209" s="18"/>
      <c r="V209" s="18"/>
      <c r="W209" s="18"/>
      <c r="X209" s="18"/>
      <c r="Y209" s="18"/>
      <c r="Z209" s="18"/>
      <c r="AA209" s="18"/>
      <c r="AB209" s="18"/>
      <c r="AC209" s="18"/>
      <c r="AD209" s="18"/>
      <c r="AE209" s="18"/>
      <c r="AF209" s="18"/>
      <c r="AG209" s="18"/>
    </row>
    <row r="210" spans="1:33" x14ac:dyDescent="0.2">
      <c r="A210" s="18"/>
      <c r="B210" s="18"/>
      <c r="C210" s="18"/>
      <c r="D210" s="18"/>
      <c r="E210" s="18"/>
      <c r="F210" s="18"/>
      <c r="G210" s="18"/>
      <c r="H210" s="18"/>
      <c r="I210" s="18"/>
      <c r="J210" s="18"/>
      <c r="K210" s="18"/>
      <c r="L210" s="18"/>
      <c r="M210" s="18"/>
      <c r="N210" s="18"/>
      <c r="O210" s="1316"/>
      <c r="P210" s="18"/>
      <c r="Q210" s="18"/>
      <c r="R210" s="18"/>
      <c r="S210" s="18"/>
      <c r="T210" s="18"/>
      <c r="U210" s="18"/>
      <c r="V210" s="18"/>
      <c r="W210" s="18"/>
      <c r="X210" s="18"/>
      <c r="Y210" s="18"/>
      <c r="Z210" s="18"/>
      <c r="AA210" s="18"/>
      <c r="AB210" s="18"/>
      <c r="AC210" s="18"/>
      <c r="AD210" s="18"/>
      <c r="AE210" s="18"/>
      <c r="AF210" s="18"/>
      <c r="AG210" s="18"/>
    </row>
    <row r="211" spans="1:33" x14ac:dyDescent="0.2">
      <c r="A211" s="18"/>
      <c r="B211" s="18"/>
      <c r="C211" s="18"/>
      <c r="D211" s="18"/>
      <c r="E211" s="18"/>
      <c r="F211" s="18"/>
      <c r="G211" s="18"/>
      <c r="H211" s="18"/>
      <c r="I211" s="18"/>
      <c r="J211" s="18"/>
      <c r="K211" s="18"/>
      <c r="L211" s="18"/>
      <c r="M211" s="18"/>
      <c r="N211" s="18"/>
      <c r="O211" s="1316"/>
      <c r="P211" s="18"/>
      <c r="Q211" s="18"/>
      <c r="R211" s="18"/>
      <c r="S211" s="18"/>
      <c r="T211" s="18"/>
      <c r="U211" s="18"/>
      <c r="V211" s="18"/>
      <c r="W211" s="18"/>
      <c r="X211" s="18"/>
      <c r="Y211" s="18"/>
      <c r="Z211" s="18"/>
      <c r="AA211" s="18"/>
      <c r="AB211" s="18"/>
      <c r="AC211" s="18"/>
      <c r="AD211" s="18"/>
      <c r="AE211" s="18"/>
      <c r="AF211" s="18"/>
      <c r="AG211" s="18"/>
    </row>
    <row r="212" spans="1:33" x14ac:dyDescent="0.2">
      <c r="A212" s="18"/>
      <c r="B212" s="18"/>
      <c r="C212" s="18"/>
      <c r="D212" s="18"/>
      <c r="E212" s="18"/>
      <c r="F212" s="18"/>
      <c r="G212" s="18"/>
      <c r="H212" s="18"/>
      <c r="I212" s="18"/>
      <c r="J212" s="18"/>
      <c r="K212" s="18"/>
      <c r="L212" s="18"/>
      <c r="M212" s="18"/>
      <c r="N212" s="18"/>
      <c r="O212" s="1316"/>
      <c r="P212" s="18"/>
      <c r="Q212" s="18"/>
      <c r="R212" s="18"/>
      <c r="S212" s="18"/>
      <c r="T212" s="18"/>
      <c r="U212" s="18"/>
      <c r="V212" s="18"/>
      <c r="W212" s="18"/>
      <c r="X212" s="18"/>
      <c r="Y212" s="18"/>
      <c r="Z212" s="18"/>
      <c r="AA212" s="18"/>
      <c r="AB212" s="18"/>
      <c r="AC212" s="18"/>
      <c r="AD212" s="18"/>
      <c r="AE212" s="18"/>
      <c r="AF212" s="18"/>
      <c r="AG212" s="18"/>
    </row>
    <row r="213" spans="1:33" x14ac:dyDescent="0.2">
      <c r="A213" s="18"/>
      <c r="B213" s="18"/>
      <c r="C213" s="18"/>
      <c r="D213" s="18"/>
      <c r="E213" s="18"/>
      <c r="F213" s="18"/>
      <c r="G213" s="18"/>
      <c r="H213" s="18"/>
      <c r="I213" s="18"/>
      <c r="J213" s="18"/>
      <c r="K213" s="18"/>
      <c r="L213" s="18"/>
      <c r="M213" s="18"/>
      <c r="N213" s="18"/>
      <c r="O213" s="1316"/>
      <c r="P213" s="18"/>
      <c r="Q213" s="18"/>
      <c r="R213" s="18"/>
      <c r="S213" s="18"/>
      <c r="T213" s="18"/>
      <c r="U213" s="18"/>
      <c r="V213" s="18"/>
      <c r="W213" s="18"/>
      <c r="X213" s="18"/>
      <c r="Y213" s="18"/>
      <c r="Z213" s="18"/>
      <c r="AA213" s="18"/>
      <c r="AB213" s="18"/>
      <c r="AC213" s="18"/>
      <c r="AD213" s="18"/>
      <c r="AE213" s="18"/>
      <c r="AF213" s="18"/>
      <c r="AG213" s="18"/>
    </row>
    <row r="214" spans="1:33" x14ac:dyDescent="0.2">
      <c r="A214" s="18"/>
      <c r="B214" s="18"/>
      <c r="C214" s="18"/>
      <c r="D214" s="18"/>
      <c r="E214" s="18"/>
      <c r="F214" s="18"/>
      <c r="G214" s="18"/>
      <c r="H214" s="18"/>
      <c r="I214" s="18"/>
      <c r="J214" s="18"/>
      <c r="K214" s="18"/>
      <c r="L214" s="18"/>
      <c r="M214" s="18"/>
      <c r="N214" s="18"/>
      <c r="O214" s="1316"/>
      <c r="P214" s="18"/>
      <c r="Q214" s="18"/>
      <c r="R214" s="18"/>
      <c r="S214" s="18"/>
      <c r="T214" s="18"/>
      <c r="U214" s="18"/>
      <c r="V214" s="18"/>
      <c r="W214" s="18"/>
      <c r="X214" s="18"/>
      <c r="Y214" s="18"/>
      <c r="Z214" s="18"/>
      <c r="AA214" s="18"/>
      <c r="AB214" s="18"/>
      <c r="AC214" s="18"/>
      <c r="AD214" s="18"/>
      <c r="AE214" s="18"/>
      <c r="AF214" s="18"/>
      <c r="AG214" s="18"/>
    </row>
    <row r="215" spans="1:33" x14ac:dyDescent="0.2">
      <c r="A215" s="18"/>
      <c r="B215" s="18"/>
      <c r="C215" s="18"/>
      <c r="D215" s="18"/>
      <c r="E215" s="18"/>
      <c r="F215" s="18"/>
      <c r="G215" s="18"/>
      <c r="H215" s="18"/>
      <c r="I215" s="18"/>
      <c r="J215" s="18"/>
      <c r="K215" s="18"/>
      <c r="L215" s="18"/>
      <c r="M215" s="18"/>
      <c r="N215" s="18"/>
      <c r="O215" s="1316"/>
      <c r="P215" s="18"/>
      <c r="Q215" s="18"/>
      <c r="R215" s="18"/>
      <c r="S215" s="18"/>
      <c r="T215" s="18"/>
      <c r="U215" s="18"/>
      <c r="V215" s="18"/>
      <c r="W215" s="18"/>
      <c r="X215" s="18"/>
      <c r="Y215" s="18"/>
      <c r="Z215" s="18"/>
      <c r="AA215" s="18"/>
      <c r="AB215" s="18"/>
      <c r="AC215" s="18"/>
      <c r="AD215" s="18"/>
      <c r="AE215" s="18"/>
      <c r="AF215" s="18"/>
      <c r="AG215" s="18"/>
    </row>
    <row r="216" spans="1:33" x14ac:dyDescent="0.2">
      <c r="A216" s="18"/>
      <c r="B216" s="18"/>
      <c r="C216" s="18"/>
      <c r="D216" s="18"/>
      <c r="E216" s="18"/>
      <c r="F216" s="18"/>
      <c r="G216" s="18"/>
      <c r="H216" s="18"/>
      <c r="I216" s="18"/>
      <c r="J216" s="18"/>
      <c r="K216" s="18"/>
      <c r="L216" s="18"/>
      <c r="M216" s="18"/>
      <c r="N216" s="18"/>
      <c r="O216" s="1316"/>
      <c r="P216" s="18"/>
      <c r="Q216" s="18"/>
      <c r="R216" s="18"/>
      <c r="S216" s="18"/>
      <c r="T216" s="18"/>
      <c r="U216" s="18"/>
      <c r="V216" s="18"/>
      <c r="W216" s="18"/>
      <c r="X216" s="18"/>
      <c r="Y216" s="18"/>
      <c r="Z216" s="18"/>
      <c r="AA216" s="18"/>
      <c r="AB216" s="18"/>
      <c r="AC216" s="18"/>
      <c r="AD216" s="18"/>
      <c r="AE216" s="18"/>
      <c r="AF216" s="18"/>
      <c r="AG216" s="18"/>
    </row>
    <row r="217" spans="1:33" x14ac:dyDescent="0.2">
      <c r="A217" s="18"/>
      <c r="B217" s="18"/>
      <c r="C217" s="18"/>
      <c r="D217" s="18"/>
      <c r="E217" s="18"/>
      <c r="F217" s="18"/>
      <c r="G217" s="18"/>
      <c r="H217" s="18"/>
      <c r="I217" s="18"/>
      <c r="J217" s="18"/>
      <c r="K217" s="18"/>
      <c r="L217" s="18"/>
      <c r="M217" s="18"/>
      <c r="N217" s="18"/>
      <c r="O217" s="1316"/>
      <c r="P217" s="18"/>
      <c r="Q217" s="18"/>
      <c r="R217" s="18"/>
      <c r="S217" s="18"/>
      <c r="T217" s="18"/>
      <c r="U217" s="18"/>
      <c r="V217" s="18"/>
      <c r="W217" s="18"/>
      <c r="X217" s="18"/>
      <c r="Y217" s="18"/>
      <c r="Z217" s="18"/>
      <c r="AA217" s="18"/>
      <c r="AB217" s="18"/>
      <c r="AC217" s="18"/>
      <c r="AD217" s="18"/>
      <c r="AE217" s="18"/>
      <c r="AF217" s="18"/>
      <c r="AG217" s="18"/>
    </row>
    <row r="218" spans="1:33" x14ac:dyDescent="0.2">
      <c r="A218" s="18"/>
      <c r="B218" s="18"/>
      <c r="C218" s="18"/>
      <c r="D218" s="18"/>
      <c r="E218" s="18"/>
      <c r="F218" s="18"/>
      <c r="G218" s="18"/>
      <c r="H218" s="18"/>
      <c r="I218" s="18"/>
      <c r="J218" s="18"/>
      <c r="K218" s="18"/>
      <c r="L218" s="18"/>
      <c r="M218" s="18"/>
      <c r="N218" s="18"/>
      <c r="O218" s="1316"/>
      <c r="P218" s="18"/>
      <c r="Q218" s="18"/>
      <c r="R218" s="18"/>
      <c r="S218" s="18"/>
      <c r="T218" s="18"/>
      <c r="U218" s="18"/>
      <c r="V218" s="18"/>
      <c r="W218" s="18"/>
      <c r="X218" s="18"/>
      <c r="Y218" s="18"/>
      <c r="Z218" s="18"/>
      <c r="AA218" s="18"/>
      <c r="AB218" s="18"/>
      <c r="AC218" s="18"/>
      <c r="AD218" s="18"/>
      <c r="AE218" s="18"/>
      <c r="AF218" s="18"/>
      <c r="AG218" s="18"/>
    </row>
    <row r="219" spans="1:33" x14ac:dyDescent="0.2">
      <c r="A219" s="18"/>
      <c r="B219" s="18"/>
      <c r="C219" s="18"/>
      <c r="D219" s="18"/>
      <c r="E219" s="18"/>
      <c r="F219" s="18"/>
      <c r="G219" s="18"/>
      <c r="H219" s="18"/>
      <c r="I219" s="18"/>
      <c r="J219" s="18"/>
      <c r="K219" s="18"/>
      <c r="L219" s="18"/>
      <c r="M219" s="18"/>
      <c r="N219" s="18"/>
      <c r="O219" s="1316"/>
      <c r="P219" s="18"/>
      <c r="Q219" s="18"/>
      <c r="R219" s="18"/>
      <c r="S219" s="18"/>
      <c r="T219" s="18"/>
      <c r="U219" s="18"/>
      <c r="V219" s="18"/>
      <c r="W219" s="18"/>
      <c r="X219" s="18"/>
      <c r="Y219" s="18"/>
      <c r="Z219" s="18"/>
      <c r="AA219" s="18"/>
      <c r="AB219" s="18"/>
      <c r="AC219" s="18"/>
      <c r="AD219" s="18"/>
      <c r="AE219" s="18"/>
      <c r="AF219" s="18"/>
      <c r="AG219" s="18"/>
    </row>
    <row r="220" spans="1:33" x14ac:dyDescent="0.2">
      <c r="A220" s="18"/>
      <c r="B220" s="18"/>
      <c r="C220" s="18"/>
      <c r="D220" s="18"/>
      <c r="E220" s="18"/>
      <c r="F220" s="18"/>
      <c r="G220" s="18"/>
      <c r="H220" s="18"/>
      <c r="I220" s="18"/>
      <c r="J220" s="18"/>
      <c r="K220" s="18"/>
      <c r="L220" s="18"/>
      <c r="M220" s="18"/>
      <c r="N220" s="18"/>
      <c r="O220" s="1316"/>
      <c r="P220" s="18"/>
      <c r="Q220" s="18"/>
      <c r="R220" s="18"/>
      <c r="S220" s="18"/>
      <c r="T220" s="18"/>
      <c r="U220" s="18"/>
      <c r="V220" s="18"/>
      <c r="W220" s="18"/>
      <c r="X220" s="18"/>
      <c r="Y220" s="18"/>
      <c r="Z220" s="18"/>
      <c r="AA220" s="18"/>
      <c r="AB220" s="18"/>
      <c r="AC220" s="18"/>
      <c r="AD220" s="18"/>
      <c r="AE220" s="18"/>
      <c r="AF220" s="18"/>
      <c r="AG220" s="18"/>
    </row>
    <row r="221" spans="1:33" x14ac:dyDescent="0.2">
      <c r="A221" s="18"/>
      <c r="B221" s="18"/>
      <c r="C221" s="18"/>
      <c r="D221" s="18"/>
      <c r="E221" s="18"/>
      <c r="F221" s="18"/>
      <c r="G221" s="18"/>
      <c r="H221" s="18"/>
      <c r="I221" s="18"/>
      <c r="J221" s="18"/>
      <c r="K221" s="18"/>
      <c r="L221" s="18"/>
      <c r="M221" s="18"/>
      <c r="N221" s="18"/>
      <c r="O221" s="1316"/>
      <c r="P221" s="18"/>
      <c r="Q221" s="18"/>
      <c r="R221" s="18"/>
      <c r="S221" s="18"/>
      <c r="T221" s="18"/>
      <c r="U221" s="18"/>
      <c r="V221" s="18"/>
      <c r="W221" s="18"/>
      <c r="X221" s="18"/>
      <c r="Y221" s="18"/>
      <c r="Z221" s="18"/>
      <c r="AA221" s="18"/>
      <c r="AB221" s="18"/>
      <c r="AC221" s="18"/>
      <c r="AD221" s="18"/>
      <c r="AE221" s="18"/>
      <c r="AF221" s="18"/>
      <c r="AG221" s="18"/>
    </row>
    <row r="222" spans="1:33" x14ac:dyDescent="0.2">
      <c r="A222" s="18"/>
      <c r="B222" s="18"/>
      <c r="C222" s="18"/>
      <c r="D222" s="18"/>
      <c r="E222" s="18"/>
      <c r="F222" s="18"/>
      <c r="G222" s="18"/>
      <c r="H222" s="18"/>
      <c r="I222" s="18"/>
      <c r="J222" s="18"/>
      <c r="K222" s="18"/>
      <c r="L222" s="18"/>
      <c r="M222" s="18"/>
      <c r="N222" s="18"/>
      <c r="O222" s="1316"/>
      <c r="P222" s="18"/>
      <c r="Q222" s="18"/>
      <c r="R222" s="18"/>
      <c r="S222" s="18"/>
      <c r="T222" s="18"/>
      <c r="U222" s="18"/>
      <c r="V222" s="18"/>
      <c r="W222" s="18"/>
      <c r="X222" s="18"/>
      <c r="Y222" s="18"/>
      <c r="Z222" s="18"/>
      <c r="AA222" s="18"/>
      <c r="AB222" s="18"/>
      <c r="AC222" s="18"/>
      <c r="AD222" s="18"/>
      <c r="AE222" s="18"/>
      <c r="AF222" s="18"/>
      <c r="AG222" s="18"/>
    </row>
    <row r="223" spans="1:33" x14ac:dyDescent="0.2">
      <c r="A223" s="18"/>
      <c r="B223" s="18"/>
      <c r="C223" s="18"/>
      <c r="D223" s="18"/>
      <c r="E223" s="18"/>
      <c r="F223" s="18"/>
      <c r="G223" s="18"/>
      <c r="H223" s="18"/>
      <c r="I223" s="18"/>
      <c r="J223" s="18"/>
      <c r="K223" s="18"/>
      <c r="L223" s="18"/>
      <c r="M223" s="18"/>
      <c r="N223" s="18"/>
      <c r="O223" s="1316"/>
      <c r="P223" s="18"/>
      <c r="Q223" s="18"/>
      <c r="R223" s="18"/>
      <c r="S223" s="18"/>
      <c r="T223" s="18"/>
      <c r="U223" s="18"/>
      <c r="V223" s="18"/>
      <c r="W223" s="18"/>
      <c r="X223" s="18"/>
      <c r="Y223" s="18"/>
      <c r="Z223" s="18"/>
      <c r="AA223" s="18"/>
      <c r="AB223" s="18"/>
      <c r="AC223" s="18"/>
      <c r="AD223" s="18"/>
      <c r="AE223" s="18"/>
      <c r="AF223" s="18"/>
      <c r="AG223" s="18"/>
    </row>
    <row r="224" spans="1:33" x14ac:dyDescent="0.2">
      <c r="A224" s="18"/>
      <c r="B224" s="18"/>
      <c r="C224" s="18"/>
      <c r="D224" s="18"/>
      <c r="E224" s="18"/>
      <c r="F224" s="18"/>
      <c r="G224" s="18"/>
      <c r="H224" s="18"/>
      <c r="I224" s="18"/>
      <c r="J224" s="18"/>
      <c r="K224" s="18"/>
      <c r="L224" s="18"/>
      <c r="M224" s="18"/>
      <c r="N224" s="18"/>
      <c r="O224" s="1316"/>
      <c r="P224" s="18"/>
      <c r="Q224" s="18"/>
      <c r="R224" s="18"/>
      <c r="S224" s="18"/>
      <c r="T224" s="18"/>
      <c r="U224" s="18"/>
      <c r="V224" s="18"/>
      <c r="W224" s="18"/>
      <c r="X224" s="18"/>
      <c r="Y224" s="18"/>
      <c r="Z224" s="18"/>
      <c r="AA224" s="18"/>
      <c r="AB224" s="18"/>
      <c r="AC224" s="18"/>
      <c r="AD224" s="18"/>
      <c r="AE224" s="18"/>
      <c r="AF224" s="18"/>
      <c r="AG224" s="18"/>
    </row>
    <row r="225" spans="1:33" x14ac:dyDescent="0.2">
      <c r="A225" s="18"/>
      <c r="B225" s="18"/>
      <c r="C225" s="18"/>
      <c r="D225" s="18"/>
      <c r="E225" s="18"/>
      <c r="F225" s="18"/>
      <c r="G225" s="18"/>
      <c r="H225" s="18"/>
      <c r="I225" s="18"/>
      <c r="J225" s="18"/>
      <c r="K225" s="18"/>
      <c r="L225" s="18"/>
      <c r="M225" s="18"/>
      <c r="N225" s="18"/>
      <c r="O225" s="1316"/>
      <c r="P225" s="18"/>
      <c r="Q225" s="18"/>
      <c r="R225" s="18"/>
      <c r="S225" s="18"/>
      <c r="T225" s="18"/>
      <c r="U225" s="18"/>
      <c r="V225" s="18"/>
      <c r="W225" s="18"/>
      <c r="X225" s="18"/>
      <c r="Y225" s="18"/>
      <c r="Z225" s="18"/>
      <c r="AA225" s="18"/>
      <c r="AB225" s="18"/>
      <c r="AC225" s="18"/>
      <c r="AD225" s="18"/>
      <c r="AE225" s="18"/>
      <c r="AF225" s="18"/>
      <c r="AG225" s="18"/>
    </row>
    <row r="226" spans="1:33" x14ac:dyDescent="0.2">
      <c r="A226" s="18"/>
      <c r="B226" s="18"/>
      <c r="C226" s="18"/>
      <c r="D226" s="18"/>
      <c r="E226" s="18"/>
      <c r="F226" s="18"/>
      <c r="G226" s="18"/>
      <c r="H226" s="18"/>
      <c r="I226" s="18"/>
      <c r="J226" s="18"/>
      <c r="K226" s="18"/>
      <c r="L226" s="18"/>
      <c r="M226" s="18"/>
      <c r="N226" s="18"/>
      <c r="O226" s="1316"/>
      <c r="P226" s="18"/>
      <c r="Q226" s="18"/>
      <c r="R226" s="18"/>
      <c r="S226" s="18"/>
      <c r="T226" s="18"/>
      <c r="U226" s="18"/>
      <c r="V226" s="18"/>
      <c r="W226" s="18"/>
      <c r="X226" s="18"/>
      <c r="Y226" s="18"/>
      <c r="Z226" s="18"/>
      <c r="AA226" s="18"/>
      <c r="AB226" s="18"/>
      <c r="AC226" s="18"/>
      <c r="AD226" s="18"/>
      <c r="AE226" s="18"/>
      <c r="AF226" s="18"/>
      <c r="AG226" s="18"/>
    </row>
    <row r="227" spans="1:33" x14ac:dyDescent="0.2">
      <c r="A227" s="18"/>
      <c r="B227" s="18"/>
      <c r="C227" s="18"/>
      <c r="D227" s="18"/>
      <c r="E227" s="18"/>
      <c r="F227" s="18"/>
      <c r="G227" s="18"/>
      <c r="H227" s="18"/>
      <c r="I227" s="18"/>
      <c r="J227" s="18"/>
      <c r="K227" s="18"/>
      <c r="L227" s="18"/>
      <c r="M227" s="18"/>
      <c r="N227" s="18"/>
      <c r="O227" s="1316"/>
      <c r="P227" s="18"/>
      <c r="Q227" s="18"/>
      <c r="R227" s="18"/>
      <c r="S227" s="18"/>
      <c r="T227" s="18"/>
      <c r="U227" s="18"/>
      <c r="V227" s="18"/>
      <c r="W227" s="18"/>
      <c r="X227" s="18"/>
      <c r="Y227" s="18"/>
      <c r="Z227" s="18"/>
      <c r="AA227" s="18"/>
      <c r="AB227" s="18"/>
      <c r="AC227" s="18"/>
      <c r="AD227" s="18"/>
      <c r="AE227" s="18"/>
      <c r="AF227" s="18"/>
      <c r="AG227" s="18"/>
    </row>
    <row r="228" spans="1:33" x14ac:dyDescent="0.2">
      <c r="A228" s="18"/>
      <c r="B228" s="18"/>
      <c r="C228" s="18"/>
      <c r="D228" s="18"/>
      <c r="E228" s="18"/>
      <c r="F228" s="18"/>
      <c r="G228" s="18"/>
      <c r="H228" s="18"/>
      <c r="I228" s="18"/>
      <c r="J228" s="18"/>
      <c r="K228" s="18"/>
      <c r="L228" s="18"/>
      <c r="M228" s="18"/>
      <c r="N228" s="18"/>
      <c r="O228" s="1316"/>
      <c r="P228" s="18"/>
      <c r="Q228" s="18"/>
      <c r="R228" s="18"/>
      <c r="S228" s="18"/>
      <c r="T228" s="18"/>
      <c r="U228" s="18"/>
      <c r="V228" s="18"/>
      <c r="W228" s="18"/>
      <c r="X228" s="18"/>
      <c r="Y228" s="18"/>
      <c r="Z228" s="18"/>
      <c r="AA228" s="18"/>
      <c r="AB228" s="18"/>
      <c r="AC228" s="18"/>
      <c r="AD228" s="18"/>
      <c r="AE228" s="18"/>
      <c r="AF228" s="18"/>
      <c r="AG228" s="18"/>
    </row>
    <row r="229" spans="1:33" x14ac:dyDescent="0.2">
      <c r="A229" s="18"/>
      <c r="B229" s="18"/>
      <c r="C229" s="18"/>
      <c r="D229" s="18"/>
      <c r="E229" s="18"/>
      <c r="F229" s="18"/>
      <c r="G229" s="18"/>
      <c r="H229" s="18"/>
      <c r="I229" s="18"/>
      <c r="J229" s="18"/>
      <c r="K229" s="18"/>
      <c r="L229" s="18"/>
      <c r="M229" s="18"/>
      <c r="N229" s="18"/>
      <c r="O229" s="1316"/>
      <c r="P229" s="18"/>
      <c r="Q229" s="18"/>
      <c r="R229" s="18"/>
      <c r="S229" s="18"/>
      <c r="T229" s="18"/>
      <c r="U229" s="18"/>
      <c r="V229" s="18"/>
      <c r="W229" s="18"/>
      <c r="X229" s="18"/>
      <c r="Y229" s="18"/>
      <c r="Z229" s="18"/>
      <c r="AA229" s="18"/>
      <c r="AB229" s="18"/>
      <c r="AC229" s="18"/>
      <c r="AD229" s="18"/>
      <c r="AE229" s="18"/>
      <c r="AF229" s="18"/>
      <c r="AG229" s="18"/>
    </row>
    <row r="230" spans="1:33" x14ac:dyDescent="0.2">
      <c r="A230" s="18"/>
      <c r="B230" s="18"/>
      <c r="C230" s="18"/>
      <c r="D230" s="18"/>
      <c r="E230" s="18"/>
      <c r="F230" s="18"/>
      <c r="G230" s="18"/>
      <c r="H230" s="18"/>
      <c r="I230" s="18"/>
      <c r="J230" s="18"/>
      <c r="K230" s="18"/>
      <c r="L230" s="18"/>
      <c r="M230" s="18"/>
      <c r="N230" s="18"/>
      <c r="O230" s="1316"/>
      <c r="P230" s="18"/>
      <c r="Q230" s="18"/>
      <c r="R230" s="18"/>
      <c r="S230" s="18"/>
      <c r="T230" s="18"/>
      <c r="U230" s="18"/>
      <c r="V230" s="18"/>
      <c r="W230" s="18"/>
      <c r="X230" s="18"/>
      <c r="Y230" s="18"/>
      <c r="Z230" s="18"/>
      <c r="AA230" s="18"/>
      <c r="AB230" s="18"/>
      <c r="AC230" s="18"/>
      <c r="AD230" s="18"/>
      <c r="AE230" s="18"/>
      <c r="AF230" s="18"/>
      <c r="AG230" s="18"/>
    </row>
    <row r="231" spans="1:33" x14ac:dyDescent="0.2">
      <c r="A231" s="18"/>
      <c r="B231" s="18"/>
      <c r="C231" s="18"/>
      <c r="D231" s="18"/>
      <c r="E231" s="18"/>
      <c r="F231" s="18"/>
      <c r="G231" s="18"/>
      <c r="H231" s="18"/>
      <c r="I231" s="18"/>
      <c r="J231" s="18"/>
      <c r="K231" s="18"/>
      <c r="L231" s="18"/>
      <c r="M231" s="18"/>
      <c r="N231" s="18"/>
      <c r="O231" s="1316"/>
      <c r="P231" s="18"/>
      <c r="Q231" s="18"/>
      <c r="R231" s="18"/>
      <c r="S231" s="18"/>
      <c r="T231" s="18"/>
      <c r="U231" s="18"/>
      <c r="V231" s="18"/>
      <c r="W231" s="18"/>
      <c r="X231" s="18"/>
      <c r="Y231" s="18"/>
      <c r="Z231" s="18"/>
      <c r="AA231" s="18"/>
      <c r="AB231" s="18"/>
      <c r="AC231" s="18"/>
      <c r="AD231" s="18"/>
      <c r="AE231" s="18"/>
      <c r="AF231" s="18"/>
      <c r="AG231" s="18"/>
    </row>
    <row r="232" spans="1:33" x14ac:dyDescent="0.2">
      <c r="A232" s="18"/>
      <c r="B232" s="18"/>
      <c r="C232" s="18"/>
      <c r="D232" s="18"/>
      <c r="E232" s="18"/>
      <c r="F232" s="18"/>
      <c r="G232" s="18"/>
      <c r="H232" s="18"/>
      <c r="I232" s="18"/>
      <c r="J232" s="18"/>
      <c r="K232" s="18"/>
      <c r="L232" s="18"/>
      <c r="M232" s="18"/>
      <c r="N232" s="18"/>
      <c r="O232" s="1316"/>
      <c r="P232" s="18"/>
      <c r="Q232" s="18"/>
      <c r="R232" s="18"/>
      <c r="S232" s="18"/>
      <c r="T232" s="18"/>
      <c r="U232" s="18"/>
      <c r="V232" s="18"/>
      <c r="W232" s="18"/>
      <c r="X232" s="18"/>
      <c r="Y232" s="18"/>
      <c r="Z232" s="18"/>
      <c r="AA232" s="18"/>
      <c r="AB232" s="18"/>
      <c r="AC232" s="18"/>
      <c r="AD232" s="18"/>
      <c r="AE232" s="18"/>
      <c r="AF232" s="18"/>
      <c r="AG232" s="18"/>
    </row>
    <row r="233" spans="1:33" x14ac:dyDescent="0.2">
      <c r="A233" s="18"/>
      <c r="B233" s="18"/>
      <c r="C233" s="18"/>
      <c r="D233" s="18"/>
      <c r="E233" s="18"/>
      <c r="F233" s="18"/>
      <c r="G233" s="18"/>
      <c r="H233" s="18"/>
      <c r="I233" s="18"/>
      <c r="J233" s="18"/>
      <c r="K233" s="18"/>
      <c r="L233" s="18"/>
      <c r="M233" s="18"/>
      <c r="N233" s="18"/>
      <c r="O233" s="1316"/>
      <c r="P233" s="18"/>
      <c r="Q233" s="18"/>
      <c r="R233" s="18"/>
      <c r="S233" s="18"/>
      <c r="T233" s="18"/>
      <c r="U233" s="18"/>
      <c r="V233" s="18"/>
      <c r="W233" s="18"/>
      <c r="X233" s="18"/>
      <c r="Y233" s="18"/>
      <c r="Z233" s="18"/>
      <c r="AA233" s="18"/>
      <c r="AB233" s="18"/>
      <c r="AC233" s="18"/>
      <c r="AD233" s="18"/>
      <c r="AE233" s="18"/>
      <c r="AF233" s="18"/>
      <c r="AG233" s="18"/>
    </row>
    <row r="234" spans="1:33" x14ac:dyDescent="0.2">
      <c r="A234" s="18"/>
      <c r="B234" s="18"/>
      <c r="C234" s="18"/>
      <c r="D234" s="18"/>
      <c r="E234" s="18"/>
      <c r="F234" s="18"/>
      <c r="G234" s="18"/>
      <c r="H234" s="18"/>
      <c r="I234" s="18"/>
      <c r="J234" s="18"/>
      <c r="K234" s="18"/>
      <c r="L234" s="18"/>
      <c r="M234" s="18"/>
      <c r="N234" s="18"/>
      <c r="O234" s="1316"/>
      <c r="P234" s="18"/>
      <c r="Q234" s="18"/>
      <c r="R234" s="18"/>
      <c r="S234" s="18"/>
      <c r="T234" s="18"/>
      <c r="U234" s="18"/>
      <c r="V234" s="18"/>
      <c r="W234" s="18"/>
      <c r="X234" s="18"/>
      <c r="Y234" s="18"/>
      <c r="Z234" s="18"/>
      <c r="AA234" s="18"/>
      <c r="AB234" s="18"/>
      <c r="AC234" s="18"/>
      <c r="AD234" s="18"/>
      <c r="AE234" s="18"/>
      <c r="AF234" s="18"/>
      <c r="AG234" s="18"/>
    </row>
    <row r="235" spans="1:33" x14ac:dyDescent="0.2">
      <c r="A235" s="18"/>
      <c r="B235" s="18"/>
      <c r="C235" s="18"/>
      <c r="D235" s="18"/>
      <c r="E235" s="18"/>
      <c r="F235" s="18"/>
      <c r="G235" s="18"/>
      <c r="H235" s="18"/>
      <c r="I235" s="18"/>
      <c r="J235" s="18"/>
      <c r="K235" s="18"/>
      <c r="L235" s="18"/>
      <c r="M235" s="18"/>
      <c r="N235" s="18"/>
      <c r="O235" s="1316"/>
      <c r="P235" s="18"/>
      <c r="Q235" s="18"/>
      <c r="R235" s="18"/>
      <c r="S235" s="18"/>
      <c r="T235" s="18"/>
      <c r="U235" s="18"/>
      <c r="V235" s="18"/>
      <c r="W235" s="18"/>
      <c r="X235" s="18"/>
      <c r="Y235" s="18"/>
      <c r="Z235" s="18"/>
      <c r="AA235" s="18"/>
      <c r="AB235" s="18"/>
      <c r="AC235" s="18"/>
      <c r="AD235" s="18"/>
      <c r="AE235" s="18"/>
      <c r="AF235" s="18"/>
      <c r="AG235" s="18"/>
    </row>
    <row r="236" spans="1:33" x14ac:dyDescent="0.2">
      <c r="A236" s="18"/>
      <c r="B236" s="18"/>
      <c r="C236" s="18"/>
      <c r="D236" s="18"/>
      <c r="E236" s="18"/>
      <c r="F236" s="18"/>
      <c r="G236" s="18"/>
      <c r="H236" s="18"/>
      <c r="I236" s="18"/>
      <c r="J236" s="18"/>
      <c r="K236" s="18"/>
      <c r="L236" s="18"/>
      <c r="M236" s="18"/>
      <c r="N236" s="18"/>
      <c r="O236" s="1316"/>
      <c r="P236" s="18"/>
      <c r="Q236" s="18"/>
      <c r="R236" s="18"/>
      <c r="S236" s="18"/>
      <c r="T236" s="18"/>
      <c r="U236" s="18"/>
      <c r="V236" s="18"/>
      <c r="W236" s="18"/>
      <c r="X236" s="18"/>
      <c r="Y236" s="18"/>
      <c r="Z236" s="18"/>
      <c r="AA236" s="18"/>
      <c r="AB236" s="18"/>
      <c r="AC236" s="18"/>
      <c r="AD236" s="18"/>
      <c r="AE236" s="18"/>
      <c r="AF236" s="18"/>
      <c r="AG236" s="18"/>
    </row>
    <row r="237" spans="1:33" x14ac:dyDescent="0.2">
      <c r="A237" s="18"/>
      <c r="B237" s="18"/>
      <c r="C237" s="18"/>
      <c r="D237" s="18"/>
      <c r="E237" s="18"/>
      <c r="F237" s="18"/>
      <c r="G237" s="18"/>
      <c r="H237" s="18"/>
      <c r="I237" s="18"/>
      <c r="J237" s="18"/>
      <c r="K237" s="18"/>
      <c r="L237" s="18"/>
      <c r="M237" s="18"/>
      <c r="N237" s="18"/>
      <c r="O237" s="1316"/>
      <c r="P237" s="18"/>
      <c r="Q237" s="18"/>
      <c r="R237" s="18"/>
      <c r="S237" s="18"/>
      <c r="T237" s="18"/>
      <c r="U237" s="18"/>
      <c r="V237" s="18"/>
      <c r="W237" s="18"/>
      <c r="X237" s="18"/>
      <c r="Y237" s="18"/>
      <c r="Z237" s="18"/>
      <c r="AA237" s="18"/>
      <c r="AB237" s="18"/>
      <c r="AC237" s="18"/>
      <c r="AD237" s="18"/>
      <c r="AE237" s="18"/>
      <c r="AF237" s="18"/>
      <c r="AG237" s="18"/>
    </row>
    <row r="238" spans="1:33" x14ac:dyDescent="0.2">
      <c r="A238" s="18"/>
      <c r="B238" s="18"/>
      <c r="C238" s="18"/>
      <c r="D238" s="18"/>
      <c r="E238" s="18"/>
      <c r="F238" s="18"/>
      <c r="G238" s="18"/>
      <c r="H238" s="18"/>
      <c r="I238" s="18"/>
      <c r="J238" s="18"/>
      <c r="K238" s="18"/>
      <c r="L238" s="18"/>
      <c r="M238" s="18"/>
      <c r="N238" s="18"/>
      <c r="O238" s="1316"/>
      <c r="P238" s="18"/>
      <c r="Q238" s="18"/>
      <c r="R238" s="18"/>
      <c r="S238" s="18"/>
      <c r="T238" s="18"/>
      <c r="U238" s="18"/>
      <c r="V238" s="18"/>
      <c r="W238" s="18"/>
      <c r="X238" s="18"/>
      <c r="Y238" s="18"/>
      <c r="Z238" s="18"/>
      <c r="AA238" s="18"/>
      <c r="AB238" s="18"/>
      <c r="AC238" s="18"/>
      <c r="AD238" s="18"/>
      <c r="AE238" s="18"/>
      <c r="AF238" s="18"/>
      <c r="AG238" s="18"/>
    </row>
    <row r="239" spans="1:33" x14ac:dyDescent="0.2">
      <c r="A239" s="18"/>
      <c r="B239" s="18"/>
      <c r="C239" s="18"/>
      <c r="D239" s="18"/>
      <c r="E239" s="18"/>
      <c r="F239" s="18"/>
      <c r="G239" s="18"/>
      <c r="H239" s="18"/>
      <c r="I239" s="18"/>
      <c r="J239" s="18"/>
      <c r="K239" s="18"/>
      <c r="L239" s="18"/>
      <c r="M239" s="18"/>
      <c r="N239" s="18"/>
      <c r="O239" s="1316"/>
      <c r="P239" s="18"/>
      <c r="Q239" s="18"/>
      <c r="R239" s="18"/>
      <c r="S239" s="18"/>
      <c r="T239" s="18"/>
      <c r="U239" s="18"/>
      <c r="V239" s="18"/>
      <c r="W239" s="18"/>
      <c r="X239" s="18"/>
      <c r="Y239" s="18"/>
      <c r="Z239" s="18"/>
      <c r="AA239" s="18"/>
      <c r="AB239" s="18"/>
      <c r="AC239" s="18"/>
      <c r="AD239" s="18"/>
      <c r="AE239" s="18"/>
      <c r="AF239" s="18"/>
      <c r="AG239" s="18"/>
    </row>
    <row r="240" spans="1:33" x14ac:dyDescent="0.2">
      <c r="A240" s="18"/>
      <c r="B240" s="18"/>
      <c r="C240" s="18"/>
      <c r="D240" s="18"/>
      <c r="E240" s="18"/>
      <c r="F240" s="18"/>
      <c r="G240" s="18"/>
      <c r="H240" s="18"/>
      <c r="I240" s="18"/>
      <c r="J240" s="18"/>
      <c r="K240" s="18"/>
      <c r="L240" s="18"/>
      <c r="M240" s="18"/>
      <c r="N240" s="18"/>
      <c r="O240" s="1316"/>
      <c r="P240" s="18"/>
      <c r="Q240" s="18"/>
      <c r="R240" s="18"/>
      <c r="S240" s="18"/>
      <c r="T240" s="18"/>
      <c r="U240" s="18"/>
      <c r="V240" s="18"/>
      <c r="W240" s="18"/>
      <c r="X240" s="18"/>
      <c r="Y240" s="18"/>
      <c r="Z240" s="18"/>
      <c r="AA240" s="18"/>
      <c r="AB240" s="18"/>
      <c r="AC240" s="18"/>
      <c r="AD240" s="18"/>
      <c r="AE240" s="18"/>
      <c r="AF240" s="18"/>
      <c r="AG240" s="18"/>
    </row>
    <row r="241" spans="1:33" x14ac:dyDescent="0.2">
      <c r="A241" s="18"/>
      <c r="B241" s="18"/>
      <c r="C241" s="18"/>
      <c r="D241" s="18"/>
      <c r="E241" s="18"/>
      <c r="F241" s="18"/>
      <c r="G241" s="18"/>
      <c r="H241" s="18"/>
      <c r="I241" s="18"/>
      <c r="J241" s="18"/>
      <c r="K241" s="18"/>
      <c r="L241" s="18"/>
      <c r="M241" s="18"/>
      <c r="N241" s="18"/>
      <c r="O241" s="1316"/>
      <c r="P241" s="18"/>
      <c r="Q241" s="18"/>
      <c r="R241" s="18"/>
      <c r="S241" s="18"/>
      <c r="T241" s="18"/>
      <c r="U241" s="18"/>
      <c r="V241" s="18"/>
      <c r="W241" s="18"/>
      <c r="X241" s="18"/>
      <c r="Y241" s="18"/>
      <c r="Z241" s="18"/>
      <c r="AA241" s="18"/>
      <c r="AB241" s="18"/>
      <c r="AC241" s="18"/>
      <c r="AD241" s="18"/>
      <c r="AE241" s="18"/>
      <c r="AF241" s="18"/>
      <c r="AG241" s="18"/>
    </row>
    <row r="242" spans="1:33" x14ac:dyDescent="0.2">
      <c r="A242" s="18"/>
      <c r="B242" s="18"/>
      <c r="C242" s="18"/>
      <c r="D242" s="18"/>
      <c r="E242" s="18"/>
      <c r="F242" s="18"/>
      <c r="G242" s="18"/>
      <c r="H242" s="18"/>
      <c r="I242" s="18"/>
      <c r="J242" s="18"/>
      <c r="K242" s="18"/>
      <c r="L242" s="18"/>
      <c r="M242" s="18"/>
      <c r="N242" s="18"/>
      <c r="O242" s="1316"/>
      <c r="P242" s="18"/>
      <c r="Q242" s="18"/>
      <c r="R242" s="18"/>
      <c r="S242" s="18"/>
      <c r="T242" s="18"/>
      <c r="U242" s="18"/>
      <c r="V242" s="18"/>
      <c r="W242" s="18"/>
      <c r="X242" s="18"/>
      <c r="Y242" s="18"/>
      <c r="Z242" s="18"/>
      <c r="AA242" s="18"/>
      <c r="AB242" s="18"/>
      <c r="AC242" s="18"/>
      <c r="AD242" s="18"/>
      <c r="AE242" s="18"/>
      <c r="AF242" s="18"/>
      <c r="AG242" s="18"/>
    </row>
    <row r="243" spans="1:33" x14ac:dyDescent="0.2">
      <c r="A243" s="18"/>
      <c r="B243" s="18"/>
      <c r="C243" s="18"/>
      <c r="D243" s="18"/>
      <c r="E243" s="18"/>
      <c r="F243" s="18"/>
      <c r="G243" s="18"/>
      <c r="H243" s="18"/>
      <c r="I243" s="18"/>
      <c r="J243" s="18"/>
      <c r="K243" s="18"/>
      <c r="L243" s="18"/>
      <c r="M243" s="18"/>
      <c r="N243" s="18"/>
      <c r="O243" s="1316"/>
      <c r="P243" s="18"/>
      <c r="Q243" s="18"/>
      <c r="R243" s="18"/>
      <c r="S243" s="18"/>
      <c r="T243" s="18"/>
      <c r="U243" s="18"/>
      <c r="V243" s="18"/>
      <c r="W243" s="18"/>
      <c r="X243" s="18"/>
      <c r="Y243" s="18"/>
      <c r="Z243" s="18"/>
      <c r="AA243" s="18"/>
      <c r="AB243" s="18"/>
      <c r="AC243" s="18"/>
      <c r="AD243" s="18"/>
      <c r="AE243" s="18"/>
      <c r="AF243" s="18"/>
      <c r="AG243" s="18"/>
    </row>
    <row r="244" spans="1:33" x14ac:dyDescent="0.2">
      <c r="A244" s="18"/>
      <c r="B244" s="18"/>
      <c r="C244" s="18"/>
      <c r="D244" s="18"/>
      <c r="E244" s="18"/>
      <c r="F244" s="18"/>
      <c r="G244" s="18"/>
      <c r="H244" s="18"/>
      <c r="I244" s="18"/>
      <c r="J244" s="18"/>
      <c r="K244" s="18"/>
      <c r="L244" s="18"/>
      <c r="M244" s="18"/>
      <c r="N244" s="18"/>
      <c r="O244" s="1316"/>
      <c r="P244" s="18"/>
      <c r="Q244" s="18"/>
      <c r="R244" s="18"/>
      <c r="S244" s="18"/>
      <c r="T244" s="18"/>
      <c r="U244" s="18"/>
      <c r="V244" s="18"/>
      <c r="W244" s="18"/>
      <c r="X244" s="18"/>
      <c r="Y244" s="18"/>
      <c r="Z244" s="18"/>
      <c r="AA244" s="18"/>
      <c r="AB244" s="18"/>
      <c r="AC244" s="18"/>
      <c r="AD244" s="18"/>
      <c r="AE244" s="18"/>
      <c r="AF244" s="18"/>
      <c r="AG244" s="18"/>
    </row>
    <row r="245" spans="1:33" x14ac:dyDescent="0.2">
      <c r="A245" s="18"/>
      <c r="B245" s="18"/>
      <c r="C245" s="18"/>
      <c r="D245" s="18"/>
      <c r="E245" s="18"/>
      <c r="F245" s="18"/>
      <c r="G245" s="18"/>
      <c r="H245" s="18"/>
      <c r="I245" s="18"/>
      <c r="J245" s="18"/>
      <c r="K245" s="18"/>
      <c r="L245" s="18"/>
      <c r="M245" s="18"/>
      <c r="N245" s="18"/>
      <c r="O245" s="1316"/>
      <c r="P245" s="18"/>
      <c r="Q245" s="18"/>
      <c r="R245" s="18"/>
      <c r="S245" s="18"/>
      <c r="T245" s="18"/>
      <c r="U245" s="18"/>
      <c r="V245" s="18"/>
      <c r="W245" s="18"/>
      <c r="X245" s="18"/>
      <c r="Y245" s="18"/>
      <c r="Z245" s="18"/>
      <c r="AA245" s="18"/>
      <c r="AB245" s="18"/>
      <c r="AC245" s="18"/>
      <c r="AD245" s="18"/>
      <c r="AE245" s="18"/>
      <c r="AF245" s="18"/>
      <c r="AG245" s="18"/>
    </row>
    <row r="246" spans="1:33" x14ac:dyDescent="0.2">
      <c r="A246" s="18"/>
      <c r="B246" s="18"/>
      <c r="C246" s="18"/>
      <c r="D246" s="18"/>
      <c r="E246" s="18"/>
      <c r="F246" s="18"/>
      <c r="G246" s="18"/>
      <c r="H246" s="18"/>
      <c r="I246" s="18"/>
      <c r="J246" s="18"/>
      <c r="K246" s="18"/>
      <c r="L246" s="18"/>
      <c r="M246" s="18"/>
      <c r="N246" s="18"/>
      <c r="O246" s="1316"/>
      <c r="P246" s="18"/>
      <c r="Q246" s="18"/>
      <c r="R246" s="18"/>
      <c r="S246" s="18"/>
      <c r="T246" s="18"/>
      <c r="U246" s="18"/>
      <c r="V246" s="18"/>
      <c r="W246" s="18"/>
      <c r="X246" s="18"/>
      <c r="Y246" s="18"/>
      <c r="Z246" s="18"/>
      <c r="AA246" s="18"/>
      <c r="AB246" s="18"/>
      <c r="AC246" s="18"/>
      <c r="AD246" s="18"/>
      <c r="AE246" s="18"/>
      <c r="AF246" s="18"/>
      <c r="AG246" s="18"/>
    </row>
    <row r="247" spans="1:33" x14ac:dyDescent="0.2">
      <c r="A247" s="18"/>
      <c r="B247" s="18"/>
      <c r="C247" s="18"/>
      <c r="D247" s="18"/>
      <c r="E247" s="18"/>
      <c r="F247" s="18"/>
      <c r="G247" s="18"/>
      <c r="H247" s="18"/>
      <c r="I247" s="18"/>
      <c r="J247" s="18"/>
      <c r="K247" s="18"/>
      <c r="L247" s="18"/>
      <c r="M247" s="18"/>
      <c r="N247" s="18"/>
      <c r="O247" s="1316"/>
      <c r="P247" s="18"/>
      <c r="Q247" s="18"/>
      <c r="R247" s="18"/>
      <c r="S247" s="18"/>
      <c r="T247" s="18"/>
      <c r="U247" s="18"/>
      <c r="V247" s="18"/>
      <c r="W247" s="18"/>
      <c r="X247" s="18"/>
      <c r="Y247" s="18"/>
      <c r="Z247" s="18"/>
      <c r="AA247" s="18"/>
      <c r="AB247" s="18"/>
      <c r="AC247" s="18"/>
      <c r="AD247" s="18"/>
      <c r="AE247" s="18"/>
      <c r="AF247" s="18"/>
      <c r="AG247" s="18"/>
    </row>
    <row r="248" spans="1:33" x14ac:dyDescent="0.2">
      <c r="A248" s="18"/>
      <c r="B248" s="18"/>
      <c r="C248" s="18"/>
      <c r="D248" s="18"/>
      <c r="E248" s="18"/>
      <c r="F248" s="18"/>
      <c r="G248" s="18"/>
      <c r="H248" s="18"/>
      <c r="I248" s="18"/>
      <c r="J248" s="18"/>
      <c r="K248" s="18"/>
      <c r="L248" s="18"/>
      <c r="M248" s="18"/>
      <c r="N248" s="18"/>
      <c r="O248" s="1316"/>
      <c r="P248" s="18"/>
      <c r="Q248" s="18"/>
      <c r="R248" s="18"/>
      <c r="S248" s="18"/>
      <c r="T248" s="18"/>
      <c r="U248" s="18"/>
      <c r="V248" s="18"/>
      <c r="W248" s="18"/>
      <c r="X248" s="18"/>
      <c r="Y248" s="18"/>
      <c r="Z248" s="18"/>
      <c r="AA248" s="18"/>
      <c r="AB248" s="18"/>
      <c r="AC248" s="18"/>
      <c r="AD248" s="18"/>
      <c r="AE248" s="18"/>
      <c r="AF248" s="18"/>
      <c r="AG248" s="18"/>
    </row>
    <row r="249" spans="1:33" x14ac:dyDescent="0.2">
      <c r="A249" s="18"/>
      <c r="B249" s="18"/>
      <c r="C249" s="18"/>
      <c r="D249" s="18"/>
      <c r="E249" s="18"/>
      <c r="F249" s="18"/>
      <c r="G249" s="18"/>
      <c r="H249" s="18"/>
      <c r="I249" s="18"/>
      <c r="J249" s="18"/>
      <c r="K249" s="18"/>
      <c r="L249" s="18"/>
      <c r="M249" s="18"/>
      <c r="N249" s="18"/>
      <c r="O249" s="1316"/>
      <c r="P249" s="18"/>
      <c r="Q249" s="18"/>
      <c r="R249" s="18"/>
      <c r="S249" s="18"/>
      <c r="T249" s="18"/>
      <c r="U249" s="18"/>
      <c r="V249" s="18"/>
      <c r="W249" s="18"/>
      <c r="X249" s="18"/>
      <c r="Y249" s="18"/>
      <c r="Z249" s="18"/>
      <c r="AA249" s="18"/>
      <c r="AB249" s="18"/>
      <c r="AC249" s="18"/>
      <c r="AD249" s="18"/>
      <c r="AE249" s="18"/>
      <c r="AF249" s="18"/>
      <c r="AG249" s="18"/>
    </row>
    <row r="250" spans="1:33" x14ac:dyDescent="0.2">
      <c r="A250" s="18"/>
      <c r="B250" s="18"/>
      <c r="C250" s="18"/>
      <c r="D250" s="18"/>
      <c r="E250" s="18"/>
      <c r="F250" s="18"/>
      <c r="G250" s="18"/>
      <c r="H250" s="18"/>
      <c r="I250" s="18"/>
      <c r="J250" s="18"/>
      <c r="K250" s="18"/>
      <c r="L250" s="18"/>
      <c r="M250" s="18"/>
      <c r="N250" s="18"/>
      <c r="O250" s="1316"/>
      <c r="P250" s="18"/>
      <c r="Q250" s="18"/>
      <c r="R250" s="18"/>
      <c r="S250" s="18"/>
      <c r="T250" s="18"/>
      <c r="U250" s="18"/>
      <c r="V250" s="18"/>
      <c r="W250" s="18"/>
      <c r="X250" s="18"/>
      <c r="Y250" s="18"/>
      <c r="Z250" s="18"/>
      <c r="AA250" s="18"/>
      <c r="AB250" s="18"/>
      <c r="AC250" s="18"/>
      <c r="AD250" s="18"/>
      <c r="AE250" s="18"/>
      <c r="AF250" s="18"/>
      <c r="AG250" s="18"/>
    </row>
    <row r="251" spans="1:33" x14ac:dyDescent="0.2">
      <c r="A251" s="18"/>
      <c r="B251" s="18"/>
      <c r="C251" s="18"/>
      <c r="D251" s="18"/>
      <c r="E251" s="18"/>
      <c r="F251" s="18"/>
      <c r="G251" s="18"/>
      <c r="H251" s="18"/>
      <c r="I251" s="18"/>
      <c r="J251" s="18"/>
      <c r="K251" s="18"/>
      <c r="L251" s="18"/>
      <c r="M251" s="18"/>
      <c r="N251" s="18"/>
      <c r="O251" s="1316"/>
      <c r="P251" s="18"/>
      <c r="Q251" s="18"/>
      <c r="R251" s="18"/>
      <c r="S251" s="18"/>
      <c r="T251" s="18"/>
      <c r="U251" s="18"/>
      <c r="V251" s="18"/>
      <c r="W251" s="18"/>
      <c r="X251" s="18"/>
      <c r="Y251" s="18"/>
      <c r="Z251" s="18"/>
      <c r="AA251" s="18"/>
      <c r="AB251" s="18"/>
      <c r="AC251" s="18"/>
      <c r="AD251" s="18"/>
      <c r="AE251" s="18"/>
      <c r="AF251" s="18"/>
      <c r="AG251" s="18"/>
    </row>
    <row r="252" spans="1:33" x14ac:dyDescent="0.2">
      <c r="A252" s="18"/>
      <c r="B252" s="18"/>
      <c r="C252" s="18"/>
      <c r="D252" s="18"/>
      <c r="E252" s="18"/>
      <c r="F252" s="18"/>
      <c r="G252" s="18"/>
      <c r="H252" s="18"/>
      <c r="I252" s="18"/>
      <c r="J252" s="18"/>
      <c r="K252" s="18"/>
      <c r="L252" s="18"/>
      <c r="M252" s="18"/>
      <c r="N252" s="18"/>
      <c r="O252" s="1316"/>
      <c r="P252" s="18"/>
      <c r="Q252" s="18"/>
      <c r="R252" s="18"/>
      <c r="S252" s="18"/>
      <c r="T252" s="18"/>
      <c r="U252" s="18"/>
      <c r="V252" s="18"/>
      <c r="W252" s="18"/>
      <c r="X252" s="18"/>
      <c r="Y252" s="18"/>
      <c r="Z252" s="18"/>
      <c r="AA252" s="18"/>
      <c r="AB252" s="18"/>
      <c r="AC252" s="18"/>
      <c r="AD252" s="18"/>
      <c r="AE252" s="18"/>
      <c r="AF252" s="18"/>
      <c r="AG252" s="18"/>
    </row>
    <row r="253" spans="1:33" x14ac:dyDescent="0.2">
      <c r="A253" s="18"/>
      <c r="B253" s="18"/>
      <c r="C253" s="18"/>
      <c r="D253" s="18"/>
      <c r="E253" s="18"/>
      <c r="F253" s="18"/>
      <c r="G253" s="18"/>
      <c r="H253" s="18"/>
      <c r="I253" s="18"/>
      <c r="J253" s="18"/>
      <c r="K253" s="18"/>
      <c r="L253" s="18"/>
      <c r="M253" s="18"/>
      <c r="N253" s="18"/>
      <c r="O253" s="1316"/>
      <c r="P253" s="18"/>
      <c r="Q253" s="18"/>
      <c r="R253" s="18"/>
      <c r="S253" s="18"/>
      <c r="T253" s="18"/>
      <c r="U253" s="18"/>
      <c r="V253" s="18"/>
      <c r="W253" s="18"/>
      <c r="X253" s="18"/>
      <c r="Y253" s="18"/>
      <c r="Z253" s="18"/>
      <c r="AA253" s="18"/>
      <c r="AB253" s="18"/>
      <c r="AC253" s="18"/>
      <c r="AD253" s="18"/>
      <c r="AE253" s="18"/>
      <c r="AF253" s="18"/>
      <c r="AG253" s="18"/>
    </row>
    <row r="254" spans="1:33" x14ac:dyDescent="0.2">
      <c r="A254" s="18"/>
      <c r="B254" s="18"/>
      <c r="C254" s="18"/>
      <c r="D254" s="18"/>
      <c r="E254" s="18"/>
      <c r="F254" s="18"/>
      <c r="G254" s="18"/>
      <c r="H254" s="18"/>
      <c r="I254" s="18"/>
      <c r="J254" s="18"/>
      <c r="K254" s="18"/>
      <c r="L254" s="18"/>
      <c r="M254" s="18"/>
      <c r="N254" s="18"/>
      <c r="O254" s="1316"/>
      <c r="P254" s="18"/>
      <c r="Q254" s="18"/>
      <c r="R254" s="18"/>
      <c r="S254" s="18"/>
      <c r="T254" s="18"/>
      <c r="U254" s="18"/>
      <c r="V254" s="18"/>
      <c r="W254" s="18"/>
      <c r="X254" s="18"/>
      <c r="Y254" s="18"/>
      <c r="Z254" s="18"/>
      <c r="AA254" s="18"/>
      <c r="AB254" s="18"/>
      <c r="AC254" s="18"/>
      <c r="AD254" s="18"/>
      <c r="AE254" s="18"/>
      <c r="AF254" s="18"/>
      <c r="AG254" s="18"/>
    </row>
    <row r="255" spans="1:33" x14ac:dyDescent="0.2">
      <c r="A255" s="18"/>
      <c r="B255" s="18"/>
      <c r="C255" s="18"/>
      <c r="D255" s="18"/>
      <c r="E255" s="18"/>
      <c r="F255" s="18"/>
      <c r="G255" s="18"/>
      <c r="H255" s="18"/>
      <c r="I255" s="18"/>
      <c r="J255" s="18"/>
      <c r="K255" s="18"/>
      <c r="L255" s="18"/>
      <c r="M255" s="18"/>
      <c r="N255" s="18"/>
      <c r="O255" s="1316"/>
      <c r="P255" s="18"/>
      <c r="Q255" s="18"/>
      <c r="R255" s="18"/>
      <c r="S255" s="18"/>
      <c r="T255" s="18"/>
      <c r="U255" s="18"/>
      <c r="V255" s="18"/>
      <c r="W255" s="18"/>
      <c r="X255" s="18"/>
      <c r="Y255" s="18"/>
      <c r="Z255" s="18"/>
      <c r="AA255" s="18"/>
      <c r="AB255" s="18"/>
      <c r="AC255" s="18"/>
      <c r="AD255" s="18"/>
      <c r="AE255" s="18"/>
      <c r="AF255" s="18"/>
      <c r="AG255" s="18"/>
    </row>
    <row r="256" spans="1:33" x14ac:dyDescent="0.2">
      <c r="A256" s="18"/>
      <c r="B256" s="18"/>
      <c r="C256" s="18"/>
      <c r="D256" s="18"/>
      <c r="E256" s="18"/>
      <c r="F256" s="18"/>
      <c r="G256" s="18"/>
      <c r="H256" s="18"/>
      <c r="I256" s="18"/>
      <c r="J256" s="18"/>
      <c r="K256" s="18"/>
      <c r="L256" s="18"/>
      <c r="M256" s="18"/>
      <c r="N256" s="18"/>
      <c r="O256" s="1316"/>
      <c r="P256" s="18"/>
      <c r="Q256" s="18"/>
      <c r="R256" s="18"/>
      <c r="S256" s="18"/>
      <c r="T256" s="18"/>
      <c r="U256" s="18"/>
      <c r="V256" s="18"/>
      <c r="W256" s="18"/>
      <c r="X256" s="18"/>
      <c r="Y256" s="18"/>
      <c r="Z256" s="18"/>
      <c r="AA256" s="18"/>
      <c r="AB256" s="18"/>
      <c r="AC256" s="18"/>
      <c r="AD256" s="18"/>
      <c r="AE256" s="18"/>
      <c r="AF256" s="18"/>
      <c r="AG256" s="18"/>
    </row>
    <row r="257" spans="1:33" x14ac:dyDescent="0.2">
      <c r="A257" s="18"/>
      <c r="B257" s="18"/>
      <c r="C257" s="18"/>
      <c r="D257" s="18"/>
      <c r="E257" s="18"/>
      <c r="F257" s="18"/>
      <c r="G257" s="18"/>
      <c r="H257" s="18"/>
      <c r="I257" s="18"/>
      <c r="J257" s="18"/>
      <c r="K257" s="18"/>
      <c r="L257" s="18"/>
      <c r="M257" s="18"/>
      <c r="N257" s="18"/>
      <c r="O257" s="1316"/>
      <c r="P257" s="18"/>
      <c r="Q257" s="18"/>
      <c r="R257" s="18"/>
      <c r="S257" s="18"/>
      <c r="T257" s="18"/>
      <c r="U257" s="18"/>
      <c r="V257" s="18"/>
      <c r="W257" s="18"/>
      <c r="X257" s="18"/>
      <c r="Y257" s="18"/>
      <c r="Z257" s="18"/>
      <c r="AA257" s="18"/>
      <c r="AB257" s="18"/>
      <c r="AC257" s="18"/>
      <c r="AD257" s="18"/>
      <c r="AE257" s="18"/>
      <c r="AF257" s="18"/>
      <c r="AG257" s="18"/>
    </row>
    <row r="258" spans="1:33" x14ac:dyDescent="0.2">
      <c r="A258" s="18"/>
      <c r="B258" s="18"/>
      <c r="C258" s="18"/>
      <c r="D258" s="18"/>
      <c r="E258" s="18"/>
      <c r="F258" s="18"/>
      <c r="G258" s="18"/>
      <c r="H258" s="18"/>
      <c r="I258" s="18"/>
      <c r="J258" s="18"/>
      <c r="K258" s="18"/>
      <c r="L258" s="18"/>
      <c r="M258" s="18"/>
      <c r="N258" s="18"/>
      <c r="O258" s="1316"/>
      <c r="P258" s="18"/>
      <c r="Q258" s="18"/>
      <c r="R258" s="18"/>
      <c r="S258" s="18"/>
      <c r="T258" s="18"/>
      <c r="U258" s="18"/>
      <c r="V258" s="18"/>
      <c r="W258" s="18"/>
      <c r="X258" s="18"/>
      <c r="Y258" s="18"/>
      <c r="Z258" s="18"/>
      <c r="AA258" s="18"/>
      <c r="AB258" s="18"/>
      <c r="AC258" s="18"/>
      <c r="AD258" s="18"/>
      <c r="AE258" s="18"/>
      <c r="AF258" s="18"/>
      <c r="AG258" s="18"/>
    </row>
    <row r="259" spans="1:33" x14ac:dyDescent="0.2">
      <c r="A259" s="18"/>
      <c r="B259" s="18"/>
      <c r="C259" s="18"/>
      <c r="D259" s="18"/>
      <c r="E259" s="18"/>
      <c r="F259" s="18"/>
      <c r="G259" s="18"/>
      <c r="H259" s="18"/>
      <c r="I259" s="18"/>
      <c r="J259" s="18"/>
      <c r="K259" s="18"/>
      <c r="L259" s="18"/>
      <c r="M259" s="18"/>
      <c r="N259" s="18"/>
      <c r="O259" s="1316"/>
      <c r="P259" s="18"/>
      <c r="Q259" s="18"/>
      <c r="R259" s="18"/>
      <c r="S259" s="18"/>
      <c r="T259" s="18"/>
      <c r="U259" s="18"/>
      <c r="V259" s="18"/>
      <c r="W259" s="18"/>
      <c r="X259" s="18"/>
      <c r="Y259" s="18"/>
      <c r="Z259" s="18"/>
      <c r="AA259" s="18"/>
      <c r="AB259" s="18"/>
      <c r="AC259" s="18"/>
      <c r="AD259" s="18"/>
      <c r="AE259" s="18"/>
      <c r="AF259" s="18"/>
      <c r="AG259" s="18"/>
    </row>
    <row r="260" spans="1:33" x14ac:dyDescent="0.2">
      <c r="A260" s="18"/>
      <c r="B260" s="18"/>
      <c r="C260" s="18"/>
      <c r="D260" s="18"/>
      <c r="E260" s="18"/>
      <c r="F260" s="18"/>
      <c r="G260" s="18"/>
      <c r="H260" s="18"/>
      <c r="I260" s="18"/>
      <c r="J260" s="18"/>
      <c r="K260" s="18"/>
      <c r="L260" s="18"/>
      <c r="M260" s="18"/>
      <c r="N260" s="18"/>
      <c r="O260" s="1316"/>
      <c r="P260" s="18"/>
      <c r="Q260" s="18"/>
      <c r="R260" s="18"/>
      <c r="S260" s="18"/>
      <c r="T260" s="18"/>
      <c r="U260" s="18"/>
      <c r="V260" s="18"/>
      <c r="W260" s="18"/>
      <c r="X260" s="18"/>
      <c r="Y260" s="18"/>
      <c r="Z260" s="18"/>
      <c r="AA260" s="18"/>
      <c r="AB260" s="18"/>
      <c r="AC260" s="18"/>
      <c r="AD260" s="18"/>
      <c r="AE260" s="18"/>
      <c r="AF260" s="18"/>
      <c r="AG260" s="18"/>
    </row>
    <row r="261" spans="1:33" x14ac:dyDescent="0.2">
      <c r="A261" s="18"/>
      <c r="B261" s="18"/>
      <c r="C261" s="18"/>
      <c r="D261" s="18"/>
      <c r="E261" s="18"/>
      <c r="F261" s="18"/>
      <c r="G261" s="18"/>
      <c r="H261" s="18"/>
      <c r="I261" s="18"/>
      <c r="J261" s="18"/>
      <c r="K261" s="18"/>
      <c r="L261" s="18"/>
      <c r="M261" s="18"/>
      <c r="N261" s="18"/>
      <c r="O261" s="1316"/>
      <c r="P261" s="18"/>
      <c r="Q261" s="18"/>
      <c r="R261" s="18"/>
      <c r="S261" s="18"/>
      <c r="T261" s="18"/>
      <c r="U261" s="18"/>
      <c r="V261" s="18"/>
      <c r="W261" s="18"/>
      <c r="X261" s="18"/>
      <c r="Y261" s="18"/>
      <c r="Z261" s="18"/>
      <c r="AA261" s="18"/>
      <c r="AB261" s="18"/>
      <c r="AC261" s="18"/>
      <c r="AD261" s="18"/>
      <c r="AE261" s="18"/>
      <c r="AF261" s="18"/>
      <c r="AG261" s="18"/>
    </row>
    <row r="262" spans="1:33" x14ac:dyDescent="0.2">
      <c r="A262" s="18"/>
      <c r="B262" s="18"/>
      <c r="C262" s="18"/>
      <c r="D262" s="18"/>
      <c r="E262" s="18"/>
      <c r="F262" s="18"/>
      <c r="G262" s="18"/>
      <c r="H262" s="18"/>
      <c r="I262" s="18"/>
      <c r="J262" s="18"/>
      <c r="K262" s="18"/>
      <c r="L262" s="18"/>
      <c r="M262" s="18"/>
      <c r="N262" s="18"/>
      <c r="O262" s="1316"/>
      <c r="P262" s="18"/>
      <c r="Q262" s="18"/>
      <c r="R262" s="18"/>
      <c r="S262" s="18"/>
      <c r="T262" s="18"/>
      <c r="U262" s="18"/>
      <c r="V262" s="18"/>
      <c r="W262" s="18"/>
      <c r="X262" s="18"/>
      <c r="Y262" s="18"/>
      <c r="Z262" s="18"/>
      <c r="AA262" s="18"/>
      <c r="AB262" s="18"/>
      <c r="AC262" s="18"/>
      <c r="AD262" s="18"/>
      <c r="AE262" s="18"/>
      <c r="AF262" s="18"/>
      <c r="AG262" s="18"/>
    </row>
    <row r="263" spans="1:33" x14ac:dyDescent="0.2">
      <c r="A263" s="18"/>
      <c r="B263" s="18"/>
      <c r="C263" s="18"/>
      <c r="D263" s="18"/>
      <c r="E263" s="18"/>
      <c r="F263" s="18"/>
      <c r="G263" s="18"/>
      <c r="H263" s="18"/>
      <c r="I263" s="18"/>
      <c r="J263" s="18"/>
      <c r="K263" s="18"/>
      <c r="L263" s="18"/>
      <c r="M263" s="18"/>
      <c r="N263" s="18"/>
      <c r="O263" s="1316"/>
      <c r="P263" s="18"/>
      <c r="Q263" s="18"/>
      <c r="R263" s="18"/>
      <c r="S263" s="18"/>
      <c r="T263" s="18"/>
      <c r="U263" s="18"/>
      <c r="V263" s="18"/>
      <c r="W263" s="18"/>
      <c r="X263" s="18"/>
      <c r="Y263" s="18"/>
      <c r="Z263" s="18"/>
      <c r="AA263" s="18"/>
      <c r="AB263" s="18"/>
      <c r="AC263" s="18"/>
      <c r="AD263" s="18"/>
      <c r="AE263" s="18"/>
      <c r="AF263" s="18"/>
      <c r="AG263" s="18"/>
    </row>
    <row r="264" spans="1:33" x14ac:dyDescent="0.2">
      <c r="A264" s="18"/>
      <c r="B264" s="18"/>
      <c r="C264" s="18"/>
      <c r="D264" s="18"/>
      <c r="E264" s="18"/>
      <c r="F264" s="18"/>
      <c r="G264" s="18"/>
      <c r="H264" s="18"/>
      <c r="I264" s="18"/>
      <c r="J264" s="18"/>
      <c r="K264" s="18"/>
      <c r="L264" s="18"/>
      <c r="M264" s="18"/>
      <c r="N264" s="18"/>
      <c r="O264" s="1316"/>
      <c r="P264" s="18"/>
      <c r="Q264" s="18"/>
      <c r="R264" s="18"/>
      <c r="S264" s="18"/>
      <c r="T264" s="18"/>
      <c r="U264" s="18"/>
      <c r="V264" s="18"/>
      <c r="W264" s="18"/>
      <c r="X264" s="18"/>
      <c r="Y264" s="18"/>
      <c r="Z264" s="18"/>
      <c r="AA264" s="18"/>
      <c r="AB264" s="18"/>
      <c r="AC264" s="18"/>
      <c r="AD264" s="18"/>
      <c r="AE264" s="18"/>
      <c r="AF264" s="18"/>
      <c r="AG264" s="18"/>
    </row>
    <row r="265" spans="1:33" x14ac:dyDescent="0.2">
      <c r="A265" s="18"/>
      <c r="B265" s="18"/>
      <c r="C265" s="18"/>
      <c r="D265" s="18"/>
      <c r="E265" s="18"/>
      <c r="F265" s="18"/>
      <c r="G265" s="18"/>
      <c r="H265" s="18"/>
      <c r="I265" s="18"/>
      <c r="J265" s="18"/>
      <c r="K265" s="18"/>
      <c r="L265" s="18"/>
      <c r="M265" s="18"/>
      <c r="N265" s="18"/>
      <c r="O265" s="1316"/>
      <c r="P265" s="18"/>
      <c r="Q265" s="18"/>
      <c r="R265" s="18"/>
      <c r="S265" s="18"/>
      <c r="T265" s="18"/>
      <c r="U265" s="18"/>
      <c r="V265" s="18"/>
      <c r="W265" s="18"/>
      <c r="X265" s="18"/>
      <c r="Y265" s="18"/>
      <c r="Z265" s="18"/>
      <c r="AA265" s="18"/>
      <c r="AB265" s="18"/>
      <c r="AC265" s="18"/>
      <c r="AD265" s="18"/>
      <c r="AE265" s="18"/>
      <c r="AF265" s="18"/>
      <c r="AG265" s="18"/>
    </row>
    <row r="266" spans="1:33" x14ac:dyDescent="0.2">
      <c r="A266" s="18"/>
      <c r="B266" s="18"/>
      <c r="C266" s="18"/>
      <c r="D266" s="18"/>
      <c r="E266" s="18"/>
      <c r="F266" s="18"/>
      <c r="G266" s="18"/>
      <c r="H266" s="18"/>
      <c r="I266" s="18"/>
      <c r="J266" s="18"/>
      <c r="K266" s="18"/>
      <c r="L266" s="18"/>
      <c r="M266" s="18"/>
      <c r="N266" s="18"/>
      <c r="O266" s="1316"/>
      <c r="P266" s="18"/>
      <c r="Q266" s="18"/>
      <c r="R266" s="18"/>
      <c r="S266" s="18"/>
      <c r="T266" s="18"/>
      <c r="U266" s="18"/>
      <c r="V266" s="18"/>
      <c r="W266" s="18"/>
      <c r="X266" s="18"/>
      <c r="Y266" s="18"/>
      <c r="Z266" s="18"/>
      <c r="AA266" s="18"/>
      <c r="AB266" s="18"/>
      <c r="AC266" s="18"/>
      <c r="AD266" s="18"/>
      <c r="AE266" s="18"/>
      <c r="AF266" s="18"/>
      <c r="AG266" s="18"/>
    </row>
    <row r="267" spans="1:33" x14ac:dyDescent="0.2">
      <c r="A267" s="18"/>
      <c r="B267" s="18"/>
      <c r="C267" s="18"/>
      <c r="D267" s="18"/>
      <c r="E267" s="18"/>
      <c r="F267" s="18"/>
      <c r="G267" s="18"/>
      <c r="H267" s="18"/>
      <c r="I267" s="18"/>
      <c r="J267" s="18"/>
      <c r="K267" s="18"/>
      <c r="L267" s="18"/>
      <c r="M267" s="18"/>
      <c r="N267" s="18"/>
      <c r="O267" s="1316"/>
      <c r="P267" s="18"/>
      <c r="Q267" s="18"/>
      <c r="R267" s="18"/>
      <c r="S267" s="18"/>
      <c r="T267" s="18"/>
      <c r="U267" s="18"/>
      <c r="V267" s="18"/>
      <c r="W267" s="18"/>
      <c r="X267" s="18"/>
      <c r="Y267" s="18"/>
      <c r="Z267" s="18"/>
      <c r="AA267" s="18"/>
      <c r="AB267" s="18"/>
      <c r="AC267" s="18"/>
      <c r="AD267" s="18"/>
      <c r="AE267" s="18"/>
      <c r="AF267" s="18"/>
      <c r="AG267" s="18"/>
    </row>
    <row r="268" spans="1:33" x14ac:dyDescent="0.2">
      <c r="A268" s="18"/>
      <c r="B268" s="18"/>
      <c r="C268" s="18"/>
      <c r="D268" s="18"/>
      <c r="E268" s="18"/>
      <c r="F268" s="18"/>
      <c r="G268" s="18"/>
      <c r="H268" s="18"/>
      <c r="I268" s="18"/>
      <c r="J268" s="18"/>
      <c r="K268" s="18"/>
      <c r="L268" s="18"/>
      <c r="M268" s="18"/>
      <c r="N268" s="18"/>
      <c r="O268" s="1316"/>
      <c r="P268" s="18"/>
      <c r="Q268" s="18"/>
      <c r="R268" s="18"/>
      <c r="S268" s="18"/>
      <c r="T268" s="18"/>
      <c r="U268" s="18"/>
      <c r="V268" s="18"/>
      <c r="W268" s="18"/>
      <c r="X268" s="18"/>
      <c r="Y268" s="18"/>
      <c r="Z268" s="18"/>
      <c r="AA268" s="18"/>
      <c r="AB268" s="18"/>
      <c r="AC268" s="18"/>
      <c r="AD268" s="18"/>
      <c r="AE268" s="18"/>
      <c r="AF268" s="18"/>
      <c r="AG268" s="18"/>
    </row>
    <row r="269" spans="1:33" x14ac:dyDescent="0.2">
      <c r="A269" s="18"/>
      <c r="B269" s="18"/>
      <c r="C269" s="18"/>
      <c r="D269" s="18"/>
      <c r="E269" s="18"/>
      <c r="F269" s="18"/>
      <c r="G269" s="18"/>
      <c r="H269" s="18"/>
      <c r="I269" s="18"/>
      <c r="J269" s="18"/>
      <c r="K269" s="18"/>
      <c r="L269" s="18"/>
      <c r="M269" s="18"/>
      <c r="N269" s="18"/>
      <c r="O269" s="1316"/>
      <c r="P269" s="18"/>
      <c r="Q269" s="18"/>
      <c r="R269" s="18"/>
      <c r="S269" s="18"/>
      <c r="T269" s="18"/>
      <c r="U269" s="18"/>
      <c r="V269" s="18"/>
      <c r="W269" s="18"/>
      <c r="X269" s="18"/>
      <c r="Y269" s="18"/>
      <c r="Z269" s="18"/>
      <c r="AA269" s="18"/>
      <c r="AB269" s="18"/>
      <c r="AC269" s="18"/>
      <c r="AD269" s="18"/>
      <c r="AE269" s="18"/>
      <c r="AF269" s="18"/>
      <c r="AG269" s="18"/>
    </row>
    <row r="270" spans="1:33" x14ac:dyDescent="0.2">
      <c r="A270" s="18"/>
      <c r="B270" s="18"/>
      <c r="C270" s="18"/>
      <c r="D270" s="18"/>
      <c r="E270" s="18"/>
      <c r="F270" s="18"/>
      <c r="G270" s="18"/>
      <c r="H270" s="18"/>
      <c r="I270" s="18"/>
      <c r="J270" s="18"/>
      <c r="K270" s="18"/>
      <c r="L270" s="18"/>
      <c r="M270" s="18"/>
      <c r="N270" s="18"/>
      <c r="O270" s="1316"/>
      <c r="P270" s="18"/>
      <c r="Q270" s="18"/>
      <c r="R270" s="18"/>
      <c r="S270" s="18"/>
      <c r="T270" s="18"/>
      <c r="U270" s="18"/>
      <c r="V270" s="18"/>
      <c r="W270" s="18"/>
      <c r="X270" s="18"/>
      <c r="Y270" s="18"/>
      <c r="Z270" s="18"/>
      <c r="AA270" s="18"/>
      <c r="AB270" s="18"/>
      <c r="AC270" s="18"/>
      <c r="AD270" s="18"/>
      <c r="AE270" s="18"/>
      <c r="AF270" s="18"/>
      <c r="AG270" s="18"/>
    </row>
    <row r="271" spans="1:33" x14ac:dyDescent="0.2">
      <c r="A271" s="18"/>
      <c r="B271" s="18"/>
      <c r="C271" s="18"/>
      <c r="D271" s="18"/>
      <c r="E271" s="18"/>
      <c r="F271" s="18"/>
      <c r="G271" s="18"/>
      <c r="H271" s="18"/>
      <c r="I271" s="18"/>
      <c r="J271" s="18"/>
      <c r="K271" s="18"/>
      <c r="L271" s="18"/>
      <c r="M271" s="18"/>
      <c r="N271" s="18"/>
      <c r="O271" s="1316"/>
      <c r="P271" s="18"/>
      <c r="Q271" s="18"/>
      <c r="R271" s="18"/>
      <c r="S271" s="18"/>
      <c r="T271" s="18"/>
      <c r="U271" s="18"/>
      <c r="V271" s="18"/>
      <c r="W271" s="18"/>
      <c r="X271" s="18"/>
      <c r="Y271" s="18"/>
      <c r="Z271" s="18"/>
      <c r="AA271" s="18"/>
      <c r="AB271" s="18"/>
      <c r="AC271" s="18"/>
      <c r="AD271" s="18"/>
      <c r="AE271" s="18"/>
      <c r="AF271" s="18"/>
      <c r="AG271" s="18"/>
    </row>
    <row r="272" spans="1:33" x14ac:dyDescent="0.2">
      <c r="A272" s="18"/>
      <c r="B272" s="18"/>
      <c r="C272" s="18"/>
      <c r="D272" s="18"/>
      <c r="E272" s="18"/>
      <c r="F272" s="18"/>
      <c r="G272" s="18"/>
      <c r="H272" s="18"/>
      <c r="I272" s="18"/>
      <c r="J272" s="18"/>
      <c r="K272" s="18"/>
      <c r="L272" s="18"/>
      <c r="M272" s="18"/>
      <c r="N272" s="18"/>
      <c r="O272" s="1316"/>
      <c r="P272" s="18"/>
      <c r="Q272" s="18"/>
      <c r="R272" s="18"/>
      <c r="S272" s="18"/>
      <c r="T272" s="18"/>
      <c r="U272" s="18"/>
      <c r="V272" s="18"/>
      <c r="W272" s="18"/>
      <c r="X272" s="18"/>
      <c r="Y272" s="18"/>
      <c r="Z272" s="18"/>
      <c r="AA272" s="18"/>
      <c r="AB272" s="18"/>
      <c r="AC272" s="18"/>
      <c r="AD272" s="18"/>
      <c r="AE272" s="18"/>
      <c r="AF272" s="18"/>
      <c r="AG272" s="18"/>
    </row>
    <row r="273" spans="1:33" x14ac:dyDescent="0.2">
      <c r="A273" s="18"/>
      <c r="B273" s="18"/>
      <c r="C273" s="18"/>
      <c r="D273" s="18"/>
      <c r="E273" s="18"/>
      <c r="F273" s="18"/>
      <c r="G273" s="18"/>
      <c r="H273" s="18"/>
      <c r="I273" s="18"/>
      <c r="J273" s="18"/>
      <c r="K273" s="18"/>
      <c r="L273" s="18"/>
      <c r="M273" s="18"/>
      <c r="N273" s="18"/>
      <c r="O273" s="1316"/>
      <c r="P273" s="18"/>
      <c r="Q273" s="18"/>
      <c r="R273" s="18"/>
      <c r="S273" s="18"/>
      <c r="T273" s="18"/>
      <c r="U273" s="18"/>
      <c r="V273" s="18"/>
      <c r="W273" s="18"/>
      <c r="X273" s="18"/>
      <c r="Y273" s="18"/>
      <c r="Z273" s="18"/>
      <c r="AA273" s="18"/>
      <c r="AB273" s="18"/>
      <c r="AC273" s="18"/>
      <c r="AD273" s="18"/>
      <c r="AE273" s="18"/>
      <c r="AF273" s="18"/>
      <c r="AG273" s="18"/>
    </row>
    <row r="274" spans="1:33" x14ac:dyDescent="0.2">
      <c r="A274" s="18"/>
      <c r="B274" s="18"/>
      <c r="C274" s="18"/>
      <c r="D274" s="18"/>
      <c r="E274" s="18"/>
      <c r="F274" s="18"/>
      <c r="G274" s="18"/>
      <c r="H274" s="18"/>
      <c r="I274" s="18"/>
      <c r="J274" s="18"/>
      <c r="K274" s="18"/>
      <c r="L274" s="18"/>
      <c r="M274" s="18"/>
      <c r="N274" s="18"/>
      <c r="O274" s="1316"/>
      <c r="P274" s="18"/>
      <c r="Q274" s="18"/>
      <c r="R274" s="18"/>
      <c r="S274" s="18"/>
      <c r="T274" s="18"/>
      <c r="U274" s="18"/>
      <c r="V274" s="18"/>
      <c r="W274" s="18"/>
      <c r="X274" s="18"/>
      <c r="Y274" s="18"/>
      <c r="Z274" s="18"/>
      <c r="AA274" s="18"/>
      <c r="AB274" s="18"/>
      <c r="AC274" s="18"/>
      <c r="AD274" s="18"/>
      <c r="AE274" s="18"/>
      <c r="AF274" s="18"/>
      <c r="AG274" s="18"/>
    </row>
    <row r="275" spans="1:33" x14ac:dyDescent="0.2">
      <c r="A275" s="18"/>
      <c r="B275" s="18"/>
      <c r="C275" s="18"/>
      <c r="D275" s="18"/>
      <c r="E275" s="18"/>
      <c r="F275" s="18"/>
      <c r="G275" s="18"/>
      <c r="H275" s="18"/>
      <c r="I275" s="18"/>
      <c r="J275" s="18"/>
      <c r="K275" s="18"/>
      <c r="L275" s="18"/>
      <c r="M275" s="18"/>
      <c r="N275" s="18"/>
      <c r="O275" s="1316"/>
      <c r="P275" s="18"/>
      <c r="Q275" s="18"/>
      <c r="R275" s="18"/>
      <c r="S275" s="18"/>
      <c r="T275" s="18"/>
      <c r="U275" s="18"/>
      <c r="V275" s="18"/>
      <c r="W275" s="18"/>
      <c r="X275" s="18"/>
      <c r="Y275" s="18"/>
      <c r="Z275" s="18"/>
      <c r="AA275" s="18"/>
      <c r="AB275" s="18"/>
      <c r="AC275" s="18"/>
      <c r="AD275" s="18"/>
      <c r="AE275" s="18"/>
      <c r="AF275" s="18"/>
      <c r="AG275" s="18"/>
    </row>
    <row r="276" spans="1:33" x14ac:dyDescent="0.2">
      <c r="A276" s="18"/>
      <c r="B276" s="18"/>
      <c r="C276" s="18"/>
      <c r="D276" s="18"/>
      <c r="E276" s="18"/>
      <c r="F276" s="18"/>
      <c r="G276" s="18"/>
      <c r="H276" s="18"/>
      <c r="I276" s="18"/>
      <c r="J276" s="18"/>
      <c r="K276" s="18"/>
      <c r="L276" s="18"/>
      <c r="M276" s="18"/>
      <c r="N276" s="18"/>
      <c r="O276" s="1316"/>
      <c r="P276" s="18"/>
      <c r="Q276" s="18"/>
      <c r="R276" s="18"/>
      <c r="S276" s="18"/>
      <c r="T276" s="18"/>
      <c r="U276" s="18"/>
      <c r="V276" s="18"/>
      <c r="W276" s="18"/>
      <c r="X276" s="18"/>
      <c r="Y276" s="18"/>
      <c r="Z276" s="18"/>
      <c r="AA276" s="18"/>
      <c r="AB276" s="18"/>
      <c r="AC276" s="18"/>
      <c r="AD276" s="18"/>
      <c r="AE276" s="18"/>
      <c r="AF276" s="18"/>
      <c r="AG276" s="18"/>
    </row>
    <row r="277" spans="1:33" x14ac:dyDescent="0.2">
      <c r="A277" s="18"/>
      <c r="B277" s="18"/>
      <c r="C277" s="18"/>
      <c r="D277" s="18"/>
      <c r="E277" s="18"/>
      <c r="F277" s="18"/>
      <c r="G277" s="18"/>
      <c r="H277" s="18"/>
      <c r="I277" s="18"/>
      <c r="J277" s="18"/>
      <c r="K277" s="18"/>
      <c r="L277" s="18"/>
      <c r="M277" s="18"/>
      <c r="N277" s="18"/>
      <c r="O277" s="1316"/>
      <c r="P277" s="18"/>
      <c r="Q277" s="18"/>
      <c r="R277" s="18"/>
      <c r="S277" s="18"/>
      <c r="T277" s="18"/>
      <c r="U277" s="18"/>
      <c r="V277" s="18"/>
      <c r="W277" s="18"/>
      <c r="X277" s="18"/>
      <c r="Y277" s="18"/>
      <c r="Z277" s="18"/>
      <c r="AA277" s="18"/>
      <c r="AB277" s="18"/>
      <c r="AC277" s="18"/>
      <c r="AD277" s="18"/>
      <c r="AE277" s="18"/>
      <c r="AF277" s="18"/>
      <c r="AG277" s="18"/>
    </row>
    <row r="278" spans="1:33" x14ac:dyDescent="0.2">
      <c r="A278" s="18"/>
      <c r="B278" s="18"/>
      <c r="C278" s="18"/>
      <c r="D278" s="18"/>
      <c r="E278" s="18"/>
      <c r="F278" s="18"/>
      <c r="G278" s="18"/>
      <c r="H278" s="18"/>
      <c r="I278" s="18"/>
      <c r="J278" s="18"/>
      <c r="K278" s="18"/>
      <c r="L278" s="18"/>
      <c r="M278" s="18"/>
      <c r="N278" s="18"/>
      <c r="O278" s="1316"/>
      <c r="P278" s="18"/>
      <c r="Q278" s="18"/>
      <c r="R278" s="18"/>
      <c r="S278" s="18"/>
      <c r="T278" s="18"/>
      <c r="U278" s="18"/>
      <c r="V278" s="18"/>
      <c r="W278" s="18"/>
      <c r="X278" s="18"/>
      <c r="Y278" s="18"/>
      <c r="Z278" s="18"/>
      <c r="AA278" s="18"/>
      <c r="AB278" s="18"/>
      <c r="AC278" s="18"/>
      <c r="AD278" s="18"/>
      <c r="AE278" s="18"/>
      <c r="AF278" s="18"/>
      <c r="AG278" s="18"/>
    </row>
    <row r="279" spans="1:33" x14ac:dyDescent="0.2">
      <c r="A279" s="18"/>
      <c r="B279" s="18"/>
      <c r="C279" s="18"/>
      <c r="D279" s="18"/>
      <c r="E279" s="18"/>
      <c r="F279" s="18"/>
      <c r="G279" s="18"/>
      <c r="H279" s="18"/>
      <c r="I279" s="18"/>
      <c r="J279" s="18"/>
      <c r="K279" s="18"/>
      <c r="L279" s="18"/>
      <c r="M279" s="18"/>
      <c r="N279" s="18"/>
      <c r="O279" s="1316"/>
      <c r="P279" s="18"/>
      <c r="Q279" s="18"/>
      <c r="R279" s="18"/>
      <c r="S279" s="18"/>
      <c r="T279" s="18"/>
      <c r="U279" s="18"/>
      <c r="V279" s="18"/>
      <c r="W279" s="18"/>
      <c r="X279" s="18"/>
      <c r="Y279" s="18"/>
      <c r="Z279" s="18"/>
      <c r="AA279" s="18"/>
      <c r="AB279" s="18"/>
      <c r="AC279" s="18"/>
      <c r="AD279" s="18"/>
      <c r="AE279" s="18"/>
      <c r="AF279" s="18"/>
      <c r="AG279" s="18"/>
    </row>
    <row r="280" spans="1:33" x14ac:dyDescent="0.2">
      <c r="A280" s="18"/>
      <c r="B280" s="18"/>
      <c r="C280" s="18"/>
      <c r="D280" s="18"/>
      <c r="E280" s="18"/>
      <c r="F280" s="18"/>
      <c r="G280" s="18"/>
      <c r="H280" s="18"/>
      <c r="I280" s="18"/>
      <c r="J280" s="18"/>
      <c r="K280" s="18"/>
      <c r="L280" s="18"/>
      <c r="M280" s="18"/>
      <c r="N280" s="18"/>
      <c r="O280" s="1316"/>
      <c r="P280" s="18"/>
      <c r="Q280" s="18"/>
      <c r="R280" s="18"/>
      <c r="S280" s="18"/>
      <c r="T280" s="18"/>
      <c r="U280" s="18"/>
      <c r="V280" s="18"/>
      <c r="W280" s="18"/>
      <c r="X280" s="18"/>
      <c r="Y280" s="18"/>
      <c r="Z280" s="18"/>
      <c r="AA280" s="18"/>
      <c r="AB280" s="18"/>
      <c r="AC280" s="18"/>
      <c r="AD280" s="18"/>
      <c r="AE280" s="18"/>
      <c r="AF280" s="18"/>
      <c r="AG280" s="18"/>
    </row>
    <row r="281" spans="1:33" x14ac:dyDescent="0.2">
      <c r="A281" s="18"/>
      <c r="B281" s="18"/>
      <c r="C281" s="18"/>
      <c r="D281" s="18"/>
      <c r="E281" s="18"/>
      <c r="F281" s="18"/>
      <c r="G281" s="18"/>
      <c r="H281" s="18"/>
      <c r="I281" s="18"/>
      <c r="J281" s="18"/>
      <c r="K281" s="18"/>
      <c r="L281" s="18"/>
      <c r="M281" s="18"/>
      <c r="N281" s="18"/>
      <c r="O281" s="1316"/>
      <c r="P281" s="18"/>
      <c r="Q281" s="18"/>
      <c r="R281" s="18"/>
      <c r="S281" s="18"/>
      <c r="T281" s="18"/>
      <c r="U281" s="18"/>
      <c r="V281" s="18"/>
      <c r="W281" s="18"/>
      <c r="X281" s="18"/>
      <c r="Y281" s="18"/>
      <c r="Z281" s="18"/>
      <c r="AA281" s="18"/>
      <c r="AB281" s="18"/>
      <c r="AC281" s="18"/>
      <c r="AD281" s="18"/>
      <c r="AE281" s="18"/>
      <c r="AF281" s="18"/>
      <c r="AG281" s="18"/>
    </row>
    <row r="282" spans="1:33" x14ac:dyDescent="0.2">
      <c r="A282" s="18"/>
      <c r="B282" s="18"/>
      <c r="C282" s="18"/>
      <c r="D282" s="18"/>
      <c r="E282" s="18"/>
      <c r="F282" s="18"/>
      <c r="G282" s="18"/>
      <c r="H282" s="18"/>
      <c r="I282" s="18"/>
      <c r="J282" s="18"/>
      <c r="K282" s="18"/>
      <c r="L282" s="18"/>
      <c r="M282" s="18"/>
      <c r="N282" s="18"/>
      <c r="O282" s="1316"/>
      <c r="P282" s="18"/>
      <c r="Q282" s="18"/>
      <c r="R282" s="18"/>
      <c r="S282" s="18"/>
      <c r="T282" s="18"/>
      <c r="U282" s="18"/>
      <c r="V282" s="18"/>
      <c r="W282" s="18"/>
      <c r="X282" s="18"/>
      <c r="Y282" s="18"/>
      <c r="Z282" s="18"/>
      <c r="AA282" s="18"/>
      <c r="AB282" s="18"/>
      <c r="AC282" s="18"/>
      <c r="AD282" s="18"/>
      <c r="AE282" s="18"/>
      <c r="AF282" s="18"/>
      <c r="AG282" s="18"/>
    </row>
    <row r="283" spans="1:33" x14ac:dyDescent="0.2">
      <c r="A283" s="18"/>
      <c r="B283" s="18"/>
      <c r="C283" s="18"/>
      <c r="D283" s="18"/>
      <c r="E283" s="18"/>
      <c r="F283" s="18"/>
      <c r="G283" s="18"/>
      <c r="H283" s="18"/>
      <c r="I283" s="18"/>
      <c r="J283" s="18"/>
      <c r="K283" s="18"/>
      <c r="L283" s="18"/>
      <c r="M283" s="18"/>
      <c r="N283" s="18"/>
      <c r="O283" s="1316"/>
      <c r="P283" s="18"/>
      <c r="Q283" s="18"/>
      <c r="R283" s="18"/>
      <c r="S283" s="18"/>
      <c r="T283" s="18"/>
      <c r="U283" s="18"/>
      <c r="V283" s="18"/>
      <c r="W283" s="18"/>
      <c r="X283" s="18"/>
      <c r="Y283" s="18"/>
      <c r="Z283" s="18"/>
      <c r="AA283" s="18"/>
      <c r="AB283" s="18"/>
      <c r="AC283" s="18"/>
      <c r="AD283" s="18"/>
      <c r="AE283" s="18"/>
      <c r="AF283" s="18"/>
      <c r="AG283" s="18"/>
    </row>
    <row r="284" spans="1:33" x14ac:dyDescent="0.2">
      <c r="A284" s="18"/>
      <c r="B284" s="18"/>
      <c r="C284" s="18"/>
      <c r="D284" s="18"/>
      <c r="E284" s="18"/>
      <c r="F284" s="18"/>
      <c r="G284" s="18"/>
      <c r="H284" s="18"/>
      <c r="I284" s="18"/>
      <c r="J284" s="18"/>
      <c r="K284" s="18"/>
      <c r="L284" s="18"/>
      <c r="M284" s="18"/>
      <c r="N284" s="18"/>
      <c r="O284" s="1316"/>
      <c r="P284" s="18"/>
      <c r="Q284" s="18"/>
      <c r="R284" s="18"/>
      <c r="S284" s="18"/>
      <c r="T284" s="18"/>
      <c r="U284" s="18"/>
      <c r="V284" s="18"/>
      <c r="W284" s="18"/>
      <c r="X284" s="18"/>
      <c r="Y284" s="18"/>
      <c r="Z284" s="18"/>
      <c r="AA284" s="18"/>
      <c r="AB284" s="18"/>
      <c r="AC284" s="18"/>
      <c r="AD284" s="18"/>
      <c r="AE284" s="18"/>
      <c r="AF284" s="18"/>
      <c r="AG284" s="18"/>
    </row>
    <row r="285" spans="1:33" x14ac:dyDescent="0.2">
      <c r="A285" s="18"/>
      <c r="B285" s="18"/>
      <c r="C285" s="18"/>
      <c r="D285" s="18"/>
      <c r="E285" s="18"/>
      <c r="F285" s="18"/>
      <c r="G285" s="18"/>
      <c r="H285" s="18"/>
      <c r="I285" s="18"/>
      <c r="J285" s="18"/>
      <c r="K285" s="18"/>
      <c r="L285" s="18"/>
      <c r="M285" s="18"/>
      <c r="N285" s="18"/>
      <c r="O285" s="1316"/>
      <c r="P285" s="18"/>
      <c r="Q285" s="18"/>
      <c r="R285" s="18"/>
      <c r="S285" s="18"/>
      <c r="T285" s="18"/>
      <c r="U285" s="18"/>
      <c r="V285" s="18"/>
      <c r="W285" s="18"/>
      <c r="X285" s="18"/>
      <c r="Y285" s="18"/>
      <c r="Z285" s="18"/>
      <c r="AA285" s="18"/>
      <c r="AB285" s="18"/>
      <c r="AC285" s="18"/>
      <c r="AD285" s="18"/>
      <c r="AE285" s="18"/>
      <c r="AF285" s="18"/>
      <c r="AG285" s="18"/>
    </row>
    <row r="286" spans="1:33" x14ac:dyDescent="0.2">
      <c r="A286" s="18"/>
      <c r="B286" s="18"/>
      <c r="C286" s="18"/>
      <c r="D286" s="18"/>
      <c r="E286" s="18"/>
      <c r="F286" s="18"/>
      <c r="G286" s="18"/>
      <c r="H286" s="18"/>
      <c r="I286" s="18"/>
      <c r="J286" s="18"/>
      <c r="K286" s="18"/>
      <c r="L286" s="18"/>
      <c r="M286" s="18"/>
      <c r="N286" s="18"/>
      <c r="O286" s="1316"/>
      <c r="P286" s="18"/>
      <c r="Q286" s="18"/>
      <c r="R286" s="18"/>
      <c r="S286" s="18"/>
      <c r="T286" s="18"/>
      <c r="U286" s="18"/>
      <c r="V286" s="18"/>
      <c r="W286" s="18"/>
      <c r="X286" s="18"/>
      <c r="Y286" s="18"/>
      <c r="Z286" s="18"/>
      <c r="AA286" s="18"/>
      <c r="AB286" s="18"/>
      <c r="AC286" s="18"/>
      <c r="AD286" s="18"/>
      <c r="AE286" s="18"/>
      <c r="AF286" s="18"/>
      <c r="AG286" s="18"/>
    </row>
    <row r="287" spans="1:33" x14ac:dyDescent="0.2">
      <c r="A287" s="18"/>
      <c r="B287" s="18"/>
      <c r="C287" s="18"/>
      <c r="D287" s="18"/>
      <c r="E287" s="18"/>
      <c r="F287" s="18"/>
      <c r="G287" s="18"/>
      <c r="H287" s="18"/>
      <c r="I287" s="18"/>
      <c r="J287" s="18"/>
      <c r="K287" s="18"/>
      <c r="L287" s="18"/>
      <c r="M287" s="18"/>
      <c r="N287" s="18"/>
      <c r="O287" s="1316"/>
      <c r="P287" s="18"/>
      <c r="Q287" s="18"/>
      <c r="R287" s="18"/>
      <c r="S287" s="18"/>
      <c r="T287" s="18"/>
      <c r="U287" s="18"/>
      <c r="V287" s="18"/>
      <c r="W287" s="18"/>
      <c r="X287" s="18"/>
      <c r="Y287" s="18"/>
      <c r="Z287" s="18"/>
      <c r="AA287" s="18"/>
      <c r="AB287" s="18"/>
      <c r="AC287" s="18"/>
      <c r="AD287" s="18"/>
      <c r="AE287" s="18"/>
      <c r="AF287" s="18"/>
      <c r="AG287" s="18"/>
    </row>
    <row r="288" spans="1:33" x14ac:dyDescent="0.2">
      <c r="A288" s="18"/>
      <c r="B288" s="18"/>
      <c r="C288" s="18"/>
      <c r="D288" s="18"/>
      <c r="E288" s="18"/>
      <c r="F288" s="18"/>
      <c r="G288" s="18"/>
      <c r="H288" s="18"/>
      <c r="I288" s="18"/>
      <c r="J288" s="18"/>
      <c r="K288" s="18"/>
      <c r="L288" s="18"/>
      <c r="M288" s="18"/>
      <c r="N288" s="18"/>
      <c r="O288" s="1316"/>
      <c r="P288" s="18"/>
      <c r="Q288" s="18"/>
      <c r="R288" s="18"/>
      <c r="S288" s="18"/>
      <c r="T288" s="18"/>
      <c r="U288" s="18"/>
      <c r="V288" s="18"/>
      <c r="W288" s="18"/>
      <c r="X288" s="18"/>
      <c r="Y288" s="18"/>
      <c r="Z288" s="18"/>
      <c r="AA288" s="18"/>
      <c r="AB288" s="18"/>
      <c r="AC288" s="18"/>
      <c r="AD288" s="18"/>
      <c r="AE288" s="18"/>
      <c r="AF288" s="18"/>
      <c r="AG288" s="18"/>
    </row>
    <row r="289" spans="1:33" x14ac:dyDescent="0.2">
      <c r="A289" s="18"/>
      <c r="B289" s="18"/>
      <c r="C289" s="18"/>
      <c r="D289" s="18"/>
      <c r="E289" s="18"/>
      <c r="F289" s="18"/>
      <c r="G289" s="18"/>
      <c r="H289" s="18"/>
      <c r="I289" s="18"/>
      <c r="J289" s="18"/>
      <c r="K289" s="18"/>
      <c r="L289" s="18"/>
      <c r="M289" s="18"/>
      <c r="N289" s="18"/>
      <c r="O289" s="1316"/>
      <c r="P289" s="18"/>
      <c r="Q289" s="18"/>
      <c r="R289" s="18"/>
      <c r="S289" s="18"/>
      <c r="T289" s="18"/>
      <c r="U289" s="18"/>
      <c r="V289" s="18"/>
      <c r="W289" s="18"/>
      <c r="X289" s="18"/>
      <c r="Y289" s="18"/>
      <c r="Z289" s="18"/>
      <c r="AA289" s="18"/>
      <c r="AB289" s="18"/>
      <c r="AC289" s="18"/>
      <c r="AD289" s="18"/>
      <c r="AE289" s="18"/>
      <c r="AF289" s="18"/>
      <c r="AG289" s="18"/>
    </row>
    <row r="290" spans="1:33" x14ac:dyDescent="0.2">
      <c r="A290" s="18"/>
      <c r="B290" s="18"/>
      <c r="C290" s="18"/>
      <c r="D290" s="18"/>
      <c r="E290" s="18"/>
      <c r="F290" s="18"/>
      <c r="G290" s="18"/>
      <c r="H290" s="18"/>
      <c r="I290" s="18"/>
      <c r="J290" s="18"/>
      <c r="K290" s="18"/>
      <c r="L290" s="18"/>
      <c r="M290" s="18"/>
      <c r="N290" s="18"/>
      <c r="O290" s="1316"/>
      <c r="P290" s="18"/>
      <c r="Q290" s="18"/>
      <c r="R290" s="18"/>
      <c r="S290" s="18"/>
      <c r="T290" s="18"/>
      <c r="U290" s="18"/>
      <c r="V290" s="18"/>
      <c r="W290" s="18"/>
      <c r="X290" s="18"/>
      <c r="Y290" s="18"/>
      <c r="Z290" s="18"/>
      <c r="AA290" s="18"/>
      <c r="AB290" s="18"/>
      <c r="AC290" s="18"/>
      <c r="AD290" s="18"/>
      <c r="AE290" s="18"/>
      <c r="AF290" s="18"/>
      <c r="AG290" s="18"/>
    </row>
    <row r="291" spans="1:33" x14ac:dyDescent="0.2">
      <c r="A291" s="18"/>
      <c r="B291" s="18"/>
      <c r="C291" s="18"/>
      <c r="D291" s="18"/>
      <c r="E291" s="18"/>
      <c r="F291" s="18"/>
      <c r="G291" s="18"/>
      <c r="H291" s="18"/>
      <c r="I291" s="18"/>
      <c r="J291" s="18"/>
      <c r="K291" s="18"/>
      <c r="L291" s="18"/>
      <c r="M291" s="18"/>
      <c r="N291" s="18"/>
      <c r="O291" s="1316"/>
      <c r="P291" s="18"/>
      <c r="Q291" s="18"/>
      <c r="R291" s="18"/>
      <c r="S291" s="18"/>
      <c r="T291" s="18"/>
      <c r="U291" s="18"/>
      <c r="V291" s="18"/>
      <c r="W291" s="18"/>
      <c r="X291" s="18"/>
      <c r="Y291" s="18"/>
      <c r="Z291" s="18"/>
      <c r="AA291" s="18"/>
      <c r="AB291" s="18"/>
      <c r="AC291" s="18"/>
      <c r="AD291" s="18"/>
      <c r="AE291" s="18"/>
      <c r="AF291" s="18"/>
      <c r="AG291" s="18"/>
    </row>
    <row r="292" spans="1:33" x14ac:dyDescent="0.2">
      <c r="A292" s="18"/>
      <c r="B292" s="18"/>
      <c r="C292" s="18"/>
      <c r="D292" s="18"/>
      <c r="E292" s="18"/>
      <c r="F292" s="18"/>
      <c r="G292" s="18"/>
      <c r="H292" s="18"/>
      <c r="I292" s="18"/>
      <c r="J292" s="18"/>
      <c r="K292" s="18"/>
      <c r="L292" s="18"/>
      <c r="M292" s="18"/>
      <c r="N292" s="18"/>
      <c r="O292" s="1316"/>
      <c r="P292" s="18"/>
      <c r="Q292" s="18"/>
      <c r="R292" s="18"/>
      <c r="S292" s="18"/>
      <c r="T292" s="18"/>
      <c r="U292" s="18"/>
      <c r="V292" s="18"/>
      <c r="W292" s="18"/>
      <c r="X292" s="18"/>
      <c r="Y292" s="18"/>
      <c r="Z292" s="18"/>
      <c r="AA292" s="18"/>
      <c r="AB292" s="18"/>
      <c r="AC292" s="18"/>
      <c r="AD292" s="18"/>
      <c r="AE292" s="18"/>
      <c r="AF292" s="18"/>
      <c r="AG292" s="18"/>
    </row>
    <row r="293" spans="1:33" x14ac:dyDescent="0.2">
      <c r="A293" s="18"/>
      <c r="B293" s="18"/>
      <c r="C293" s="18"/>
      <c r="D293" s="18"/>
      <c r="E293" s="18"/>
      <c r="F293" s="18"/>
      <c r="G293" s="18"/>
      <c r="H293" s="18"/>
      <c r="I293" s="18"/>
      <c r="J293" s="18"/>
      <c r="K293" s="18"/>
      <c r="L293" s="18"/>
      <c r="M293" s="18"/>
      <c r="N293" s="18"/>
      <c r="O293" s="1316"/>
      <c r="P293" s="18"/>
      <c r="Q293" s="18"/>
      <c r="R293" s="18"/>
      <c r="S293" s="18"/>
      <c r="T293" s="18"/>
      <c r="U293" s="18"/>
      <c r="V293" s="18"/>
      <c r="W293" s="18"/>
      <c r="X293" s="18"/>
      <c r="Y293" s="18"/>
      <c r="Z293" s="18"/>
      <c r="AA293" s="18"/>
      <c r="AB293" s="18"/>
      <c r="AC293" s="18"/>
      <c r="AD293" s="18"/>
      <c r="AE293" s="18"/>
      <c r="AF293" s="18"/>
      <c r="AG293" s="18"/>
    </row>
    <row r="294" spans="1:33" x14ac:dyDescent="0.2">
      <c r="A294" s="18"/>
      <c r="B294" s="18"/>
      <c r="C294" s="18"/>
      <c r="D294" s="18"/>
      <c r="E294" s="18"/>
      <c r="F294" s="18"/>
      <c r="G294" s="18"/>
      <c r="H294" s="18"/>
      <c r="I294" s="18"/>
      <c r="J294" s="18"/>
      <c r="K294" s="18"/>
      <c r="L294" s="18"/>
      <c r="M294" s="18"/>
      <c r="N294" s="18"/>
      <c r="O294" s="1316"/>
      <c r="P294" s="18"/>
      <c r="Q294" s="18"/>
      <c r="R294" s="18"/>
      <c r="S294" s="18"/>
      <c r="T294" s="18"/>
      <c r="U294" s="18"/>
      <c r="V294" s="18"/>
      <c r="W294" s="18"/>
      <c r="X294" s="18"/>
      <c r="Y294" s="18"/>
      <c r="Z294" s="18"/>
      <c r="AA294" s="18"/>
      <c r="AB294" s="18"/>
      <c r="AC294" s="18"/>
      <c r="AD294" s="18"/>
      <c r="AE294" s="18"/>
      <c r="AF294" s="18"/>
      <c r="AG294" s="18"/>
    </row>
    <row r="295" spans="1:33" x14ac:dyDescent="0.2">
      <c r="A295" s="18"/>
      <c r="B295" s="18"/>
      <c r="C295" s="18"/>
      <c r="D295" s="18"/>
      <c r="E295" s="18"/>
      <c r="F295" s="18"/>
      <c r="G295" s="18"/>
      <c r="H295" s="18"/>
      <c r="I295" s="18"/>
      <c r="J295" s="18"/>
      <c r="K295" s="18"/>
      <c r="L295" s="18"/>
      <c r="M295" s="18"/>
      <c r="N295" s="18"/>
      <c r="O295" s="1316"/>
      <c r="P295" s="18"/>
      <c r="Q295" s="18"/>
      <c r="R295" s="18"/>
      <c r="S295" s="18"/>
      <c r="T295" s="18"/>
      <c r="U295" s="18"/>
      <c r="V295" s="18"/>
      <c r="W295" s="18"/>
      <c r="X295" s="18"/>
      <c r="Y295" s="18"/>
      <c r="Z295" s="18"/>
      <c r="AA295" s="18"/>
      <c r="AB295" s="18"/>
      <c r="AC295" s="18"/>
      <c r="AD295" s="18"/>
      <c r="AE295" s="18"/>
      <c r="AF295" s="18"/>
      <c r="AG295" s="18"/>
    </row>
    <row r="296" spans="1:33" x14ac:dyDescent="0.2">
      <c r="A296" s="18"/>
      <c r="B296" s="18"/>
      <c r="C296" s="18"/>
      <c r="D296" s="18"/>
      <c r="E296" s="18"/>
      <c r="F296" s="18"/>
      <c r="G296" s="18"/>
      <c r="H296" s="18"/>
      <c r="I296" s="18"/>
      <c r="J296" s="18"/>
      <c r="K296" s="18"/>
      <c r="L296" s="18"/>
      <c r="M296" s="18"/>
      <c r="N296" s="18"/>
      <c r="O296" s="1316"/>
      <c r="P296" s="18"/>
      <c r="Q296" s="18"/>
      <c r="R296" s="18"/>
      <c r="S296" s="18"/>
      <c r="T296" s="18"/>
      <c r="U296" s="18"/>
      <c r="V296" s="18"/>
      <c r="W296" s="18"/>
      <c r="X296" s="18"/>
      <c r="Y296" s="18"/>
      <c r="Z296" s="18"/>
      <c r="AA296" s="18"/>
      <c r="AB296" s="18"/>
      <c r="AC296" s="18"/>
      <c r="AD296" s="18"/>
      <c r="AE296" s="18"/>
      <c r="AF296" s="18"/>
      <c r="AG296" s="18"/>
    </row>
    <row r="297" spans="1:33" x14ac:dyDescent="0.2">
      <c r="A297" s="18"/>
      <c r="B297" s="18"/>
      <c r="C297" s="18"/>
      <c r="D297" s="18"/>
      <c r="E297" s="18"/>
      <c r="F297" s="18"/>
      <c r="G297" s="18"/>
      <c r="H297" s="18"/>
      <c r="I297" s="18"/>
      <c r="J297" s="18"/>
      <c r="K297" s="18"/>
      <c r="L297" s="18"/>
      <c r="M297" s="18"/>
      <c r="N297" s="18"/>
      <c r="O297" s="1316"/>
      <c r="P297" s="18"/>
      <c r="Q297" s="18"/>
      <c r="R297" s="18"/>
      <c r="S297" s="18"/>
      <c r="T297" s="18"/>
      <c r="U297" s="18"/>
      <c r="V297" s="18"/>
      <c r="W297" s="18"/>
      <c r="X297" s="18"/>
      <c r="Y297" s="18"/>
      <c r="Z297" s="18"/>
      <c r="AA297" s="18"/>
      <c r="AB297" s="18"/>
      <c r="AC297" s="18"/>
      <c r="AD297" s="18"/>
      <c r="AE297" s="18"/>
      <c r="AF297" s="18"/>
      <c r="AG297" s="18"/>
    </row>
    <row r="298" spans="1:33" x14ac:dyDescent="0.2">
      <c r="A298" s="18"/>
      <c r="B298" s="18"/>
      <c r="C298" s="18"/>
      <c r="D298" s="18"/>
      <c r="E298" s="18"/>
      <c r="F298" s="18"/>
      <c r="G298" s="18"/>
      <c r="H298" s="18"/>
      <c r="I298" s="18"/>
      <c r="J298" s="18"/>
      <c r="K298" s="18"/>
      <c r="L298" s="18"/>
      <c r="M298" s="18"/>
      <c r="N298" s="18"/>
      <c r="O298" s="1316"/>
      <c r="P298" s="18"/>
      <c r="Q298" s="18"/>
      <c r="R298" s="18"/>
      <c r="S298" s="18"/>
      <c r="T298" s="18"/>
      <c r="U298" s="18"/>
      <c r="V298" s="18"/>
      <c r="W298" s="18"/>
      <c r="X298" s="18"/>
      <c r="Y298" s="18"/>
      <c r="Z298" s="18"/>
      <c r="AA298" s="18"/>
      <c r="AB298" s="18"/>
      <c r="AC298" s="18"/>
      <c r="AD298" s="18"/>
      <c r="AE298" s="18"/>
      <c r="AF298" s="18"/>
      <c r="AG298" s="18"/>
    </row>
    <row r="299" spans="1:33" x14ac:dyDescent="0.2">
      <c r="A299" s="18"/>
      <c r="B299" s="18"/>
      <c r="C299" s="18"/>
      <c r="D299" s="18"/>
      <c r="E299" s="18"/>
      <c r="F299" s="18"/>
      <c r="G299" s="18"/>
      <c r="H299" s="18"/>
      <c r="I299" s="18"/>
      <c r="J299" s="18"/>
      <c r="K299" s="18"/>
      <c r="L299" s="18"/>
      <c r="M299" s="18"/>
      <c r="N299" s="18"/>
      <c r="O299" s="1316"/>
      <c r="P299" s="18"/>
      <c r="Q299" s="18"/>
      <c r="R299" s="18"/>
      <c r="S299" s="18"/>
      <c r="T299" s="18"/>
      <c r="U299" s="18"/>
      <c r="V299" s="18"/>
      <c r="W299" s="18"/>
      <c r="X299" s="18"/>
      <c r="Y299" s="18"/>
      <c r="Z299" s="18"/>
      <c r="AA299" s="18"/>
      <c r="AB299" s="18"/>
      <c r="AC299" s="18"/>
      <c r="AD299" s="18"/>
      <c r="AE299" s="18"/>
      <c r="AF299" s="18"/>
      <c r="AG299" s="18"/>
    </row>
    <row r="300" spans="1:33" x14ac:dyDescent="0.2">
      <c r="A300" s="18"/>
      <c r="B300" s="18"/>
      <c r="C300" s="18"/>
      <c r="D300" s="18"/>
      <c r="E300" s="18"/>
      <c r="F300" s="18"/>
      <c r="G300" s="18"/>
      <c r="H300" s="18"/>
      <c r="I300" s="18"/>
      <c r="J300" s="18"/>
      <c r="K300" s="18"/>
      <c r="L300" s="18"/>
      <c r="M300" s="18"/>
      <c r="N300" s="18"/>
      <c r="O300" s="1316"/>
      <c r="P300" s="18"/>
      <c r="Q300" s="18"/>
      <c r="R300" s="18"/>
      <c r="S300" s="18"/>
      <c r="T300" s="18"/>
      <c r="U300" s="18"/>
      <c r="V300" s="18"/>
      <c r="W300" s="18"/>
      <c r="X300" s="18"/>
      <c r="Y300" s="18"/>
      <c r="Z300" s="18"/>
      <c r="AA300" s="18"/>
      <c r="AB300" s="18"/>
      <c r="AC300" s="18"/>
      <c r="AD300" s="18"/>
      <c r="AE300" s="18"/>
      <c r="AF300" s="18"/>
      <c r="AG300" s="18"/>
    </row>
    <row r="301" spans="1:33" x14ac:dyDescent="0.2">
      <c r="A301" s="18"/>
      <c r="B301" s="18"/>
      <c r="C301" s="18"/>
      <c r="D301" s="18"/>
      <c r="E301" s="18"/>
      <c r="F301" s="18"/>
      <c r="G301" s="18"/>
      <c r="H301" s="18"/>
      <c r="I301" s="18"/>
      <c r="J301" s="18"/>
      <c r="K301" s="18"/>
      <c r="L301" s="18"/>
      <c r="M301" s="18"/>
      <c r="N301" s="18"/>
      <c r="O301" s="1316"/>
      <c r="P301" s="18"/>
      <c r="Q301" s="18"/>
      <c r="R301" s="18"/>
      <c r="S301" s="18"/>
      <c r="T301" s="18"/>
      <c r="U301" s="18"/>
      <c r="V301" s="18"/>
      <c r="W301" s="18"/>
      <c r="X301" s="18"/>
      <c r="Y301" s="18"/>
      <c r="Z301" s="18"/>
      <c r="AA301" s="18"/>
      <c r="AB301" s="18"/>
      <c r="AC301" s="18"/>
      <c r="AD301" s="18"/>
      <c r="AE301" s="18"/>
      <c r="AF301" s="18"/>
      <c r="AG301" s="18"/>
    </row>
    <row r="302" spans="1:33" x14ac:dyDescent="0.2">
      <c r="A302" s="18"/>
      <c r="B302" s="18"/>
      <c r="C302" s="18"/>
      <c r="D302" s="18"/>
      <c r="E302" s="18"/>
      <c r="F302" s="18"/>
      <c r="G302" s="18"/>
      <c r="H302" s="18"/>
      <c r="I302" s="18"/>
      <c r="J302" s="18"/>
      <c r="K302" s="18"/>
      <c r="L302" s="18"/>
      <c r="M302" s="18"/>
      <c r="N302" s="18"/>
      <c r="O302" s="1316"/>
      <c r="P302" s="18"/>
      <c r="Q302" s="18"/>
      <c r="R302" s="18"/>
      <c r="S302" s="18"/>
      <c r="T302" s="18"/>
      <c r="U302" s="18"/>
      <c r="V302" s="18"/>
      <c r="W302" s="18"/>
      <c r="X302" s="18"/>
      <c r="Y302" s="18"/>
      <c r="Z302" s="18"/>
      <c r="AA302" s="18"/>
      <c r="AB302" s="18"/>
      <c r="AC302" s="18"/>
      <c r="AD302" s="18"/>
      <c r="AE302" s="18"/>
      <c r="AF302" s="18"/>
      <c r="AG302" s="18"/>
    </row>
    <row r="303" spans="1:33" x14ac:dyDescent="0.2">
      <c r="A303" s="18"/>
      <c r="B303" s="18"/>
      <c r="C303" s="18"/>
      <c r="D303" s="18"/>
      <c r="E303" s="18"/>
      <c r="F303" s="18"/>
      <c r="G303" s="18"/>
      <c r="H303" s="18"/>
      <c r="I303" s="18"/>
      <c r="J303" s="18"/>
      <c r="K303" s="18"/>
      <c r="L303" s="18"/>
      <c r="M303" s="18"/>
      <c r="N303" s="18"/>
      <c r="O303" s="1316"/>
      <c r="P303" s="18"/>
      <c r="Q303" s="18"/>
      <c r="R303" s="18"/>
      <c r="S303" s="18"/>
      <c r="T303" s="18"/>
      <c r="U303" s="18"/>
      <c r="V303" s="18"/>
      <c r="W303" s="18"/>
      <c r="X303" s="18"/>
      <c r="Y303" s="18"/>
      <c r="Z303" s="18"/>
      <c r="AA303" s="18"/>
      <c r="AB303" s="18"/>
      <c r="AC303" s="18"/>
      <c r="AD303" s="18"/>
      <c r="AE303" s="18"/>
      <c r="AF303" s="18"/>
      <c r="AG303" s="18"/>
    </row>
    <row r="304" spans="1:33" x14ac:dyDescent="0.2">
      <c r="A304" s="18"/>
      <c r="B304" s="18"/>
      <c r="C304" s="18"/>
      <c r="D304" s="18"/>
      <c r="E304" s="18"/>
      <c r="F304" s="18"/>
      <c r="G304" s="18"/>
      <c r="H304" s="18"/>
      <c r="I304" s="18"/>
      <c r="J304" s="18"/>
      <c r="K304" s="18"/>
      <c r="L304" s="18"/>
      <c r="M304" s="18"/>
      <c r="N304" s="18"/>
      <c r="O304" s="1316"/>
      <c r="P304" s="18"/>
      <c r="Q304" s="18"/>
      <c r="R304" s="18"/>
      <c r="S304" s="18"/>
      <c r="T304" s="18"/>
      <c r="U304" s="18"/>
      <c r="V304" s="18"/>
      <c r="W304" s="18"/>
      <c r="X304" s="18"/>
      <c r="Y304" s="18"/>
      <c r="Z304" s="18"/>
      <c r="AA304" s="18"/>
      <c r="AB304" s="18"/>
      <c r="AC304" s="18"/>
      <c r="AD304" s="18"/>
      <c r="AE304" s="18"/>
      <c r="AF304" s="18"/>
      <c r="AG304" s="18"/>
    </row>
    <row r="305" spans="1:33" x14ac:dyDescent="0.2">
      <c r="A305" s="18"/>
      <c r="B305" s="18"/>
      <c r="C305" s="18"/>
      <c r="D305" s="18"/>
      <c r="E305" s="18"/>
      <c r="F305" s="18"/>
      <c r="G305" s="18"/>
      <c r="H305" s="18"/>
      <c r="I305" s="18"/>
      <c r="J305" s="18"/>
      <c r="K305" s="18"/>
      <c r="L305" s="18"/>
      <c r="M305" s="18"/>
      <c r="N305" s="18"/>
      <c r="O305" s="1316"/>
      <c r="P305" s="18"/>
      <c r="Q305" s="18"/>
      <c r="R305" s="18"/>
      <c r="S305" s="18"/>
      <c r="T305" s="18"/>
      <c r="U305" s="18"/>
      <c r="V305" s="18"/>
      <c r="W305" s="18"/>
      <c r="X305" s="18"/>
      <c r="Y305" s="18"/>
      <c r="Z305" s="18"/>
      <c r="AA305" s="18"/>
      <c r="AB305" s="18"/>
      <c r="AC305" s="18"/>
      <c r="AD305" s="18"/>
      <c r="AE305" s="18"/>
      <c r="AF305" s="18"/>
      <c r="AG305" s="18"/>
    </row>
    <row r="306" spans="1:33" x14ac:dyDescent="0.2">
      <c r="A306" s="18"/>
      <c r="B306" s="18"/>
      <c r="C306" s="18"/>
      <c r="D306" s="18"/>
      <c r="E306" s="18"/>
      <c r="F306" s="18"/>
      <c r="G306" s="18"/>
      <c r="H306" s="18"/>
      <c r="I306" s="18"/>
      <c r="J306" s="18"/>
      <c r="K306" s="18"/>
      <c r="L306" s="18"/>
      <c r="M306" s="18"/>
      <c r="N306" s="18"/>
      <c r="O306" s="1316"/>
      <c r="P306" s="18"/>
      <c r="Q306" s="18"/>
      <c r="R306" s="18"/>
      <c r="S306" s="18"/>
      <c r="T306" s="18"/>
      <c r="U306" s="18"/>
      <c r="V306" s="18"/>
      <c r="W306" s="18"/>
      <c r="X306" s="18"/>
      <c r="Y306" s="18"/>
      <c r="Z306" s="18"/>
      <c r="AA306" s="18"/>
      <c r="AB306" s="18"/>
      <c r="AC306" s="18"/>
      <c r="AD306" s="18"/>
      <c r="AE306" s="18"/>
      <c r="AF306" s="18"/>
      <c r="AG306" s="18"/>
    </row>
    <row r="307" spans="1:33" x14ac:dyDescent="0.2">
      <c r="A307" s="18"/>
      <c r="B307" s="18"/>
      <c r="C307" s="18"/>
      <c r="D307" s="18"/>
      <c r="E307" s="18"/>
      <c r="F307" s="18"/>
      <c r="G307" s="18"/>
      <c r="H307" s="18"/>
      <c r="I307" s="18"/>
      <c r="J307" s="18"/>
      <c r="K307" s="18"/>
      <c r="L307" s="18"/>
      <c r="M307" s="18"/>
      <c r="N307" s="18"/>
      <c r="O307" s="1316"/>
      <c r="P307" s="18"/>
      <c r="Q307" s="18"/>
      <c r="R307" s="18"/>
      <c r="S307" s="18"/>
      <c r="T307" s="18"/>
      <c r="U307" s="18"/>
      <c r="V307" s="18"/>
      <c r="W307" s="18"/>
      <c r="X307" s="18"/>
      <c r="Y307" s="18"/>
      <c r="Z307" s="18"/>
      <c r="AA307" s="18"/>
      <c r="AB307" s="18"/>
      <c r="AC307" s="18"/>
      <c r="AD307" s="18"/>
      <c r="AE307" s="18"/>
      <c r="AF307" s="18"/>
      <c r="AG307" s="18"/>
    </row>
    <row r="308" spans="1:33" x14ac:dyDescent="0.2">
      <c r="A308" s="18"/>
      <c r="B308" s="18"/>
      <c r="C308" s="18"/>
      <c r="D308" s="18"/>
      <c r="E308" s="18"/>
      <c r="F308" s="18"/>
      <c r="G308" s="18"/>
      <c r="H308" s="18"/>
      <c r="I308" s="18"/>
      <c r="J308" s="18"/>
      <c r="K308" s="18"/>
      <c r="L308" s="18"/>
      <c r="M308" s="18"/>
      <c r="N308" s="18"/>
      <c r="O308" s="1316"/>
      <c r="P308" s="18"/>
      <c r="Q308" s="18"/>
      <c r="R308" s="18"/>
      <c r="S308" s="18"/>
      <c r="T308" s="18"/>
      <c r="U308" s="18"/>
      <c r="V308" s="18"/>
      <c r="W308" s="18"/>
      <c r="X308" s="18"/>
      <c r="Y308" s="18"/>
      <c r="Z308" s="18"/>
      <c r="AA308" s="18"/>
      <c r="AB308" s="18"/>
      <c r="AC308" s="18"/>
      <c r="AD308" s="18"/>
      <c r="AE308" s="18"/>
      <c r="AF308" s="18"/>
      <c r="AG308" s="18"/>
    </row>
    <row r="309" spans="1:33" x14ac:dyDescent="0.2">
      <c r="A309" s="18"/>
      <c r="B309" s="18"/>
      <c r="C309" s="18"/>
      <c r="D309" s="18"/>
      <c r="E309" s="18"/>
      <c r="F309" s="18"/>
      <c r="G309" s="18"/>
      <c r="H309" s="18"/>
      <c r="I309" s="18"/>
      <c r="J309" s="18"/>
      <c r="K309" s="18"/>
      <c r="L309" s="18"/>
      <c r="M309" s="18"/>
      <c r="N309" s="18"/>
      <c r="O309" s="1316"/>
      <c r="P309" s="18"/>
      <c r="Q309" s="18"/>
      <c r="R309" s="18"/>
      <c r="S309" s="18"/>
      <c r="T309" s="18"/>
      <c r="U309" s="18"/>
      <c r="V309" s="18"/>
      <c r="W309" s="18"/>
      <c r="X309" s="18"/>
      <c r="Y309" s="18"/>
      <c r="Z309" s="18"/>
      <c r="AA309" s="18"/>
      <c r="AB309" s="18"/>
      <c r="AC309" s="18"/>
      <c r="AD309" s="18"/>
      <c r="AE309" s="18"/>
      <c r="AF309" s="18"/>
      <c r="AG309" s="18"/>
    </row>
    <row r="310" spans="1:33" x14ac:dyDescent="0.2">
      <c r="A310" s="18"/>
      <c r="B310" s="18"/>
      <c r="C310" s="18"/>
      <c r="D310" s="18"/>
      <c r="E310" s="18"/>
      <c r="F310" s="18"/>
      <c r="G310" s="18"/>
      <c r="H310" s="18"/>
      <c r="I310" s="18"/>
      <c r="J310" s="18"/>
      <c r="K310" s="18"/>
      <c r="L310" s="18"/>
      <c r="M310" s="18"/>
      <c r="N310" s="18"/>
      <c r="O310" s="1316"/>
      <c r="P310" s="18"/>
      <c r="Q310" s="18"/>
      <c r="R310" s="18"/>
      <c r="S310" s="18"/>
      <c r="T310" s="18"/>
      <c r="U310" s="18"/>
      <c r="V310" s="18"/>
      <c r="W310" s="18"/>
      <c r="X310" s="18"/>
      <c r="Y310" s="18"/>
      <c r="Z310" s="18"/>
      <c r="AA310" s="18"/>
      <c r="AB310" s="18"/>
      <c r="AC310" s="18"/>
      <c r="AD310" s="18"/>
      <c r="AE310" s="18"/>
      <c r="AF310" s="18"/>
      <c r="AG310" s="18"/>
    </row>
    <row r="311" spans="1:33" x14ac:dyDescent="0.2">
      <c r="A311" s="18"/>
      <c r="B311" s="18"/>
      <c r="C311" s="18"/>
      <c r="D311" s="18"/>
      <c r="E311" s="18"/>
      <c r="F311" s="18"/>
      <c r="G311" s="18"/>
      <c r="H311" s="18"/>
      <c r="I311" s="18"/>
      <c r="J311" s="18"/>
      <c r="K311" s="18"/>
      <c r="L311" s="18"/>
      <c r="M311" s="18"/>
      <c r="N311" s="18"/>
      <c r="O311" s="1316"/>
      <c r="P311" s="18"/>
      <c r="Q311" s="18"/>
      <c r="R311" s="18"/>
      <c r="S311" s="18"/>
      <c r="T311" s="18"/>
      <c r="U311" s="18"/>
      <c r="V311" s="18"/>
      <c r="W311" s="18"/>
      <c r="X311" s="18"/>
      <c r="Y311" s="18"/>
      <c r="Z311" s="18"/>
      <c r="AA311" s="18"/>
      <c r="AB311" s="18"/>
      <c r="AC311" s="18"/>
      <c r="AD311" s="18"/>
      <c r="AE311" s="18"/>
      <c r="AF311" s="18"/>
      <c r="AG311" s="18"/>
    </row>
    <row r="312" spans="1:33" x14ac:dyDescent="0.2">
      <c r="A312" s="18"/>
      <c r="B312" s="18"/>
      <c r="C312" s="18"/>
      <c r="D312" s="18"/>
      <c r="E312" s="18"/>
      <c r="F312" s="18"/>
      <c r="G312" s="18"/>
      <c r="H312" s="18"/>
      <c r="I312" s="18"/>
      <c r="J312" s="18"/>
      <c r="K312" s="18"/>
      <c r="L312" s="18"/>
      <c r="M312" s="18"/>
      <c r="N312" s="18"/>
      <c r="O312" s="1316"/>
      <c r="P312" s="18"/>
      <c r="Q312" s="18"/>
      <c r="R312" s="18"/>
      <c r="S312" s="18"/>
      <c r="T312" s="18"/>
      <c r="U312" s="18"/>
      <c r="V312" s="18"/>
      <c r="W312" s="18"/>
      <c r="X312" s="18"/>
      <c r="Y312" s="18"/>
      <c r="Z312" s="18"/>
      <c r="AA312" s="18"/>
      <c r="AB312" s="18"/>
      <c r="AC312" s="18"/>
      <c r="AD312" s="18"/>
      <c r="AE312" s="18"/>
      <c r="AF312" s="18"/>
      <c r="AG312" s="18"/>
    </row>
    <row r="313" spans="1:33" x14ac:dyDescent="0.2">
      <c r="A313" s="18"/>
      <c r="B313" s="18"/>
      <c r="C313" s="18"/>
      <c r="D313" s="18"/>
      <c r="E313" s="18"/>
      <c r="F313" s="18"/>
      <c r="G313" s="18"/>
      <c r="H313" s="18"/>
      <c r="I313" s="18"/>
      <c r="J313" s="18"/>
      <c r="K313" s="18"/>
      <c r="L313" s="18"/>
      <c r="M313" s="18"/>
      <c r="N313" s="18"/>
      <c r="O313" s="1316"/>
      <c r="P313" s="18"/>
      <c r="Q313" s="18"/>
      <c r="R313" s="18"/>
      <c r="S313" s="18"/>
      <c r="T313" s="18"/>
      <c r="U313" s="18"/>
      <c r="V313" s="18"/>
      <c r="W313" s="18"/>
      <c r="X313" s="18"/>
      <c r="Y313" s="18"/>
      <c r="Z313" s="18"/>
      <c r="AA313" s="18"/>
      <c r="AB313" s="18"/>
      <c r="AC313" s="18"/>
      <c r="AD313" s="18"/>
      <c r="AE313" s="18"/>
      <c r="AF313" s="18"/>
      <c r="AG313" s="18"/>
    </row>
    <row r="314" spans="1:33" x14ac:dyDescent="0.2">
      <c r="A314" s="18"/>
      <c r="B314" s="18"/>
      <c r="C314" s="18"/>
      <c r="D314" s="18"/>
      <c r="E314" s="18"/>
      <c r="F314" s="18"/>
      <c r="G314" s="18"/>
      <c r="H314" s="18"/>
      <c r="I314" s="18"/>
      <c r="J314" s="18"/>
      <c r="K314" s="18"/>
      <c r="L314" s="18"/>
      <c r="M314" s="18"/>
      <c r="N314" s="18"/>
      <c r="O314" s="1316"/>
      <c r="P314" s="18"/>
      <c r="Q314" s="18"/>
      <c r="R314" s="18"/>
      <c r="S314" s="18"/>
      <c r="T314" s="18"/>
      <c r="U314" s="18"/>
      <c r="V314" s="18"/>
      <c r="W314" s="18"/>
      <c r="X314" s="18"/>
      <c r="Y314" s="18"/>
      <c r="Z314" s="18"/>
      <c r="AA314" s="18"/>
      <c r="AB314" s="18"/>
      <c r="AC314" s="18"/>
      <c r="AD314" s="18"/>
      <c r="AE314" s="18"/>
      <c r="AF314" s="18"/>
      <c r="AG314" s="18"/>
    </row>
    <row r="315" spans="1:33" x14ac:dyDescent="0.2">
      <c r="A315" s="18"/>
      <c r="B315" s="18"/>
      <c r="C315" s="18"/>
      <c r="D315" s="18"/>
      <c r="E315" s="18"/>
      <c r="F315" s="18"/>
      <c r="G315" s="18"/>
      <c r="H315" s="18"/>
      <c r="I315" s="18"/>
      <c r="J315" s="18"/>
      <c r="K315" s="18"/>
      <c r="L315" s="18"/>
      <c r="M315" s="18"/>
      <c r="N315" s="18"/>
      <c r="O315" s="1316"/>
      <c r="P315" s="18"/>
      <c r="Q315" s="18"/>
      <c r="R315" s="18"/>
      <c r="S315" s="18"/>
      <c r="T315" s="18"/>
      <c r="U315" s="18"/>
      <c r="V315" s="18"/>
      <c r="W315" s="18"/>
      <c r="X315" s="18"/>
      <c r="Y315" s="18"/>
      <c r="Z315" s="18"/>
      <c r="AA315" s="18"/>
      <c r="AB315" s="18"/>
      <c r="AC315" s="18"/>
      <c r="AD315" s="18"/>
      <c r="AE315" s="18"/>
      <c r="AF315" s="18"/>
      <c r="AG315" s="18"/>
    </row>
    <row r="316" spans="1:33" x14ac:dyDescent="0.2">
      <c r="A316" s="18"/>
      <c r="B316" s="18"/>
      <c r="C316" s="18"/>
      <c r="D316" s="18"/>
      <c r="E316" s="18"/>
      <c r="F316" s="18"/>
      <c r="G316" s="18"/>
      <c r="H316" s="18"/>
      <c r="I316" s="18"/>
      <c r="J316" s="18"/>
      <c r="K316" s="18"/>
      <c r="L316" s="18"/>
      <c r="M316" s="18"/>
      <c r="N316" s="18"/>
      <c r="O316" s="1316"/>
      <c r="P316" s="18"/>
      <c r="Q316" s="18"/>
      <c r="R316" s="18"/>
      <c r="S316" s="18"/>
      <c r="T316" s="18"/>
      <c r="U316" s="18"/>
      <c r="V316" s="18"/>
      <c r="W316" s="18"/>
      <c r="X316" s="18"/>
      <c r="Y316" s="18"/>
      <c r="Z316" s="18"/>
      <c r="AA316" s="18"/>
      <c r="AB316" s="18"/>
      <c r="AC316" s="18"/>
      <c r="AD316" s="18"/>
      <c r="AE316" s="18"/>
      <c r="AF316" s="18"/>
      <c r="AG316" s="18"/>
    </row>
    <row r="317" spans="1:33" x14ac:dyDescent="0.2">
      <c r="A317" s="18"/>
      <c r="B317" s="18"/>
      <c r="C317" s="18"/>
      <c r="D317" s="18"/>
      <c r="E317" s="18"/>
      <c r="F317" s="18"/>
      <c r="G317" s="18"/>
      <c r="H317" s="18"/>
      <c r="I317" s="18"/>
      <c r="J317" s="18"/>
      <c r="K317" s="18"/>
      <c r="L317" s="18"/>
      <c r="M317" s="18"/>
      <c r="N317" s="18"/>
      <c r="O317" s="1316"/>
      <c r="P317" s="18"/>
      <c r="Q317" s="18"/>
      <c r="R317" s="18"/>
      <c r="S317" s="18"/>
      <c r="T317" s="18"/>
      <c r="U317" s="18"/>
      <c r="V317" s="18"/>
      <c r="W317" s="18"/>
      <c r="X317" s="18"/>
      <c r="Y317" s="18"/>
      <c r="Z317" s="18"/>
      <c r="AA317" s="18"/>
      <c r="AB317" s="18"/>
      <c r="AC317" s="18"/>
      <c r="AD317" s="18"/>
      <c r="AE317" s="18"/>
      <c r="AF317" s="18"/>
      <c r="AG317" s="18"/>
    </row>
    <row r="318" spans="1:33" x14ac:dyDescent="0.2">
      <c r="A318" s="18"/>
      <c r="B318" s="18"/>
      <c r="C318" s="18"/>
      <c r="D318" s="18"/>
      <c r="E318" s="18"/>
      <c r="F318" s="18"/>
      <c r="G318" s="18"/>
      <c r="H318" s="18"/>
      <c r="I318" s="18"/>
      <c r="J318" s="18"/>
      <c r="K318" s="18"/>
      <c r="L318" s="18"/>
      <c r="M318" s="18"/>
      <c r="N318" s="18"/>
      <c r="O318" s="1316"/>
      <c r="P318" s="18"/>
      <c r="Q318" s="18"/>
      <c r="R318" s="18"/>
      <c r="S318" s="18"/>
      <c r="T318" s="18"/>
      <c r="U318" s="18"/>
      <c r="V318" s="18"/>
      <c r="W318" s="18"/>
      <c r="X318" s="18"/>
      <c r="Y318" s="18"/>
      <c r="Z318" s="18"/>
      <c r="AA318" s="18"/>
      <c r="AB318" s="18"/>
      <c r="AC318" s="18"/>
      <c r="AD318" s="18"/>
      <c r="AE318" s="18"/>
      <c r="AF318" s="18"/>
      <c r="AG318" s="18"/>
    </row>
    <row r="319" spans="1:33" x14ac:dyDescent="0.2">
      <c r="A319" s="18"/>
      <c r="B319" s="18"/>
      <c r="C319" s="18"/>
      <c r="D319" s="18"/>
      <c r="E319" s="18"/>
      <c r="F319" s="18"/>
      <c r="G319" s="18"/>
      <c r="H319" s="18"/>
      <c r="I319" s="18"/>
      <c r="J319" s="18"/>
      <c r="K319" s="18"/>
      <c r="L319" s="18"/>
      <c r="M319" s="18"/>
      <c r="N319" s="18"/>
      <c r="O319" s="1316"/>
      <c r="P319" s="18"/>
      <c r="Q319" s="18"/>
      <c r="R319" s="18"/>
      <c r="S319" s="18"/>
      <c r="T319" s="18"/>
      <c r="U319" s="18"/>
      <c r="V319" s="18"/>
      <c r="W319" s="18"/>
      <c r="X319" s="18"/>
      <c r="Y319" s="18"/>
      <c r="Z319" s="18"/>
      <c r="AA319" s="18"/>
      <c r="AB319" s="18"/>
      <c r="AC319" s="18"/>
      <c r="AD319" s="18"/>
      <c r="AE319" s="18"/>
      <c r="AF319" s="18"/>
      <c r="AG319" s="18"/>
    </row>
    <row r="320" spans="1:33" x14ac:dyDescent="0.2">
      <c r="A320" s="18"/>
      <c r="B320" s="18"/>
      <c r="C320" s="18"/>
      <c r="D320" s="18"/>
      <c r="E320" s="18"/>
      <c r="F320" s="18"/>
      <c r="G320" s="18"/>
      <c r="H320" s="18"/>
      <c r="I320" s="18"/>
      <c r="J320" s="18"/>
      <c r="K320" s="18"/>
      <c r="L320" s="18"/>
      <c r="M320" s="18"/>
      <c r="N320" s="18"/>
      <c r="O320" s="1316"/>
      <c r="P320" s="18"/>
      <c r="Q320" s="18"/>
      <c r="R320" s="18"/>
      <c r="S320" s="18"/>
      <c r="T320" s="18"/>
      <c r="U320" s="18"/>
      <c r="V320" s="18"/>
      <c r="W320" s="18"/>
      <c r="X320" s="18"/>
      <c r="Y320" s="18"/>
      <c r="Z320" s="18"/>
      <c r="AA320" s="18"/>
      <c r="AB320" s="18"/>
      <c r="AC320" s="18"/>
      <c r="AD320" s="18"/>
      <c r="AE320" s="18"/>
      <c r="AF320" s="18"/>
      <c r="AG320" s="18"/>
    </row>
    <row r="321" spans="1:33" x14ac:dyDescent="0.2">
      <c r="A321" s="18"/>
      <c r="B321" s="18"/>
      <c r="C321" s="18"/>
      <c r="D321" s="18"/>
      <c r="E321" s="18"/>
      <c r="F321" s="18"/>
      <c r="G321" s="18"/>
      <c r="H321" s="18"/>
      <c r="I321" s="18"/>
      <c r="J321" s="18"/>
      <c r="K321" s="18"/>
      <c r="L321" s="18"/>
      <c r="M321" s="18"/>
      <c r="N321" s="18"/>
      <c r="O321" s="1316"/>
      <c r="P321" s="18"/>
      <c r="Q321" s="18"/>
      <c r="R321" s="18"/>
      <c r="S321" s="18"/>
      <c r="T321" s="18"/>
      <c r="U321" s="18"/>
      <c r="V321" s="18"/>
      <c r="W321" s="18"/>
      <c r="X321" s="18"/>
      <c r="Y321" s="18"/>
      <c r="Z321" s="18"/>
      <c r="AA321" s="18"/>
      <c r="AB321" s="18"/>
      <c r="AC321" s="18"/>
      <c r="AD321" s="18"/>
      <c r="AE321" s="18"/>
      <c r="AF321" s="18"/>
      <c r="AG321" s="18"/>
    </row>
    <row r="322" spans="1:33" x14ac:dyDescent="0.2">
      <c r="A322" s="18"/>
      <c r="B322" s="18"/>
      <c r="C322" s="18"/>
      <c r="D322" s="18"/>
      <c r="E322" s="18"/>
      <c r="F322" s="18"/>
      <c r="G322" s="18"/>
      <c r="H322" s="18"/>
      <c r="I322" s="18"/>
      <c r="J322" s="18"/>
      <c r="K322" s="18"/>
      <c r="L322" s="18"/>
      <c r="M322" s="18"/>
      <c r="N322" s="18"/>
      <c r="O322" s="1316"/>
      <c r="P322" s="18"/>
      <c r="Q322" s="18"/>
      <c r="R322" s="18"/>
      <c r="S322" s="18"/>
      <c r="T322" s="18"/>
      <c r="U322" s="18"/>
      <c r="V322" s="18"/>
      <c r="W322" s="18"/>
      <c r="X322" s="18"/>
      <c r="Y322" s="18"/>
      <c r="Z322" s="18"/>
      <c r="AA322" s="18"/>
      <c r="AB322" s="18"/>
      <c r="AC322" s="18"/>
      <c r="AD322" s="18"/>
      <c r="AE322" s="18"/>
      <c r="AF322" s="18"/>
      <c r="AG322" s="18"/>
    </row>
    <row r="323" spans="1:33" x14ac:dyDescent="0.2">
      <c r="A323" s="18"/>
      <c r="B323" s="18"/>
      <c r="C323" s="18"/>
      <c r="D323" s="18"/>
      <c r="E323" s="18"/>
      <c r="F323" s="18"/>
      <c r="G323" s="18"/>
      <c r="H323" s="18"/>
      <c r="I323" s="18"/>
      <c r="J323" s="18"/>
      <c r="K323" s="18"/>
      <c r="L323" s="18"/>
      <c r="M323" s="18"/>
      <c r="N323" s="18"/>
      <c r="O323" s="1316"/>
      <c r="P323" s="18"/>
      <c r="Q323" s="18"/>
      <c r="R323" s="18"/>
      <c r="S323" s="18"/>
      <c r="T323" s="18"/>
      <c r="U323" s="18"/>
      <c r="V323" s="18"/>
      <c r="W323" s="18"/>
      <c r="X323" s="18"/>
      <c r="Y323" s="18"/>
      <c r="Z323" s="18"/>
      <c r="AA323" s="18"/>
      <c r="AB323" s="18"/>
      <c r="AC323" s="18"/>
      <c r="AD323" s="18"/>
      <c r="AE323" s="18"/>
      <c r="AF323" s="18"/>
      <c r="AG323" s="18"/>
    </row>
    <row r="324" spans="1:33" x14ac:dyDescent="0.2">
      <c r="A324" s="18"/>
      <c r="B324" s="18"/>
      <c r="C324" s="18"/>
      <c r="D324" s="18"/>
      <c r="E324" s="18"/>
      <c r="F324" s="18"/>
      <c r="G324" s="18"/>
      <c r="H324" s="18"/>
      <c r="I324" s="18"/>
      <c r="J324" s="18"/>
      <c r="K324" s="18"/>
      <c r="L324" s="18"/>
      <c r="M324" s="18"/>
      <c r="N324" s="18"/>
      <c r="O324" s="1316"/>
      <c r="P324" s="18"/>
      <c r="Q324" s="18"/>
      <c r="R324" s="18"/>
      <c r="S324" s="18"/>
      <c r="T324" s="18"/>
      <c r="U324" s="18"/>
      <c r="V324" s="18"/>
      <c r="W324" s="18"/>
      <c r="X324" s="18"/>
      <c r="Y324" s="18"/>
      <c r="Z324" s="18"/>
      <c r="AA324" s="18"/>
      <c r="AB324" s="18"/>
      <c r="AC324" s="18"/>
      <c r="AD324" s="18"/>
      <c r="AE324" s="18"/>
      <c r="AF324" s="18"/>
      <c r="AG324" s="18"/>
    </row>
    <row r="325" spans="1:33" x14ac:dyDescent="0.2">
      <c r="A325" s="18"/>
      <c r="B325" s="18"/>
      <c r="C325" s="18"/>
      <c r="D325" s="18"/>
      <c r="E325" s="18"/>
      <c r="F325" s="18"/>
      <c r="G325" s="18"/>
      <c r="H325" s="18"/>
      <c r="I325" s="18"/>
      <c r="J325" s="18"/>
      <c r="K325" s="18"/>
      <c r="L325" s="18"/>
      <c r="M325" s="18"/>
      <c r="N325" s="18"/>
      <c r="O325" s="1316"/>
      <c r="P325" s="18"/>
      <c r="Q325" s="18"/>
      <c r="R325" s="18"/>
      <c r="S325" s="18"/>
      <c r="T325" s="18"/>
      <c r="U325" s="18"/>
      <c r="V325" s="18"/>
      <c r="W325" s="18"/>
      <c r="X325" s="18"/>
      <c r="Y325" s="18"/>
      <c r="Z325" s="18"/>
      <c r="AA325" s="18"/>
      <c r="AB325" s="18"/>
      <c r="AC325" s="18"/>
      <c r="AD325" s="18"/>
      <c r="AE325" s="18"/>
      <c r="AF325" s="18"/>
      <c r="AG325" s="18"/>
    </row>
    <row r="326" spans="1:33" x14ac:dyDescent="0.2">
      <c r="A326" s="18"/>
      <c r="B326" s="18"/>
      <c r="C326" s="18"/>
      <c r="D326" s="18"/>
      <c r="E326" s="18"/>
      <c r="F326" s="18"/>
      <c r="G326" s="18"/>
      <c r="H326" s="18"/>
      <c r="I326" s="18"/>
      <c r="J326" s="18"/>
      <c r="K326" s="18"/>
      <c r="L326" s="18"/>
      <c r="M326" s="18"/>
      <c r="N326" s="18"/>
      <c r="O326" s="1316"/>
      <c r="P326" s="18"/>
      <c r="Q326" s="18"/>
      <c r="R326" s="18"/>
      <c r="S326" s="18"/>
      <c r="T326" s="18"/>
      <c r="U326" s="18"/>
      <c r="V326" s="18"/>
      <c r="W326" s="18"/>
      <c r="X326" s="18"/>
      <c r="Y326" s="18"/>
      <c r="Z326" s="18"/>
      <c r="AA326" s="18"/>
      <c r="AB326" s="18"/>
      <c r="AC326" s="18"/>
      <c r="AD326" s="18"/>
      <c r="AE326" s="18"/>
      <c r="AF326" s="18"/>
      <c r="AG326" s="18"/>
    </row>
    <row r="327" spans="1:33" x14ac:dyDescent="0.2">
      <c r="A327" s="18"/>
      <c r="B327" s="18"/>
      <c r="C327" s="18"/>
      <c r="D327" s="18"/>
      <c r="E327" s="18"/>
      <c r="F327" s="18"/>
      <c r="G327" s="18"/>
      <c r="H327" s="18"/>
      <c r="I327" s="18"/>
      <c r="J327" s="18"/>
      <c r="K327" s="18"/>
      <c r="L327" s="18"/>
      <c r="M327" s="18"/>
      <c r="N327" s="18"/>
      <c r="O327" s="1316"/>
      <c r="P327" s="18"/>
      <c r="Q327" s="18"/>
      <c r="R327" s="18"/>
      <c r="S327" s="18"/>
      <c r="T327" s="18"/>
      <c r="U327" s="18"/>
      <c r="V327" s="18"/>
      <c r="W327" s="18"/>
      <c r="X327" s="18"/>
      <c r="Y327" s="18"/>
      <c r="Z327" s="18"/>
      <c r="AA327" s="18"/>
      <c r="AB327" s="18"/>
      <c r="AC327" s="18"/>
      <c r="AD327" s="18"/>
      <c r="AE327" s="18"/>
      <c r="AF327" s="18"/>
      <c r="AG327" s="18"/>
    </row>
    <row r="328" spans="1:33" x14ac:dyDescent="0.2">
      <c r="A328" s="18"/>
      <c r="B328" s="18"/>
      <c r="C328" s="18"/>
      <c r="D328" s="18"/>
      <c r="E328" s="18"/>
      <c r="F328" s="18"/>
      <c r="G328" s="18"/>
      <c r="H328" s="18"/>
      <c r="I328" s="18"/>
      <c r="J328" s="18"/>
      <c r="K328" s="18"/>
      <c r="L328" s="18"/>
      <c r="M328" s="18"/>
      <c r="N328" s="18"/>
      <c r="O328" s="1316"/>
      <c r="P328" s="18"/>
      <c r="Q328" s="18"/>
      <c r="R328" s="18"/>
      <c r="S328" s="18"/>
      <c r="T328" s="18"/>
      <c r="U328" s="18"/>
      <c r="V328" s="18"/>
      <c r="W328" s="18"/>
      <c r="X328" s="18"/>
      <c r="Y328" s="18"/>
      <c r="Z328" s="18"/>
      <c r="AA328" s="18"/>
      <c r="AB328" s="18"/>
      <c r="AC328" s="18"/>
      <c r="AD328" s="18"/>
      <c r="AE328" s="18"/>
      <c r="AF328" s="18"/>
      <c r="AG328" s="18"/>
    </row>
    <row r="329" spans="1:33" x14ac:dyDescent="0.2">
      <c r="A329" s="18"/>
      <c r="B329" s="18"/>
      <c r="C329" s="18"/>
      <c r="D329" s="18"/>
      <c r="E329" s="18"/>
      <c r="F329" s="18"/>
      <c r="G329" s="18"/>
      <c r="H329" s="18"/>
      <c r="I329" s="18"/>
      <c r="J329" s="18"/>
      <c r="K329" s="18"/>
      <c r="L329" s="18"/>
      <c r="M329" s="18"/>
      <c r="N329" s="18"/>
      <c r="O329" s="1316"/>
      <c r="P329" s="18"/>
      <c r="Q329" s="18"/>
      <c r="R329" s="18"/>
      <c r="S329" s="18"/>
      <c r="T329" s="18"/>
      <c r="U329" s="18"/>
      <c r="V329" s="18"/>
      <c r="W329" s="18"/>
      <c r="X329" s="18"/>
      <c r="Y329" s="18"/>
      <c r="Z329" s="18"/>
      <c r="AA329" s="18"/>
      <c r="AB329" s="18"/>
      <c r="AC329" s="18"/>
      <c r="AD329" s="18"/>
      <c r="AE329" s="18"/>
      <c r="AF329" s="18"/>
      <c r="AG329" s="18"/>
    </row>
    <row r="330" spans="1:33" x14ac:dyDescent="0.2">
      <c r="A330" s="18"/>
      <c r="B330" s="18"/>
      <c r="C330" s="18"/>
      <c r="D330" s="18"/>
      <c r="E330" s="18"/>
      <c r="F330" s="18"/>
      <c r="G330" s="18"/>
      <c r="H330" s="18"/>
      <c r="I330" s="18"/>
      <c r="J330" s="18"/>
      <c r="K330" s="18"/>
      <c r="L330" s="18"/>
      <c r="M330" s="18"/>
      <c r="N330" s="18"/>
      <c r="O330" s="1316"/>
      <c r="P330" s="18"/>
      <c r="Q330" s="18"/>
      <c r="R330" s="18"/>
      <c r="S330" s="18"/>
      <c r="T330" s="18"/>
      <c r="U330" s="18"/>
      <c r="V330" s="18"/>
      <c r="W330" s="18"/>
      <c r="X330" s="18"/>
      <c r="Y330" s="18"/>
      <c r="Z330" s="18"/>
      <c r="AA330" s="18"/>
      <c r="AB330" s="18"/>
      <c r="AC330" s="18"/>
      <c r="AD330" s="18"/>
      <c r="AE330" s="18"/>
      <c r="AF330" s="18"/>
      <c r="AG330" s="18"/>
    </row>
    <row r="331" spans="1:33" x14ac:dyDescent="0.2">
      <c r="A331" s="18"/>
      <c r="B331" s="18"/>
      <c r="C331" s="18"/>
      <c r="D331" s="18"/>
      <c r="E331" s="18"/>
      <c r="F331" s="18"/>
      <c r="G331" s="18"/>
      <c r="H331" s="18"/>
      <c r="I331" s="18"/>
      <c r="J331" s="18"/>
      <c r="K331" s="18"/>
      <c r="L331" s="18"/>
      <c r="M331" s="18"/>
      <c r="N331" s="18"/>
      <c r="O331" s="1316"/>
      <c r="P331" s="18"/>
      <c r="Q331" s="18"/>
      <c r="R331" s="18"/>
      <c r="S331" s="18"/>
      <c r="T331" s="18"/>
      <c r="U331" s="18"/>
      <c r="V331" s="18"/>
      <c r="W331" s="18"/>
      <c r="X331" s="18"/>
      <c r="Y331" s="18"/>
      <c r="Z331" s="18"/>
      <c r="AA331" s="18"/>
      <c r="AB331" s="18"/>
      <c r="AC331" s="18"/>
      <c r="AD331" s="18"/>
      <c r="AE331" s="18"/>
      <c r="AF331" s="18"/>
      <c r="AG331" s="18"/>
    </row>
    <row r="332" spans="1:33" x14ac:dyDescent="0.2">
      <c r="A332" s="18"/>
      <c r="B332" s="18"/>
      <c r="C332" s="18"/>
      <c r="D332" s="18"/>
      <c r="E332" s="18"/>
      <c r="F332" s="18"/>
      <c r="G332" s="18"/>
      <c r="H332" s="18"/>
      <c r="I332" s="18"/>
      <c r="J332" s="18"/>
      <c r="K332" s="18"/>
      <c r="L332" s="18"/>
      <c r="M332" s="18"/>
      <c r="N332" s="18"/>
      <c r="O332" s="1316"/>
      <c r="P332" s="18"/>
      <c r="Q332" s="18"/>
      <c r="R332" s="18"/>
      <c r="S332" s="18"/>
      <c r="T332" s="18"/>
      <c r="U332" s="18"/>
      <c r="V332" s="18"/>
      <c r="W332" s="18"/>
      <c r="X332" s="18"/>
      <c r="Y332" s="18"/>
      <c r="Z332" s="18"/>
      <c r="AA332" s="18"/>
      <c r="AB332" s="18"/>
      <c r="AC332" s="18"/>
      <c r="AD332" s="18"/>
      <c r="AE332" s="18"/>
      <c r="AF332" s="18"/>
      <c r="AG332" s="18"/>
    </row>
    <row r="333" spans="1:33" x14ac:dyDescent="0.2">
      <c r="A333" s="18"/>
      <c r="B333" s="18"/>
      <c r="C333" s="18"/>
      <c r="D333" s="18"/>
      <c r="E333" s="18"/>
      <c r="F333" s="18"/>
      <c r="G333" s="18"/>
      <c r="H333" s="18"/>
      <c r="I333" s="18"/>
      <c r="J333" s="18"/>
      <c r="K333" s="18"/>
      <c r="L333" s="18"/>
      <c r="M333" s="18"/>
      <c r="N333" s="18"/>
      <c r="O333" s="1316"/>
      <c r="P333" s="18"/>
      <c r="Q333" s="18"/>
      <c r="R333" s="18"/>
      <c r="S333" s="18"/>
      <c r="T333" s="18"/>
      <c r="U333" s="18"/>
      <c r="V333" s="18"/>
      <c r="W333" s="18"/>
      <c r="X333" s="18"/>
      <c r="Y333" s="18"/>
      <c r="Z333" s="18"/>
      <c r="AA333" s="18"/>
      <c r="AB333" s="18"/>
      <c r="AC333" s="18"/>
      <c r="AD333" s="18"/>
      <c r="AE333" s="18"/>
      <c r="AF333" s="18"/>
      <c r="AG333" s="18"/>
    </row>
    <row r="334" spans="1:33" x14ac:dyDescent="0.2">
      <c r="A334" s="18"/>
      <c r="B334" s="18"/>
      <c r="C334" s="18"/>
      <c r="D334" s="18"/>
      <c r="E334" s="18"/>
      <c r="F334" s="18"/>
      <c r="G334" s="18"/>
      <c r="H334" s="18"/>
      <c r="I334" s="18"/>
      <c r="J334" s="18"/>
      <c r="K334" s="18"/>
      <c r="L334" s="18"/>
      <c r="M334" s="18"/>
      <c r="N334" s="18"/>
      <c r="O334" s="1316"/>
      <c r="P334" s="18"/>
      <c r="Q334" s="18"/>
      <c r="R334" s="18"/>
      <c r="S334" s="18"/>
      <c r="T334" s="18"/>
      <c r="U334" s="18"/>
      <c r="V334" s="18"/>
      <c r="W334" s="18"/>
      <c r="X334" s="18"/>
      <c r="Y334" s="18"/>
      <c r="Z334" s="18"/>
      <c r="AA334" s="18"/>
      <c r="AB334" s="18"/>
      <c r="AC334" s="18"/>
      <c r="AD334" s="18"/>
      <c r="AE334" s="18"/>
      <c r="AF334" s="18"/>
      <c r="AG334" s="18"/>
    </row>
    <row r="335" spans="1:33" x14ac:dyDescent="0.2">
      <c r="A335" s="18"/>
      <c r="B335" s="18"/>
      <c r="C335" s="18"/>
      <c r="D335" s="18"/>
      <c r="E335" s="18"/>
      <c r="F335" s="18"/>
      <c r="G335" s="18"/>
      <c r="H335" s="18"/>
      <c r="I335" s="18"/>
      <c r="J335" s="18"/>
      <c r="K335" s="18"/>
      <c r="L335" s="18"/>
      <c r="M335" s="18"/>
      <c r="N335" s="18"/>
      <c r="O335" s="1316"/>
      <c r="P335" s="18"/>
      <c r="Q335" s="18"/>
      <c r="R335" s="18"/>
      <c r="S335" s="18"/>
      <c r="T335" s="18"/>
      <c r="U335" s="18"/>
      <c r="V335" s="18"/>
      <c r="W335" s="18"/>
      <c r="X335" s="18"/>
      <c r="Y335" s="18"/>
      <c r="Z335" s="18"/>
      <c r="AA335" s="18"/>
      <c r="AB335" s="18"/>
      <c r="AC335" s="18"/>
      <c r="AD335" s="18"/>
      <c r="AE335" s="18"/>
      <c r="AF335" s="18"/>
      <c r="AG335" s="18"/>
    </row>
    <row r="336" spans="1:33" x14ac:dyDescent="0.2">
      <c r="A336" s="18"/>
      <c r="B336" s="18"/>
      <c r="C336" s="18"/>
      <c r="D336" s="18"/>
      <c r="E336" s="18"/>
      <c r="F336" s="18"/>
      <c r="G336" s="18"/>
      <c r="H336" s="18"/>
      <c r="I336" s="18"/>
      <c r="J336" s="18"/>
      <c r="K336" s="18"/>
      <c r="L336" s="18"/>
      <c r="M336" s="18"/>
      <c r="N336" s="18"/>
      <c r="O336" s="1316"/>
      <c r="P336" s="18"/>
      <c r="Q336" s="18"/>
      <c r="R336" s="18"/>
      <c r="S336" s="18"/>
      <c r="T336" s="18"/>
      <c r="U336" s="18"/>
      <c r="V336" s="18"/>
      <c r="W336" s="18"/>
      <c r="X336" s="18"/>
      <c r="Y336" s="18"/>
      <c r="Z336" s="18"/>
      <c r="AA336" s="18"/>
      <c r="AB336" s="18"/>
      <c r="AC336" s="18"/>
      <c r="AD336" s="18"/>
      <c r="AE336" s="18"/>
      <c r="AF336" s="18"/>
      <c r="AG336" s="18"/>
    </row>
    <row r="337" spans="1:33" x14ac:dyDescent="0.2">
      <c r="A337" s="18"/>
      <c r="B337" s="18"/>
      <c r="C337" s="18"/>
      <c r="D337" s="18"/>
      <c r="E337" s="18"/>
      <c r="F337" s="18"/>
      <c r="G337" s="18"/>
      <c r="H337" s="18"/>
      <c r="I337" s="18"/>
      <c r="J337" s="18"/>
      <c r="K337" s="18"/>
      <c r="L337" s="18"/>
      <c r="M337" s="18"/>
      <c r="N337" s="18"/>
      <c r="O337" s="1316"/>
      <c r="P337" s="18"/>
      <c r="Q337" s="18"/>
      <c r="R337" s="18"/>
      <c r="S337" s="18"/>
      <c r="T337" s="18"/>
      <c r="U337" s="18"/>
      <c r="V337" s="18"/>
      <c r="W337" s="18"/>
      <c r="X337" s="18"/>
      <c r="Y337" s="18"/>
      <c r="Z337" s="18"/>
      <c r="AA337" s="18"/>
      <c r="AB337" s="18"/>
      <c r="AC337" s="18"/>
      <c r="AD337" s="18"/>
      <c r="AE337" s="18"/>
      <c r="AF337" s="18"/>
      <c r="AG337" s="18"/>
    </row>
    <row r="338" spans="1:33" x14ac:dyDescent="0.2">
      <c r="A338" s="18"/>
      <c r="B338" s="18"/>
      <c r="C338" s="18"/>
      <c r="D338" s="18"/>
      <c r="E338" s="18"/>
      <c r="F338" s="18"/>
      <c r="G338" s="18"/>
      <c r="H338" s="18"/>
      <c r="I338" s="18"/>
      <c r="J338" s="18"/>
      <c r="K338" s="18"/>
      <c r="L338" s="18"/>
      <c r="M338" s="18"/>
      <c r="N338" s="18"/>
      <c r="O338" s="1316"/>
      <c r="P338" s="18"/>
      <c r="Q338" s="18"/>
      <c r="R338" s="18"/>
      <c r="S338" s="18"/>
      <c r="T338" s="18"/>
      <c r="U338" s="18"/>
      <c r="V338" s="18"/>
      <c r="W338" s="18"/>
      <c r="X338" s="18"/>
      <c r="Y338" s="18"/>
      <c r="Z338" s="18"/>
      <c r="AA338" s="18"/>
      <c r="AB338" s="18"/>
      <c r="AC338" s="18"/>
      <c r="AD338" s="18"/>
      <c r="AE338" s="18"/>
      <c r="AF338" s="18"/>
      <c r="AG338" s="18"/>
    </row>
    <row r="339" spans="1:33" x14ac:dyDescent="0.2">
      <c r="A339" s="18"/>
      <c r="B339" s="18"/>
      <c r="C339" s="18"/>
      <c r="D339" s="18"/>
      <c r="E339" s="18"/>
      <c r="F339" s="18"/>
      <c r="G339" s="18"/>
      <c r="H339" s="18"/>
      <c r="I339" s="18"/>
      <c r="J339" s="18"/>
      <c r="K339" s="18"/>
      <c r="L339" s="18"/>
      <c r="M339" s="18"/>
      <c r="N339" s="18"/>
      <c r="O339" s="1316"/>
      <c r="P339" s="18"/>
      <c r="Q339" s="18"/>
      <c r="R339" s="18"/>
      <c r="S339" s="18"/>
      <c r="T339" s="18"/>
      <c r="U339" s="18"/>
      <c r="V339" s="18"/>
      <c r="W339" s="18"/>
      <c r="X339" s="18"/>
      <c r="Y339" s="18"/>
      <c r="Z339" s="18"/>
      <c r="AA339" s="18"/>
      <c r="AB339" s="18"/>
      <c r="AC339" s="18"/>
      <c r="AD339" s="18"/>
      <c r="AE339" s="18"/>
      <c r="AF339" s="18"/>
      <c r="AG339" s="18"/>
    </row>
    <row r="340" spans="1:33" x14ac:dyDescent="0.2">
      <c r="A340" s="18"/>
      <c r="B340" s="18"/>
      <c r="C340" s="18"/>
      <c r="D340" s="18"/>
      <c r="E340" s="18"/>
      <c r="F340" s="18"/>
      <c r="G340" s="18"/>
      <c r="H340" s="18"/>
      <c r="I340" s="18"/>
      <c r="J340" s="18"/>
      <c r="K340" s="18"/>
      <c r="L340" s="18"/>
      <c r="M340" s="18"/>
      <c r="N340" s="18"/>
      <c r="O340" s="1316"/>
      <c r="P340" s="18"/>
      <c r="Q340" s="18"/>
      <c r="R340" s="18"/>
      <c r="S340" s="18"/>
      <c r="T340" s="18"/>
      <c r="U340" s="18"/>
      <c r="V340" s="18"/>
      <c r="W340" s="18"/>
      <c r="X340" s="18"/>
      <c r="Y340" s="18"/>
      <c r="Z340" s="18"/>
      <c r="AA340" s="18"/>
      <c r="AB340" s="18"/>
      <c r="AC340" s="18"/>
      <c r="AD340" s="18"/>
      <c r="AE340" s="18"/>
      <c r="AF340" s="18"/>
      <c r="AG340" s="18"/>
    </row>
    <row r="341" spans="1:33" x14ac:dyDescent="0.2">
      <c r="A341" s="18"/>
      <c r="B341" s="18"/>
      <c r="C341" s="18"/>
      <c r="D341" s="18"/>
      <c r="E341" s="18"/>
      <c r="F341" s="18"/>
      <c r="G341" s="18"/>
      <c r="H341" s="18"/>
      <c r="I341" s="18"/>
      <c r="J341" s="18"/>
      <c r="K341" s="18"/>
      <c r="L341" s="18"/>
      <c r="M341" s="18"/>
      <c r="N341" s="18"/>
      <c r="O341" s="1316"/>
      <c r="P341" s="18"/>
      <c r="Q341" s="18"/>
      <c r="R341" s="18"/>
      <c r="S341" s="18"/>
      <c r="T341" s="18"/>
      <c r="U341" s="18"/>
      <c r="V341" s="18"/>
      <c r="W341" s="18"/>
      <c r="X341" s="18"/>
      <c r="Y341" s="18"/>
      <c r="Z341" s="18"/>
      <c r="AA341" s="18"/>
      <c r="AB341" s="18"/>
      <c r="AC341" s="18"/>
      <c r="AD341" s="18"/>
      <c r="AE341" s="18"/>
      <c r="AF341" s="18"/>
      <c r="AG341" s="18"/>
    </row>
    <row r="342" spans="1:33" x14ac:dyDescent="0.2">
      <c r="A342" s="18"/>
      <c r="B342" s="18"/>
      <c r="C342" s="18"/>
      <c r="D342" s="18"/>
      <c r="E342" s="18"/>
      <c r="F342" s="18"/>
      <c r="G342" s="18"/>
      <c r="H342" s="18"/>
      <c r="I342" s="18"/>
      <c r="J342" s="18"/>
      <c r="K342" s="18"/>
      <c r="L342" s="18"/>
      <c r="M342" s="18"/>
      <c r="N342" s="18"/>
      <c r="O342" s="1316"/>
      <c r="P342" s="18"/>
      <c r="Q342" s="18"/>
      <c r="R342" s="18"/>
      <c r="S342" s="18"/>
      <c r="T342" s="18"/>
      <c r="U342" s="18"/>
      <c r="V342" s="18"/>
      <c r="W342" s="18"/>
      <c r="X342" s="18"/>
      <c r="Y342" s="18"/>
      <c r="Z342" s="18"/>
      <c r="AA342" s="18"/>
      <c r="AB342" s="18"/>
      <c r="AC342" s="18"/>
      <c r="AD342" s="18"/>
      <c r="AE342" s="18"/>
      <c r="AF342" s="18"/>
      <c r="AG342" s="18"/>
    </row>
    <row r="343" spans="1:33" x14ac:dyDescent="0.2">
      <c r="A343" s="18"/>
      <c r="B343" s="18"/>
      <c r="C343" s="18"/>
      <c r="D343" s="18"/>
      <c r="E343" s="18"/>
      <c r="F343" s="18"/>
      <c r="G343" s="18"/>
      <c r="H343" s="18"/>
      <c r="I343" s="18"/>
      <c r="J343" s="18"/>
      <c r="K343" s="18"/>
      <c r="L343" s="18"/>
      <c r="M343" s="18"/>
      <c r="N343" s="18"/>
      <c r="O343" s="1316"/>
      <c r="P343" s="18"/>
      <c r="Q343" s="18"/>
      <c r="R343" s="18"/>
      <c r="S343" s="18"/>
      <c r="T343" s="18"/>
      <c r="U343" s="18"/>
      <c r="V343" s="18"/>
      <c r="W343" s="18"/>
      <c r="X343" s="18"/>
      <c r="Y343" s="18"/>
      <c r="Z343" s="18"/>
      <c r="AA343" s="18"/>
      <c r="AB343" s="18"/>
      <c r="AC343" s="18"/>
      <c r="AD343" s="18"/>
      <c r="AE343" s="18"/>
      <c r="AF343" s="18"/>
      <c r="AG343" s="18"/>
    </row>
    <row r="344" spans="1:33" x14ac:dyDescent="0.2">
      <c r="A344" s="18"/>
      <c r="B344" s="18"/>
      <c r="C344" s="18"/>
      <c r="D344" s="18"/>
      <c r="E344" s="18"/>
      <c r="F344" s="18"/>
      <c r="G344" s="18"/>
      <c r="H344" s="18"/>
      <c r="I344" s="18"/>
      <c r="J344" s="18"/>
      <c r="K344" s="18"/>
      <c r="L344" s="18"/>
      <c r="M344" s="18"/>
      <c r="N344" s="18"/>
      <c r="O344" s="1316"/>
      <c r="P344" s="18"/>
      <c r="Q344" s="18"/>
      <c r="R344" s="18"/>
      <c r="S344" s="18"/>
      <c r="T344" s="18"/>
      <c r="U344" s="18"/>
      <c r="V344" s="18"/>
      <c r="W344" s="18"/>
      <c r="X344" s="18"/>
      <c r="Y344" s="18"/>
      <c r="Z344" s="18"/>
      <c r="AA344" s="18"/>
      <c r="AB344" s="18"/>
      <c r="AC344" s="18"/>
      <c r="AD344" s="18"/>
      <c r="AE344" s="18"/>
      <c r="AF344" s="18"/>
      <c r="AG344" s="18"/>
    </row>
    <row r="345" spans="1:33" x14ac:dyDescent="0.2">
      <c r="A345" s="18"/>
      <c r="B345" s="18"/>
      <c r="C345" s="18"/>
      <c r="D345" s="18"/>
      <c r="E345" s="18"/>
      <c r="F345" s="18"/>
      <c r="G345" s="18"/>
      <c r="H345" s="18"/>
      <c r="I345" s="18"/>
      <c r="J345" s="18"/>
      <c r="K345" s="18"/>
      <c r="L345" s="18"/>
      <c r="M345" s="18"/>
      <c r="N345" s="18"/>
      <c r="O345" s="1316"/>
      <c r="P345" s="18"/>
      <c r="Q345" s="18"/>
      <c r="R345" s="18"/>
      <c r="S345" s="18"/>
      <c r="T345" s="18"/>
      <c r="U345" s="18"/>
      <c r="V345" s="18"/>
      <c r="W345" s="18"/>
      <c r="X345" s="18"/>
      <c r="Y345" s="18"/>
      <c r="Z345" s="18"/>
      <c r="AA345" s="18"/>
      <c r="AB345" s="18"/>
      <c r="AC345" s="18"/>
      <c r="AD345" s="18"/>
      <c r="AE345" s="18"/>
      <c r="AF345" s="18"/>
      <c r="AG345" s="18"/>
    </row>
    <row r="346" spans="1:33" x14ac:dyDescent="0.2">
      <c r="A346" s="18"/>
      <c r="B346" s="18"/>
      <c r="C346" s="18"/>
      <c r="D346" s="18"/>
      <c r="E346" s="18"/>
      <c r="F346" s="18"/>
      <c r="G346" s="18"/>
      <c r="H346" s="18"/>
      <c r="I346" s="18"/>
      <c r="J346" s="18"/>
      <c r="K346" s="18"/>
      <c r="L346" s="18"/>
      <c r="M346" s="18"/>
      <c r="N346" s="18"/>
      <c r="O346" s="1316"/>
      <c r="P346" s="18"/>
      <c r="Q346" s="18"/>
      <c r="R346" s="18"/>
      <c r="S346" s="18"/>
      <c r="T346" s="18"/>
      <c r="U346" s="18"/>
      <c r="V346" s="18"/>
      <c r="W346" s="18"/>
      <c r="X346" s="18"/>
      <c r="Y346" s="18"/>
      <c r="Z346" s="18"/>
      <c r="AA346" s="18"/>
      <c r="AB346" s="18"/>
      <c r="AC346" s="18"/>
      <c r="AD346" s="18"/>
      <c r="AE346" s="18"/>
      <c r="AF346" s="18"/>
      <c r="AG346" s="18"/>
    </row>
    <row r="347" spans="1:33" x14ac:dyDescent="0.2">
      <c r="A347" s="18"/>
      <c r="B347" s="18"/>
      <c r="C347" s="18"/>
      <c r="D347" s="18"/>
      <c r="E347" s="18"/>
      <c r="F347" s="18"/>
      <c r="G347" s="18"/>
      <c r="H347" s="18"/>
      <c r="I347" s="18"/>
      <c r="J347" s="18"/>
      <c r="K347" s="18"/>
      <c r="L347" s="18"/>
      <c r="M347" s="18"/>
      <c r="N347" s="18"/>
      <c r="O347" s="1316"/>
      <c r="P347" s="18"/>
      <c r="Q347" s="18"/>
      <c r="R347" s="18"/>
      <c r="S347" s="18"/>
      <c r="T347" s="18"/>
      <c r="U347" s="18"/>
      <c r="V347" s="18"/>
      <c r="W347" s="18"/>
      <c r="X347" s="18"/>
      <c r="Y347" s="18"/>
      <c r="Z347" s="18"/>
      <c r="AA347" s="18"/>
      <c r="AB347" s="18"/>
      <c r="AC347" s="18"/>
      <c r="AD347" s="18"/>
      <c r="AE347" s="18"/>
      <c r="AF347" s="18"/>
      <c r="AG347" s="18"/>
    </row>
    <row r="348" spans="1:33" x14ac:dyDescent="0.2">
      <c r="A348" s="18"/>
      <c r="B348" s="18"/>
      <c r="C348" s="18"/>
      <c r="D348" s="18"/>
      <c r="E348" s="18"/>
      <c r="F348" s="18"/>
      <c r="G348" s="18"/>
      <c r="H348" s="18"/>
      <c r="I348" s="18"/>
      <c r="J348" s="18"/>
      <c r="K348" s="18"/>
      <c r="L348" s="18"/>
      <c r="M348" s="18"/>
      <c r="N348" s="18"/>
      <c r="O348" s="1316"/>
      <c r="P348" s="18"/>
      <c r="Q348" s="18"/>
      <c r="R348" s="18"/>
      <c r="S348" s="18"/>
      <c r="T348" s="18"/>
      <c r="U348" s="18"/>
      <c r="V348" s="18"/>
      <c r="W348" s="18"/>
      <c r="X348" s="18"/>
      <c r="Y348" s="18"/>
      <c r="Z348" s="18"/>
      <c r="AA348" s="18"/>
      <c r="AB348" s="18"/>
      <c r="AC348" s="18"/>
      <c r="AD348" s="18"/>
      <c r="AE348" s="18"/>
      <c r="AF348" s="18"/>
      <c r="AG348" s="18"/>
    </row>
    <row r="349" spans="1:33" x14ac:dyDescent="0.2">
      <c r="A349" s="18"/>
      <c r="B349" s="18"/>
      <c r="C349" s="18"/>
      <c r="D349" s="18"/>
      <c r="E349" s="18"/>
      <c r="F349" s="18"/>
      <c r="G349" s="18"/>
      <c r="H349" s="18"/>
      <c r="I349" s="18"/>
      <c r="J349" s="18"/>
      <c r="K349" s="18"/>
      <c r="L349" s="18"/>
      <c r="M349" s="18"/>
      <c r="N349" s="18"/>
      <c r="O349" s="1316"/>
      <c r="P349" s="18"/>
      <c r="Q349" s="18"/>
      <c r="R349" s="18"/>
      <c r="S349" s="18"/>
      <c r="T349" s="18"/>
      <c r="U349" s="18"/>
      <c r="V349" s="18"/>
      <c r="W349" s="18"/>
      <c r="X349" s="18"/>
      <c r="Y349" s="18"/>
      <c r="Z349" s="18"/>
      <c r="AA349" s="18"/>
      <c r="AB349" s="18"/>
      <c r="AC349" s="18"/>
      <c r="AD349" s="18"/>
      <c r="AE349" s="18"/>
      <c r="AF349" s="18"/>
      <c r="AG349" s="18"/>
    </row>
    <row r="350" spans="1:33" x14ac:dyDescent="0.2">
      <c r="A350" s="18"/>
      <c r="B350" s="18"/>
      <c r="C350" s="18"/>
      <c r="D350" s="18"/>
      <c r="E350" s="18"/>
      <c r="F350" s="18"/>
      <c r="G350" s="18"/>
      <c r="H350" s="18"/>
      <c r="I350" s="18"/>
      <c r="J350" s="18"/>
      <c r="K350" s="18"/>
      <c r="L350" s="18"/>
      <c r="M350" s="18"/>
      <c r="N350" s="18"/>
      <c r="O350" s="1316"/>
      <c r="P350" s="18"/>
      <c r="Q350" s="18"/>
      <c r="R350" s="18"/>
      <c r="S350" s="18"/>
      <c r="T350" s="18"/>
      <c r="U350" s="18"/>
      <c r="V350" s="18"/>
      <c r="W350" s="18"/>
      <c r="X350" s="18"/>
      <c r="Y350" s="18"/>
      <c r="Z350" s="18"/>
      <c r="AA350" s="18"/>
      <c r="AB350" s="18"/>
      <c r="AC350" s="18"/>
      <c r="AD350" s="18"/>
      <c r="AE350" s="18"/>
      <c r="AF350" s="18"/>
      <c r="AG350" s="18"/>
    </row>
    <row r="351" spans="1:33" x14ac:dyDescent="0.2">
      <c r="A351" s="18"/>
      <c r="B351" s="18"/>
      <c r="C351" s="18"/>
      <c r="D351" s="18"/>
      <c r="E351" s="18"/>
      <c r="F351" s="18"/>
      <c r="G351" s="18"/>
      <c r="H351" s="18"/>
      <c r="I351" s="18"/>
      <c r="J351" s="18"/>
      <c r="K351" s="18"/>
      <c r="L351" s="18"/>
      <c r="M351" s="18"/>
      <c r="N351" s="18"/>
      <c r="O351" s="1316"/>
      <c r="P351" s="18"/>
      <c r="Q351" s="18"/>
      <c r="R351" s="18"/>
      <c r="S351" s="18"/>
      <c r="T351" s="18"/>
      <c r="U351" s="18"/>
      <c r="V351" s="18"/>
      <c r="W351" s="18"/>
      <c r="X351" s="18"/>
      <c r="Y351" s="18"/>
      <c r="Z351" s="18"/>
      <c r="AA351" s="18"/>
      <c r="AB351" s="18"/>
      <c r="AC351" s="18"/>
      <c r="AD351" s="18"/>
      <c r="AE351" s="18"/>
      <c r="AF351" s="18"/>
      <c r="AG351" s="18"/>
    </row>
    <row r="352" spans="1:33" x14ac:dyDescent="0.2">
      <c r="A352" s="18"/>
      <c r="B352" s="18"/>
      <c r="C352" s="18"/>
      <c r="D352" s="18"/>
      <c r="E352" s="18"/>
      <c r="F352" s="18"/>
      <c r="G352" s="18"/>
      <c r="H352" s="18"/>
      <c r="I352" s="18"/>
      <c r="J352" s="18"/>
      <c r="K352" s="18"/>
      <c r="L352" s="18"/>
      <c r="M352" s="18"/>
      <c r="N352" s="18"/>
      <c r="O352" s="1316"/>
      <c r="P352" s="18"/>
      <c r="Q352" s="18"/>
      <c r="R352" s="18"/>
      <c r="S352" s="18"/>
      <c r="T352" s="18"/>
      <c r="U352" s="18"/>
      <c r="V352" s="18"/>
      <c r="W352" s="18"/>
      <c r="X352" s="18"/>
      <c r="Y352" s="18"/>
      <c r="Z352" s="18"/>
      <c r="AA352" s="18"/>
      <c r="AB352" s="18"/>
      <c r="AC352" s="18"/>
      <c r="AD352" s="18"/>
      <c r="AE352" s="18"/>
      <c r="AF352" s="18"/>
      <c r="AG352" s="18"/>
    </row>
    <row r="353" spans="1:33" x14ac:dyDescent="0.2">
      <c r="A353" s="18"/>
      <c r="B353" s="18"/>
      <c r="C353" s="18"/>
      <c r="D353" s="18"/>
      <c r="E353" s="18"/>
      <c r="F353" s="18"/>
      <c r="G353" s="18"/>
      <c r="H353" s="18"/>
      <c r="I353" s="18"/>
      <c r="J353" s="18"/>
      <c r="K353" s="18"/>
      <c r="L353" s="18"/>
      <c r="M353" s="18"/>
      <c r="N353" s="18"/>
      <c r="O353" s="1316"/>
      <c r="P353" s="18"/>
      <c r="Q353" s="18"/>
      <c r="R353" s="18"/>
      <c r="S353" s="18"/>
      <c r="T353" s="18"/>
      <c r="U353" s="18"/>
      <c r="V353" s="18"/>
      <c r="W353" s="18"/>
      <c r="X353" s="18"/>
      <c r="Y353" s="18"/>
      <c r="Z353" s="18"/>
      <c r="AA353" s="18"/>
      <c r="AB353" s="18"/>
      <c r="AC353" s="18"/>
      <c r="AD353" s="18"/>
      <c r="AE353" s="18"/>
      <c r="AF353" s="18"/>
      <c r="AG353" s="18"/>
    </row>
    <row r="354" spans="1:33" x14ac:dyDescent="0.2">
      <c r="A354" s="18"/>
      <c r="B354" s="18"/>
      <c r="C354" s="18"/>
      <c r="D354" s="18"/>
      <c r="E354" s="18"/>
      <c r="F354" s="18"/>
      <c r="G354" s="18"/>
      <c r="H354" s="18"/>
      <c r="I354" s="18"/>
      <c r="J354" s="18"/>
      <c r="K354" s="18"/>
      <c r="L354" s="18"/>
      <c r="M354" s="18"/>
      <c r="N354" s="18"/>
      <c r="O354" s="1316"/>
      <c r="P354" s="18"/>
      <c r="Q354" s="18"/>
      <c r="R354" s="18"/>
      <c r="S354" s="18"/>
      <c r="T354" s="18"/>
      <c r="U354" s="18"/>
      <c r="V354" s="18"/>
      <c r="W354" s="18"/>
      <c r="X354" s="18"/>
      <c r="Y354" s="18"/>
      <c r="Z354" s="18"/>
      <c r="AA354" s="18"/>
      <c r="AB354" s="18"/>
      <c r="AC354" s="18"/>
      <c r="AD354" s="18"/>
      <c r="AE354" s="18"/>
      <c r="AF354" s="18"/>
      <c r="AG354" s="18"/>
    </row>
    <row r="355" spans="1:33" x14ac:dyDescent="0.2">
      <c r="A355" s="18"/>
      <c r="B355" s="18"/>
      <c r="C355" s="18"/>
      <c r="D355" s="18"/>
      <c r="E355" s="18"/>
      <c r="F355" s="18"/>
      <c r="G355" s="18"/>
      <c r="H355" s="18"/>
      <c r="I355" s="18"/>
      <c r="J355" s="18"/>
      <c r="K355" s="18"/>
      <c r="L355" s="18"/>
      <c r="M355" s="18"/>
      <c r="N355" s="18"/>
      <c r="O355" s="1316"/>
      <c r="P355" s="18"/>
      <c r="Q355" s="18"/>
      <c r="R355" s="18"/>
      <c r="S355" s="18"/>
      <c r="T355" s="18"/>
      <c r="U355" s="18"/>
      <c r="V355" s="18"/>
      <c r="W355" s="18"/>
      <c r="X355" s="18"/>
      <c r="Y355" s="18"/>
      <c r="Z355" s="18"/>
      <c r="AA355" s="18"/>
      <c r="AB355" s="18"/>
      <c r="AC355" s="18"/>
      <c r="AD355" s="18"/>
      <c r="AE355" s="18"/>
      <c r="AF355" s="18"/>
      <c r="AG355" s="18"/>
    </row>
    <row r="356" spans="1:33" x14ac:dyDescent="0.2">
      <c r="A356" s="18"/>
      <c r="B356" s="18"/>
      <c r="C356" s="18"/>
      <c r="D356" s="18"/>
      <c r="E356" s="18"/>
      <c r="F356" s="18"/>
      <c r="G356" s="18"/>
      <c r="H356" s="18"/>
      <c r="I356" s="18"/>
      <c r="J356" s="18"/>
      <c r="K356" s="18"/>
      <c r="L356" s="18"/>
      <c r="M356" s="18"/>
      <c r="N356" s="18"/>
      <c r="O356" s="1316"/>
      <c r="P356" s="18"/>
      <c r="Q356" s="18"/>
      <c r="R356" s="18"/>
      <c r="S356" s="18"/>
      <c r="T356" s="18"/>
      <c r="U356" s="18"/>
      <c r="V356" s="18"/>
      <c r="W356" s="18"/>
      <c r="X356" s="18"/>
      <c r="Y356" s="18"/>
      <c r="Z356" s="18"/>
      <c r="AA356" s="18"/>
      <c r="AB356" s="18"/>
      <c r="AC356" s="18"/>
      <c r="AD356" s="18"/>
      <c r="AE356" s="18"/>
      <c r="AF356" s="18"/>
      <c r="AG356" s="18"/>
    </row>
    <row r="357" spans="1:33" x14ac:dyDescent="0.2">
      <c r="A357" s="18"/>
      <c r="B357" s="18"/>
      <c r="C357" s="18"/>
      <c r="D357" s="18"/>
      <c r="E357" s="18"/>
      <c r="F357" s="18"/>
      <c r="G357" s="18"/>
      <c r="H357" s="18"/>
      <c r="I357" s="18"/>
      <c r="J357" s="18"/>
      <c r="K357" s="18"/>
      <c r="L357" s="18"/>
      <c r="M357" s="18"/>
      <c r="N357" s="18"/>
      <c r="O357" s="1316"/>
      <c r="P357" s="18"/>
      <c r="Q357" s="18"/>
      <c r="R357" s="18"/>
      <c r="S357" s="18"/>
      <c r="T357" s="18"/>
      <c r="U357" s="18"/>
      <c r="V357" s="18"/>
      <c r="W357" s="18"/>
      <c r="X357" s="18"/>
      <c r="Y357" s="18"/>
      <c r="Z357" s="18"/>
      <c r="AA357" s="18"/>
      <c r="AB357" s="18"/>
      <c r="AC357" s="18"/>
      <c r="AD357" s="18"/>
      <c r="AE357" s="18"/>
      <c r="AF357" s="18"/>
      <c r="AG357" s="18"/>
    </row>
    <row r="358" spans="1:33" x14ac:dyDescent="0.2">
      <c r="A358" s="18"/>
      <c r="B358" s="18"/>
      <c r="C358" s="18"/>
      <c r="D358" s="18"/>
      <c r="E358" s="18"/>
      <c r="F358" s="18"/>
      <c r="G358" s="18"/>
      <c r="H358" s="18"/>
      <c r="I358" s="18"/>
      <c r="J358" s="18"/>
      <c r="K358" s="18"/>
      <c r="L358" s="18"/>
      <c r="M358" s="18"/>
      <c r="N358" s="18"/>
      <c r="O358" s="1316"/>
      <c r="P358" s="18"/>
      <c r="Q358" s="18"/>
      <c r="R358" s="18"/>
      <c r="S358" s="18"/>
      <c r="T358" s="18"/>
      <c r="U358" s="18"/>
      <c r="V358" s="18"/>
      <c r="W358" s="18"/>
      <c r="X358" s="18"/>
      <c r="Y358" s="18"/>
      <c r="Z358" s="18"/>
      <c r="AA358" s="18"/>
      <c r="AB358" s="18"/>
      <c r="AC358" s="18"/>
      <c r="AD358" s="18"/>
      <c r="AE358" s="18"/>
      <c r="AF358" s="18"/>
      <c r="AG358" s="18"/>
    </row>
    <row r="359" spans="1:33" x14ac:dyDescent="0.2">
      <c r="A359" s="18"/>
      <c r="B359" s="18"/>
      <c r="C359" s="18"/>
      <c r="D359" s="18"/>
      <c r="E359" s="18"/>
      <c r="F359" s="18"/>
      <c r="G359" s="18"/>
      <c r="H359" s="18"/>
      <c r="I359" s="18"/>
      <c r="J359" s="18"/>
      <c r="K359" s="18"/>
      <c r="L359" s="18"/>
      <c r="M359" s="18"/>
      <c r="N359" s="18"/>
      <c r="O359" s="1316"/>
      <c r="P359" s="18"/>
      <c r="Q359" s="18"/>
      <c r="R359" s="18"/>
      <c r="S359" s="18"/>
      <c r="T359" s="18"/>
      <c r="U359" s="18"/>
      <c r="V359" s="18"/>
      <c r="W359" s="18"/>
      <c r="X359" s="18"/>
      <c r="Y359" s="18"/>
      <c r="Z359" s="18"/>
      <c r="AA359" s="18"/>
      <c r="AB359" s="18"/>
      <c r="AC359" s="18"/>
      <c r="AD359" s="18"/>
      <c r="AE359" s="18"/>
      <c r="AF359" s="18"/>
      <c r="AG359" s="18"/>
    </row>
    <row r="360" spans="1:33" x14ac:dyDescent="0.2">
      <c r="A360" s="18"/>
      <c r="B360" s="18"/>
      <c r="C360" s="18"/>
      <c r="D360" s="18"/>
      <c r="E360" s="18"/>
      <c r="F360" s="18"/>
      <c r="G360" s="18"/>
      <c r="H360" s="18"/>
      <c r="I360" s="18"/>
      <c r="J360" s="18"/>
      <c r="K360" s="18"/>
      <c r="L360" s="18"/>
      <c r="M360" s="18"/>
      <c r="N360" s="18"/>
      <c r="O360" s="1316"/>
      <c r="P360" s="18"/>
      <c r="Q360" s="18"/>
      <c r="R360" s="18"/>
      <c r="S360" s="18"/>
      <c r="T360" s="18"/>
      <c r="U360" s="18"/>
      <c r="V360" s="18"/>
      <c r="W360" s="18"/>
      <c r="X360" s="18"/>
      <c r="Y360" s="18"/>
      <c r="Z360" s="18"/>
      <c r="AA360" s="18"/>
      <c r="AB360" s="18"/>
      <c r="AC360" s="18"/>
      <c r="AD360" s="18"/>
      <c r="AE360" s="18"/>
      <c r="AF360" s="18"/>
      <c r="AG360" s="18"/>
    </row>
    <row r="361" spans="1:33" x14ac:dyDescent="0.2">
      <c r="A361" s="18"/>
      <c r="B361" s="18"/>
      <c r="C361" s="18"/>
      <c r="D361" s="18"/>
      <c r="E361" s="18"/>
      <c r="F361" s="18"/>
      <c r="G361" s="18"/>
      <c r="H361" s="18"/>
      <c r="I361" s="18"/>
      <c r="J361" s="18"/>
      <c r="K361" s="18"/>
      <c r="L361" s="18"/>
      <c r="M361" s="18"/>
      <c r="N361" s="18"/>
      <c r="O361" s="1316"/>
      <c r="P361" s="18"/>
      <c r="Q361" s="18"/>
      <c r="R361" s="18"/>
      <c r="S361" s="18"/>
      <c r="T361" s="18"/>
      <c r="U361" s="18"/>
      <c r="V361" s="18"/>
      <c r="W361" s="18"/>
      <c r="X361" s="18"/>
      <c r="Y361" s="18"/>
      <c r="Z361" s="18"/>
      <c r="AA361" s="18"/>
      <c r="AB361" s="18"/>
      <c r="AC361" s="18"/>
      <c r="AD361" s="18"/>
      <c r="AE361" s="18"/>
      <c r="AF361" s="18"/>
      <c r="AG361" s="18"/>
    </row>
    <row r="362" spans="1:33" x14ac:dyDescent="0.2">
      <c r="A362" s="18"/>
      <c r="B362" s="18"/>
      <c r="C362" s="18"/>
      <c r="D362" s="18"/>
      <c r="E362" s="18"/>
      <c r="F362" s="18"/>
      <c r="G362" s="18"/>
      <c r="H362" s="18"/>
      <c r="I362" s="18"/>
      <c r="J362" s="18"/>
      <c r="K362" s="18"/>
      <c r="L362" s="18"/>
      <c r="M362" s="18"/>
      <c r="N362" s="18"/>
      <c r="O362" s="1316"/>
      <c r="P362" s="18"/>
      <c r="Q362" s="18"/>
      <c r="R362" s="18"/>
      <c r="S362" s="18"/>
      <c r="T362" s="18"/>
      <c r="U362" s="18"/>
      <c r="V362" s="18"/>
      <c r="W362" s="18"/>
      <c r="X362" s="18"/>
      <c r="Y362" s="18"/>
      <c r="Z362" s="18"/>
      <c r="AA362" s="18"/>
      <c r="AB362" s="18"/>
      <c r="AC362" s="18"/>
      <c r="AD362" s="18"/>
      <c r="AE362" s="18"/>
      <c r="AF362" s="18"/>
      <c r="AG362" s="18"/>
    </row>
    <row r="363" spans="1:33" x14ac:dyDescent="0.2">
      <c r="A363" s="18"/>
      <c r="B363" s="18"/>
      <c r="C363" s="18"/>
      <c r="D363" s="18"/>
      <c r="E363" s="18"/>
      <c r="F363" s="18"/>
      <c r="G363" s="18"/>
      <c r="H363" s="18"/>
      <c r="I363" s="18"/>
      <c r="J363" s="18"/>
      <c r="K363" s="18"/>
      <c r="L363" s="18"/>
      <c r="M363" s="18"/>
      <c r="N363" s="18"/>
      <c r="O363" s="1316"/>
      <c r="P363" s="18"/>
      <c r="Q363" s="18"/>
      <c r="R363" s="18"/>
      <c r="S363" s="18"/>
      <c r="T363" s="18"/>
      <c r="U363" s="18"/>
      <c r="V363" s="18"/>
      <c r="W363" s="18"/>
      <c r="X363" s="18"/>
      <c r="Y363" s="18"/>
      <c r="Z363" s="18"/>
      <c r="AA363" s="18"/>
      <c r="AB363" s="18"/>
      <c r="AC363" s="18"/>
      <c r="AD363" s="18"/>
      <c r="AE363" s="18"/>
      <c r="AF363" s="18"/>
      <c r="AG363" s="18"/>
    </row>
    <row r="364" spans="1:33" x14ac:dyDescent="0.2">
      <c r="A364" s="18"/>
      <c r="B364" s="18"/>
      <c r="C364" s="18"/>
      <c r="D364" s="18"/>
      <c r="E364" s="18"/>
      <c r="F364" s="18"/>
      <c r="G364" s="18"/>
      <c r="H364" s="18"/>
      <c r="I364" s="18"/>
      <c r="J364" s="18"/>
      <c r="K364" s="18"/>
      <c r="L364" s="18"/>
      <c r="M364" s="18"/>
      <c r="N364" s="18"/>
      <c r="O364" s="1316"/>
      <c r="P364" s="18"/>
      <c r="Q364" s="18"/>
      <c r="R364" s="18"/>
      <c r="S364" s="18"/>
      <c r="T364" s="18"/>
      <c r="U364" s="18"/>
      <c r="V364" s="18"/>
      <c r="W364" s="18"/>
      <c r="X364" s="18"/>
      <c r="Y364" s="18"/>
      <c r="Z364" s="18"/>
      <c r="AA364" s="18"/>
      <c r="AB364" s="18"/>
      <c r="AC364" s="18"/>
      <c r="AD364" s="18"/>
      <c r="AE364" s="18"/>
      <c r="AF364" s="18"/>
      <c r="AG364" s="18"/>
    </row>
    <row r="365" spans="1:33" x14ac:dyDescent="0.2">
      <c r="A365" s="18"/>
      <c r="B365" s="18"/>
      <c r="C365" s="18"/>
      <c r="D365" s="18"/>
      <c r="E365" s="18"/>
      <c r="F365" s="18"/>
      <c r="G365" s="18"/>
      <c r="H365" s="18"/>
      <c r="I365" s="18"/>
      <c r="J365" s="18"/>
      <c r="K365" s="18"/>
      <c r="L365" s="18"/>
      <c r="M365" s="18"/>
      <c r="N365" s="18"/>
      <c r="O365" s="1316"/>
      <c r="P365" s="18"/>
      <c r="Q365" s="18"/>
      <c r="R365" s="18"/>
      <c r="S365" s="18"/>
      <c r="T365" s="18"/>
      <c r="U365" s="18"/>
      <c r="V365" s="18"/>
      <c r="W365" s="18"/>
      <c r="X365" s="18"/>
      <c r="Y365" s="18"/>
      <c r="Z365" s="18"/>
      <c r="AA365" s="18"/>
      <c r="AB365" s="18"/>
      <c r="AC365" s="18"/>
      <c r="AD365" s="18"/>
      <c r="AE365" s="18"/>
      <c r="AF365" s="18"/>
      <c r="AG365" s="18"/>
    </row>
    <row r="366" spans="1:33" x14ac:dyDescent="0.2">
      <c r="A366" s="18"/>
      <c r="B366" s="18"/>
      <c r="C366" s="18"/>
      <c r="D366" s="18"/>
      <c r="E366" s="18"/>
      <c r="F366" s="18"/>
      <c r="G366" s="18"/>
      <c r="H366" s="18"/>
      <c r="I366" s="18"/>
      <c r="J366" s="18"/>
      <c r="K366" s="18"/>
      <c r="L366" s="18"/>
      <c r="M366" s="18"/>
      <c r="N366" s="18"/>
      <c r="O366" s="1316"/>
      <c r="P366" s="18"/>
      <c r="Q366" s="18"/>
      <c r="R366" s="18"/>
      <c r="S366" s="18"/>
      <c r="T366" s="18"/>
      <c r="U366" s="18"/>
      <c r="V366" s="18"/>
      <c r="W366" s="18"/>
      <c r="X366" s="18"/>
      <c r="Y366" s="18"/>
      <c r="Z366" s="18"/>
      <c r="AA366" s="18"/>
      <c r="AB366" s="18"/>
      <c r="AC366" s="18"/>
      <c r="AD366" s="18"/>
      <c r="AE366" s="18"/>
      <c r="AF366" s="18"/>
      <c r="AG366" s="18"/>
    </row>
    <row r="367" spans="1:33" x14ac:dyDescent="0.2">
      <c r="A367" s="18"/>
      <c r="B367" s="18"/>
      <c r="C367" s="18"/>
      <c r="D367" s="18"/>
      <c r="E367" s="18"/>
      <c r="F367" s="18"/>
      <c r="G367" s="18"/>
      <c r="H367" s="18"/>
      <c r="I367" s="18"/>
      <c r="J367" s="18"/>
      <c r="K367" s="18"/>
      <c r="L367" s="18"/>
      <c r="M367" s="18"/>
      <c r="N367" s="18"/>
      <c r="O367" s="1316"/>
      <c r="P367" s="18"/>
      <c r="Q367" s="18"/>
      <c r="R367" s="18"/>
      <c r="S367" s="18"/>
      <c r="T367" s="18"/>
      <c r="U367" s="18"/>
      <c r="V367" s="18"/>
      <c r="W367" s="18"/>
      <c r="X367" s="18"/>
      <c r="Y367" s="18"/>
      <c r="Z367" s="18"/>
      <c r="AA367" s="18"/>
      <c r="AB367" s="18"/>
      <c r="AC367" s="18"/>
      <c r="AD367" s="18"/>
      <c r="AE367" s="18"/>
      <c r="AF367" s="18"/>
      <c r="AG367" s="18"/>
    </row>
    <row r="368" spans="1:33" x14ac:dyDescent="0.2">
      <c r="A368" s="18"/>
      <c r="B368" s="18"/>
      <c r="C368" s="18"/>
      <c r="D368" s="18"/>
      <c r="E368" s="18"/>
      <c r="F368" s="18"/>
      <c r="G368" s="18"/>
      <c r="H368" s="18"/>
      <c r="I368" s="18"/>
      <c r="J368" s="18"/>
      <c r="K368" s="18"/>
      <c r="L368" s="18"/>
      <c r="M368" s="18"/>
      <c r="N368" s="18"/>
      <c r="O368" s="1316"/>
      <c r="P368" s="18"/>
      <c r="Q368" s="18"/>
      <c r="R368" s="18"/>
      <c r="S368" s="18"/>
      <c r="T368" s="18"/>
      <c r="U368" s="18"/>
      <c r="V368" s="18"/>
      <c r="W368" s="18"/>
      <c r="X368" s="18"/>
      <c r="Y368" s="18"/>
      <c r="Z368" s="18"/>
      <c r="AA368" s="18"/>
      <c r="AB368" s="18"/>
      <c r="AC368" s="18"/>
      <c r="AD368" s="18"/>
      <c r="AE368" s="18"/>
      <c r="AF368" s="18"/>
      <c r="AG368" s="18"/>
    </row>
    <row r="369" spans="1:33" x14ac:dyDescent="0.2">
      <c r="A369" s="18"/>
      <c r="B369" s="18"/>
      <c r="C369" s="18"/>
      <c r="D369" s="18"/>
      <c r="E369" s="18"/>
      <c r="F369" s="18"/>
      <c r="G369" s="18"/>
      <c r="H369" s="18"/>
      <c r="I369" s="18"/>
      <c r="J369" s="18"/>
      <c r="K369" s="18"/>
      <c r="L369" s="18"/>
      <c r="M369" s="18"/>
      <c r="N369" s="18"/>
      <c r="O369" s="1316"/>
      <c r="P369" s="18"/>
      <c r="Q369" s="18"/>
      <c r="R369" s="18"/>
      <c r="S369" s="18"/>
      <c r="T369" s="18"/>
      <c r="U369" s="18"/>
      <c r="V369" s="18"/>
      <c r="W369" s="18"/>
      <c r="X369" s="18"/>
      <c r="Y369" s="18"/>
      <c r="Z369" s="18"/>
      <c r="AA369" s="18"/>
      <c r="AB369" s="18"/>
      <c r="AC369" s="18"/>
      <c r="AD369" s="18"/>
      <c r="AE369" s="18"/>
      <c r="AF369" s="18"/>
      <c r="AG369" s="18"/>
    </row>
    <row r="370" spans="1:33" x14ac:dyDescent="0.2">
      <c r="A370" s="18"/>
      <c r="B370" s="18"/>
      <c r="C370" s="18"/>
      <c r="D370" s="18"/>
      <c r="E370" s="18"/>
      <c r="F370" s="18"/>
      <c r="G370" s="18"/>
      <c r="H370" s="18"/>
      <c r="I370" s="18"/>
      <c r="J370" s="18"/>
      <c r="K370" s="18"/>
      <c r="L370" s="18"/>
      <c r="M370" s="18"/>
      <c r="N370" s="18"/>
      <c r="O370" s="1316"/>
      <c r="P370" s="18"/>
      <c r="Q370" s="18"/>
      <c r="R370" s="18"/>
      <c r="S370" s="18"/>
      <c r="T370" s="18"/>
      <c r="U370" s="18"/>
      <c r="V370" s="18"/>
      <c r="W370" s="18"/>
      <c r="X370" s="18"/>
      <c r="Y370" s="18"/>
      <c r="Z370" s="18"/>
      <c r="AA370" s="18"/>
      <c r="AB370" s="18"/>
      <c r="AC370" s="18"/>
      <c r="AD370" s="18"/>
      <c r="AE370" s="18"/>
      <c r="AF370" s="18"/>
      <c r="AG370" s="18"/>
    </row>
    <row r="371" spans="1:33" x14ac:dyDescent="0.2">
      <c r="A371" s="18"/>
      <c r="B371" s="18"/>
      <c r="C371" s="18"/>
      <c r="D371" s="18"/>
      <c r="E371" s="18"/>
      <c r="F371" s="18"/>
      <c r="G371" s="18"/>
      <c r="H371" s="18"/>
      <c r="I371" s="18"/>
      <c r="J371" s="18"/>
      <c r="K371" s="18"/>
      <c r="L371" s="18"/>
      <c r="M371" s="18"/>
      <c r="N371" s="18"/>
      <c r="O371" s="1316"/>
      <c r="P371" s="18"/>
      <c r="Q371" s="18"/>
      <c r="R371" s="18"/>
      <c r="S371" s="18"/>
      <c r="T371" s="18"/>
      <c r="U371" s="18"/>
      <c r="V371" s="18"/>
      <c r="W371" s="18"/>
      <c r="X371" s="18"/>
      <c r="Y371" s="18"/>
      <c r="Z371" s="18"/>
      <c r="AA371" s="18"/>
      <c r="AB371" s="18"/>
      <c r="AC371" s="18"/>
      <c r="AD371" s="18"/>
      <c r="AE371" s="18"/>
      <c r="AF371" s="18"/>
      <c r="AG371" s="18"/>
    </row>
    <row r="372" spans="1:33" x14ac:dyDescent="0.2">
      <c r="A372" s="18"/>
      <c r="B372" s="18"/>
      <c r="C372" s="18"/>
      <c r="D372" s="18"/>
      <c r="E372" s="18"/>
      <c r="F372" s="18"/>
      <c r="G372" s="18"/>
      <c r="H372" s="18"/>
      <c r="I372" s="18"/>
      <c r="J372" s="18"/>
      <c r="K372" s="18"/>
      <c r="L372" s="18"/>
      <c r="M372" s="18"/>
      <c r="N372" s="18"/>
      <c r="O372" s="1316"/>
      <c r="P372" s="18"/>
      <c r="Q372" s="18"/>
      <c r="R372" s="18"/>
      <c r="S372" s="18"/>
      <c r="T372" s="18"/>
      <c r="U372" s="18"/>
      <c r="V372" s="18"/>
      <c r="W372" s="18"/>
      <c r="X372" s="18"/>
      <c r="Y372" s="18"/>
      <c r="Z372" s="18"/>
      <c r="AA372" s="18"/>
      <c r="AB372" s="18"/>
      <c r="AC372" s="18"/>
      <c r="AD372" s="18"/>
      <c r="AE372" s="18"/>
      <c r="AF372" s="18"/>
      <c r="AG372" s="18"/>
    </row>
    <row r="373" spans="1:33" x14ac:dyDescent="0.2">
      <c r="A373" s="18"/>
      <c r="B373" s="18"/>
      <c r="C373" s="18"/>
      <c r="D373" s="18"/>
      <c r="E373" s="18"/>
      <c r="F373" s="18"/>
      <c r="G373" s="18"/>
      <c r="H373" s="18"/>
      <c r="I373" s="18"/>
      <c r="J373" s="18"/>
      <c r="K373" s="18"/>
      <c r="L373" s="18"/>
      <c r="M373" s="18"/>
      <c r="N373" s="18"/>
      <c r="O373" s="1316"/>
      <c r="P373" s="18"/>
      <c r="Q373" s="18"/>
      <c r="R373" s="18"/>
      <c r="S373" s="18"/>
      <c r="T373" s="18"/>
      <c r="U373" s="18"/>
      <c r="V373" s="18"/>
      <c r="W373" s="18"/>
      <c r="X373" s="18"/>
      <c r="Y373" s="18"/>
      <c r="Z373" s="18"/>
      <c r="AA373" s="18"/>
      <c r="AB373" s="18"/>
      <c r="AC373" s="18"/>
      <c r="AD373" s="18"/>
      <c r="AE373" s="18"/>
      <c r="AF373" s="18"/>
      <c r="AG373" s="18"/>
    </row>
    <row r="374" spans="1:33" x14ac:dyDescent="0.2">
      <c r="A374" s="18"/>
      <c r="B374" s="18"/>
      <c r="C374" s="18"/>
      <c r="D374" s="18"/>
      <c r="E374" s="18"/>
      <c r="F374" s="18"/>
      <c r="G374" s="18"/>
      <c r="H374" s="18"/>
      <c r="I374" s="18"/>
      <c r="J374" s="18"/>
      <c r="K374" s="18"/>
      <c r="L374" s="18"/>
      <c r="M374" s="18"/>
      <c r="N374" s="18"/>
      <c r="O374" s="1316"/>
      <c r="P374" s="18"/>
      <c r="Q374" s="18"/>
      <c r="R374" s="18"/>
      <c r="S374" s="18"/>
      <c r="T374" s="18"/>
      <c r="U374" s="18"/>
      <c r="V374" s="18"/>
      <c r="W374" s="18"/>
      <c r="X374" s="18"/>
      <c r="Y374" s="18"/>
      <c r="Z374" s="18"/>
      <c r="AA374" s="18"/>
      <c r="AB374" s="18"/>
      <c r="AC374" s="18"/>
      <c r="AD374" s="18"/>
      <c r="AE374" s="18"/>
      <c r="AF374" s="18"/>
      <c r="AG374" s="18"/>
    </row>
    <row r="375" spans="1:33" x14ac:dyDescent="0.2">
      <c r="A375" s="18"/>
      <c r="B375" s="18"/>
      <c r="C375" s="18"/>
      <c r="D375" s="18"/>
      <c r="E375" s="18"/>
      <c r="F375" s="18"/>
      <c r="G375" s="18"/>
      <c r="H375" s="18"/>
      <c r="I375" s="18"/>
      <c r="J375" s="18"/>
      <c r="K375" s="18"/>
      <c r="L375" s="18"/>
      <c r="M375" s="18"/>
      <c r="N375" s="18"/>
      <c r="O375" s="1316"/>
      <c r="P375" s="18"/>
      <c r="Q375" s="18"/>
      <c r="R375" s="18"/>
      <c r="S375" s="18"/>
      <c r="T375" s="18"/>
      <c r="U375" s="18"/>
      <c r="V375" s="18"/>
      <c r="W375" s="18"/>
      <c r="X375" s="18"/>
      <c r="Y375" s="18"/>
      <c r="Z375" s="18"/>
      <c r="AA375" s="18"/>
      <c r="AB375" s="18"/>
      <c r="AC375" s="18"/>
      <c r="AD375" s="18"/>
      <c r="AE375" s="18"/>
      <c r="AF375" s="18"/>
      <c r="AG375" s="18"/>
    </row>
    <row r="376" spans="1:33" x14ac:dyDescent="0.2">
      <c r="A376" s="18"/>
      <c r="B376" s="18"/>
      <c r="C376" s="18"/>
      <c r="D376" s="18"/>
      <c r="E376" s="18"/>
      <c r="F376" s="18"/>
      <c r="G376" s="18"/>
      <c r="H376" s="18"/>
      <c r="I376" s="18"/>
      <c r="J376" s="18"/>
      <c r="K376" s="18"/>
      <c r="L376" s="18"/>
      <c r="M376" s="18"/>
      <c r="N376" s="18"/>
      <c r="O376" s="1316"/>
      <c r="P376" s="18"/>
      <c r="Q376" s="18"/>
      <c r="R376" s="18"/>
      <c r="S376" s="18"/>
      <c r="T376" s="18"/>
      <c r="U376" s="18"/>
      <c r="V376" s="18"/>
      <c r="W376" s="18"/>
      <c r="X376" s="18"/>
      <c r="Y376" s="18"/>
      <c r="Z376" s="18"/>
      <c r="AA376" s="18"/>
      <c r="AB376" s="18"/>
      <c r="AC376" s="18"/>
      <c r="AD376" s="18"/>
      <c r="AE376" s="18"/>
      <c r="AF376" s="18"/>
      <c r="AG376" s="18"/>
    </row>
    <row r="377" spans="1:33" x14ac:dyDescent="0.2">
      <c r="A377" s="18"/>
      <c r="B377" s="18"/>
      <c r="C377" s="18"/>
      <c r="D377" s="18"/>
      <c r="E377" s="18"/>
      <c r="F377" s="18"/>
      <c r="G377" s="18"/>
      <c r="H377" s="18"/>
      <c r="I377" s="18"/>
      <c r="J377" s="18"/>
      <c r="K377" s="18"/>
      <c r="L377" s="18"/>
      <c r="M377" s="18"/>
      <c r="N377" s="18"/>
      <c r="O377" s="1316"/>
      <c r="P377" s="18"/>
      <c r="Q377" s="18"/>
      <c r="R377" s="18"/>
      <c r="S377" s="18"/>
      <c r="T377" s="18"/>
      <c r="U377" s="18"/>
      <c r="V377" s="18"/>
      <c r="W377" s="18"/>
      <c r="X377" s="18"/>
      <c r="Y377" s="18"/>
      <c r="Z377" s="18"/>
      <c r="AA377" s="18"/>
      <c r="AB377" s="18"/>
      <c r="AC377" s="18"/>
      <c r="AD377" s="18"/>
      <c r="AE377" s="18"/>
      <c r="AF377" s="18"/>
      <c r="AG377" s="18"/>
    </row>
    <row r="378" spans="1:33" x14ac:dyDescent="0.2">
      <c r="A378" s="18"/>
      <c r="B378" s="18"/>
      <c r="C378" s="18"/>
      <c r="D378" s="18"/>
      <c r="E378" s="18"/>
      <c r="F378" s="18"/>
      <c r="G378" s="18"/>
      <c r="H378" s="18"/>
      <c r="I378" s="18"/>
      <c r="J378" s="18"/>
      <c r="K378" s="18"/>
      <c r="L378" s="18"/>
      <c r="M378" s="18"/>
      <c r="N378" s="18"/>
      <c r="O378" s="1316"/>
      <c r="P378" s="18"/>
      <c r="Q378" s="18"/>
      <c r="R378" s="18"/>
      <c r="S378" s="18"/>
      <c r="T378" s="18"/>
      <c r="U378" s="18"/>
      <c r="V378" s="18"/>
      <c r="W378" s="18"/>
      <c r="X378" s="18"/>
      <c r="Y378" s="18"/>
      <c r="Z378" s="18"/>
      <c r="AA378" s="18"/>
      <c r="AB378" s="18"/>
      <c r="AC378" s="18"/>
      <c r="AD378" s="18"/>
      <c r="AE378" s="18"/>
      <c r="AF378" s="18"/>
      <c r="AG378" s="18"/>
    </row>
    <row r="379" spans="1:33" x14ac:dyDescent="0.2">
      <c r="A379" s="18"/>
      <c r="B379" s="18"/>
      <c r="C379" s="18"/>
      <c r="D379" s="18"/>
      <c r="E379" s="18"/>
      <c r="F379" s="18"/>
      <c r="G379" s="18"/>
      <c r="H379" s="18"/>
      <c r="I379" s="18"/>
      <c r="J379" s="18"/>
      <c r="K379" s="18"/>
      <c r="L379" s="18"/>
      <c r="M379" s="18"/>
      <c r="N379" s="18"/>
      <c r="O379" s="1316"/>
      <c r="P379" s="18"/>
      <c r="Q379" s="18"/>
      <c r="R379" s="18"/>
      <c r="S379" s="18"/>
      <c r="T379" s="18"/>
      <c r="U379" s="18"/>
      <c r="V379" s="18"/>
      <c r="W379" s="18"/>
      <c r="X379" s="18"/>
      <c r="Y379" s="18"/>
      <c r="Z379" s="18"/>
      <c r="AA379" s="18"/>
      <c r="AB379" s="18"/>
      <c r="AC379" s="18"/>
      <c r="AD379" s="18"/>
      <c r="AE379" s="18"/>
      <c r="AF379" s="18"/>
      <c r="AG379" s="18"/>
    </row>
    <row r="380" spans="1:33" x14ac:dyDescent="0.2">
      <c r="A380" s="18"/>
      <c r="B380" s="18"/>
      <c r="C380" s="18"/>
      <c r="D380" s="18"/>
      <c r="E380" s="18"/>
      <c r="F380" s="18"/>
      <c r="G380" s="18"/>
      <c r="H380" s="18"/>
      <c r="I380" s="18"/>
      <c r="J380" s="18"/>
      <c r="K380" s="18"/>
      <c r="L380" s="18"/>
      <c r="M380" s="18"/>
      <c r="N380" s="18"/>
      <c r="O380" s="1316"/>
      <c r="P380" s="18"/>
      <c r="Q380" s="18"/>
      <c r="R380" s="18"/>
      <c r="S380" s="18"/>
      <c r="T380" s="18"/>
      <c r="U380" s="18"/>
      <c r="V380" s="18"/>
      <c r="W380" s="18"/>
      <c r="X380" s="18"/>
      <c r="Y380" s="18"/>
      <c r="Z380" s="18"/>
      <c r="AA380" s="18"/>
      <c r="AB380" s="18"/>
      <c r="AC380" s="18"/>
      <c r="AD380" s="18"/>
      <c r="AE380" s="18"/>
      <c r="AF380" s="18"/>
      <c r="AG380" s="18"/>
    </row>
    <row r="381" spans="1:33" x14ac:dyDescent="0.2">
      <c r="A381" s="18"/>
      <c r="B381" s="18"/>
      <c r="C381" s="18"/>
      <c r="D381" s="18"/>
      <c r="E381" s="18"/>
      <c r="F381" s="18"/>
      <c r="G381" s="18"/>
      <c r="H381" s="18"/>
      <c r="I381" s="18"/>
      <c r="J381" s="18"/>
      <c r="K381" s="18"/>
      <c r="L381" s="18"/>
      <c r="M381" s="18"/>
      <c r="N381" s="18"/>
      <c r="O381" s="1316"/>
      <c r="P381" s="18"/>
      <c r="Q381" s="18"/>
      <c r="R381" s="18"/>
      <c r="S381" s="18"/>
      <c r="T381" s="18"/>
      <c r="U381" s="18"/>
      <c r="V381" s="18"/>
      <c r="W381" s="18"/>
      <c r="X381" s="18"/>
      <c r="Y381" s="18"/>
      <c r="Z381" s="18"/>
      <c r="AA381" s="18"/>
      <c r="AB381" s="18"/>
      <c r="AC381" s="18"/>
      <c r="AD381" s="18"/>
      <c r="AE381" s="18"/>
      <c r="AF381" s="18"/>
      <c r="AG381" s="18"/>
    </row>
    <row r="382" spans="1:33" x14ac:dyDescent="0.2">
      <c r="A382" s="18"/>
      <c r="B382" s="18"/>
      <c r="C382" s="18"/>
      <c r="D382" s="18"/>
      <c r="E382" s="18"/>
      <c r="F382" s="18"/>
      <c r="G382" s="18"/>
      <c r="H382" s="18"/>
      <c r="I382" s="18"/>
      <c r="J382" s="18"/>
      <c r="K382" s="18"/>
      <c r="L382" s="18"/>
      <c r="M382" s="18"/>
      <c r="N382" s="18"/>
      <c r="O382" s="1316"/>
      <c r="P382" s="18"/>
      <c r="Q382" s="18"/>
      <c r="R382" s="18"/>
      <c r="S382" s="18"/>
      <c r="T382" s="18"/>
      <c r="U382" s="18"/>
      <c r="V382" s="18"/>
      <c r="W382" s="18"/>
      <c r="X382" s="18"/>
      <c r="Y382" s="18"/>
      <c r="Z382" s="18"/>
      <c r="AA382" s="18"/>
      <c r="AB382" s="18"/>
      <c r="AC382" s="18"/>
      <c r="AD382" s="18"/>
      <c r="AE382" s="18"/>
      <c r="AF382" s="18"/>
      <c r="AG382" s="18"/>
    </row>
    <row r="383" spans="1:33" x14ac:dyDescent="0.2">
      <c r="A383" s="18"/>
      <c r="B383" s="18"/>
      <c r="C383" s="18"/>
      <c r="D383" s="18"/>
      <c r="E383" s="18"/>
      <c r="F383" s="18"/>
      <c r="G383" s="18"/>
      <c r="H383" s="18"/>
      <c r="I383" s="18"/>
      <c r="J383" s="18"/>
      <c r="K383" s="18"/>
      <c r="L383" s="18"/>
      <c r="M383" s="18"/>
      <c r="N383" s="18"/>
      <c r="O383" s="1316"/>
      <c r="P383" s="18"/>
      <c r="Q383" s="18"/>
      <c r="R383" s="18"/>
      <c r="S383" s="18"/>
      <c r="T383" s="18"/>
      <c r="U383" s="18"/>
      <c r="V383" s="18"/>
      <c r="W383" s="18"/>
      <c r="X383" s="18"/>
      <c r="Y383" s="18"/>
      <c r="Z383" s="18"/>
      <c r="AA383" s="18"/>
      <c r="AB383" s="18"/>
      <c r="AC383" s="18"/>
      <c r="AD383" s="18"/>
      <c r="AE383" s="18"/>
      <c r="AF383" s="18"/>
      <c r="AG383" s="18"/>
    </row>
    <row r="384" spans="1:33" x14ac:dyDescent="0.2">
      <c r="A384" s="18"/>
      <c r="B384" s="18"/>
      <c r="C384" s="18"/>
      <c r="D384" s="18"/>
      <c r="E384" s="18"/>
      <c r="F384" s="18"/>
      <c r="G384" s="18"/>
      <c r="H384" s="18"/>
      <c r="I384" s="18"/>
      <c r="J384" s="18"/>
      <c r="K384" s="18"/>
      <c r="L384" s="18"/>
      <c r="M384" s="18"/>
      <c r="N384" s="18"/>
      <c r="O384" s="1316"/>
      <c r="P384" s="18"/>
      <c r="Q384" s="18"/>
      <c r="R384" s="18"/>
      <c r="S384" s="18"/>
      <c r="T384" s="18"/>
      <c r="U384" s="18"/>
      <c r="V384" s="18"/>
      <c r="W384" s="18"/>
      <c r="X384" s="18"/>
      <c r="Y384" s="18"/>
      <c r="Z384" s="18"/>
      <c r="AA384" s="18"/>
      <c r="AB384" s="18"/>
      <c r="AC384" s="18"/>
      <c r="AD384" s="18"/>
      <c r="AE384" s="18"/>
      <c r="AF384" s="18"/>
      <c r="AG384" s="18"/>
    </row>
    <row r="385" spans="1:33" x14ac:dyDescent="0.2">
      <c r="A385" s="18"/>
      <c r="B385" s="18"/>
      <c r="C385" s="18"/>
      <c r="D385" s="18"/>
      <c r="E385" s="18"/>
      <c r="F385" s="18"/>
      <c r="G385" s="18"/>
      <c r="H385" s="18"/>
      <c r="I385" s="18"/>
      <c r="J385" s="18"/>
      <c r="K385" s="18"/>
      <c r="L385" s="18"/>
      <c r="M385" s="18"/>
      <c r="N385" s="18"/>
      <c r="O385" s="1316"/>
      <c r="P385" s="18"/>
      <c r="Q385" s="18"/>
      <c r="R385" s="18"/>
      <c r="S385" s="18"/>
      <c r="T385" s="18"/>
      <c r="U385" s="18"/>
      <c r="V385" s="18"/>
      <c r="W385" s="18"/>
      <c r="X385" s="18"/>
      <c r="Y385" s="18"/>
      <c r="Z385" s="18"/>
      <c r="AA385" s="18"/>
      <c r="AB385" s="18"/>
      <c r="AC385" s="18"/>
      <c r="AD385" s="18"/>
      <c r="AE385" s="18"/>
      <c r="AF385" s="18"/>
      <c r="AG385" s="18"/>
    </row>
    <row r="386" spans="1:33" x14ac:dyDescent="0.2">
      <c r="A386" s="18"/>
      <c r="B386" s="18"/>
      <c r="C386" s="18"/>
      <c r="D386" s="18"/>
      <c r="E386" s="18"/>
      <c r="F386" s="18"/>
      <c r="G386" s="18"/>
      <c r="H386" s="18"/>
      <c r="I386" s="18"/>
      <c r="J386" s="18"/>
      <c r="K386" s="18"/>
      <c r="L386" s="18"/>
      <c r="M386" s="18"/>
      <c r="N386" s="18"/>
      <c r="O386" s="1316"/>
      <c r="P386" s="18"/>
      <c r="Q386" s="18"/>
      <c r="R386" s="18"/>
      <c r="S386" s="18"/>
      <c r="T386" s="18"/>
      <c r="U386" s="18"/>
      <c r="V386" s="18"/>
      <c r="W386" s="18"/>
      <c r="X386" s="18"/>
      <c r="Y386" s="18"/>
      <c r="Z386" s="18"/>
      <c r="AA386" s="18"/>
      <c r="AB386" s="18"/>
      <c r="AC386" s="18"/>
      <c r="AD386" s="18"/>
      <c r="AE386" s="18"/>
      <c r="AF386" s="18"/>
      <c r="AG386" s="18"/>
    </row>
    <row r="387" spans="1:33" x14ac:dyDescent="0.2">
      <c r="A387" s="18"/>
      <c r="B387" s="18"/>
      <c r="C387" s="18"/>
      <c r="D387" s="18"/>
      <c r="E387" s="18"/>
      <c r="F387" s="18"/>
      <c r="G387" s="18"/>
      <c r="H387" s="18"/>
      <c r="I387" s="18"/>
      <c r="J387" s="18"/>
      <c r="K387" s="18"/>
      <c r="L387" s="18"/>
      <c r="M387" s="18"/>
      <c r="N387" s="18"/>
      <c r="O387" s="1316"/>
      <c r="P387" s="18"/>
      <c r="Q387" s="18"/>
      <c r="R387" s="18"/>
      <c r="S387" s="18"/>
      <c r="T387" s="18"/>
      <c r="U387" s="18"/>
      <c r="V387" s="18"/>
      <c r="W387" s="18"/>
      <c r="X387" s="18"/>
      <c r="Y387" s="18"/>
      <c r="Z387" s="18"/>
      <c r="AA387" s="18"/>
      <c r="AB387" s="18"/>
      <c r="AC387" s="18"/>
      <c r="AD387" s="18"/>
      <c r="AE387" s="18"/>
      <c r="AF387" s="18"/>
      <c r="AG387" s="18"/>
    </row>
    <row r="388" spans="1:33" x14ac:dyDescent="0.2">
      <c r="A388" s="18"/>
      <c r="B388" s="18"/>
      <c r="C388" s="18"/>
      <c r="D388" s="18"/>
      <c r="E388" s="18"/>
      <c r="F388" s="18"/>
      <c r="G388" s="18"/>
      <c r="H388" s="18"/>
      <c r="I388" s="18"/>
      <c r="J388" s="18"/>
      <c r="K388" s="18"/>
      <c r="L388" s="18"/>
      <c r="M388" s="18"/>
      <c r="N388" s="18"/>
      <c r="O388" s="1316"/>
      <c r="P388" s="18"/>
      <c r="Q388" s="18"/>
      <c r="R388" s="18"/>
      <c r="S388" s="18"/>
      <c r="T388" s="18"/>
      <c r="U388" s="18"/>
      <c r="V388" s="18"/>
      <c r="W388" s="18"/>
      <c r="X388" s="18"/>
      <c r="Y388" s="18"/>
      <c r="Z388" s="18"/>
      <c r="AA388" s="18"/>
      <c r="AB388" s="18"/>
      <c r="AC388" s="18"/>
      <c r="AD388" s="18"/>
      <c r="AE388" s="18"/>
      <c r="AF388" s="18"/>
      <c r="AG388" s="18"/>
    </row>
    <row r="389" spans="1:33" x14ac:dyDescent="0.2">
      <c r="A389" s="18"/>
      <c r="B389" s="18"/>
      <c r="C389" s="18"/>
      <c r="D389" s="18"/>
      <c r="E389" s="18"/>
      <c r="F389" s="18"/>
      <c r="G389" s="18"/>
      <c r="H389" s="18"/>
      <c r="I389" s="18"/>
      <c r="J389" s="18"/>
      <c r="K389" s="18"/>
      <c r="L389" s="18"/>
      <c r="M389" s="18"/>
      <c r="N389" s="18"/>
      <c r="O389" s="1316"/>
      <c r="P389" s="18"/>
      <c r="Q389" s="18"/>
      <c r="R389" s="18"/>
      <c r="S389" s="18"/>
      <c r="T389" s="18"/>
      <c r="U389" s="18"/>
      <c r="V389" s="18"/>
      <c r="W389" s="18"/>
      <c r="X389" s="18"/>
      <c r="Y389" s="18"/>
      <c r="Z389" s="18"/>
      <c r="AA389" s="18"/>
      <c r="AB389" s="18"/>
      <c r="AC389" s="18"/>
      <c r="AD389" s="18"/>
      <c r="AE389" s="18"/>
      <c r="AF389" s="18"/>
      <c r="AG389" s="18"/>
    </row>
    <row r="390" spans="1:33" x14ac:dyDescent="0.2">
      <c r="A390" s="18"/>
      <c r="B390" s="18"/>
      <c r="C390" s="18"/>
      <c r="D390" s="18"/>
      <c r="E390" s="18"/>
      <c r="F390" s="18"/>
      <c r="G390" s="18"/>
      <c r="H390" s="18"/>
      <c r="I390" s="18"/>
      <c r="J390" s="18"/>
      <c r="K390" s="18"/>
      <c r="L390" s="18"/>
      <c r="M390" s="18"/>
      <c r="N390" s="18"/>
      <c r="O390" s="1316"/>
      <c r="P390" s="18"/>
      <c r="Q390" s="18"/>
      <c r="R390" s="18"/>
      <c r="S390" s="18"/>
      <c r="T390" s="18"/>
      <c r="U390" s="18"/>
      <c r="V390" s="18"/>
      <c r="W390" s="18"/>
      <c r="X390" s="18"/>
      <c r="Y390" s="18"/>
      <c r="Z390" s="18"/>
      <c r="AA390" s="18"/>
      <c r="AB390" s="18"/>
      <c r="AC390" s="18"/>
      <c r="AD390" s="18"/>
      <c r="AE390" s="18"/>
      <c r="AF390" s="18"/>
      <c r="AG390" s="18"/>
    </row>
    <row r="391" spans="1:33" x14ac:dyDescent="0.2">
      <c r="A391" s="18"/>
      <c r="B391" s="18"/>
      <c r="C391" s="18"/>
      <c r="D391" s="18"/>
      <c r="E391" s="18"/>
      <c r="F391" s="18"/>
      <c r="G391" s="18"/>
      <c r="H391" s="18"/>
      <c r="I391" s="18"/>
      <c r="J391" s="18"/>
      <c r="K391" s="18"/>
      <c r="L391" s="18"/>
      <c r="M391" s="18"/>
      <c r="N391" s="18"/>
      <c r="O391" s="1316"/>
      <c r="P391" s="18"/>
      <c r="Q391" s="18"/>
      <c r="R391" s="18"/>
      <c r="S391" s="18"/>
      <c r="T391" s="18"/>
      <c r="U391" s="18"/>
      <c r="V391" s="18"/>
      <c r="W391" s="18"/>
      <c r="X391" s="18"/>
      <c r="Y391" s="18"/>
      <c r="Z391" s="18"/>
      <c r="AA391" s="18"/>
      <c r="AB391" s="18"/>
      <c r="AC391" s="18"/>
      <c r="AD391" s="18"/>
      <c r="AE391" s="18"/>
      <c r="AF391" s="18"/>
      <c r="AG391" s="18"/>
    </row>
    <row r="392" spans="1:33" x14ac:dyDescent="0.2">
      <c r="A392" s="18"/>
      <c r="B392" s="18"/>
      <c r="C392" s="18"/>
      <c r="D392" s="18"/>
      <c r="E392" s="18"/>
      <c r="F392" s="18"/>
      <c r="G392" s="18"/>
      <c r="H392" s="18"/>
      <c r="I392" s="18"/>
      <c r="J392" s="18"/>
      <c r="K392" s="18"/>
      <c r="L392" s="18"/>
      <c r="M392" s="18"/>
      <c r="N392" s="18"/>
      <c r="O392" s="1316"/>
      <c r="P392" s="18"/>
      <c r="Q392" s="18"/>
      <c r="R392" s="18"/>
      <c r="S392" s="18"/>
      <c r="T392" s="18"/>
      <c r="U392" s="18"/>
      <c r="V392" s="18"/>
      <c r="W392" s="18"/>
      <c r="X392" s="18"/>
      <c r="Y392" s="18"/>
      <c r="Z392" s="18"/>
      <c r="AA392" s="18"/>
      <c r="AB392" s="18"/>
      <c r="AC392" s="18"/>
      <c r="AD392" s="18"/>
      <c r="AE392" s="18"/>
      <c r="AF392" s="18"/>
      <c r="AG392" s="18"/>
    </row>
    <row r="393" spans="1:33" x14ac:dyDescent="0.2">
      <c r="A393" s="18"/>
      <c r="B393" s="18"/>
      <c r="C393" s="18"/>
      <c r="D393" s="18"/>
      <c r="E393" s="18"/>
      <c r="F393" s="18"/>
      <c r="G393" s="18"/>
      <c r="H393" s="18"/>
      <c r="I393" s="18"/>
      <c r="J393" s="18"/>
      <c r="K393" s="18"/>
      <c r="L393" s="18"/>
      <c r="M393" s="18"/>
      <c r="N393" s="18"/>
      <c r="O393" s="1316"/>
      <c r="P393" s="18"/>
      <c r="Q393" s="18"/>
      <c r="R393" s="18"/>
      <c r="S393" s="18"/>
      <c r="T393" s="18"/>
      <c r="U393" s="18"/>
      <c r="V393" s="18"/>
      <c r="W393" s="18"/>
      <c r="X393" s="18"/>
      <c r="Y393" s="18"/>
      <c r="Z393" s="18"/>
      <c r="AA393" s="18"/>
      <c r="AB393" s="18"/>
      <c r="AC393" s="18"/>
      <c r="AD393" s="18"/>
      <c r="AE393" s="18"/>
      <c r="AF393" s="18"/>
      <c r="AG393" s="18"/>
    </row>
    <row r="394" spans="1:33" x14ac:dyDescent="0.2">
      <c r="A394" s="18"/>
      <c r="B394" s="18"/>
      <c r="C394" s="18"/>
      <c r="D394" s="18"/>
      <c r="E394" s="18"/>
      <c r="F394" s="18"/>
      <c r="G394" s="18"/>
      <c r="H394" s="18"/>
      <c r="I394" s="18"/>
      <c r="J394" s="18"/>
      <c r="K394" s="18"/>
      <c r="L394" s="18"/>
      <c r="M394" s="18"/>
      <c r="N394" s="18"/>
      <c r="O394" s="1316"/>
      <c r="P394" s="18"/>
      <c r="Q394" s="18"/>
      <c r="R394" s="18"/>
      <c r="S394" s="18"/>
      <c r="T394" s="18"/>
      <c r="U394" s="18"/>
      <c r="V394" s="18"/>
      <c r="W394" s="18"/>
      <c r="X394" s="18"/>
      <c r="Y394" s="18"/>
      <c r="Z394" s="18"/>
      <c r="AA394" s="18"/>
      <c r="AB394" s="18"/>
      <c r="AC394" s="18"/>
      <c r="AD394" s="18"/>
      <c r="AE394" s="18"/>
      <c r="AF394" s="18"/>
      <c r="AG394" s="18"/>
    </row>
    <row r="395" spans="1:33" x14ac:dyDescent="0.2">
      <c r="A395" s="18"/>
      <c r="B395" s="18"/>
      <c r="C395" s="18"/>
      <c r="D395" s="18"/>
      <c r="E395" s="18"/>
      <c r="F395" s="18"/>
      <c r="G395" s="18"/>
      <c r="H395" s="18"/>
      <c r="I395" s="18"/>
      <c r="J395" s="18"/>
      <c r="K395" s="18"/>
      <c r="L395" s="18"/>
      <c r="M395" s="18"/>
      <c r="N395" s="18"/>
      <c r="O395" s="1316"/>
      <c r="P395" s="18"/>
      <c r="Q395" s="18"/>
      <c r="R395" s="18"/>
      <c r="S395" s="18"/>
      <c r="T395" s="18"/>
      <c r="U395" s="18"/>
      <c r="V395" s="18"/>
      <c r="W395" s="18"/>
      <c r="X395" s="18"/>
      <c r="Y395" s="18"/>
      <c r="Z395" s="18"/>
      <c r="AA395" s="18"/>
      <c r="AB395" s="18"/>
      <c r="AC395" s="18"/>
      <c r="AD395" s="18"/>
      <c r="AE395" s="18"/>
      <c r="AF395" s="18"/>
      <c r="AG395" s="18"/>
    </row>
    <row r="396" spans="1:33" x14ac:dyDescent="0.2">
      <c r="A396" s="18"/>
      <c r="B396" s="18"/>
      <c r="C396" s="18"/>
      <c r="D396" s="18"/>
      <c r="E396" s="18"/>
      <c r="F396" s="18"/>
      <c r="G396" s="18"/>
      <c r="H396" s="18"/>
      <c r="I396" s="18"/>
      <c r="J396" s="18"/>
      <c r="K396" s="18"/>
      <c r="L396" s="18"/>
      <c r="M396" s="18"/>
      <c r="N396" s="18"/>
      <c r="O396" s="1316"/>
      <c r="P396" s="18"/>
      <c r="Q396" s="18"/>
      <c r="R396" s="18"/>
      <c r="S396" s="18"/>
      <c r="T396" s="18"/>
      <c r="U396" s="18"/>
      <c r="V396" s="18"/>
      <c r="W396" s="18"/>
      <c r="X396" s="18"/>
      <c r="Y396" s="18"/>
      <c r="Z396" s="18"/>
      <c r="AA396" s="18"/>
      <c r="AB396" s="18"/>
      <c r="AC396" s="18"/>
      <c r="AD396" s="18"/>
      <c r="AE396" s="18"/>
      <c r="AF396" s="18"/>
      <c r="AG396" s="18"/>
    </row>
    <row r="397" spans="1:33" x14ac:dyDescent="0.2">
      <c r="A397" s="18"/>
      <c r="B397" s="18"/>
      <c r="C397" s="18"/>
      <c r="D397" s="18"/>
      <c r="E397" s="18"/>
      <c r="F397" s="18"/>
      <c r="G397" s="18"/>
      <c r="H397" s="18"/>
      <c r="I397" s="18"/>
      <c r="J397" s="18"/>
      <c r="K397" s="18"/>
      <c r="L397" s="18"/>
      <c r="M397" s="18"/>
      <c r="N397" s="18"/>
      <c r="O397" s="1316"/>
      <c r="P397" s="18"/>
      <c r="Q397" s="18"/>
      <c r="R397" s="18"/>
      <c r="S397" s="18"/>
      <c r="T397" s="18"/>
      <c r="U397" s="18"/>
      <c r="V397" s="18"/>
      <c r="W397" s="18"/>
      <c r="X397" s="18"/>
      <c r="Y397" s="18"/>
      <c r="Z397" s="18"/>
      <c r="AA397" s="18"/>
      <c r="AB397" s="18"/>
      <c r="AC397" s="18"/>
      <c r="AD397" s="18"/>
      <c r="AE397" s="18"/>
      <c r="AF397" s="18"/>
      <c r="AG397" s="18"/>
    </row>
    <row r="398" spans="1:33" x14ac:dyDescent="0.2">
      <c r="A398" s="18"/>
      <c r="B398" s="18"/>
      <c r="C398" s="18"/>
      <c r="D398" s="18"/>
      <c r="E398" s="18"/>
      <c r="F398" s="18"/>
      <c r="G398" s="18"/>
      <c r="H398" s="18"/>
      <c r="I398" s="18"/>
      <c r="J398" s="18"/>
      <c r="K398" s="18"/>
      <c r="L398" s="18"/>
      <c r="M398" s="18"/>
      <c r="N398" s="18"/>
      <c r="O398" s="1316"/>
      <c r="P398" s="18"/>
      <c r="Q398" s="18"/>
      <c r="R398" s="18"/>
      <c r="S398" s="18"/>
      <c r="T398" s="18"/>
      <c r="U398" s="18"/>
      <c r="V398" s="18"/>
      <c r="W398" s="18"/>
      <c r="X398" s="18"/>
      <c r="Y398" s="18"/>
      <c r="Z398" s="18"/>
      <c r="AA398" s="18"/>
      <c r="AB398" s="18"/>
      <c r="AC398" s="18"/>
      <c r="AD398" s="18"/>
      <c r="AE398" s="18"/>
      <c r="AF398" s="18"/>
      <c r="AG398" s="18"/>
    </row>
    <row r="399" spans="1:33" x14ac:dyDescent="0.2">
      <c r="A399" s="18"/>
      <c r="B399" s="18"/>
      <c r="C399" s="18"/>
      <c r="D399" s="18"/>
      <c r="E399" s="18"/>
      <c r="F399" s="18"/>
      <c r="G399" s="18"/>
      <c r="H399" s="18"/>
      <c r="I399" s="18"/>
      <c r="J399" s="18"/>
      <c r="K399" s="18"/>
      <c r="L399" s="18"/>
      <c r="M399" s="18"/>
      <c r="N399" s="18"/>
      <c r="O399" s="1316"/>
      <c r="P399" s="18"/>
      <c r="Q399" s="18"/>
      <c r="R399" s="18"/>
      <c r="S399" s="18"/>
      <c r="T399" s="18"/>
      <c r="U399" s="18"/>
      <c r="V399" s="18"/>
      <c r="W399" s="18"/>
      <c r="X399" s="18"/>
      <c r="Y399" s="18"/>
      <c r="Z399" s="18"/>
      <c r="AA399" s="18"/>
      <c r="AB399" s="18"/>
      <c r="AC399" s="18"/>
      <c r="AD399" s="18"/>
      <c r="AE399" s="18"/>
      <c r="AF399" s="18"/>
      <c r="AG399" s="18"/>
    </row>
    <row r="400" spans="1:33" x14ac:dyDescent="0.2">
      <c r="A400" s="18"/>
      <c r="B400" s="18"/>
      <c r="C400" s="18"/>
      <c r="D400" s="18"/>
      <c r="E400" s="18"/>
      <c r="F400" s="18"/>
      <c r="G400" s="18"/>
      <c r="H400" s="18"/>
      <c r="I400" s="18"/>
      <c r="J400" s="18"/>
      <c r="K400" s="18"/>
      <c r="L400" s="18"/>
      <c r="M400" s="18"/>
      <c r="N400" s="18"/>
      <c r="O400" s="1316"/>
      <c r="P400" s="18"/>
      <c r="Q400" s="18"/>
      <c r="R400" s="18"/>
      <c r="S400" s="18"/>
      <c r="T400" s="18"/>
      <c r="U400" s="18"/>
      <c r="V400" s="18"/>
      <c r="W400" s="18"/>
      <c r="X400" s="18"/>
      <c r="Y400" s="18"/>
      <c r="Z400" s="18"/>
      <c r="AA400" s="18"/>
      <c r="AB400" s="18"/>
      <c r="AC400" s="18"/>
      <c r="AD400" s="18"/>
      <c r="AE400" s="18"/>
      <c r="AF400" s="18"/>
      <c r="AG400" s="18"/>
    </row>
    <row r="401" spans="1:33" x14ac:dyDescent="0.2">
      <c r="A401" s="18"/>
      <c r="B401" s="18"/>
      <c r="C401" s="18"/>
      <c r="D401" s="18"/>
      <c r="E401" s="18"/>
      <c r="F401" s="18"/>
      <c r="G401" s="18"/>
      <c r="H401" s="18"/>
      <c r="I401" s="18"/>
      <c r="J401" s="18"/>
      <c r="K401" s="18"/>
      <c r="L401" s="18"/>
      <c r="M401" s="18"/>
      <c r="N401" s="18"/>
      <c r="O401" s="1316"/>
      <c r="P401" s="18"/>
      <c r="Q401" s="18"/>
      <c r="R401" s="18"/>
      <c r="S401" s="18"/>
      <c r="T401" s="18"/>
      <c r="U401" s="18"/>
      <c r="V401" s="18"/>
      <c r="W401" s="18"/>
      <c r="X401" s="18"/>
      <c r="Y401" s="18"/>
      <c r="Z401" s="18"/>
      <c r="AA401" s="18"/>
      <c r="AB401" s="18"/>
      <c r="AC401" s="18"/>
      <c r="AD401" s="18"/>
      <c r="AE401" s="18"/>
      <c r="AF401" s="18"/>
      <c r="AG401" s="18"/>
    </row>
    <row r="402" spans="1:33" x14ac:dyDescent="0.2">
      <c r="A402" s="18"/>
      <c r="B402" s="18"/>
      <c r="C402" s="18"/>
      <c r="D402" s="18"/>
      <c r="E402" s="18"/>
      <c r="F402" s="18"/>
      <c r="G402" s="18"/>
      <c r="H402" s="18"/>
      <c r="I402" s="18"/>
      <c r="J402" s="18"/>
      <c r="K402" s="18"/>
      <c r="L402" s="18"/>
      <c r="M402" s="18"/>
      <c r="N402" s="18"/>
      <c r="O402" s="1316"/>
      <c r="P402" s="18"/>
      <c r="Q402" s="18"/>
      <c r="R402" s="18"/>
      <c r="S402" s="18"/>
      <c r="T402" s="18"/>
      <c r="U402" s="18"/>
      <c r="V402" s="18"/>
      <c r="W402" s="18"/>
      <c r="X402" s="18"/>
      <c r="Y402" s="18"/>
      <c r="Z402" s="18"/>
      <c r="AA402" s="18"/>
      <c r="AB402" s="18"/>
      <c r="AC402" s="18"/>
      <c r="AD402" s="18"/>
      <c r="AE402" s="18"/>
      <c r="AF402" s="18"/>
      <c r="AG402" s="18"/>
    </row>
    <row r="403" spans="1:33" x14ac:dyDescent="0.2">
      <c r="A403" s="18"/>
      <c r="B403" s="18"/>
      <c r="C403" s="18"/>
      <c r="D403" s="18"/>
      <c r="E403" s="18"/>
      <c r="F403" s="18"/>
      <c r="G403" s="18"/>
      <c r="H403" s="18"/>
      <c r="I403" s="18"/>
      <c r="J403" s="18"/>
      <c r="K403" s="18"/>
      <c r="L403" s="18"/>
      <c r="M403" s="18"/>
      <c r="N403" s="18"/>
      <c r="O403" s="1316"/>
      <c r="P403" s="18"/>
      <c r="Q403" s="18"/>
      <c r="R403" s="18"/>
      <c r="S403" s="18"/>
      <c r="T403" s="18"/>
      <c r="U403" s="18"/>
      <c r="V403" s="18"/>
      <c r="W403" s="18"/>
      <c r="X403" s="18"/>
      <c r="Y403" s="18"/>
      <c r="Z403" s="18"/>
      <c r="AA403" s="18"/>
      <c r="AB403" s="18"/>
      <c r="AC403" s="18"/>
      <c r="AD403" s="18"/>
      <c r="AE403" s="18"/>
      <c r="AF403" s="18"/>
      <c r="AG403" s="18"/>
    </row>
    <row r="404" spans="1:33" x14ac:dyDescent="0.2">
      <c r="A404" s="18"/>
      <c r="B404" s="18"/>
      <c r="C404" s="18"/>
      <c r="D404" s="18"/>
      <c r="E404" s="18"/>
      <c r="F404" s="18"/>
      <c r="G404" s="18"/>
      <c r="H404" s="18"/>
      <c r="I404" s="18"/>
      <c r="J404" s="18"/>
      <c r="K404" s="18"/>
      <c r="L404" s="18"/>
      <c r="M404" s="18"/>
      <c r="N404" s="18"/>
      <c r="O404" s="1316"/>
      <c r="P404" s="18"/>
      <c r="Q404" s="18"/>
      <c r="R404" s="18"/>
      <c r="S404" s="18"/>
      <c r="T404" s="18"/>
      <c r="U404" s="18"/>
      <c r="V404" s="18"/>
      <c r="W404" s="18"/>
      <c r="X404" s="18"/>
      <c r="Y404" s="18"/>
      <c r="Z404" s="18"/>
      <c r="AA404" s="18"/>
      <c r="AB404" s="18"/>
      <c r="AC404" s="18"/>
      <c r="AD404" s="18"/>
      <c r="AE404" s="18"/>
      <c r="AF404" s="18"/>
      <c r="AG404" s="18"/>
    </row>
    <row r="405" spans="1:33" x14ac:dyDescent="0.2">
      <c r="A405" s="18"/>
      <c r="B405" s="18"/>
      <c r="C405" s="18"/>
      <c r="D405" s="18"/>
      <c r="E405" s="18"/>
      <c r="F405" s="18"/>
      <c r="G405" s="18"/>
      <c r="H405" s="18"/>
      <c r="I405" s="18"/>
      <c r="J405" s="18"/>
      <c r="K405" s="18"/>
      <c r="L405" s="18"/>
      <c r="M405" s="18"/>
      <c r="N405" s="18"/>
      <c r="O405" s="1316"/>
      <c r="P405" s="18"/>
      <c r="Q405" s="18"/>
      <c r="R405" s="18"/>
      <c r="S405" s="18"/>
      <c r="T405" s="18"/>
      <c r="U405" s="18"/>
      <c r="V405" s="18"/>
      <c r="W405" s="18"/>
      <c r="X405" s="18"/>
      <c r="Y405" s="18"/>
      <c r="Z405" s="18"/>
      <c r="AA405" s="18"/>
      <c r="AB405" s="18"/>
      <c r="AC405" s="18"/>
      <c r="AD405" s="18"/>
      <c r="AE405" s="18"/>
      <c r="AF405" s="18"/>
      <c r="AG405" s="18"/>
    </row>
    <row r="406" spans="1:33" x14ac:dyDescent="0.2">
      <c r="A406" s="18"/>
      <c r="B406" s="18"/>
      <c r="C406" s="18"/>
      <c r="D406" s="18"/>
      <c r="E406" s="18"/>
      <c r="F406" s="18"/>
      <c r="G406" s="18"/>
      <c r="H406" s="18"/>
      <c r="I406" s="18"/>
      <c r="J406" s="18"/>
      <c r="K406" s="18"/>
      <c r="L406" s="18"/>
      <c r="M406" s="18"/>
      <c r="N406" s="18"/>
      <c r="O406" s="1316"/>
      <c r="P406" s="18"/>
      <c r="Q406" s="18"/>
      <c r="R406" s="18"/>
      <c r="S406" s="18"/>
      <c r="T406" s="18"/>
      <c r="U406" s="18"/>
      <c r="V406" s="18"/>
      <c r="W406" s="18"/>
      <c r="X406" s="18"/>
      <c r="Y406" s="18"/>
      <c r="Z406" s="18"/>
      <c r="AA406" s="18"/>
      <c r="AB406" s="18"/>
      <c r="AC406" s="18"/>
      <c r="AD406" s="18"/>
      <c r="AE406" s="18"/>
      <c r="AF406" s="18"/>
      <c r="AG406" s="18"/>
    </row>
    <row r="407" spans="1:33" x14ac:dyDescent="0.2">
      <c r="A407" s="18"/>
      <c r="B407" s="18"/>
      <c r="C407" s="18"/>
      <c r="D407" s="18"/>
      <c r="E407" s="18"/>
      <c r="F407" s="18"/>
      <c r="G407" s="18"/>
      <c r="H407" s="18"/>
      <c r="I407" s="18"/>
      <c r="J407" s="18"/>
      <c r="K407" s="18"/>
      <c r="L407" s="18"/>
      <c r="M407" s="18"/>
      <c r="N407" s="18"/>
      <c r="O407" s="1316"/>
      <c r="P407" s="18"/>
      <c r="Q407" s="18"/>
      <c r="R407" s="18"/>
      <c r="S407" s="18"/>
      <c r="T407" s="18"/>
      <c r="U407" s="18"/>
      <c r="V407" s="18"/>
      <c r="W407" s="18"/>
      <c r="X407" s="18"/>
      <c r="Y407" s="18"/>
      <c r="Z407" s="18"/>
      <c r="AA407" s="18"/>
      <c r="AB407" s="18"/>
      <c r="AC407" s="18"/>
      <c r="AD407" s="18"/>
      <c r="AE407" s="18"/>
      <c r="AF407" s="18"/>
      <c r="AG407" s="18"/>
    </row>
    <row r="408" spans="1:33" x14ac:dyDescent="0.2">
      <c r="A408" s="18"/>
      <c r="B408" s="18"/>
      <c r="C408" s="18"/>
      <c r="D408" s="18"/>
      <c r="E408" s="18"/>
      <c r="F408" s="18"/>
      <c r="G408" s="18"/>
      <c r="H408" s="18"/>
      <c r="I408" s="18"/>
      <c r="J408" s="18"/>
      <c r="K408" s="18"/>
      <c r="L408" s="18"/>
      <c r="M408" s="18"/>
      <c r="N408" s="18"/>
      <c r="O408" s="1316"/>
      <c r="P408" s="18"/>
      <c r="Q408" s="18"/>
      <c r="R408" s="18"/>
      <c r="S408" s="18"/>
      <c r="T408" s="18"/>
      <c r="U408" s="18"/>
      <c r="V408" s="18"/>
      <c r="W408" s="18"/>
      <c r="X408" s="18"/>
      <c r="Y408" s="18"/>
      <c r="Z408" s="18"/>
      <c r="AA408" s="18"/>
      <c r="AB408" s="18"/>
      <c r="AC408" s="18"/>
      <c r="AD408" s="18"/>
      <c r="AE408" s="18"/>
      <c r="AF408" s="18"/>
      <c r="AG408" s="18"/>
    </row>
    <row r="409" spans="1:33" x14ac:dyDescent="0.2">
      <c r="A409" s="18"/>
      <c r="B409" s="18"/>
      <c r="C409" s="18"/>
      <c r="D409" s="18"/>
      <c r="E409" s="18"/>
      <c r="F409" s="18"/>
      <c r="G409" s="18"/>
      <c r="H409" s="18"/>
      <c r="I409" s="18"/>
      <c r="J409" s="18"/>
      <c r="K409" s="18"/>
      <c r="L409" s="18"/>
      <c r="M409" s="18"/>
      <c r="N409" s="18"/>
      <c r="O409" s="1316"/>
      <c r="P409" s="18"/>
      <c r="Q409" s="18"/>
      <c r="R409" s="18"/>
      <c r="S409" s="18"/>
      <c r="T409" s="18"/>
      <c r="U409" s="18"/>
      <c r="V409" s="18"/>
      <c r="W409" s="18"/>
      <c r="X409" s="18"/>
      <c r="Y409" s="18"/>
      <c r="Z409" s="18"/>
      <c r="AA409" s="18"/>
      <c r="AB409" s="18"/>
      <c r="AC409" s="18"/>
      <c r="AD409" s="18"/>
      <c r="AE409" s="18"/>
      <c r="AF409" s="18"/>
      <c r="AG409" s="18"/>
    </row>
    <row r="410" spans="1:33" x14ac:dyDescent="0.2">
      <c r="A410" s="18"/>
      <c r="B410" s="18"/>
      <c r="C410" s="18"/>
      <c r="D410" s="18"/>
      <c r="E410" s="18"/>
      <c r="F410" s="18"/>
      <c r="G410" s="18"/>
      <c r="H410" s="18"/>
      <c r="I410" s="18"/>
      <c r="J410" s="18"/>
      <c r="K410" s="18"/>
      <c r="L410" s="18"/>
      <c r="M410" s="18"/>
      <c r="N410" s="18"/>
      <c r="O410" s="1316"/>
      <c r="P410" s="18"/>
      <c r="Q410" s="18"/>
      <c r="R410" s="18"/>
      <c r="S410" s="18"/>
      <c r="T410" s="18"/>
      <c r="U410" s="18"/>
      <c r="V410" s="18"/>
      <c r="W410" s="18"/>
      <c r="X410" s="18"/>
      <c r="Y410" s="18"/>
      <c r="Z410" s="18"/>
      <c r="AA410" s="18"/>
      <c r="AB410" s="18"/>
      <c r="AC410" s="18"/>
      <c r="AD410" s="18"/>
      <c r="AE410" s="18"/>
      <c r="AF410" s="18"/>
      <c r="AG410" s="18"/>
    </row>
    <row r="411" spans="1:33" x14ac:dyDescent="0.2">
      <c r="A411" s="18"/>
      <c r="B411" s="18"/>
      <c r="C411" s="18"/>
      <c r="D411" s="18"/>
      <c r="E411" s="18"/>
      <c r="F411" s="18"/>
      <c r="G411" s="18"/>
      <c r="H411" s="18"/>
      <c r="I411" s="18"/>
      <c r="J411" s="18"/>
      <c r="K411" s="18"/>
      <c r="L411" s="18"/>
      <c r="M411" s="18"/>
      <c r="N411" s="18"/>
      <c r="O411" s="1316"/>
      <c r="P411" s="18"/>
      <c r="Q411" s="18"/>
      <c r="R411" s="18"/>
      <c r="S411" s="18"/>
      <c r="T411" s="18"/>
      <c r="U411" s="18"/>
      <c r="V411" s="18"/>
      <c r="W411" s="18"/>
      <c r="X411" s="18"/>
      <c r="Y411" s="18"/>
      <c r="Z411" s="18"/>
      <c r="AA411" s="18"/>
      <c r="AB411" s="18"/>
      <c r="AC411" s="18"/>
      <c r="AD411" s="18"/>
      <c r="AE411" s="18"/>
      <c r="AF411" s="18"/>
      <c r="AG411" s="18"/>
    </row>
    <row r="412" spans="1:33" x14ac:dyDescent="0.2">
      <c r="A412" s="18"/>
      <c r="B412" s="18"/>
      <c r="C412" s="18"/>
      <c r="D412" s="18"/>
      <c r="E412" s="18"/>
      <c r="F412" s="18"/>
      <c r="G412" s="18"/>
      <c r="H412" s="18"/>
      <c r="I412" s="18"/>
      <c r="J412" s="18"/>
      <c r="K412" s="18"/>
      <c r="L412" s="18"/>
      <c r="M412" s="18"/>
      <c r="N412" s="18"/>
      <c r="O412" s="1316"/>
      <c r="P412" s="18"/>
      <c r="Q412" s="18"/>
      <c r="R412" s="18"/>
      <c r="S412" s="18"/>
      <c r="T412" s="18"/>
      <c r="U412" s="18"/>
      <c r="V412" s="18"/>
      <c r="W412" s="18"/>
      <c r="X412" s="18"/>
      <c r="Y412" s="18"/>
      <c r="Z412" s="18"/>
      <c r="AA412" s="18"/>
      <c r="AB412" s="18"/>
      <c r="AC412" s="18"/>
      <c r="AD412" s="18"/>
      <c r="AE412" s="18"/>
      <c r="AF412" s="18"/>
      <c r="AG412" s="18"/>
    </row>
    <row r="413" spans="1:33" x14ac:dyDescent="0.2">
      <c r="A413" s="18"/>
      <c r="B413" s="18"/>
      <c r="C413" s="18"/>
      <c r="D413" s="18"/>
      <c r="E413" s="18"/>
      <c r="F413" s="18"/>
      <c r="G413" s="18"/>
      <c r="H413" s="18"/>
      <c r="I413" s="18"/>
      <c r="J413" s="18"/>
      <c r="K413" s="18"/>
      <c r="L413" s="18"/>
      <c r="M413" s="18"/>
      <c r="N413" s="18"/>
      <c r="O413" s="1316"/>
      <c r="P413" s="18"/>
      <c r="Q413" s="18"/>
      <c r="R413" s="18"/>
      <c r="S413" s="18"/>
      <c r="T413" s="18"/>
      <c r="U413" s="18"/>
      <c r="V413" s="18"/>
      <c r="W413" s="18"/>
      <c r="X413" s="18"/>
      <c r="Y413" s="18"/>
      <c r="Z413" s="18"/>
      <c r="AA413" s="18"/>
      <c r="AB413" s="18"/>
      <c r="AC413" s="18"/>
      <c r="AD413" s="18"/>
      <c r="AE413" s="18"/>
      <c r="AF413" s="18"/>
      <c r="AG413" s="18"/>
    </row>
    <row r="414" spans="1:33" x14ac:dyDescent="0.2">
      <c r="A414" s="18"/>
      <c r="B414" s="18"/>
      <c r="C414" s="18"/>
      <c r="D414" s="18"/>
      <c r="E414" s="18"/>
      <c r="F414" s="18"/>
      <c r="G414" s="18"/>
      <c r="H414" s="18"/>
      <c r="I414" s="18"/>
      <c r="J414" s="18"/>
      <c r="K414" s="18"/>
      <c r="L414" s="18"/>
      <c r="M414" s="18"/>
      <c r="N414" s="18"/>
      <c r="O414" s="1316"/>
      <c r="P414" s="18"/>
      <c r="Q414" s="18"/>
      <c r="R414" s="18"/>
      <c r="S414" s="18"/>
      <c r="T414" s="18"/>
      <c r="U414" s="18"/>
      <c r="V414" s="18"/>
      <c r="W414" s="18"/>
      <c r="X414" s="18"/>
      <c r="Y414" s="18"/>
      <c r="Z414" s="18"/>
      <c r="AA414" s="18"/>
      <c r="AB414" s="18"/>
      <c r="AC414" s="18"/>
      <c r="AD414" s="18"/>
      <c r="AE414" s="18"/>
      <c r="AF414" s="18"/>
      <c r="AG414" s="18"/>
    </row>
    <row r="415" spans="1:33" x14ac:dyDescent="0.2">
      <c r="A415" s="18"/>
      <c r="B415" s="18"/>
      <c r="C415" s="18"/>
      <c r="D415" s="18"/>
      <c r="E415" s="18"/>
      <c r="F415" s="18"/>
      <c r="G415" s="18"/>
      <c r="H415" s="18"/>
      <c r="I415" s="18"/>
      <c r="J415" s="18"/>
      <c r="K415" s="18"/>
      <c r="L415" s="18"/>
      <c r="M415" s="18"/>
      <c r="N415" s="18"/>
      <c r="O415" s="1316"/>
      <c r="P415" s="18"/>
      <c r="Q415" s="18"/>
      <c r="R415" s="18"/>
      <c r="S415" s="18"/>
      <c r="T415" s="18"/>
      <c r="U415" s="18"/>
      <c r="V415" s="18"/>
      <c r="W415" s="18"/>
      <c r="X415" s="18"/>
      <c r="Y415" s="18"/>
      <c r="Z415" s="18"/>
      <c r="AA415" s="18"/>
      <c r="AB415" s="18"/>
      <c r="AC415" s="18"/>
      <c r="AD415" s="18"/>
      <c r="AE415" s="18"/>
      <c r="AF415" s="18"/>
      <c r="AG415" s="18"/>
    </row>
    <row r="416" spans="1:33" x14ac:dyDescent="0.2">
      <c r="A416" s="18"/>
      <c r="B416" s="18"/>
      <c r="C416" s="18"/>
      <c r="D416" s="18"/>
      <c r="E416" s="18"/>
      <c r="F416" s="18"/>
      <c r="G416" s="18"/>
      <c r="H416" s="18"/>
      <c r="I416" s="18"/>
      <c r="J416" s="18"/>
      <c r="K416" s="18"/>
      <c r="L416" s="18"/>
      <c r="M416" s="18"/>
      <c r="N416" s="18"/>
      <c r="O416" s="1316"/>
      <c r="P416" s="18"/>
      <c r="Q416" s="18"/>
      <c r="R416" s="18"/>
      <c r="S416" s="18"/>
      <c r="T416" s="18"/>
      <c r="U416" s="18"/>
      <c r="V416" s="18"/>
      <c r="W416" s="18"/>
      <c r="X416" s="18"/>
      <c r="Y416" s="18"/>
      <c r="Z416" s="18"/>
      <c r="AA416" s="18"/>
      <c r="AB416" s="18"/>
      <c r="AC416" s="18"/>
      <c r="AD416" s="18"/>
      <c r="AE416" s="18"/>
      <c r="AF416" s="18"/>
      <c r="AG416" s="18"/>
    </row>
    <row r="417" spans="1:33" x14ac:dyDescent="0.2">
      <c r="A417" s="18"/>
      <c r="B417" s="18"/>
      <c r="C417" s="18"/>
      <c r="D417" s="18"/>
      <c r="E417" s="18"/>
      <c r="F417" s="18"/>
      <c r="G417" s="18"/>
      <c r="H417" s="18"/>
      <c r="I417" s="18"/>
      <c r="J417" s="18"/>
      <c r="K417" s="18"/>
      <c r="L417" s="18"/>
      <c r="M417" s="18"/>
      <c r="N417" s="18"/>
      <c r="O417" s="1316"/>
      <c r="P417" s="18"/>
      <c r="Q417" s="18"/>
      <c r="R417" s="18"/>
      <c r="S417" s="18"/>
      <c r="T417" s="18"/>
      <c r="U417" s="18"/>
      <c r="V417" s="18"/>
      <c r="W417" s="18"/>
      <c r="X417" s="18"/>
      <c r="Y417" s="18"/>
      <c r="Z417" s="18"/>
      <c r="AA417" s="18"/>
      <c r="AB417" s="18"/>
      <c r="AC417" s="18"/>
      <c r="AD417" s="18"/>
      <c r="AE417" s="18"/>
      <c r="AF417" s="18"/>
      <c r="AG417" s="18"/>
    </row>
    <row r="418" spans="1:33" x14ac:dyDescent="0.2">
      <c r="A418" s="18"/>
      <c r="B418" s="18"/>
      <c r="C418" s="18"/>
      <c r="D418" s="18"/>
      <c r="E418" s="18"/>
      <c r="F418" s="18"/>
      <c r="G418" s="18"/>
      <c r="H418" s="18"/>
      <c r="I418" s="18"/>
      <c r="J418" s="18"/>
      <c r="K418" s="18"/>
      <c r="L418" s="18"/>
      <c r="M418" s="18"/>
      <c r="N418" s="18"/>
      <c r="O418" s="1316"/>
      <c r="P418" s="18"/>
      <c r="Q418" s="18"/>
      <c r="R418" s="18"/>
      <c r="S418" s="18"/>
      <c r="T418" s="18"/>
      <c r="U418" s="18"/>
      <c r="V418" s="18"/>
      <c r="W418" s="18"/>
      <c r="X418" s="18"/>
      <c r="Y418" s="18"/>
      <c r="Z418" s="18"/>
      <c r="AA418" s="18"/>
      <c r="AB418" s="18"/>
      <c r="AC418" s="18"/>
      <c r="AD418" s="18"/>
      <c r="AE418" s="18"/>
      <c r="AF418" s="18"/>
      <c r="AG418" s="18"/>
    </row>
    <row r="419" spans="1:33" x14ac:dyDescent="0.2">
      <c r="A419" s="18"/>
      <c r="B419" s="18"/>
      <c r="C419" s="18"/>
      <c r="D419" s="18"/>
      <c r="E419" s="18"/>
      <c r="F419" s="18"/>
      <c r="G419" s="18"/>
      <c r="H419" s="18"/>
      <c r="I419" s="18"/>
      <c r="J419" s="18"/>
      <c r="K419" s="18"/>
      <c r="L419" s="18"/>
      <c r="M419" s="18"/>
      <c r="N419" s="18"/>
      <c r="O419" s="1316"/>
      <c r="P419" s="18"/>
      <c r="Q419" s="18"/>
      <c r="R419" s="18"/>
      <c r="S419" s="18"/>
      <c r="T419" s="18"/>
      <c r="U419" s="18"/>
      <c r="V419" s="18"/>
      <c r="W419" s="18"/>
      <c r="X419" s="18"/>
      <c r="Y419" s="18"/>
      <c r="Z419" s="18"/>
      <c r="AA419" s="18"/>
      <c r="AB419" s="18"/>
      <c r="AC419" s="18"/>
      <c r="AD419" s="18"/>
      <c r="AE419" s="18"/>
      <c r="AF419" s="18"/>
      <c r="AG419" s="18"/>
    </row>
    <row r="420" spans="1:33" x14ac:dyDescent="0.2">
      <c r="A420" s="18"/>
      <c r="B420" s="18"/>
      <c r="C420" s="18"/>
      <c r="D420" s="18"/>
      <c r="E420" s="18"/>
      <c r="F420" s="18"/>
      <c r="G420" s="18"/>
      <c r="H420" s="18"/>
      <c r="I420" s="18"/>
      <c r="J420" s="18"/>
      <c r="K420" s="18"/>
      <c r="L420" s="18"/>
      <c r="M420" s="18"/>
      <c r="N420" s="18"/>
      <c r="O420" s="1316"/>
      <c r="P420" s="18"/>
      <c r="Q420" s="18"/>
      <c r="R420" s="18"/>
      <c r="S420" s="18"/>
      <c r="T420" s="18"/>
      <c r="U420" s="18"/>
      <c r="V420" s="18"/>
      <c r="W420" s="18"/>
      <c r="X420" s="18"/>
      <c r="Y420" s="18"/>
      <c r="Z420" s="18"/>
      <c r="AA420" s="18"/>
      <c r="AB420" s="18"/>
      <c r="AC420" s="18"/>
      <c r="AD420" s="18"/>
      <c r="AE420" s="18"/>
      <c r="AF420" s="18"/>
      <c r="AG420" s="18"/>
    </row>
    <row r="421" spans="1:33" x14ac:dyDescent="0.2">
      <c r="A421" s="18"/>
      <c r="B421" s="18"/>
      <c r="C421" s="18"/>
      <c r="D421" s="18"/>
      <c r="E421" s="18"/>
      <c r="F421" s="18"/>
      <c r="G421" s="18"/>
      <c r="H421" s="18"/>
      <c r="I421" s="18"/>
      <c r="J421" s="18"/>
      <c r="K421" s="18"/>
      <c r="L421" s="18"/>
      <c r="M421" s="18"/>
      <c r="N421" s="18"/>
      <c r="O421" s="1316"/>
      <c r="P421" s="18"/>
      <c r="Q421" s="18"/>
      <c r="R421" s="18"/>
      <c r="S421" s="18"/>
      <c r="T421" s="18"/>
      <c r="U421" s="18"/>
      <c r="V421" s="18"/>
      <c r="W421" s="18"/>
      <c r="X421" s="18"/>
      <c r="Y421" s="18"/>
      <c r="Z421" s="18"/>
      <c r="AA421" s="18"/>
      <c r="AB421" s="18"/>
      <c r="AC421" s="18"/>
      <c r="AD421" s="18"/>
      <c r="AE421" s="18"/>
      <c r="AF421" s="18"/>
      <c r="AG421" s="18"/>
    </row>
    <row r="422" spans="1:33" x14ac:dyDescent="0.2">
      <c r="A422" s="18"/>
      <c r="B422" s="18"/>
      <c r="C422" s="18"/>
      <c r="D422" s="18"/>
      <c r="E422" s="18"/>
      <c r="F422" s="18"/>
      <c r="G422" s="18"/>
      <c r="H422" s="18"/>
      <c r="I422" s="18"/>
      <c r="J422" s="18"/>
      <c r="K422" s="18"/>
      <c r="L422" s="18"/>
      <c r="M422" s="18"/>
      <c r="N422" s="18"/>
      <c r="O422" s="1316"/>
      <c r="P422" s="18"/>
      <c r="Q422" s="18"/>
      <c r="R422" s="18"/>
      <c r="S422" s="18"/>
      <c r="T422" s="18"/>
      <c r="U422" s="18"/>
      <c r="V422" s="18"/>
      <c r="W422" s="18"/>
      <c r="X422" s="18"/>
      <c r="Y422" s="18"/>
      <c r="Z422" s="18"/>
      <c r="AA422" s="18"/>
      <c r="AB422" s="18"/>
      <c r="AC422" s="18"/>
      <c r="AD422" s="18"/>
      <c r="AE422" s="18"/>
      <c r="AF422" s="18"/>
      <c r="AG422" s="18"/>
    </row>
    <row r="423" spans="1:33" x14ac:dyDescent="0.2">
      <c r="A423" s="18"/>
      <c r="B423" s="18"/>
      <c r="C423" s="18"/>
      <c r="D423" s="18"/>
      <c r="E423" s="18"/>
      <c r="F423" s="18"/>
      <c r="G423" s="18"/>
      <c r="H423" s="18"/>
      <c r="I423" s="18"/>
      <c r="J423" s="18"/>
      <c r="K423" s="18"/>
      <c r="L423" s="18"/>
      <c r="M423" s="18"/>
      <c r="N423" s="18"/>
      <c r="O423" s="1316"/>
      <c r="P423" s="18"/>
      <c r="Q423" s="18"/>
      <c r="R423" s="18"/>
      <c r="S423" s="18"/>
      <c r="T423" s="18"/>
      <c r="U423" s="18"/>
      <c r="V423" s="18"/>
      <c r="W423" s="18"/>
      <c r="X423" s="18"/>
      <c r="Y423" s="18"/>
      <c r="Z423" s="18"/>
      <c r="AA423" s="18"/>
      <c r="AB423" s="18"/>
      <c r="AC423" s="18"/>
      <c r="AD423" s="18"/>
      <c r="AE423" s="18"/>
      <c r="AF423" s="18"/>
      <c r="AG423" s="18"/>
    </row>
    <row r="424" spans="1:33" x14ac:dyDescent="0.2">
      <c r="A424" s="18"/>
      <c r="B424" s="18"/>
      <c r="C424" s="18"/>
      <c r="D424" s="18"/>
      <c r="E424" s="18"/>
      <c r="F424" s="18"/>
      <c r="G424" s="18"/>
      <c r="H424" s="18"/>
      <c r="I424" s="18"/>
      <c r="J424" s="18"/>
      <c r="K424" s="18"/>
      <c r="L424" s="18"/>
      <c r="M424" s="18"/>
      <c r="N424" s="18"/>
      <c r="O424" s="1316"/>
      <c r="P424" s="18"/>
      <c r="Q424" s="18"/>
      <c r="R424" s="18"/>
      <c r="S424" s="18"/>
      <c r="T424" s="18"/>
      <c r="U424" s="18"/>
      <c r="V424" s="18"/>
      <c r="W424" s="18"/>
      <c r="X424" s="18"/>
      <c r="Y424" s="18"/>
      <c r="Z424" s="18"/>
      <c r="AA424" s="18"/>
      <c r="AB424" s="18"/>
      <c r="AC424" s="18"/>
      <c r="AD424" s="18"/>
      <c r="AE424" s="18"/>
      <c r="AF424" s="18"/>
      <c r="AG424" s="18"/>
    </row>
    <row r="425" spans="1:33" x14ac:dyDescent="0.2">
      <c r="A425" s="18"/>
      <c r="B425" s="18"/>
      <c r="C425" s="18"/>
      <c r="D425" s="18"/>
      <c r="E425" s="18"/>
      <c r="F425" s="18"/>
      <c r="G425" s="18"/>
      <c r="H425" s="18"/>
      <c r="I425" s="18"/>
      <c r="J425" s="18"/>
      <c r="K425" s="18"/>
      <c r="L425" s="18"/>
      <c r="M425" s="18"/>
      <c r="N425" s="18"/>
      <c r="O425" s="1316"/>
      <c r="P425" s="18"/>
      <c r="Q425" s="18"/>
      <c r="R425" s="18"/>
      <c r="S425" s="18"/>
      <c r="T425" s="18"/>
      <c r="U425" s="18"/>
      <c r="V425" s="18"/>
      <c r="W425" s="18"/>
      <c r="X425" s="18"/>
      <c r="Y425" s="18"/>
      <c r="Z425" s="18"/>
      <c r="AA425" s="18"/>
      <c r="AB425" s="18"/>
      <c r="AC425" s="18"/>
      <c r="AD425" s="18"/>
      <c r="AE425" s="18"/>
      <c r="AF425" s="18"/>
      <c r="AG425" s="18"/>
    </row>
    <row r="426" spans="1:33" x14ac:dyDescent="0.2">
      <c r="A426" s="18"/>
      <c r="B426" s="18"/>
      <c r="C426" s="18"/>
      <c r="D426" s="18"/>
      <c r="E426" s="18"/>
      <c r="F426" s="18"/>
      <c r="G426" s="18"/>
      <c r="H426" s="18"/>
      <c r="I426" s="18"/>
      <c r="J426" s="18"/>
      <c r="K426" s="18"/>
      <c r="L426" s="18"/>
      <c r="M426" s="18"/>
      <c r="N426" s="18"/>
      <c r="O426" s="1316"/>
      <c r="P426" s="18"/>
      <c r="Q426" s="18"/>
      <c r="R426" s="18"/>
      <c r="S426" s="18"/>
      <c r="T426" s="18"/>
      <c r="U426" s="18"/>
      <c r="V426" s="18"/>
      <c r="W426" s="18"/>
      <c r="X426" s="18"/>
      <c r="Y426" s="18"/>
      <c r="Z426" s="18"/>
      <c r="AA426" s="18"/>
      <c r="AB426" s="18"/>
      <c r="AC426" s="18"/>
      <c r="AD426" s="18"/>
      <c r="AE426" s="18"/>
      <c r="AF426" s="18"/>
      <c r="AG426" s="18"/>
    </row>
    <row r="427" spans="1:33" x14ac:dyDescent="0.2">
      <c r="A427" s="18"/>
      <c r="B427" s="18"/>
      <c r="C427" s="18"/>
      <c r="D427" s="18"/>
      <c r="E427" s="18"/>
      <c r="F427" s="18"/>
      <c r="G427" s="18"/>
      <c r="H427" s="18"/>
      <c r="I427" s="18"/>
      <c r="J427" s="18"/>
      <c r="K427" s="18"/>
      <c r="L427" s="18"/>
      <c r="M427" s="18"/>
      <c r="N427" s="18"/>
      <c r="O427" s="1316"/>
      <c r="P427" s="18"/>
      <c r="Q427" s="18"/>
      <c r="R427" s="18"/>
      <c r="S427" s="18"/>
      <c r="T427" s="18"/>
      <c r="U427" s="18"/>
      <c r="V427" s="18"/>
      <c r="W427" s="18"/>
      <c r="X427" s="18"/>
      <c r="Y427" s="18"/>
      <c r="Z427" s="18"/>
      <c r="AA427" s="18"/>
      <c r="AB427" s="18"/>
      <c r="AC427" s="18"/>
      <c r="AD427" s="18"/>
      <c r="AE427" s="18"/>
      <c r="AF427" s="18"/>
      <c r="AG427" s="18"/>
    </row>
    <row r="428" spans="1:33" x14ac:dyDescent="0.2">
      <c r="A428" s="18"/>
      <c r="B428" s="18"/>
      <c r="C428" s="18"/>
      <c r="D428" s="18"/>
      <c r="E428" s="18"/>
      <c r="F428" s="18"/>
      <c r="G428" s="18"/>
      <c r="H428" s="18"/>
      <c r="I428" s="18"/>
      <c r="J428" s="18"/>
      <c r="K428" s="18"/>
      <c r="L428" s="18"/>
      <c r="M428" s="18"/>
      <c r="N428" s="18"/>
      <c r="O428" s="1316"/>
      <c r="P428" s="18"/>
      <c r="Q428" s="18"/>
      <c r="R428" s="18"/>
      <c r="S428" s="18"/>
      <c r="T428" s="18"/>
      <c r="U428" s="18"/>
      <c r="V428" s="18"/>
      <c r="W428" s="18"/>
      <c r="X428" s="18"/>
      <c r="Y428" s="18"/>
      <c r="Z428" s="18"/>
      <c r="AA428" s="18"/>
      <c r="AB428" s="18"/>
      <c r="AC428" s="18"/>
      <c r="AD428" s="18"/>
      <c r="AE428" s="18"/>
      <c r="AF428" s="18"/>
      <c r="AG428" s="18"/>
    </row>
    <row r="429" spans="1:33" x14ac:dyDescent="0.2">
      <c r="A429" s="18"/>
      <c r="B429" s="18"/>
      <c r="C429" s="18"/>
      <c r="D429" s="18"/>
      <c r="E429" s="18"/>
      <c r="F429" s="18"/>
      <c r="G429" s="18"/>
      <c r="H429" s="18"/>
      <c r="I429" s="18"/>
      <c r="J429" s="18"/>
      <c r="K429" s="18"/>
      <c r="L429" s="18"/>
      <c r="M429" s="18"/>
      <c r="N429" s="18"/>
      <c r="O429" s="1316"/>
      <c r="P429" s="18"/>
      <c r="Q429" s="18"/>
      <c r="R429" s="18"/>
      <c r="S429" s="18"/>
      <c r="T429" s="18"/>
      <c r="U429" s="18"/>
      <c r="V429" s="18"/>
      <c r="W429" s="18"/>
      <c r="X429" s="18"/>
      <c r="Y429" s="18"/>
      <c r="Z429" s="18"/>
      <c r="AA429" s="18"/>
      <c r="AB429" s="18"/>
      <c r="AC429" s="18"/>
      <c r="AD429" s="18"/>
      <c r="AE429" s="18"/>
      <c r="AF429" s="18"/>
      <c r="AG429" s="18"/>
    </row>
    <row r="430" spans="1:33" x14ac:dyDescent="0.2">
      <c r="A430" s="18"/>
      <c r="B430" s="18"/>
      <c r="C430" s="18"/>
      <c r="D430" s="18"/>
      <c r="E430" s="18"/>
      <c r="F430" s="18"/>
      <c r="G430" s="18"/>
      <c r="H430" s="18"/>
      <c r="I430" s="18"/>
      <c r="J430" s="18"/>
      <c r="K430" s="18"/>
      <c r="L430" s="18"/>
      <c r="M430" s="18"/>
      <c r="N430" s="18"/>
      <c r="O430" s="1316"/>
      <c r="P430" s="18"/>
      <c r="Q430" s="18"/>
      <c r="R430" s="18"/>
      <c r="S430" s="18"/>
      <c r="T430" s="18"/>
      <c r="U430" s="18"/>
      <c r="V430" s="18"/>
      <c r="W430" s="18"/>
      <c r="X430" s="18"/>
      <c r="Y430" s="18"/>
      <c r="Z430" s="18"/>
      <c r="AA430" s="18"/>
      <c r="AB430" s="18"/>
      <c r="AC430" s="18"/>
      <c r="AD430" s="18"/>
      <c r="AE430" s="18"/>
      <c r="AF430" s="18"/>
      <c r="AG430" s="18"/>
    </row>
    <row r="431" spans="1:33" x14ac:dyDescent="0.2">
      <c r="A431" s="18"/>
      <c r="B431" s="18"/>
      <c r="C431" s="18"/>
      <c r="D431" s="18"/>
      <c r="E431" s="18"/>
      <c r="F431" s="18"/>
      <c r="G431" s="18"/>
      <c r="H431" s="18"/>
      <c r="I431" s="18"/>
      <c r="J431" s="18"/>
      <c r="K431" s="18"/>
      <c r="L431" s="18"/>
      <c r="M431" s="18"/>
      <c r="N431" s="18"/>
      <c r="O431" s="1316"/>
      <c r="P431" s="18"/>
      <c r="Q431" s="18"/>
      <c r="R431" s="18"/>
      <c r="S431" s="18"/>
      <c r="T431" s="18"/>
      <c r="U431" s="18"/>
      <c r="V431" s="18"/>
      <c r="W431" s="18"/>
      <c r="X431" s="18"/>
      <c r="Y431" s="18"/>
      <c r="Z431" s="18"/>
      <c r="AA431" s="18"/>
      <c r="AB431" s="18"/>
      <c r="AC431" s="18"/>
      <c r="AD431" s="18"/>
      <c r="AE431" s="18"/>
      <c r="AF431" s="18"/>
      <c r="AG431" s="18"/>
    </row>
    <row r="432" spans="1:33" x14ac:dyDescent="0.2">
      <c r="A432" s="18"/>
      <c r="B432" s="18"/>
      <c r="C432" s="18"/>
      <c r="D432" s="18"/>
      <c r="E432" s="18"/>
      <c r="F432" s="18"/>
      <c r="G432" s="18"/>
      <c r="H432" s="18"/>
      <c r="I432" s="18"/>
      <c r="J432" s="18"/>
      <c r="K432" s="18"/>
      <c r="L432" s="18"/>
      <c r="M432" s="18"/>
      <c r="N432" s="18"/>
      <c r="O432" s="1316"/>
      <c r="P432" s="18"/>
      <c r="Q432" s="18"/>
      <c r="R432" s="18"/>
      <c r="S432" s="18"/>
      <c r="T432" s="18"/>
      <c r="U432" s="18"/>
      <c r="V432" s="18"/>
      <c r="W432" s="18"/>
      <c r="X432" s="18"/>
      <c r="Y432" s="18"/>
      <c r="Z432" s="18"/>
      <c r="AA432" s="18"/>
      <c r="AB432" s="18"/>
      <c r="AC432" s="18"/>
      <c r="AD432" s="18"/>
      <c r="AE432" s="18"/>
      <c r="AF432" s="18"/>
      <c r="AG432" s="18"/>
    </row>
    <row r="433" spans="1:33" x14ac:dyDescent="0.2">
      <c r="A433" s="18"/>
      <c r="B433" s="18"/>
      <c r="C433" s="18"/>
      <c r="D433" s="18"/>
      <c r="E433" s="18"/>
      <c r="F433" s="18"/>
      <c r="G433" s="18"/>
      <c r="H433" s="18"/>
      <c r="I433" s="18"/>
      <c r="J433" s="18"/>
      <c r="K433" s="18"/>
      <c r="L433" s="18"/>
      <c r="M433" s="18"/>
      <c r="N433" s="18"/>
      <c r="O433" s="1316"/>
      <c r="P433" s="18"/>
      <c r="Q433" s="18"/>
      <c r="R433" s="18"/>
      <c r="S433" s="18"/>
      <c r="T433" s="18"/>
      <c r="U433" s="18"/>
      <c r="V433" s="18"/>
      <c r="W433" s="18"/>
      <c r="X433" s="18"/>
      <c r="Y433" s="18"/>
      <c r="Z433" s="18"/>
      <c r="AA433" s="18"/>
      <c r="AB433" s="18"/>
      <c r="AC433" s="18"/>
      <c r="AD433" s="18"/>
      <c r="AE433" s="18"/>
      <c r="AF433" s="18"/>
      <c r="AG433" s="18"/>
    </row>
    <row r="434" spans="1:33" x14ac:dyDescent="0.2">
      <c r="A434" s="18"/>
      <c r="B434" s="18"/>
      <c r="C434" s="18"/>
      <c r="D434" s="18"/>
      <c r="E434" s="18"/>
      <c r="F434" s="18"/>
      <c r="G434" s="18"/>
      <c r="H434" s="18"/>
      <c r="I434" s="18"/>
      <c r="J434" s="18"/>
      <c r="K434" s="18"/>
      <c r="L434" s="18"/>
      <c r="M434" s="18"/>
      <c r="N434" s="18"/>
      <c r="O434" s="1316"/>
      <c r="P434" s="18"/>
      <c r="Q434" s="18"/>
      <c r="R434" s="18"/>
      <c r="S434" s="18"/>
      <c r="T434" s="18"/>
      <c r="U434" s="18"/>
      <c r="V434" s="18"/>
      <c r="W434" s="18"/>
      <c r="X434" s="18"/>
      <c r="Y434" s="18"/>
      <c r="Z434" s="18"/>
      <c r="AA434" s="18"/>
      <c r="AB434" s="18"/>
      <c r="AC434" s="18"/>
      <c r="AD434" s="18"/>
      <c r="AE434" s="18"/>
      <c r="AF434" s="18"/>
      <c r="AG434" s="18"/>
    </row>
    <row r="435" spans="1:33" x14ac:dyDescent="0.2">
      <c r="A435" s="18"/>
      <c r="B435" s="18"/>
      <c r="C435" s="18"/>
      <c r="D435" s="18"/>
      <c r="E435" s="18"/>
      <c r="F435" s="18"/>
      <c r="G435" s="18"/>
      <c r="H435" s="18"/>
      <c r="I435" s="18"/>
      <c r="J435" s="18"/>
      <c r="K435" s="18"/>
      <c r="L435" s="18"/>
      <c r="M435" s="18"/>
      <c r="N435" s="18"/>
      <c r="O435" s="1316"/>
      <c r="P435" s="18"/>
      <c r="Q435" s="18"/>
      <c r="R435" s="18"/>
      <c r="S435" s="18"/>
      <c r="T435" s="18"/>
      <c r="U435" s="18"/>
      <c r="V435" s="18"/>
      <c r="W435" s="18"/>
      <c r="X435" s="18"/>
      <c r="Y435" s="18"/>
      <c r="Z435" s="18"/>
      <c r="AA435" s="18"/>
      <c r="AB435" s="18"/>
      <c r="AC435" s="18"/>
      <c r="AD435" s="18"/>
      <c r="AE435" s="18"/>
      <c r="AF435" s="18"/>
      <c r="AG435" s="18"/>
    </row>
    <row r="436" spans="1:33" x14ac:dyDescent="0.2">
      <c r="A436" s="18"/>
      <c r="B436" s="18"/>
      <c r="C436" s="18"/>
      <c r="D436" s="18"/>
      <c r="E436" s="18"/>
      <c r="F436" s="18"/>
      <c r="G436" s="18"/>
      <c r="H436" s="18"/>
      <c r="I436" s="18"/>
      <c r="J436" s="18"/>
      <c r="K436" s="18"/>
      <c r="L436" s="18"/>
      <c r="M436" s="18"/>
      <c r="N436" s="18"/>
      <c r="O436" s="1316"/>
      <c r="P436" s="18"/>
      <c r="Q436" s="18"/>
      <c r="R436" s="18"/>
      <c r="S436" s="18"/>
      <c r="T436" s="18"/>
      <c r="U436" s="18"/>
      <c r="V436" s="18"/>
      <c r="W436" s="18"/>
      <c r="X436" s="18"/>
      <c r="Y436" s="18"/>
      <c r="Z436" s="18"/>
      <c r="AA436" s="18"/>
      <c r="AB436" s="18"/>
      <c r="AC436" s="18"/>
      <c r="AD436" s="18"/>
      <c r="AE436" s="18"/>
      <c r="AF436" s="18"/>
      <c r="AG436" s="18"/>
    </row>
    <row r="437" spans="1:33" x14ac:dyDescent="0.2">
      <c r="A437" s="18"/>
      <c r="B437" s="18"/>
      <c r="C437" s="18"/>
      <c r="D437" s="18"/>
      <c r="E437" s="18"/>
      <c r="F437" s="18"/>
      <c r="G437" s="18"/>
      <c r="H437" s="18"/>
      <c r="I437" s="18"/>
      <c r="J437" s="18"/>
      <c r="K437" s="18"/>
      <c r="L437" s="18"/>
      <c r="M437" s="18"/>
      <c r="N437" s="18"/>
      <c r="O437" s="1316"/>
      <c r="P437" s="18"/>
      <c r="Q437" s="18"/>
      <c r="R437" s="18"/>
      <c r="S437" s="18"/>
      <c r="T437" s="18"/>
      <c r="U437" s="18"/>
      <c r="V437" s="18"/>
      <c r="W437" s="18"/>
      <c r="X437" s="18"/>
      <c r="Y437" s="18"/>
      <c r="Z437" s="18"/>
      <c r="AA437" s="18"/>
      <c r="AB437" s="18"/>
      <c r="AC437" s="18"/>
      <c r="AD437" s="18"/>
      <c r="AE437" s="18"/>
      <c r="AF437" s="18"/>
      <c r="AG437" s="18"/>
    </row>
    <row r="438" spans="1:33" x14ac:dyDescent="0.2">
      <c r="A438" s="18"/>
      <c r="B438" s="18"/>
      <c r="C438" s="18"/>
      <c r="D438" s="18"/>
      <c r="E438" s="18"/>
      <c r="F438" s="18"/>
      <c r="G438" s="18"/>
      <c r="H438" s="18"/>
      <c r="I438" s="18"/>
      <c r="J438" s="18"/>
      <c r="K438" s="18"/>
      <c r="L438" s="18"/>
      <c r="M438" s="18"/>
      <c r="N438" s="18"/>
      <c r="O438" s="1316"/>
      <c r="P438" s="18"/>
      <c r="Q438" s="18"/>
      <c r="R438" s="18"/>
      <c r="S438" s="18"/>
      <c r="T438" s="18"/>
      <c r="U438" s="18"/>
      <c r="V438" s="18"/>
      <c r="W438" s="18"/>
      <c r="X438" s="18"/>
      <c r="Y438" s="18"/>
      <c r="Z438" s="18"/>
      <c r="AA438" s="18"/>
      <c r="AB438" s="18"/>
      <c r="AC438" s="18"/>
      <c r="AD438" s="18"/>
      <c r="AE438" s="18"/>
      <c r="AF438" s="18"/>
      <c r="AG438" s="18"/>
    </row>
    <row r="439" spans="1:33" x14ac:dyDescent="0.2">
      <c r="A439" s="18"/>
      <c r="B439" s="18"/>
      <c r="C439" s="18"/>
      <c r="D439" s="18"/>
      <c r="E439" s="18"/>
      <c r="F439" s="18"/>
      <c r="G439" s="18"/>
      <c r="H439" s="18"/>
      <c r="I439" s="18"/>
      <c r="J439" s="18"/>
      <c r="K439" s="18"/>
      <c r="L439" s="18"/>
      <c r="M439" s="18"/>
      <c r="N439" s="18"/>
      <c r="O439" s="1316"/>
      <c r="P439" s="18"/>
      <c r="Q439" s="18"/>
      <c r="R439" s="18"/>
      <c r="S439" s="18"/>
      <c r="T439" s="18"/>
      <c r="U439" s="18"/>
      <c r="V439" s="18"/>
      <c r="W439" s="18"/>
      <c r="X439" s="18"/>
      <c r="Y439" s="18"/>
      <c r="Z439" s="18"/>
      <c r="AA439" s="18"/>
      <c r="AB439" s="18"/>
      <c r="AC439" s="18"/>
      <c r="AD439" s="18"/>
      <c r="AE439" s="18"/>
      <c r="AF439" s="18"/>
      <c r="AG439" s="18"/>
    </row>
    <row r="440" spans="1:33" x14ac:dyDescent="0.2">
      <c r="A440" s="18"/>
      <c r="B440" s="18"/>
      <c r="C440" s="18"/>
      <c r="D440" s="18"/>
      <c r="E440" s="18"/>
      <c r="F440" s="18"/>
      <c r="G440" s="18"/>
      <c r="H440" s="18"/>
      <c r="I440" s="18"/>
      <c r="J440" s="18"/>
      <c r="K440" s="18"/>
      <c r="L440" s="18"/>
      <c r="M440" s="18"/>
      <c r="N440" s="18"/>
      <c r="O440" s="1316"/>
      <c r="P440" s="18"/>
      <c r="Q440" s="18"/>
      <c r="R440" s="18"/>
      <c r="S440" s="18"/>
      <c r="T440" s="18"/>
      <c r="U440" s="18"/>
      <c r="V440" s="18"/>
      <c r="W440" s="18"/>
      <c r="X440" s="18"/>
      <c r="Y440" s="18"/>
      <c r="Z440" s="18"/>
      <c r="AA440" s="18"/>
      <c r="AB440" s="18"/>
      <c r="AC440" s="18"/>
      <c r="AD440" s="18"/>
      <c r="AE440" s="18"/>
      <c r="AF440" s="18"/>
      <c r="AG440" s="18"/>
    </row>
    <row r="441" spans="1:33" x14ac:dyDescent="0.2">
      <c r="A441" s="18"/>
      <c r="B441" s="18"/>
      <c r="C441" s="18"/>
      <c r="D441" s="18"/>
      <c r="E441" s="18"/>
      <c r="F441" s="18"/>
      <c r="G441" s="18"/>
      <c r="H441" s="18"/>
      <c r="I441" s="18"/>
      <c r="J441" s="18"/>
      <c r="K441" s="18"/>
      <c r="L441" s="18"/>
      <c r="M441" s="18"/>
      <c r="N441" s="18"/>
      <c r="O441" s="1316"/>
      <c r="P441" s="18"/>
      <c r="Q441" s="18"/>
      <c r="R441" s="18"/>
      <c r="S441" s="18"/>
      <c r="T441" s="18"/>
      <c r="U441" s="18"/>
      <c r="V441" s="18"/>
      <c r="W441" s="18"/>
      <c r="X441" s="18"/>
      <c r="Y441" s="18"/>
      <c r="Z441" s="18"/>
      <c r="AA441" s="18"/>
      <c r="AB441" s="18"/>
      <c r="AC441" s="18"/>
      <c r="AD441" s="18"/>
      <c r="AE441" s="18"/>
      <c r="AF441" s="18"/>
      <c r="AG441" s="18"/>
    </row>
    <row r="442" spans="1:33" x14ac:dyDescent="0.2">
      <c r="A442" s="18"/>
      <c r="B442" s="18"/>
      <c r="C442" s="18"/>
      <c r="D442" s="18"/>
      <c r="E442" s="18"/>
      <c r="F442" s="18"/>
      <c r="G442" s="18"/>
      <c r="H442" s="18"/>
      <c r="I442" s="18"/>
      <c r="J442" s="18"/>
      <c r="K442" s="18"/>
      <c r="L442" s="18"/>
      <c r="M442" s="18"/>
      <c r="N442" s="18"/>
      <c r="O442" s="1316"/>
      <c r="P442" s="18"/>
      <c r="Q442" s="18"/>
      <c r="R442" s="18"/>
      <c r="S442" s="18"/>
      <c r="T442" s="18"/>
      <c r="U442" s="18"/>
      <c r="V442" s="18"/>
      <c r="W442" s="18"/>
      <c r="X442" s="18"/>
      <c r="Y442" s="18"/>
      <c r="Z442" s="18"/>
      <c r="AA442" s="18"/>
      <c r="AB442" s="18"/>
      <c r="AC442" s="18"/>
      <c r="AD442" s="18"/>
      <c r="AE442" s="18"/>
      <c r="AF442" s="18"/>
      <c r="AG442" s="18"/>
    </row>
    <row r="443" spans="1:33" x14ac:dyDescent="0.2">
      <c r="A443" s="18"/>
      <c r="B443" s="18"/>
      <c r="C443" s="18"/>
      <c r="D443" s="18"/>
      <c r="E443" s="18"/>
      <c r="F443" s="18"/>
      <c r="G443" s="18"/>
      <c r="H443" s="18"/>
      <c r="I443" s="18"/>
      <c r="J443" s="18"/>
      <c r="K443" s="18"/>
      <c r="L443" s="18"/>
      <c r="M443" s="18"/>
      <c r="N443" s="18"/>
      <c r="O443" s="1316"/>
      <c r="P443" s="18"/>
      <c r="Q443" s="18"/>
      <c r="R443" s="18"/>
      <c r="S443" s="18"/>
      <c r="T443" s="18"/>
      <c r="U443" s="18"/>
      <c r="V443" s="18"/>
      <c r="W443" s="18"/>
      <c r="X443" s="18"/>
      <c r="Y443" s="18"/>
      <c r="Z443" s="18"/>
      <c r="AA443" s="18"/>
      <c r="AB443" s="18"/>
      <c r="AC443" s="18"/>
      <c r="AD443" s="18"/>
      <c r="AE443" s="18"/>
      <c r="AF443" s="18"/>
      <c r="AG443" s="18"/>
    </row>
    <row r="444" spans="1:33" x14ac:dyDescent="0.2">
      <c r="A444" s="18"/>
      <c r="B444" s="18"/>
      <c r="C444" s="18"/>
      <c r="D444" s="18"/>
      <c r="E444" s="18"/>
      <c r="F444" s="18"/>
      <c r="G444" s="18"/>
      <c r="H444" s="18"/>
      <c r="I444" s="18"/>
      <c r="J444" s="18"/>
      <c r="K444" s="18"/>
      <c r="L444" s="18"/>
      <c r="M444" s="18"/>
      <c r="N444" s="18"/>
      <c r="O444" s="1316"/>
      <c r="P444" s="18"/>
      <c r="Q444" s="18"/>
      <c r="R444" s="18"/>
      <c r="S444" s="18"/>
      <c r="T444" s="18"/>
      <c r="U444" s="18"/>
      <c r="V444" s="18"/>
      <c r="W444" s="18"/>
      <c r="X444" s="18"/>
      <c r="Y444" s="18"/>
      <c r="Z444" s="18"/>
      <c r="AA444" s="18"/>
      <c r="AB444" s="18"/>
      <c r="AC444" s="18"/>
      <c r="AD444" s="18"/>
      <c r="AE444" s="18"/>
      <c r="AF444" s="18"/>
      <c r="AG444" s="18"/>
    </row>
    <row r="445" spans="1:33" x14ac:dyDescent="0.2">
      <c r="A445" s="18"/>
      <c r="B445" s="18"/>
      <c r="C445" s="18"/>
      <c r="D445" s="18"/>
      <c r="E445" s="18"/>
      <c r="F445" s="18"/>
      <c r="G445" s="18"/>
      <c r="H445" s="18"/>
      <c r="I445" s="18"/>
      <c r="J445" s="18"/>
      <c r="K445" s="18"/>
      <c r="L445" s="18"/>
      <c r="M445" s="18"/>
      <c r="N445" s="18"/>
      <c r="O445" s="1316"/>
      <c r="P445" s="18"/>
      <c r="Q445" s="18"/>
      <c r="R445" s="18"/>
      <c r="S445" s="18"/>
      <c r="T445" s="18"/>
      <c r="U445" s="18"/>
      <c r="V445" s="18"/>
      <c r="W445" s="18"/>
      <c r="X445" s="18"/>
      <c r="Y445" s="18"/>
      <c r="Z445" s="18"/>
      <c r="AA445" s="18"/>
      <c r="AB445" s="18"/>
      <c r="AC445" s="18"/>
      <c r="AD445" s="18"/>
      <c r="AE445" s="18"/>
      <c r="AF445" s="18"/>
      <c r="AG445" s="18"/>
    </row>
    <row r="446" spans="1:33" x14ac:dyDescent="0.2">
      <c r="A446" s="18"/>
      <c r="B446" s="18"/>
      <c r="C446" s="18"/>
      <c r="D446" s="18"/>
      <c r="E446" s="18"/>
      <c r="F446" s="18"/>
      <c r="G446" s="18"/>
      <c r="H446" s="18"/>
      <c r="I446" s="18"/>
      <c r="J446" s="18"/>
      <c r="K446" s="18"/>
      <c r="L446" s="18"/>
      <c r="M446" s="18"/>
      <c r="N446" s="18"/>
      <c r="O446" s="1316"/>
      <c r="P446" s="18"/>
      <c r="Q446" s="18"/>
      <c r="R446" s="18"/>
      <c r="S446" s="18"/>
      <c r="T446" s="18"/>
      <c r="U446" s="18"/>
      <c r="V446" s="18"/>
      <c r="W446" s="18"/>
      <c r="X446" s="18"/>
      <c r="Y446" s="18"/>
      <c r="Z446" s="18"/>
      <c r="AA446" s="18"/>
      <c r="AB446" s="18"/>
      <c r="AC446" s="18"/>
      <c r="AD446" s="18"/>
      <c r="AE446" s="18"/>
      <c r="AF446" s="18"/>
      <c r="AG446" s="18"/>
    </row>
    <row r="447" spans="1:33" x14ac:dyDescent="0.2">
      <c r="A447" s="18"/>
      <c r="B447" s="18"/>
      <c r="C447" s="18"/>
      <c r="D447" s="18"/>
      <c r="E447" s="18"/>
      <c r="F447" s="18"/>
      <c r="G447" s="18"/>
      <c r="H447" s="18"/>
      <c r="I447" s="18"/>
      <c r="J447" s="18"/>
      <c r="K447" s="18"/>
      <c r="L447" s="18"/>
      <c r="M447" s="18"/>
      <c r="N447" s="18"/>
      <c r="O447" s="1316"/>
      <c r="P447" s="18"/>
      <c r="Q447" s="18"/>
      <c r="R447" s="18"/>
      <c r="S447" s="18"/>
      <c r="T447" s="18"/>
      <c r="U447" s="18"/>
      <c r="V447" s="18"/>
      <c r="W447" s="18"/>
      <c r="X447" s="18"/>
      <c r="Y447" s="18"/>
      <c r="Z447" s="18"/>
      <c r="AA447" s="18"/>
      <c r="AB447" s="18"/>
      <c r="AC447" s="18"/>
      <c r="AD447" s="18"/>
      <c r="AE447" s="18"/>
      <c r="AF447" s="18"/>
      <c r="AG447" s="18"/>
    </row>
    <row r="448" spans="1:33" x14ac:dyDescent="0.2">
      <c r="A448" s="18"/>
      <c r="B448" s="18"/>
      <c r="C448" s="18"/>
      <c r="D448" s="18"/>
      <c r="E448" s="18"/>
      <c r="F448" s="18"/>
      <c r="G448" s="18"/>
      <c r="H448" s="18"/>
      <c r="I448" s="18"/>
      <c r="J448" s="18"/>
      <c r="K448" s="18"/>
      <c r="L448" s="18"/>
      <c r="M448" s="18"/>
      <c r="N448" s="18"/>
      <c r="O448" s="1316"/>
      <c r="P448" s="18"/>
      <c r="Q448" s="18"/>
      <c r="R448" s="18"/>
      <c r="S448" s="18"/>
      <c r="T448" s="18"/>
      <c r="U448" s="18"/>
      <c r="V448" s="18"/>
      <c r="W448" s="18"/>
      <c r="X448" s="18"/>
      <c r="Y448" s="18"/>
      <c r="Z448" s="18"/>
      <c r="AA448" s="18"/>
      <c r="AB448" s="18"/>
      <c r="AC448" s="18"/>
      <c r="AD448" s="18"/>
      <c r="AE448" s="18"/>
      <c r="AF448" s="18"/>
      <c r="AG448" s="18"/>
    </row>
    <row r="449" spans="1:33" x14ac:dyDescent="0.2">
      <c r="A449" s="18"/>
      <c r="B449" s="18"/>
      <c r="C449" s="18"/>
      <c r="D449" s="18"/>
      <c r="E449" s="18"/>
      <c r="F449" s="18"/>
      <c r="G449" s="18"/>
      <c r="H449" s="18"/>
      <c r="I449" s="18"/>
      <c r="J449" s="18"/>
      <c r="K449" s="18"/>
      <c r="L449" s="18"/>
      <c r="M449" s="18"/>
      <c r="N449" s="18"/>
      <c r="O449" s="1316"/>
      <c r="P449" s="18"/>
      <c r="Q449" s="18"/>
      <c r="R449" s="18"/>
      <c r="S449" s="18"/>
      <c r="T449" s="18"/>
      <c r="U449" s="18"/>
      <c r="V449" s="18"/>
      <c r="W449" s="18"/>
      <c r="X449" s="18"/>
      <c r="Y449" s="18"/>
      <c r="Z449" s="18"/>
      <c r="AA449" s="18"/>
      <c r="AB449" s="18"/>
      <c r="AC449" s="18"/>
      <c r="AD449" s="18"/>
      <c r="AE449" s="18"/>
      <c r="AF449" s="18"/>
      <c r="AG449" s="18"/>
    </row>
    <row r="450" spans="1:33" x14ac:dyDescent="0.2">
      <c r="A450" s="18"/>
      <c r="B450" s="18"/>
      <c r="C450" s="18"/>
      <c r="D450" s="18"/>
      <c r="E450" s="18"/>
      <c r="F450" s="18"/>
      <c r="G450" s="18"/>
      <c r="H450" s="18"/>
      <c r="I450" s="18"/>
      <c r="J450" s="18"/>
      <c r="K450" s="18"/>
      <c r="L450" s="18"/>
      <c r="M450" s="18"/>
      <c r="N450" s="18"/>
      <c r="O450" s="1316"/>
      <c r="P450" s="18"/>
      <c r="Q450" s="18"/>
      <c r="R450" s="18"/>
      <c r="S450" s="18"/>
      <c r="T450" s="18"/>
      <c r="U450" s="18"/>
      <c r="V450" s="18"/>
      <c r="W450" s="18"/>
      <c r="X450" s="18"/>
      <c r="Y450" s="18"/>
      <c r="Z450" s="18"/>
      <c r="AA450" s="18"/>
      <c r="AB450" s="18"/>
      <c r="AC450" s="18"/>
      <c r="AD450" s="18"/>
      <c r="AE450" s="18"/>
      <c r="AF450" s="18"/>
      <c r="AG450" s="18"/>
    </row>
    <row r="451" spans="1:33" x14ac:dyDescent="0.2">
      <c r="A451" s="18"/>
      <c r="B451" s="18"/>
      <c r="C451" s="18"/>
      <c r="D451" s="18"/>
      <c r="E451" s="18"/>
      <c r="F451" s="18"/>
      <c r="G451" s="18"/>
      <c r="H451" s="18"/>
      <c r="I451" s="18"/>
      <c r="J451" s="18"/>
      <c r="K451" s="18"/>
      <c r="L451" s="18"/>
      <c r="M451" s="18"/>
      <c r="N451" s="18"/>
      <c r="O451" s="1316"/>
      <c r="P451" s="18"/>
      <c r="Q451" s="18"/>
      <c r="R451" s="18"/>
      <c r="S451" s="18"/>
      <c r="T451" s="18"/>
      <c r="U451" s="18"/>
      <c r="V451" s="18"/>
      <c r="W451" s="18"/>
      <c r="X451" s="18"/>
      <c r="Y451" s="18"/>
      <c r="Z451" s="18"/>
      <c r="AA451" s="18"/>
      <c r="AB451" s="18"/>
      <c r="AC451" s="18"/>
      <c r="AD451" s="18"/>
      <c r="AE451" s="18"/>
      <c r="AF451" s="18"/>
      <c r="AG451" s="18"/>
    </row>
    <row r="452" spans="1:33" x14ac:dyDescent="0.2">
      <c r="A452" s="18"/>
      <c r="B452" s="18"/>
      <c r="C452" s="18"/>
      <c r="D452" s="18"/>
      <c r="E452" s="18"/>
      <c r="F452" s="18"/>
      <c r="G452" s="18"/>
      <c r="H452" s="18"/>
      <c r="I452" s="18"/>
      <c r="J452" s="18"/>
      <c r="K452" s="18"/>
      <c r="L452" s="18"/>
      <c r="M452" s="18"/>
      <c r="N452" s="18"/>
      <c r="O452" s="1316"/>
      <c r="P452" s="18"/>
      <c r="Q452" s="18"/>
      <c r="R452" s="18"/>
      <c r="S452" s="18"/>
      <c r="T452" s="18"/>
      <c r="U452" s="18"/>
      <c r="V452" s="18"/>
      <c r="W452" s="18"/>
      <c r="X452" s="18"/>
      <c r="Y452" s="18"/>
      <c r="Z452" s="18"/>
      <c r="AA452" s="18"/>
      <c r="AB452" s="18"/>
      <c r="AC452" s="18"/>
      <c r="AD452" s="18"/>
      <c r="AE452" s="18"/>
      <c r="AF452" s="18"/>
      <c r="AG452" s="18"/>
    </row>
    <row r="453" spans="1:33" x14ac:dyDescent="0.2">
      <c r="A453" s="18"/>
      <c r="B453" s="18"/>
      <c r="C453" s="18"/>
      <c r="D453" s="18"/>
      <c r="E453" s="18"/>
      <c r="F453" s="18"/>
      <c r="G453" s="18"/>
      <c r="H453" s="18"/>
      <c r="I453" s="18"/>
      <c r="J453" s="18"/>
      <c r="K453" s="18"/>
      <c r="L453" s="18"/>
      <c r="M453" s="18"/>
      <c r="N453" s="18"/>
      <c r="O453" s="1316"/>
      <c r="P453" s="18"/>
      <c r="Q453" s="18"/>
      <c r="R453" s="18"/>
      <c r="S453" s="18"/>
      <c r="T453" s="18"/>
      <c r="U453" s="18"/>
      <c r="V453" s="18"/>
      <c r="W453" s="18"/>
      <c r="X453" s="18"/>
      <c r="Y453" s="18"/>
      <c r="Z453" s="18"/>
      <c r="AA453" s="18"/>
      <c r="AB453" s="18"/>
      <c r="AC453" s="18"/>
      <c r="AD453" s="18"/>
      <c r="AE453" s="18"/>
      <c r="AF453" s="18"/>
      <c r="AG453" s="18"/>
    </row>
    <row r="454" spans="1:33" x14ac:dyDescent="0.2">
      <c r="A454" s="18"/>
      <c r="B454" s="18"/>
      <c r="C454" s="18"/>
      <c r="D454" s="18"/>
      <c r="E454" s="18"/>
      <c r="F454" s="18"/>
      <c r="G454" s="18"/>
      <c r="H454" s="18"/>
      <c r="I454" s="18"/>
      <c r="J454" s="18"/>
      <c r="K454" s="18"/>
      <c r="L454" s="18"/>
      <c r="M454" s="18"/>
      <c r="N454" s="18"/>
      <c r="O454" s="1316"/>
      <c r="P454" s="18"/>
      <c r="Q454" s="18"/>
      <c r="R454" s="18"/>
      <c r="S454" s="18"/>
      <c r="T454" s="18"/>
      <c r="U454" s="18"/>
      <c r="V454" s="18"/>
      <c r="W454" s="18"/>
      <c r="X454" s="18"/>
      <c r="Y454" s="18"/>
      <c r="Z454" s="18"/>
      <c r="AA454" s="18"/>
      <c r="AB454" s="18"/>
      <c r="AC454" s="18"/>
      <c r="AD454" s="18"/>
      <c r="AE454" s="18"/>
      <c r="AF454" s="18"/>
      <c r="AG454" s="18"/>
    </row>
    <row r="455" spans="1:33" x14ac:dyDescent="0.2">
      <c r="A455" s="18"/>
      <c r="B455" s="18"/>
      <c r="C455" s="18"/>
      <c r="D455" s="18"/>
      <c r="E455" s="18"/>
      <c r="F455" s="18"/>
      <c r="G455" s="18"/>
      <c r="H455" s="18"/>
      <c r="I455" s="18"/>
      <c r="J455" s="18"/>
      <c r="K455" s="18"/>
      <c r="L455" s="18"/>
      <c r="M455" s="18"/>
      <c r="N455" s="18"/>
      <c r="O455" s="1316"/>
      <c r="P455" s="18"/>
      <c r="Q455" s="18"/>
      <c r="R455" s="18"/>
      <c r="S455" s="18"/>
      <c r="T455" s="18"/>
      <c r="U455" s="18"/>
      <c r="V455" s="18"/>
      <c r="W455" s="18"/>
      <c r="X455" s="18"/>
      <c r="Y455" s="18"/>
      <c r="Z455" s="18"/>
      <c r="AA455" s="18"/>
      <c r="AB455" s="18"/>
      <c r="AC455" s="18"/>
      <c r="AD455" s="18"/>
      <c r="AE455" s="18"/>
      <c r="AF455" s="18"/>
      <c r="AG455" s="18"/>
    </row>
    <row r="456" spans="1:33" x14ac:dyDescent="0.2">
      <c r="A456" s="18"/>
      <c r="B456" s="18"/>
      <c r="C456" s="18"/>
      <c r="D456" s="18"/>
      <c r="E456" s="18"/>
      <c r="F456" s="18"/>
      <c r="G456" s="18"/>
      <c r="H456" s="18"/>
      <c r="I456" s="18"/>
      <c r="J456" s="18"/>
      <c r="K456" s="18"/>
      <c r="L456" s="18"/>
      <c r="M456" s="18"/>
      <c r="N456" s="18"/>
      <c r="O456" s="1316"/>
      <c r="P456" s="18"/>
      <c r="Q456" s="18"/>
      <c r="R456" s="18"/>
      <c r="S456" s="18"/>
      <c r="T456" s="18"/>
      <c r="U456" s="18"/>
      <c r="V456" s="18"/>
      <c r="W456" s="18"/>
      <c r="X456" s="18"/>
      <c r="Y456" s="18"/>
      <c r="Z456" s="18"/>
      <c r="AA456" s="18"/>
      <c r="AB456" s="18"/>
      <c r="AC456" s="18"/>
      <c r="AD456" s="18"/>
      <c r="AE456" s="18"/>
      <c r="AF456" s="18"/>
      <c r="AG456" s="18"/>
    </row>
    <row r="457" spans="1:33" x14ac:dyDescent="0.2">
      <c r="A457" s="18"/>
      <c r="B457" s="18"/>
      <c r="C457" s="18"/>
      <c r="D457" s="18"/>
      <c r="E457" s="18"/>
      <c r="F457" s="18"/>
      <c r="G457" s="18"/>
      <c r="H457" s="18"/>
      <c r="I457" s="18"/>
      <c r="J457" s="18"/>
      <c r="K457" s="18"/>
      <c r="L457" s="18"/>
      <c r="M457" s="18"/>
      <c r="N457" s="18"/>
      <c r="O457" s="1316"/>
      <c r="P457" s="18"/>
      <c r="Q457" s="18"/>
      <c r="R457" s="18"/>
      <c r="S457" s="18"/>
      <c r="T457" s="18"/>
      <c r="U457" s="18"/>
      <c r="V457" s="18"/>
      <c r="W457" s="18"/>
      <c r="X457" s="18"/>
      <c r="Y457" s="18"/>
      <c r="Z457" s="18"/>
      <c r="AA457" s="18"/>
      <c r="AB457" s="18"/>
      <c r="AC457" s="18"/>
      <c r="AD457" s="18"/>
      <c r="AE457" s="18"/>
      <c r="AF457" s="18"/>
      <c r="AG457" s="18"/>
    </row>
    <row r="458" spans="1:33" x14ac:dyDescent="0.2">
      <c r="A458" s="18"/>
      <c r="B458" s="18"/>
      <c r="C458" s="18"/>
      <c r="D458" s="18"/>
      <c r="E458" s="18"/>
      <c r="F458" s="18"/>
      <c r="G458" s="18"/>
      <c r="H458" s="18"/>
      <c r="I458" s="18"/>
      <c r="J458" s="18"/>
      <c r="K458" s="18"/>
      <c r="L458" s="18"/>
      <c r="M458" s="18"/>
      <c r="N458" s="18"/>
      <c r="O458" s="1316"/>
      <c r="P458" s="18"/>
      <c r="Q458" s="18"/>
      <c r="R458" s="18"/>
      <c r="S458" s="18"/>
      <c r="T458" s="18"/>
      <c r="U458" s="18"/>
      <c r="V458" s="18"/>
      <c r="W458" s="18"/>
      <c r="X458" s="18"/>
      <c r="Y458" s="18"/>
      <c r="Z458" s="18"/>
      <c r="AA458" s="18"/>
      <c r="AB458" s="18"/>
      <c r="AC458" s="18"/>
      <c r="AD458" s="18"/>
      <c r="AE458" s="18"/>
      <c r="AF458" s="18"/>
      <c r="AG458" s="18"/>
    </row>
    <row r="459" spans="1:33" x14ac:dyDescent="0.2">
      <c r="A459" s="18"/>
      <c r="B459" s="18"/>
      <c r="C459" s="18"/>
      <c r="D459" s="18"/>
      <c r="E459" s="18"/>
      <c r="F459" s="18"/>
      <c r="G459" s="18"/>
      <c r="H459" s="18"/>
      <c r="I459" s="18"/>
      <c r="J459" s="18"/>
      <c r="K459" s="18"/>
      <c r="L459" s="18"/>
      <c r="M459" s="18"/>
      <c r="N459" s="18"/>
      <c r="O459" s="1316"/>
      <c r="P459" s="18"/>
      <c r="Q459" s="18"/>
      <c r="R459" s="18"/>
      <c r="S459" s="18"/>
      <c r="T459" s="18"/>
      <c r="U459" s="18"/>
      <c r="V459" s="18"/>
      <c r="W459" s="18"/>
      <c r="X459" s="18"/>
      <c r="Y459" s="18"/>
      <c r="Z459" s="18"/>
      <c r="AA459" s="18"/>
      <c r="AB459" s="18"/>
      <c r="AC459" s="18"/>
      <c r="AD459" s="18"/>
      <c r="AE459" s="18"/>
      <c r="AF459" s="18"/>
      <c r="AG459" s="18"/>
    </row>
    <row r="460" spans="1:33" x14ac:dyDescent="0.2">
      <c r="A460" s="18"/>
      <c r="B460" s="18"/>
      <c r="C460" s="18"/>
      <c r="D460" s="18"/>
      <c r="E460" s="18"/>
      <c r="F460" s="18"/>
      <c r="G460" s="18"/>
      <c r="H460" s="18"/>
      <c r="I460" s="18"/>
      <c r="J460" s="18"/>
      <c r="K460" s="18"/>
      <c r="L460" s="18"/>
      <c r="M460" s="18"/>
      <c r="N460" s="18"/>
      <c r="O460" s="1316"/>
      <c r="P460" s="18"/>
      <c r="Q460" s="18"/>
      <c r="R460" s="18"/>
      <c r="S460" s="18"/>
      <c r="T460" s="18"/>
      <c r="U460" s="18"/>
      <c r="V460" s="18"/>
      <c r="W460" s="18"/>
      <c r="X460" s="18"/>
      <c r="Y460" s="18"/>
      <c r="Z460" s="18"/>
      <c r="AA460" s="18"/>
      <c r="AB460" s="18"/>
      <c r="AC460" s="18"/>
      <c r="AD460" s="18"/>
      <c r="AE460" s="18"/>
      <c r="AF460" s="18"/>
      <c r="AG460" s="18"/>
    </row>
    <row r="461" spans="1:33" x14ac:dyDescent="0.2">
      <c r="A461" s="18"/>
      <c r="B461" s="18"/>
      <c r="C461" s="18"/>
      <c r="D461" s="18"/>
      <c r="E461" s="18"/>
      <c r="F461" s="18"/>
      <c r="G461" s="18"/>
      <c r="H461" s="18"/>
      <c r="I461" s="18"/>
      <c r="J461" s="18"/>
      <c r="K461" s="18"/>
      <c r="L461" s="18"/>
      <c r="M461" s="18"/>
      <c r="N461" s="18"/>
      <c r="O461" s="1316"/>
      <c r="P461" s="18"/>
      <c r="Q461" s="18"/>
      <c r="R461" s="18"/>
      <c r="S461" s="18"/>
      <c r="T461" s="18"/>
      <c r="U461" s="18"/>
      <c r="V461" s="18"/>
      <c r="W461" s="18"/>
      <c r="X461" s="18"/>
      <c r="Y461" s="18"/>
      <c r="Z461" s="18"/>
      <c r="AA461" s="18"/>
      <c r="AB461" s="18"/>
      <c r="AC461" s="18"/>
      <c r="AD461" s="18"/>
      <c r="AE461" s="18"/>
      <c r="AF461" s="18"/>
      <c r="AG461" s="18"/>
    </row>
    <row r="462" spans="1:33" x14ac:dyDescent="0.2">
      <c r="A462" s="18"/>
      <c r="B462" s="18"/>
      <c r="C462" s="18"/>
      <c r="D462" s="18"/>
      <c r="E462" s="18"/>
      <c r="F462" s="18"/>
      <c r="G462" s="18"/>
      <c r="H462" s="18"/>
      <c r="I462" s="18"/>
      <c r="J462" s="18"/>
      <c r="K462" s="18"/>
      <c r="L462" s="18"/>
      <c r="M462" s="18"/>
      <c r="N462" s="18"/>
      <c r="O462" s="1316"/>
      <c r="P462" s="18"/>
      <c r="Q462" s="18"/>
      <c r="R462" s="18"/>
      <c r="S462" s="18"/>
      <c r="T462" s="18"/>
      <c r="U462" s="18"/>
      <c r="V462" s="18"/>
      <c r="W462" s="18"/>
      <c r="X462" s="18"/>
      <c r="Y462" s="18"/>
      <c r="Z462" s="18"/>
      <c r="AA462" s="18"/>
      <c r="AB462" s="18"/>
      <c r="AC462" s="18"/>
      <c r="AD462" s="18"/>
      <c r="AE462" s="18"/>
      <c r="AF462" s="18"/>
      <c r="AG462" s="18"/>
    </row>
    <row r="463" spans="1:33" x14ac:dyDescent="0.2">
      <c r="A463" s="18"/>
      <c r="B463" s="18"/>
      <c r="C463" s="18"/>
      <c r="D463" s="18"/>
      <c r="E463" s="18"/>
      <c r="F463" s="18"/>
      <c r="G463" s="18"/>
      <c r="H463" s="18"/>
      <c r="I463" s="18"/>
      <c r="J463" s="18"/>
      <c r="K463" s="18"/>
      <c r="L463" s="18"/>
      <c r="M463" s="18"/>
      <c r="N463" s="18"/>
      <c r="O463" s="1316"/>
      <c r="P463" s="18"/>
      <c r="Q463" s="18"/>
      <c r="R463" s="18"/>
      <c r="S463" s="18"/>
      <c r="T463" s="18"/>
      <c r="U463" s="18"/>
      <c r="V463" s="18"/>
      <c r="W463" s="18"/>
      <c r="X463" s="18"/>
      <c r="Y463" s="18"/>
      <c r="Z463" s="18"/>
      <c r="AA463" s="18"/>
      <c r="AB463" s="18"/>
      <c r="AC463" s="18"/>
      <c r="AD463" s="18"/>
      <c r="AE463" s="18"/>
      <c r="AF463" s="18"/>
      <c r="AG463" s="18"/>
    </row>
    <row r="464" spans="1:33" x14ac:dyDescent="0.2">
      <c r="A464" s="18"/>
      <c r="B464" s="18"/>
      <c r="C464" s="18"/>
      <c r="D464" s="18"/>
      <c r="E464" s="18"/>
      <c r="F464" s="18"/>
      <c r="G464" s="18"/>
      <c r="H464" s="18"/>
      <c r="I464" s="18"/>
      <c r="J464" s="18"/>
      <c r="K464" s="18"/>
      <c r="L464" s="18"/>
      <c r="M464" s="18"/>
      <c r="N464" s="18"/>
      <c r="O464" s="1316"/>
      <c r="P464" s="18"/>
      <c r="Q464" s="18"/>
      <c r="R464" s="18"/>
      <c r="S464" s="18"/>
      <c r="T464" s="18"/>
      <c r="U464" s="18"/>
      <c r="V464" s="18"/>
      <c r="W464" s="18"/>
      <c r="X464" s="18"/>
      <c r="Y464" s="18"/>
      <c r="Z464" s="18"/>
      <c r="AA464" s="18"/>
      <c r="AB464" s="18"/>
      <c r="AC464" s="18"/>
      <c r="AD464" s="18"/>
      <c r="AE464" s="18"/>
      <c r="AF464" s="18"/>
      <c r="AG464" s="18"/>
    </row>
    <row r="465" spans="1:33" x14ac:dyDescent="0.2">
      <c r="A465" s="18"/>
      <c r="B465" s="18"/>
      <c r="C465" s="18"/>
      <c r="D465" s="18"/>
      <c r="E465" s="18"/>
      <c r="F465" s="18"/>
      <c r="G465" s="18"/>
      <c r="H465" s="18"/>
      <c r="I465" s="18"/>
      <c r="J465" s="18"/>
      <c r="K465" s="18"/>
      <c r="L465" s="18"/>
      <c r="M465" s="18"/>
      <c r="N465" s="18"/>
      <c r="O465" s="1316"/>
      <c r="P465" s="18"/>
      <c r="Q465" s="18"/>
      <c r="R465" s="18"/>
      <c r="S465" s="18"/>
      <c r="T465" s="18"/>
      <c r="U465" s="18"/>
      <c r="V465" s="18"/>
      <c r="W465" s="18"/>
      <c r="X465" s="18"/>
      <c r="Y465" s="18"/>
      <c r="Z465" s="18"/>
      <c r="AA465" s="18"/>
      <c r="AB465" s="18"/>
      <c r="AC465" s="18"/>
      <c r="AD465" s="18"/>
      <c r="AE465" s="18"/>
      <c r="AF465" s="18"/>
      <c r="AG465" s="18"/>
    </row>
    <row r="466" spans="1:33" x14ac:dyDescent="0.2">
      <c r="A466" s="18"/>
      <c r="B466" s="18"/>
      <c r="C466" s="18"/>
      <c r="D466" s="18"/>
      <c r="E466" s="18"/>
      <c r="F466" s="18"/>
      <c r="G466" s="18"/>
      <c r="H466" s="18"/>
      <c r="I466" s="18"/>
      <c r="J466" s="18"/>
      <c r="K466" s="18"/>
      <c r="L466" s="18"/>
      <c r="M466" s="18"/>
      <c r="N466" s="18"/>
      <c r="O466" s="1316"/>
      <c r="P466" s="18"/>
      <c r="Q466" s="18"/>
      <c r="R466" s="18"/>
      <c r="S466" s="18"/>
      <c r="T466" s="18"/>
      <c r="U466" s="18"/>
      <c r="V466" s="18"/>
      <c r="W466" s="18"/>
      <c r="X466" s="18"/>
      <c r="Y466" s="18"/>
      <c r="Z466" s="18"/>
      <c r="AA466" s="18"/>
      <c r="AB466" s="18"/>
      <c r="AC466" s="18"/>
      <c r="AD466" s="18"/>
      <c r="AE466" s="18"/>
      <c r="AF466" s="18"/>
      <c r="AG466" s="18"/>
    </row>
    <row r="467" spans="1:33" x14ac:dyDescent="0.2">
      <c r="A467" s="18"/>
      <c r="B467" s="18"/>
      <c r="C467" s="18"/>
      <c r="D467" s="18"/>
      <c r="E467" s="18"/>
      <c r="F467" s="18"/>
      <c r="G467" s="18"/>
      <c r="H467" s="18"/>
      <c r="I467" s="18"/>
      <c r="J467" s="18"/>
      <c r="K467" s="18"/>
      <c r="L467" s="18"/>
      <c r="M467" s="18"/>
      <c r="N467" s="18"/>
      <c r="O467" s="1316"/>
      <c r="P467" s="18"/>
      <c r="Q467" s="18"/>
      <c r="R467" s="18"/>
      <c r="S467" s="18"/>
      <c r="T467" s="18"/>
      <c r="U467" s="18"/>
      <c r="V467" s="18"/>
      <c r="W467" s="18"/>
      <c r="X467" s="18"/>
      <c r="Y467" s="18"/>
      <c r="Z467" s="18"/>
      <c r="AA467" s="18"/>
      <c r="AB467" s="18"/>
      <c r="AC467" s="18"/>
      <c r="AD467" s="18"/>
      <c r="AE467" s="18"/>
      <c r="AF467" s="18"/>
      <c r="AG467" s="18"/>
    </row>
    <row r="468" spans="1:33" x14ac:dyDescent="0.2">
      <c r="A468" s="18"/>
      <c r="B468" s="18"/>
      <c r="C468" s="18"/>
      <c r="D468" s="18"/>
      <c r="E468" s="18"/>
      <c r="F468" s="18"/>
      <c r="G468" s="18"/>
      <c r="H468" s="18"/>
      <c r="I468" s="18"/>
      <c r="J468" s="18"/>
      <c r="K468" s="18"/>
      <c r="L468" s="18"/>
      <c r="M468" s="18"/>
      <c r="N468" s="18"/>
      <c r="O468" s="1316"/>
      <c r="P468" s="18"/>
      <c r="Q468" s="18"/>
      <c r="R468" s="18"/>
      <c r="S468" s="18"/>
      <c r="T468" s="18"/>
      <c r="U468" s="18"/>
      <c r="V468" s="18"/>
      <c r="W468" s="18"/>
      <c r="X468" s="18"/>
      <c r="Y468" s="18"/>
      <c r="Z468" s="18"/>
      <c r="AA468" s="18"/>
      <c r="AB468" s="18"/>
      <c r="AC468" s="18"/>
      <c r="AD468" s="18"/>
      <c r="AE468" s="18"/>
      <c r="AF468" s="18"/>
      <c r="AG468" s="18"/>
    </row>
    <row r="469" spans="1:33" x14ac:dyDescent="0.2">
      <c r="A469" s="18"/>
      <c r="B469" s="18"/>
      <c r="C469" s="18"/>
      <c r="D469" s="18"/>
      <c r="E469" s="18"/>
      <c r="F469" s="18"/>
      <c r="G469" s="18"/>
      <c r="H469" s="18"/>
      <c r="I469" s="18"/>
      <c r="J469" s="18"/>
      <c r="K469" s="18"/>
      <c r="L469" s="18"/>
      <c r="M469" s="18"/>
      <c r="N469" s="18"/>
      <c r="O469" s="1316"/>
      <c r="P469" s="18"/>
      <c r="Q469" s="18"/>
      <c r="R469" s="18"/>
      <c r="S469" s="18"/>
      <c r="T469" s="18"/>
      <c r="U469" s="18"/>
      <c r="V469" s="18"/>
      <c r="W469" s="18"/>
      <c r="X469" s="18"/>
      <c r="Y469" s="18"/>
      <c r="Z469" s="18"/>
      <c r="AA469" s="18"/>
      <c r="AB469" s="18"/>
      <c r="AC469" s="18"/>
      <c r="AD469" s="18"/>
      <c r="AE469" s="18"/>
      <c r="AF469" s="18"/>
      <c r="AG469" s="18"/>
    </row>
    <row r="470" spans="1:33" x14ac:dyDescent="0.2">
      <c r="A470" s="18"/>
      <c r="B470" s="18"/>
      <c r="C470" s="18"/>
      <c r="D470" s="18"/>
      <c r="E470" s="18"/>
      <c r="F470" s="18"/>
      <c r="G470" s="18"/>
      <c r="H470" s="18"/>
      <c r="I470" s="18"/>
      <c r="J470" s="18"/>
      <c r="K470" s="18"/>
      <c r="L470" s="18"/>
      <c r="M470" s="18"/>
      <c r="N470" s="18"/>
      <c r="O470" s="1316"/>
      <c r="P470" s="18"/>
      <c r="Q470" s="18"/>
      <c r="R470" s="18"/>
      <c r="S470" s="18"/>
      <c r="T470" s="18"/>
      <c r="U470" s="18"/>
      <c r="V470" s="18"/>
      <c r="W470" s="18"/>
      <c r="X470" s="18"/>
      <c r="Y470" s="18"/>
      <c r="Z470" s="18"/>
      <c r="AA470" s="18"/>
      <c r="AB470" s="18"/>
      <c r="AC470" s="18"/>
      <c r="AD470" s="18"/>
      <c r="AE470" s="18"/>
      <c r="AF470" s="18"/>
      <c r="AG470" s="18"/>
    </row>
    <row r="471" spans="1:33" x14ac:dyDescent="0.2">
      <c r="A471" s="18"/>
      <c r="B471" s="18"/>
      <c r="C471" s="18"/>
      <c r="D471" s="18"/>
      <c r="E471" s="18"/>
      <c r="F471" s="18"/>
      <c r="G471" s="18"/>
      <c r="H471" s="18"/>
      <c r="I471" s="18"/>
      <c r="J471" s="18"/>
      <c r="K471" s="18"/>
      <c r="L471" s="18"/>
      <c r="M471" s="18"/>
      <c r="N471" s="18"/>
      <c r="O471" s="1316"/>
      <c r="P471" s="18"/>
      <c r="Q471" s="18"/>
      <c r="R471" s="18"/>
      <c r="S471" s="18"/>
      <c r="T471" s="18"/>
      <c r="U471" s="18"/>
      <c r="V471" s="18"/>
      <c r="W471" s="18"/>
      <c r="X471" s="18"/>
      <c r="Y471" s="18"/>
      <c r="Z471" s="18"/>
      <c r="AA471" s="18"/>
      <c r="AB471" s="18"/>
      <c r="AC471" s="18"/>
      <c r="AD471" s="18"/>
      <c r="AE471" s="18"/>
      <c r="AF471" s="18"/>
      <c r="AG471" s="18"/>
    </row>
    <row r="472" spans="1:33" x14ac:dyDescent="0.2">
      <c r="A472" s="18"/>
      <c r="B472" s="18"/>
      <c r="C472" s="18"/>
      <c r="D472" s="18"/>
      <c r="E472" s="18"/>
      <c r="F472" s="18"/>
      <c r="G472" s="18"/>
      <c r="H472" s="18"/>
      <c r="I472" s="18"/>
      <c r="J472" s="18"/>
      <c r="K472" s="18"/>
      <c r="L472" s="18"/>
      <c r="M472" s="18"/>
      <c r="N472" s="18"/>
      <c r="O472" s="1316"/>
      <c r="P472" s="18"/>
      <c r="Q472" s="18"/>
      <c r="R472" s="18"/>
      <c r="S472" s="18"/>
      <c r="T472" s="18"/>
      <c r="U472" s="18"/>
      <c r="V472" s="18"/>
      <c r="W472" s="18"/>
      <c r="X472" s="18"/>
      <c r="Y472" s="18"/>
      <c r="Z472" s="18"/>
      <c r="AA472" s="18"/>
      <c r="AB472" s="18"/>
      <c r="AC472" s="18"/>
      <c r="AD472" s="18"/>
      <c r="AE472" s="18"/>
      <c r="AF472" s="18"/>
      <c r="AG472" s="18"/>
    </row>
    <row r="473" spans="1:33" x14ac:dyDescent="0.2">
      <c r="A473" s="18"/>
      <c r="B473" s="18"/>
      <c r="C473" s="18"/>
      <c r="D473" s="18"/>
      <c r="E473" s="18"/>
      <c r="F473" s="18"/>
      <c r="G473" s="18"/>
      <c r="H473" s="18"/>
      <c r="I473" s="18"/>
      <c r="J473" s="18"/>
      <c r="K473" s="18"/>
      <c r="L473" s="18"/>
      <c r="M473" s="18"/>
      <c r="N473" s="18"/>
      <c r="O473" s="1316"/>
      <c r="P473" s="18"/>
      <c r="Q473" s="18"/>
      <c r="R473" s="18"/>
      <c r="S473" s="18"/>
      <c r="T473" s="18"/>
      <c r="U473" s="18"/>
      <c r="V473" s="18"/>
      <c r="W473" s="18"/>
      <c r="X473" s="18"/>
      <c r="Y473" s="18"/>
      <c r="Z473" s="18"/>
      <c r="AA473" s="18"/>
      <c r="AB473" s="18"/>
      <c r="AC473" s="18"/>
      <c r="AD473" s="18"/>
      <c r="AE473" s="18"/>
      <c r="AF473" s="18"/>
      <c r="AG473" s="18"/>
    </row>
    <row r="474" spans="1:33" x14ac:dyDescent="0.2">
      <c r="A474" s="18"/>
      <c r="B474" s="18"/>
      <c r="C474" s="18"/>
      <c r="D474" s="18"/>
      <c r="E474" s="18"/>
      <c r="F474" s="18"/>
      <c r="G474" s="18"/>
      <c r="H474" s="18"/>
      <c r="I474" s="18"/>
      <c r="J474" s="18"/>
      <c r="K474" s="18"/>
      <c r="L474" s="18"/>
      <c r="M474" s="18"/>
      <c r="N474" s="18"/>
      <c r="O474" s="1316"/>
      <c r="P474" s="18"/>
      <c r="Q474" s="18"/>
      <c r="R474" s="18"/>
      <c r="S474" s="18"/>
      <c r="T474" s="18"/>
      <c r="U474" s="18"/>
      <c r="V474" s="18"/>
      <c r="W474" s="18"/>
      <c r="X474" s="18"/>
      <c r="Y474" s="18"/>
      <c r="Z474" s="18"/>
      <c r="AA474" s="18"/>
      <c r="AB474" s="18"/>
      <c r="AC474" s="18"/>
      <c r="AD474" s="18"/>
      <c r="AE474" s="18"/>
      <c r="AF474" s="18"/>
      <c r="AG474" s="18"/>
    </row>
    <row r="475" spans="1:33" x14ac:dyDescent="0.2">
      <c r="A475" s="18"/>
      <c r="B475" s="18"/>
      <c r="C475" s="18"/>
      <c r="D475" s="18"/>
      <c r="E475" s="18"/>
      <c r="F475" s="18"/>
      <c r="G475" s="18"/>
      <c r="H475" s="18"/>
      <c r="I475" s="18"/>
      <c r="J475" s="18"/>
      <c r="K475" s="18"/>
      <c r="L475" s="18"/>
      <c r="M475" s="18"/>
      <c r="N475" s="18"/>
      <c r="O475" s="1316"/>
      <c r="P475" s="18"/>
      <c r="Q475" s="18"/>
      <c r="R475" s="18"/>
      <c r="S475" s="18"/>
      <c r="T475" s="18"/>
      <c r="U475" s="18"/>
      <c r="V475" s="18"/>
      <c r="W475" s="18"/>
      <c r="X475" s="18"/>
      <c r="Y475" s="18"/>
      <c r="Z475" s="18"/>
      <c r="AA475" s="18"/>
      <c r="AB475" s="18"/>
      <c r="AC475" s="18"/>
      <c r="AD475" s="18"/>
      <c r="AE475" s="18"/>
      <c r="AF475" s="18"/>
      <c r="AG475" s="18"/>
    </row>
    <row r="476" spans="1:33" x14ac:dyDescent="0.2">
      <c r="A476" s="18"/>
      <c r="B476" s="18"/>
      <c r="C476" s="18"/>
      <c r="D476" s="18"/>
      <c r="E476" s="18"/>
      <c r="F476" s="18"/>
      <c r="G476" s="18"/>
      <c r="H476" s="18"/>
      <c r="I476" s="18"/>
      <c r="J476" s="18"/>
      <c r="K476" s="18"/>
      <c r="L476" s="18"/>
      <c r="M476" s="18"/>
      <c r="N476" s="18"/>
      <c r="O476" s="1316"/>
      <c r="P476" s="18"/>
      <c r="Q476" s="18"/>
      <c r="R476" s="18"/>
      <c r="S476" s="18"/>
      <c r="T476" s="18"/>
      <c r="U476" s="18"/>
      <c r="V476" s="18"/>
      <c r="W476" s="18"/>
      <c r="X476" s="18"/>
      <c r="Y476" s="18"/>
      <c r="Z476" s="18"/>
      <c r="AA476" s="18"/>
      <c r="AB476" s="18"/>
      <c r="AC476" s="18"/>
      <c r="AD476" s="18"/>
      <c r="AE476" s="18"/>
      <c r="AF476" s="18"/>
      <c r="AG476" s="18"/>
    </row>
    <row r="477" spans="1:33" x14ac:dyDescent="0.2">
      <c r="A477" s="18"/>
      <c r="B477" s="18"/>
      <c r="C477" s="18"/>
      <c r="D477" s="18"/>
      <c r="E477" s="18"/>
      <c r="F477" s="18"/>
      <c r="G477" s="18"/>
      <c r="H477" s="18"/>
      <c r="I477" s="18"/>
      <c r="J477" s="18"/>
      <c r="K477" s="18"/>
      <c r="L477" s="18"/>
      <c r="M477" s="18"/>
      <c r="N477" s="18"/>
      <c r="O477" s="1316"/>
      <c r="P477" s="18"/>
      <c r="Q477" s="18"/>
      <c r="R477" s="18"/>
      <c r="S477" s="18"/>
      <c r="T477" s="18"/>
      <c r="U477" s="18"/>
      <c r="V477" s="18"/>
      <c r="W477" s="18"/>
      <c r="X477" s="18"/>
      <c r="Y477" s="18"/>
      <c r="Z477" s="18"/>
      <c r="AA477" s="18"/>
      <c r="AB477" s="18"/>
      <c r="AC477" s="18"/>
      <c r="AD477" s="18"/>
      <c r="AE477" s="18"/>
      <c r="AF477" s="18"/>
      <c r="AG477" s="18"/>
    </row>
    <row r="478" spans="1:33" x14ac:dyDescent="0.2">
      <c r="A478" s="18"/>
      <c r="B478" s="18"/>
      <c r="C478" s="18"/>
      <c r="D478" s="18"/>
      <c r="E478" s="18"/>
      <c r="F478" s="18"/>
      <c r="G478" s="18"/>
      <c r="H478" s="18"/>
      <c r="I478" s="18"/>
      <c r="J478" s="18"/>
      <c r="K478" s="18"/>
      <c r="L478" s="18"/>
      <c r="M478" s="18"/>
      <c r="N478" s="18"/>
      <c r="O478" s="1316"/>
      <c r="P478" s="18"/>
      <c r="Q478" s="18"/>
      <c r="R478" s="18"/>
      <c r="S478" s="18"/>
      <c r="T478" s="18"/>
      <c r="U478" s="18"/>
      <c r="V478" s="18"/>
      <c r="W478" s="18"/>
      <c r="X478" s="18"/>
      <c r="Y478" s="18"/>
      <c r="Z478" s="18"/>
      <c r="AA478" s="18"/>
      <c r="AB478" s="18"/>
      <c r="AC478" s="18"/>
      <c r="AD478" s="18"/>
      <c r="AE478" s="18"/>
      <c r="AF478" s="18"/>
      <c r="AG478" s="18"/>
    </row>
    <row r="479" spans="1:33" x14ac:dyDescent="0.2">
      <c r="A479" s="18"/>
      <c r="B479" s="18"/>
      <c r="C479" s="18"/>
      <c r="D479" s="18"/>
      <c r="E479" s="18"/>
      <c r="F479" s="18"/>
      <c r="G479" s="18"/>
      <c r="H479" s="18"/>
      <c r="I479" s="18"/>
      <c r="J479" s="18"/>
      <c r="K479" s="18"/>
      <c r="L479" s="18"/>
      <c r="M479" s="18"/>
      <c r="N479" s="18"/>
      <c r="O479" s="1316"/>
      <c r="P479" s="18"/>
      <c r="Q479" s="18"/>
      <c r="R479" s="18"/>
      <c r="S479" s="18"/>
      <c r="T479" s="18"/>
      <c r="U479" s="18"/>
      <c r="V479" s="18"/>
      <c r="W479" s="18"/>
      <c r="X479" s="18"/>
      <c r="Y479" s="18"/>
      <c r="Z479" s="18"/>
      <c r="AA479" s="18"/>
      <c r="AB479" s="18"/>
      <c r="AC479" s="18"/>
      <c r="AD479" s="18"/>
      <c r="AE479" s="18"/>
      <c r="AF479" s="18"/>
      <c r="AG479" s="18"/>
    </row>
    <row r="480" spans="1:33" x14ac:dyDescent="0.2">
      <c r="A480" s="18"/>
      <c r="B480" s="18"/>
      <c r="C480" s="18"/>
      <c r="D480" s="18"/>
      <c r="E480" s="18"/>
      <c r="F480" s="18"/>
      <c r="G480" s="18"/>
      <c r="H480" s="18"/>
      <c r="I480" s="18"/>
      <c r="J480" s="18"/>
      <c r="K480" s="18"/>
      <c r="L480" s="18"/>
      <c r="M480" s="18"/>
      <c r="N480" s="18"/>
      <c r="O480" s="1316"/>
      <c r="P480" s="18"/>
      <c r="Q480" s="18"/>
      <c r="R480" s="18"/>
      <c r="S480" s="18"/>
      <c r="T480" s="18"/>
      <c r="U480" s="18"/>
      <c r="V480" s="18"/>
      <c r="W480" s="18"/>
      <c r="X480" s="18"/>
      <c r="Y480" s="18"/>
      <c r="Z480" s="18"/>
      <c r="AA480" s="18"/>
      <c r="AB480" s="18"/>
      <c r="AC480" s="18"/>
      <c r="AD480" s="18"/>
      <c r="AE480" s="18"/>
      <c r="AF480" s="18"/>
      <c r="AG480" s="18"/>
    </row>
    <row r="481" spans="1:33" x14ac:dyDescent="0.2">
      <c r="A481" s="18"/>
      <c r="B481" s="18"/>
      <c r="C481" s="18"/>
      <c r="D481" s="18"/>
      <c r="E481" s="18"/>
      <c r="F481" s="18"/>
      <c r="G481" s="18"/>
      <c r="H481" s="18"/>
      <c r="I481" s="18"/>
      <c r="J481" s="18"/>
      <c r="K481" s="18"/>
      <c r="L481" s="18"/>
      <c r="M481" s="18"/>
      <c r="N481" s="18"/>
      <c r="O481" s="1316"/>
      <c r="P481" s="18"/>
      <c r="Q481" s="18"/>
      <c r="R481" s="18"/>
      <c r="S481" s="18"/>
      <c r="T481" s="18"/>
      <c r="U481" s="18"/>
      <c r="V481" s="18"/>
      <c r="W481" s="18"/>
      <c r="X481" s="18"/>
      <c r="Y481" s="18"/>
      <c r="Z481" s="18"/>
      <c r="AA481" s="18"/>
      <c r="AB481" s="18"/>
      <c r="AC481" s="18"/>
      <c r="AD481" s="18"/>
      <c r="AE481" s="18"/>
      <c r="AF481" s="18"/>
      <c r="AG481" s="18"/>
    </row>
    <row r="482" spans="1:33" x14ac:dyDescent="0.2">
      <c r="A482" s="18"/>
      <c r="B482" s="18"/>
      <c r="C482" s="18"/>
      <c r="D482" s="18"/>
      <c r="E482" s="18"/>
      <c r="F482" s="18"/>
      <c r="G482" s="18"/>
      <c r="H482" s="18"/>
      <c r="I482" s="18"/>
      <c r="J482" s="18"/>
      <c r="K482" s="18"/>
      <c r="L482" s="18"/>
      <c r="M482" s="18"/>
      <c r="N482" s="18"/>
      <c r="O482" s="1316"/>
      <c r="P482" s="18"/>
      <c r="Q482" s="18"/>
      <c r="R482" s="18"/>
      <c r="S482" s="18"/>
      <c r="T482" s="18"/>
      <c r="U482" s="18"/>
      <c r="V482" s="18"/>
      <c r="W482" s="18"/>
      <c r="X482" s="18"/>
      <c r="Y482" s="18"/>
      <c r="Z482" s="18"/>
      <c r="AA482" s="18"/>
      <c r="AB482" s="18"/>
      <c r="AC482" s="18"/>
      <c r="AD482" s="18"/>
      <c r="AE482" s="18"/>
      <c r="AF482" s="18"/>
      <c r="AG482" s="18"/>
    </row>
    <row r="483" spans="1:33" x14ac:dyDescent="0.2">
      <c r="A483" s="18"/>
      <c r="B483" s="18"/>
      <c r="C483" s="18"/>
      <c r="D483" s="18"/>
      <c r="E483" s="18"/>
      <c r="F483" s="18"/>
      <c r="G483" s="18"/>
      <c r="H483" s="18"/>
      <c r="I483" s="18"/>
      <c r="J483" s="18"/>
      <c r="K483" s="18"/>
      <c r="L483" s="18"/>
      <c r="M483" s="18"/>
      <c r="N483" s="18"/>
      <c r="O483" s="1316"/>
      <c r="P483" s="18"/>
      <c r="Q483" s="18"/>
      <c r="R483" s="18"/>
      <c r="S483" s="18"/>
      <c r="T483" s="18"/>
      <c r="U483" s="18"/>
      <c r="V483" s="18"/>
      <c r="W483" s="18"/>
      <c r="X483" s="18"/>
      <c r="Y483" s="18"/>
      <c r="Z483" s="18"/>
      <c r="AA483" s="18"/>
      <c r="AB483" s="18"/>
      <c r="AC483" s="18"/>
      <c r="AD483" s="18"/>
      <c r="AE483" s="18"/>
      <c r="AF483" s="18"/>
      <c r="AG483" s="18"/>
    </row>
    <row r="484" spans="1:33" x14ac:dyDescent="0.2">
      <c r="A484" s="18"/>
      <c r="B484" s="18"/>
      <c r="C484" s="18"/>
      <c r="D484" s="18"/>
      <c r="E484" s="18"/>
      <c r="F484" s="18"/>
      <c r="G484" s="18"/>
      <c r="H484" s="18"/>
      <c r="I484" s="18"/>
      <c r="J484" s="18"/>
      <c r="K484" s="18"/>
      <c r="L484" s="18"/>
      <c r="M484" s="18"/>
      <c r="N484" s="18"/>
      <c r="O484" s="1316"/>
      <c r="P484" s="18"/>
      <c r="Q484" s="18"/>
      <c r="R484" s="18"/>
      <c r="S484" s="18"/>
      <c r="T484" s="18"/>
      <c r="U484" s="18"/>
      <c r="V484" s="18"/>
      <c r="W484" s="18"/>
      <c r="X484" s="18"/>
      <c r="Y484" s="18"/>
      <c r="Z484" s="18"/>
      <c r="AA484" s="18"/>
      <c r="AB484" s="18"/>
      <c r="AC484" s="18"/>
      <c r="AD484" s="18"/>
      <c r="AE484" s="18"/>
      <c r="AF484" s="18"/>
      <c r="AG484" s="18"/>
    </row>
    <row r="485" spans="1:33" x14ac:dyDescent="0.2">
      <c r="A485" s="18"/>
      <c r="B485" s="18"/>
      <c r="C485" s="18"/>
      <c r="D485" s="18"/>
      <c r="E485" s="18"/>
      <c r="F485" s="18"/>
      <c r="G485" s="18"/>
      <c r="H485" s="18"/>
      <c r="I485" s="18"/>
      <c r="J485" s="18"/>
      <c r="K485" s="18"/>
      <c r="L485" s="18"/>
      <c r="M485" s="18"/>
      <c r="N485" s="18"/>
      <c r="O485" s="1316"/>
      <c r="P485" s="18"/>
      <c r="Q485" s="18"/>
      <c r="R485" s="18"/>
      <c r="S485" s="18"/>
      <c r="T485" s="18"/>
      <c r="U485" s="18"/>
      <c r="V485" s="18"/>
      <c r="W485" s="18"/>
      <c r="X485" s="18"/>
      <c r="Y485" s="18"/>
      <c r="Z485" s="18"/>
      <c r="AA485" s="18"/>
      <c r="AB485" s="18"/>
      <c r="AC485" s="18"/>
      <c r="AD485" s="18"/>
      <c r="AE485" s="18"/>
      <c r="AF485" s="18"/>
      <c r="AG485" s="18"/>
    </row>
    <row r="486" spans="1:33" x14ac:dyDescent="0.2">
      <c r="A486" s="18"/>
      <c r="B486" s="18"/>
      <c r="C486" s="18"/>
      <c r="D486" s="18"/>
      <c r="E486" s="18"/>
      <c r="F486" s="18"/>
      <c r="G486" s="18"/>
      <c r="H486" s="18"/>
      <c r="I486" s="18"/>
      <c r="J486" s="18"/>
      <c r="K486" s="18"/>
      <c r="L486" s="18"/>
      <c r="M486" s="18"/>
      <c r="N486" s="18"/>
      <c r="O486" s="1316"/>
      <c r="P486" s="18"/>
      <c r="Q486" s="18"/>
      <c r="R486" s="18"/>
      <c r="S486" s="18"/>
      <c r="T486" s="18"/>
      <c r="U486" s="18"/>
      <c r="V486" s="18"/>
      <c r="W486" s="18"/>
      <c r="X486" s="18"/>
      <c r="Y486" s="18"/>
      <c r="Z486" s="18"/>
      <c r="AA486" s="18"/>
      <c r="AB486" s="18"/>
      <c r="AC486" s="18"/>
      <c r="AD486" s="18"/>
      <c r="AE486" s="18"/>
      <c r="AF486" s="18"/>
      <c r="AG486" s="18"/>
    </row>
    <row r="487" spans="1:33" x14ac:dyDescent="0.2">
      <c r="A487" s="18"/>
      <c r="B487" s="18"/>
      <c r="C487" s="18"/>
      <c r="D487" s="18"/>
      <c r="E487" s="18"/>
      <c r="F487" s="18"/>
      <c r="G487" s="18"/>
      <c r="H487" s="18"/>
      <c r="I487" s="18"/>
      <c r="J487" s="18"/>
      <c r="K487" s="18"/>
      <c r="L487" s="18"/>
      <c r="M487" s="18"/>
      <c r="N487" s="18"/>
      <c r="O487" s="1316"/>
      <c r="P487" s="18"/>
      <c r="Q487" s="18"/>
      <c r="R487" s="18"/>
      <c r="S487" s="18"/>
      <c r="T487" s="18"/>
      <c r="U487" s="18"/>
      <c r="V487" s="18"/>
      <c r="W487" s="18"/>
      <c r="X487" s="18"/>
      <c r="Y487" s="18"/>
      <c r="Z487" s="18"/>
      <c r="AA487" s="18"/>
      <c r="AB487" s="18"/>
      <c r="AC487" s="18"/>
      <c r="AD487" s="18"/>
      <c r="AE487" s="18"/>
      <c r="AF487" s="18"/>
      <c r="AG487" s="18"/>
    </row>
    <row r="488" spans="1:33" x14ac:dyDescent="0.2">
      <c r="A488" s="18"/>
      <c r="B488" s="18"/>
      <c r="C488" s="18"/>
      <c r="D488" s="18"/>
      <c r="E488" s="18"/>
      <c r="F488" s="18"/>
      <c r="G488" s="18"/>
      <c r="H488" s="18"/>
      <c r="I488" s="18"/>
      <c r="J488" s="18"/>
      <c r="K488" s="18"/>
      <c r="L488" s="18"/>
      <c r="M488" s="18"/>
      <c r="N488" s="18"/>
      <c r="O488" s="1316"/>
      <c r="P488" s="18"/>
      <c r="Q488" s="18"/>
      <c r="R488" s="18"/>
      <c r="S488" s="18"/>
      <c r="T488" s="18"/>
      <c r="U488" s="18"/>
      <c r="V488" s="18"/>
      <c r="W488" s="18"/>
      <c r="X488" s="18"/>
      <c r="Y488" s="18"/>
      <c r="Z488" s="18"/>
      <c r="AA488" s="18"/>
      <c r="AB488" s="18"/>
      <c r="AC488" s="18"/>
      <c r="AD488" s="18"/>
      <c r="AE488" s="18"/>
      <c r="AF488" s="18"/>
      <c r="AG488" s="18"/>
    </row>
    <row r="489" spans="1:33" x14ac:dyDescent="0.2">
      <c r="A489" s="18"/>
      <c r="B489" s="18"/>
      <c r="C489" s="18"/>
      <c r="D489" s="18"/>
      <c r="E489" s="18"/>
      <c r="F489" s="18"/>
      <c r="G489" s="18"/>
      <c r="H489" s="18"/>
      <c r="I489" s="18"/>
      <c r="J489" s="18"/>
      <c r="K489" s="18"/>
      <c r="L489" s="18"/>
      <c r="M489" s="18"/>
      <c r="N489" s="18"/>
      <c r="O489" s="1316"/>
      <c r="P489" s="18"/>
      <c r="Q489" s="18"/>
      <c r="R489" s="18"/>
      <c r="S489" s="18"/>
      <c r="T489" s="18"/>
      <c r="U489" s="18"/>
      <c r="V489" s="18"/>
      <c r="W489" s="18"/>
      <c r="X489" s="18"/>
      <c r="Y489" s="18"/>
      <c r="Z489" s="18"/>
      <c r="AA489" s="18"/>
      <c r="AB489" s="18"/>
      <c r="AC489" s="18"/>
      <c r="AD489" s="18"/>
      <c r="AE489" s="18"/>
      <c r="AF489" s="18"/>
      <c r="AG489" s="18"/>
    </row>
    <row r="490" spans="1:33" x14ac:dyDescent="0.2">
      <c r="A490" s="18"/>
      <c r="B490" s="18"/>
      <c r="C490" s="18"/>
      <c r="D490" s="18"/>
      <c r="E490" s="18"/>
      <c r="F490" s="18"/>
      <c r="G490" s="18"/>
      <c r="H490" s="18"/>
      <c r="I490" s="18"/>
      <c r="J490" s="18"/>
      <c r="K490" s="18"/>
      <c r="L490" s="18"/>
      <c r="M490" s="18"/>
      <c r="N490" s="18"/>
      <c r="O490" s="1316"/>
      <c r="P490" s="18"/>
      <c r="Q490" s="18"/>
      <c r="R490" s="18"/>
      <c r="S490" s="18"/>
      <c r="T490" s="18"/>
      <c r="U490" s="18"/>
      <c r="V490" s="18"/>
      <c r="W490" s="18"/>
      <c r="X490" s="18"/>
      <c r="Y490" s="18"/>
      <c r="Z490" s="18"/>
      <c r="AA490" s="18"/>
      <c r="AB490" s="18"/>
      <c r="AC490" s="18"/>
      <c r="AD490" s="18"/>
      <c r="AE490" s="18"/>
      <c r="AF490" s="18"/>
      <c r="AG490" s="18"/>
    </row>
    <row r="491" spans="1:33" x14ac:dyDescent="0.2">
      <c r="A491" s="18"/>
      <c r="B491" s="18"/>
      <c r="C491" s="18"/>
      <c r="D491" s="18"/>
      <c r="E491" s="18"/>
      <c r="F491" s="18"/>
      <c r="G491" s="18"/>
      <c r="H491" s="18"/>
      <c r="I491" s="18"/>
      <c r="J491" s="18"/>
      <c r="K491" s="18"/>
      <c r="L491" s="18"/>
      <c r="M491" s="18"/>
      <c r="N491" s="18"/>
      <c r="O491" s="1316"/>
      <c r="P491" s="18"/>
      <c r="Q491" s="18"/>
      <c r="R491" s="18"/>
      <c r="S491" s="18"/>
      <c r="T491" s="18"/>
      <c r="U491" s="18"/>
      <c r="V491" s="18"/>
      <c r="W491" s="18"/>
      <c r="X491" s="18"/>
      <c r="Y491" s="18"/>
      <c r="Z491" s="18"/>
      <c r="AA491" s="18"/>
      <c r="AB491" s="18"/>
      <c r="AC491" s="18"/>
      <c r="AD491" s="18"/>
      <c r="AE491" s="18"/>
      <c r="AF491" s="18"/>
      <c r="AG491" s="18"/>
    </row>
    <row r="492" spans="1:33" x14ac:dyDescent="0.2">
      <c r="A492" s="18"/>
      <c r="B492" s="18"/>
      <c r="C492" s="18"/>
      <c r="D492" s="18"/>
      <c r="E492" s="18"/>
      <c r="F492" s="18"/>
      <c r="G492" s="18"/>
      <c r="H492" s="18"/>
      <c r="I492" s="18"/>
      <c r="J492" s="18"/>
      <c r="K492" s="18"/>
      <c r="L492" s="18"/>
      <c r="M492" s="18"/>
      <c r="N492" s="18"/>
      <c r="O492" s="1316"/>
      <c r="P492" s="18"/>
      <c r="Q492" s="18"/>
      <c r="R492" s="18"/>
      <c r="S492" s="18"/>
      <c r="T492" s="18"/>
      <c r="U492" s="18"/>
      <c r="V492" s="18"/>
      <c r="W492" s="18"/>
      <c r="X492" s="18"/>
      <c r="Y492" s="18"/>
      <c r="Z492" s="18"/>
      <c r="AA492" s="18"/>
      <c r="AB492" s="18"/>
      <c r="AC492" s="18"/>
      <c r="AD492" s="18"/>
      <c r="AE492" s="18"/>
      <c r="AF492" s="18"/>
      <c r="AG492" s="18"/>
    </row>
    <row r="493" spans="1:33" x14ac:dyDescent="0.2">
      <c r="A493" s="18"/>
      <c r="B493" s="18"/>
      <c r="C493" s="18"/>
      <c r="D493" s="18"/>
      <c r="E493" s="18"/>
      <c r="F493" s="18"/>
      <c r="G493" s="18"/>
      <c r="H493" s="18"/>
      <c r="I493" s="18"/>
      <c r="J493" s="18"/>
      <c r="K493" s="18"/>
      <c r="L493" s="18"/>
      <c r="M493" s="18"/>
      <c r="N493" s="18"/>
      <c r="O493" s="1316"/>
      <c r="P493" s="18"/>
      <c r="Q493" s="18"/>
      <c r="R493" s="18"/>
      <c r="S493" s="18"/>
      <c r="T493" s="18"/>
      <c r="U493" s="18"/>
      <c r="V493" s="18"/>
      <c r="W493" s="18"/>
      <c r="X493" s="18"/>
      <c r="Y493" s="18"/>
      <c r="Z493" s="18"/>
      <c r="AA493" s="18"/>
      <c r="AB493" s="18"/>
      <c r="AC493" s="18"/>
      <c r="AD493" s="18"/>
      <c r="AE493" s="18"/>
      <c r="AF493" s="18"/>
      <c r="AG493" s="18"/>
    </row>
    <row r="494" spans="1:33" x14ac:dyDescent="0.2">
      <c r="A494" s="18"/>
      <c r="B494" s="18"/>
      <c r="C494" s="18"/>
      <c r="D494" s="18"/>
      <c r="E494" s="18"/>
      <c r="F494" s="18"/>
      <c r="G494" s="18"/>
      <c r="H494" s="18"/>
      <c r="I494" s="18"/>
      <c r="J494" s="18"/>
      <c r="K494" s="18"/>
      <c r="L494" s="18"/>
      <c r="M494" s="18"/>
      <c r="N494" s="18"/>
      <c r="O494" s="1316"/>
      <c r="P494" s="18"/>
      <c r="Q494" s="18"/>
      <c r="R494" s="18"/>
      <c r="S494" s="18"/>
      <c r="T494" s="18"/>
      <c r="U494" s="18"/>
      <c r="V494" s="18"/>
      <c r="W494" s="18"/>
      <c r="X494" s="18"/>
      <c r="Y494" s="18"/>
      <c r="Z494" s="18"/>
      <c r="AA494" s="18"/>
      <c r="AB494" s="18"/>
      <c r="AC494" s="18"/>
      <c r="AD494" s="18"/>
      <c r="AE494" s="18"/>
      <c r="AF494" s="18"/>
      <c r="AG494" s="18"/>
    </row>
    <row r="495" spans="1:33" x14ac:dyDescent="0.2">
      <c r="A495" s="18"/>
      <c r="B495" s="18"/>
      <c r="C495" s="18"/>
      <c r="D495" s="18"/>
      <c r="E495" s="18"/>
      <c r="F495" s="18"/>
      <c r="G495" s="18"/>
      <c r="H495" s="18"/>
      <c r="I495" s="18"/>
      <c r="J495" s="18"/>
      <c r="K495" s="18"/>
      <c r="L495" s="18"/>
      <c r="M495" s="18"/>
      <c r="N495" s="18"/>
      <c r="O495" s="1316"/>
      <c r="P495" s="18"/>
      <c r="Q495" s="18"/>
      <c r="R495" s="18"/>
      <c r="S495" s="18"/>
      <c r="T495" s="18"/>
      <c r="U495" s="18"/>
      <c r="V495" s="18"/>
      <c r="W495" s="18"/>
      <c r="X495" s="18"/>
      <c r="Y495" s="18"/>
      <c r="Z495" s="18"/>
      <c r="AA495" s="18"/>
      <c r="AB495" s="18"/>
      <c r="AC495" s="18"/>
      <c r="AD495" s="18"/>
      <c r="AE495" s="18"/>
      <c r="AF495" s="18"/>
      <c r="AG495" s="18"/>
    </row>
    <row r="496" spans="1:33" x14ac:dyDescent="0.2">
      <c r="A496" s="18"/>
      <c r="B496" s="18"/>
      <c r="C496" s="18"/>
      <c r="D496" s="18"/>
      <c r="E496" s="18"/>
      <c r="F496" s="18"/>
      <c r="G496" s="18"/>
      <c r="H496" s="18"/>
      <c r="I496" s="18"/>
      <c r="J496" s="18"/>
      <c r="K496" s="18"/>
      <c r="L496" s="18"/>
      <c r="M496" s="18"/>
      <c r="N496" s="18"/>
      <c r="O496" s="1316"/>
      <c r="P496" s="18"/>
      <c r="Q496" s="18"/>
      <c r="R496" s="18"/>
      <c r="S496" s="18"/>
      <c r="T496" s="18"/>
      <c r="U496" s="18"/>
      <c r="V496" s="18"/>
      <c r="W496" s="18"/>
      <c r="X496" s="18"/>
      <c r="Y496" s="18"/>
      <c r="Z496" s="18"/>
      <c r="AA496" s="18"/>
      <c r="AB496" s="18"/>
      <c r="AC496" s="18"/>
      <c r="AD496" s="18"/>
      <c r="AE496" s="18"/>
      <c r="AF496" s="18"/>
      <c r="AG496" s="18"/>
    </row>
    <row r="497" spans="1:33" x14ac:dyDescent="0.2">
      <c r="A497" s="18"/>
      <c r="B497" s="18"/>
      <c r="C497" s="18"/>
      <c r="D497" s="18"/>
      <c r="E497" s="18"/>
      <c r="F497" s="18"/>
      <c r="G497" s="18"/>
      <c r="H497" s="18"/>
      <c r="I497" s="18"/>
      <c r="J497" s="18"/>
      <c r="K497" s="18"/>
      <c r="L497" s="18"/>
      <c r="M497" s="18"/>
      <c r="N497" s="18"/>
      <c r="O497" s="1316"/>
      <c r="P497" s="18"/>
      <c r="Q497" s="18"/>
      <c r="R497" s="18"/>
      <c r="S497" s="18"/>
      <c r="T497" s="18"/>
      <c r="U497" s="18"/>
      <c r="V497" s="18"/>
      <c r="W497" s="18"/>
      <c r="X497" s="18"/>
      <c r="Y497" s="18"/>
      <c r="Z497" s="18"/>
      <c r="AA497" s="18"/>
      <c r="AB497" s="18"/>
      <c r="AC497" s="18"/>
      <c r="AD497" s="18"/>
      <c r="AE497" s="18"/>
      <c r="AF497" s="18"/>
      <c r="AG497" s="18"/>
    </row>
    <row r="498" spans="1:33" x14ac:dyDescent="0.2">
      <c r="A498" s="18"/>
      <c r="B498" s="18"/>
      <c r="C498" s="18"/>
      <c r="D498" s="18"/>
      <c r="E498" s="18"/>
      <c r="F498" s="18"/>
      <c r="G498" s="18"/>
      <c r="H498" s="18"/>
      <c r="I498" s="18"/>
      <c r="J498" s="18"/>
      <c r="K498" s="18"/>
      <c r="L498" s="18"/>
      <c r="M498" s="18"/>
      <c r="N498" s="18"/>
      <c r="O498" s="1316"/>
      <c r="P498" s="18"/>
      <c r="Q498" s="18"/>
      <c r="R498" s="18"/>
      <c r="S498" s="18"/>
      <c r="T498" s="18"/>
      <c r="U498" s="18"/>
      <c r="V498" s="18"/>
      <c r="W498" s="18"/>
      <c r="X498" s="18"/>
      <c r="Y498" s="18"/>
      <c r="Z498" s="18"/>
      <c r="AA498" s="18"/>
      <c r="AB498" s="18"/>
      <c r="AC498" s="18"/>
      <c r="AD498" s="18"/>
      <c r="AE498" s="18"/>
      <c r="AF498" s="18"/>
      <c r="AG498" s="18"/>
    </row>
    <row r="499" spans="1:33" x14ac:dyDescent="0.2">
      <c r="A499" s="18"/>
      <c r="B499" s="18"/>
      <c r="C499" s="18"/>
      <c r="D499" s="18"/>
      <c r="E499" s="18"/>
      <c r="F499" s="18"/>
      <c r="G499" s="18"/>
      <c r="H499" s="18"/>
      <c r="I499" s="18"/>
      <c r="J499" s="18"/>
      <c r="K499" s="18"/>
      <c r="L499" s="18"/>
      <c r="M499" s="18"/>
      <c r="N499" s="18"/>
      <c r="O499" s="1316"/>
      <c r="P499" s="18"/>
      <c r="Q499" s="18"/>
      <c r="R499" s="18"/>
      <c r="S499" s="18"/>
      <c r="T499" s="18"/>
      <c r="U499" s="18"/>
      <c r="V499" s="18"/>
      <c r="W499" s="18"/>
      <c r="X499" s="18"/>
      <c r="Y499" s="18"/>
      <c r="Z499" s="18"/>
      <c r="AA499" s="18"/>
      <c r="AB499" s="18"/>
      <c r="AC499" s="18"/>
      <c r="AD499" s="18"/>
      <c r="AE499" s="18"/>
      <c r="AF499" s="18"/>
      <c r="AG499" s="18"/>
    </row>
    <row r="500" spans="1:33" x14ac:dyDescent="0.2">
      <c r="A500" s="18"/>
      <c r="B500" s="18"/>
      <c r="C500" s="18"/>
      <c r="D500" s="18"/>
      <c r="E500" s="18"/>
      <c r="F500" s="18"/>
      <c r="G500" s="18"/>
      <c r="H500" s="18"/>
      <c r="I500" s="18"/>
      <c r="J500" s="18"/>
      <c r="K500" s="18"/>
      <c r="L500" s="18"/>
      <c r="M500" s="18"/>
      <c r="N500" s="18"/>
      <c r="O500" s="1316"/>
      <c r="P500" s="18"/>
      <c r="Q500" s="18"/>
      <c r="R500" s="18"/>
      <c r="S500" s="18"/>
      <c r="T500" s="18"/>
      <c r="U500" s="18"/>
      <c r="V500" s="18"/>
      <c r="W500" s="18"/>
      <c r="X500" s="18"/>
      <c r="Y500" s="18"/>
      <c r="Z500" s="18"/>
      <c r="AA500" s="18"/>
      <c r="AB500" s="18"/>
      <c r="AC500" s="18"/>
      <c r="AD500" s="18"/>
      <c r="AE500" s="18"/>
      <c r="AF500" s="18"/>
      <c r="AG500" s="18"/>
    </row>
    <row r="501" spans="1:33" x14ac:dyDescent="0.2">
      <c r="A501" s="18"/>
      <c r="B501" s="18"/>
      <c r="C501" s="18"/>
      <c r="D501" s="18"/>
      <c r="E501" s="18"/>
      <c r="F501" s="18"/>
      <c r="G501" s="18"/>
      <c r="H501" s="18"/>
      <c r="I501" s="18"/>
      <c r="J501" s="18"/>
      <c r="K501" s="18"/>
      <c r="L501" s="18"/>
      <c r="M501" s="18"/>
      <c r="N501" s="18"/>
      <c r="O501" s="1316"/>
      <c r="P501" s="18"/>
      <c r="Q501" s="18"/>
      <c r="R501" s="18"/>
      <c r="S501" s="18"/>
      <c r="T501" s="18"/>
      <c r="U501" s="18"/>
      <c r="V501" s="18"/>
      <c r="W501" s="18"/>
      <c r="X501" s="18"/>
      <c r="Y501" s="18"/>
      <c r="Z501" s="18"/>
      <c r="AA501" s="18"/>
      <c r="AB501" s="18"/>
      <c r="AC501" s="18"/>
      <c r="AD501" s="18"/>
      <c r="AE501" s="18"/>
      <c r="AF501" s="18"/>
      <c r="AG501" s="18"/>
    </row>
    <row r="502" spans="1:33" x14ac:dyDescent="0.2">
      <c r="A502" s="18"/>
      <c r="B502" s="18"/>
      <c r="C502" s="18"/>
      <c r="D502" s="18"/>
      <c r="E502" s="18"/>
      <c r="F502" s="18"/>
      <c r="G502" s="18"/>
      <c r="H502" s="18"/>
      <c r="I502" s="18"/>
      <c r="J502" s="18"/>
      <c r="K502" s="18"/>
      <c r="L502" s="18"/>
      <c r="M502" s="18"/>
      <c r="N502" s="18"/>
      <c r="O502" s="1316"/>
      <c r="P502" s="18"/>
      <c r="Q502" s="18"/>
      <c r="R502" s="18"/>
      <c r="S502" s="18"/>
      <c r="T502" s="18"/>
      <c r="U502" s="18"/>
      <c r="V502" s="18"/>
      <c r="W502" s="18"/>
      <c r="X502" s="18"/>
      <c r="Y502" s="18"/>
      <c r="Z502" s="18"/>
      <c r="AA502" s="18"/>
      <c r="AB502" s="18"/>
      <c r="AC502" s="18"/>
      <c r="AD502" s="18"/>
      <c r="AE502" s="18"/>
      <c r="AF502" s="18"/>
      <c r="AG502" s="18"/>
    </row>
    <row r="503" spans="1:33" x14ac:dyDescent="0.2">
      <c r="A503" s="18"/>
      <c r="B503" s="18"/>
      <c r="C503" s="18"/>
      <c r="D503" s="18"/>
      <c r="E503" s="18"/>
      <c r="F503" s="18"/>
      <c r="G503" s="18"/>
      <c r="H503" s="18"/>
      <c r="I503" s="18"/>
      <c r="J503" s="18"/>
      <c r="K503" s="18"/>
      <c r="L503" s="18"/>
      <c r="M503" s="18"/>
      <c r="N503" s="18"/>
      <c r="O503" s="1316"/>
      <c r="P503" s="18"/>
      <c r="Q503" s="18"/>
      <c r="R503" s="18"/>
      <c r="S503" s="18"/>
      <c r="T503" s="18"/>
      <c r="U503" s="18"/>
      <c r="V503" s="18"/>
      <c r="W503" s="18"/>
      <c r="X503" s="18"/>
      <c r="Y503" s="18"/>
      <c r="Z503" s="18"/>
      <c r="AA503" s="18"/>
      <c r="AB503" s="18"/>
      <c r="AC503" s="18"/>
      <c r="AD503" s="18"/>
      <c r="AE503" s="18"/>
      <c r="AF503" s="18"/>
      <c r="AG503" s="18"/>
    </row>
    <row r="504" spans="1:33" x14ac:dyDescent="0.2">
      <c r="A504" s="18"/>
      <c r="B504" s="18"/>
      <c r="C504" s="18"/>
      <c r="D504" s="18"/>
      <c r="E504" s="18"/>
      <c r="F504" s="18"/>
      <c r="G504" s="18"/>
      <c r="H504" s="18"/>
      <c r="I504" s="18"/>
      <c r="J504" s="18"/>
      <c r="K504" s="18"/>
      <c r="L504" s="18"/>
      <c r="M504" s="18"/>
      <c r="N504" s="18"/>
      <c r="O504" s="1316"/>
      <c r="P504" s="18"/>
      <c r="Q504" s="18"/>
      <c r="R504" s="18"/>
      <c r="S504" s="18"/>
      <c r="T504" s="18"/>
      <c r="U504" s="18"/>
      <c r="V504" s="18"/>
      <c r="W504" s="18"/>
      <c r="X504" s="18"/>
      <c r="Y504" s="18"/>
      <c r="Z504" s="18"/>
      <c r="AA504" s="18"/>
      <c r="AB504" s="18"/>
      <c r="AC504" s="18"/>
      <c r="AD504" s="18"/>
      <c r="AE504" s="18"/>
      <c r="AF504" s="18"/>
      <c r="AG504" s="18"/>
    </row>
    <row r="505" spans="1:33" x14ac:dyDescent="0.2">
      <c r="A505" s="18"/>
      <c r="B505" s="18"/>
      <c r="C505" s="18"/>
      <c r="D505" s="18"/>
      <c r="E505" s="18"/>
      <c r="F505" s="18"/>
      <c r="G505" s="18"/>
      <c r="H505" s="18"/>
      <c r="I505" s="18"/>
      <c r="J505" s="18"/>
      <c r="K505" s="18"/>
      <c r="L505" s="18"/>
      <c r="M505" s="18"/>
      <c r="N505" s="18"/>
      <c r="O505" s="1316"/>
      <c r="P505" s="18"/>
      <c r="Q505" s="18"/>
      <c r="R505" s="18"/>
      <c r="S505" s="18"/>
      <c r="T505" s="18"/>
      <c r="U505" s="18"/>
      <c r="V505" s="18"/>
      <c r="W505" s="18"/>
      <c r="X505" s="18"/>
      <c r="Y505" s="18"/>
      <c r="Z505" s="18"/>
      <c r="AA505" s="18"/>
      <c r="AB505" s="18"/>
      <c r="AC505" s="18"/>
      <c r="AD505" s="18"/>
      <c r="AE505" s="18"/>
      <c r="AF505" s="18"/>
      <c r="AG505" s="18"/>
    </row>
    <row r="506" spans="1:33" x14ac:dyDescent="0.2">
      <c r="A506" s="18"/>
      <c r="B506" s="18"/>
      <c r="C506" s="18"/>
      <c r="D506" s="18"/>
      <c r="E506" s="18"/>
      <c r="F506" s="18"/>
      <c r="G506" s="18"/>
      <c r="H506" s="18"/>
      <c r="I506" s="18"/>
      <c r="J506" s="18"/>
      <c r="K506" s="18"/>
      <c r="L506" s="18"/>
      <c r="M506" s="18"/>
      <c r="N506" s="18"/>
      <c r="O506" s="1316"/>
      <c r="P506" s="18"/>
      <c r="Q506" s="18"/>
      <c r="R506" s="18"/>
      <c r="S506" s="18"/>
      <c r="T506" s="18"/>
      <c r="U506" s="18"/>
      <c r="V506" s="18"/>
      <c r="W506" s="18"/>
      <c r="X506" s="18"/>
      <c r="Y506" s="18"/>
      <c r="Z506" s="18"/>
      <c r="AA506" s="18"/>
      <c r="AB506" s="18"/>
      <c r="AC506" s="18"/>
      <c r="AD506" s="18"/>
      <c r="AE506" s="18"/>
      <c r="AF506" s="18"/>
      <c r="AG506" s="18"/>
    </row>
    <row r="507" spans="1:33" x14ac:dyDescent="0.2">
      <c r="A507" s="18"/>
      <c r="B507" s="18"/>
      <c r="C507" s="18"/>
      <c r="D507" s="18"/>
      <c r="E507" s="18"/>
      <c r="F507" s="18"/>
      <c r="G507" s="18"/>
      <c r="H507" s="18"/>
      <c r="I507" s="18"/>
      <c r="J507" s="18"/>
      <c r="K507" s="18"/>
      <c r="L507" s="18"/>
      <c r="M507" s="18"/>
      <c r="N507" s="18"/>
      <c r="O507" s="1316"/>
      <c r="P507" s="18"/>
      <c r="Q507" s="18"/>
      <c r="R507" s="18"/>
      <c r="S507" s="18"/>
      <c r="T507" s="18"/>
      <c r="U507" s="18"/>
      <c r="V507" s="18"/>
      <c r="W507" s="18"/>
      <c r="X507" s="18"/>
      <c r="Y507" s="18"/>
      <c r="Z507" s="18"/>
      <c r="AA507" s="18"/>
      <c r="AB507" s="18"/>
      <c r="AC507" s="18"/>
      <c r="AD507" s="18"/>
      <c r="AE507" s="18"/>
      <c r="AF507" s="18"/>
      <c r="AG507" s="18"/>
    </row>
    <row r="508" spans="1:33" x14ac:dyDescent="0.2">
      <c r="A508" s="18"/>
      <c r="B508" s="18"/>
      <c r="C508" s="18"/>
      <c r="D508" s="18"/>
      <c r="E508" s="18"/>
      <c r="F508" s="18"/>
      <c r="G508" s="18"/>
      <c r="H508" s="18"/>
      <c r="I508" s="18"/>
      <c r="J508" s="18"/>
      <c r="K508" s="18"/>
      <c r="L508" s="18"/>
      <c r="M508" s="18"/>
      <c r="N508" s="18"/>
      <c r="O508" s="1316"/>
      <c r="P508" s="18"/>
      <c r="Q508" s="18"/>
      <c r="R508" s="18"/>
      <c r="S508" s="18"/>
      <c r="T508" s="18"/>
      <c r="U508" s="18"/>
      <c r="V508" s="18"/>
      <c r="W508" s="18"/>
      <c r="X508" s="18"/>
      <c r="Y508" s="18"/>
      <c r="Z508" s="18"/>
      <c r="AA508" s="18"/>
      <c r="AB508" s="18"/>
      <c r="AC508" s="18"/>
      <c r="AD508" s="18"/>
      <c r="AE508" s="18"/>
      <c r="AF508" s="18"/>
      <c r="AG508" s="18"/>
    </row>
    <row r="509" spans="1:33" x14ac:dyDescent="0.2">
      <c r="A509" s="18"/>
      <c r="B509" s="18"/>
      <c r="C509" s="18"/>
      <c r="D509" s="18"/>
      <c r="E509" s="18"/>
      <c r="F509" s="18"/>
      <c r="G509" s="18"/>
      <c r="H509" s="18"/>
      <c r="I509" s="18"/>
      <c r="J509" s="18"/>
      <c r="K509" s="18"/>
      <c r="L509" s="18"/>
      <c r="M509" s="18"/>
      <c r="N509" s="18"/>
      <c r="O509" s="1316"/>
      <c r="P509" s="18"/>
      <c r="Q509" s="18"/>
      <c r="R509" s="18"/>
      <c r="S509" s="18"/>
      <c r="T509" s="18"/>
      <c r="U509" s="18"/>
      <c r="V509" s="18"/>
      <c r="W509" s="18"/>
      <c r="X509" s="18"/>
      <c r="Y509" s="18"/>
      <c r="Z509" s="18"/>
      <c r="AA509" s="18"/>
      <c r="AB509" s="18"/>
      <c r="AC509" s="18"/>
      <c r="AD509" s="18"/>
      <c r="AE509" s="18"/>
      <c r="AF509" s="18"/>
      <c r="AG509" s="18"/>
    </row>
    <row r="510" spans="1:33" x14ac:dyDescent="0.2">
      <c r="A510" s="18"/>
      <c r="B510" s="18"/>
      <c r="C510" s="18"/>
      <c r="D510" s="18"/>
      <c r="E510" s="18"/>
      <c r="F510" s="18"/>
      <c r="G510" s="18"/>
      <c r="H510" s="18"/>
      <c r="I510" s="18"/>
      <c r="J510" s="18"/>
      <c r="K510" s="18"/>
      <c r="L510" s="18"/>
      <c r="M510" s="18"/>
      <c r="N510" s="18"/>
      <c r="O510" s="1316"/>
      <c r="P510" s="18"/>
      <c r="Q510" s="18"/>
      <c r="R510" s="18"/>
      <c r="S510" s="18"/>
      <c r="T510" s="18"/>
      <c r="U510" s="18"/>
      <c r="V510" s="18"/>
      <c r="W510" s="18"/>
      <c r="X510" s="18"/>
      <c r="Y510" s="18"/>
      <c r="Z510" s="18"/>
      <c r="AA510" s="18"/>
      <c r="AB510" s="18"/>
      <c r="AC510" s="18"/>
      <c r="AD510" s="18"/>
      <c r="AE510" s="18"/>
      <c r="AF510" s="18"/>
      <c r="AG510" s="18"/>
    </row>
    <row r="511" spans="1:33" x14ac:dyDescent="0.2">
      <c r="A511" s="18"/>
      <c r="B511" s="18"/>
      <c r="C511" s="18"/>
      <c r="D511" s="18"/>
      <c r="E511" s="18"/>
      <c r="F511" s="18"/>
      <c r="G511" s="18"/>
      <c r="H511" s="18"/>
      <c r="I511" s="18"/>
      <c r="J511" s="18"/>
      <c r="K511" s="18"/>
      <c r="L511" s="18"/>
      <c r="M511" s="18"/>
      <c r="N511" s="18"/>
      <c r="O511" s="1316"/>
      <c r="P511" s="18"/>
      <c r="Q511" s="18"/>
      <c r="R511" s="18"/>
      <c r="S511" s="18"/>
      <c r="T511" s="18"/>
      <c r="U511" s="18"/>
      <c r="V511" s="18"/>
      <c r="W511" s="18"/>
      <c r="X511" s="18"/>
      <c r="Y511" s="18"/>
      <c r="Z511" s="18"/>
      <c r="AA511" s="18"/>
      <c r="AB511" s="18"/>
      <c r="AC511" s="18"/>
      <c r="AD511" s="18"/>
      <c r="AE511" s="18"/>
      <c r="AF511" s="18"/>
      <c r="AG511" s="18"/>
    </row>
    <row r="512" spans="1:33" x14ac:dyDescent="0.2">
      <c r="A512" s="18"/>
      <c r="B512" s="18"/>
      <c r="C512" s="18"/>
      <c r="D512" s="18"/>
      <c r="E512" s="18"/>
      <c r="F512" s="18"/>
      <c r="G512" s="18"/>
      <c r="H512" s="18"/>
      <c r="I512" s="18"/>
      <c r="J512" s="18"/>
      <c r="K512" s="18"/>
      <c r="L512" s="18"/>
      <c r="M512" s="18"/>
      <c r="N512" s="18"/>
      <c r="O512" s="1316"/>
      <c r="P512" s="18"/>
      <c r="Q512" s="18"/>
      <c r="R512" s="18"/>
      <c r="S512" s="18"/>
      <c r="T512" s="18"/>
      <c r="U512" s="18"/>
      <c r="V512" s="18"/>
      <c r="W512" s="18"/>
      <c r="X512" s="18"/>
      <c r="Y512" s="18"/>
      <c r="Z512" s="18"/>
      <c r="AA512" s="18"/>
      <c r="AB512" s="18"/>
      <c r="AC512" s="18"/>
      <c r="AD512" s="18"/>
      <c r="AE512" s="18"/>
      <c r="AF512" s="18"/>
      <c r="AG512" s="18"/>
    </row>
    <row r="513" spans="1:33" x14ac:dyDescent="0.2">
      <c r="A513" s="18"/>
      <c r="B513" s="18"/>
      <c r="C513" s="18"/>
      <c r="D513" s="18"/>
      <c r="E513" s="18"/>
      <c r="F513" s="18"/>
      <c r="G513" s="18"/>
      <c r="H513" s="18"/>
      <c r="I513" s="18"/>
      <c r="J513" s="18"/>
      <c r="K513" s="18"/>
      <c r="L513" s="18"/>
      <c r="M513" s="18"/>
      <c r="N513" s="18"/>
      <c r="O513" s="1316"/>
      <c r="P513" s="18"/>
      <c r="Q513" s="18"/>
      <c r="R513" s="18"/>
      <c r="S513" s="18"/>
      <c r="T513" s="18"/>
      <c r="U513" s="18"/>
      <c r="V513" s="18"/>
      <c r="W513" s="18"/>
      <c r="X513" s="18"/>
      <c r="Y513" s="18"/>
      <c r="Z513" s="18"/>
      <c r="AA513" s="18"/>
      <c r="AB513" s="18"/>
      <c r="AC513" s="18"/>
      <c r="AD513" s="18"/>
      <c r="AE513" s="18"/>
      <c r="AF513" s="18"/>
      <c r="AG513" s="18"/>
    </row>
    <row r="514" spans="1:33" x14ac:dyDescent="0.2">
      <c r="A514" s="18"/>
      <c r="B514" s="18"/>
      <c r="C514" s="18"/>
      <c r="D514" s="18"/>
      <c r="E514" s="18"/>
      <c r="F514" s="18"/>
      <c r="G514" s="18"/>
      <c r="H514" s="18"/>
      <c r="I514" s="18"/>
      <c r="J514" s="18"/>
      <c r="K514" s="18"/>
      <c r="L514" s="18"/>
      <c r="M514" s="18"/>
      <c r="N514" s="18"/>
      <c r="O514" s="1316"/>
      <c r="P514" s="18"/>
      <c r="Q514" s="18"/>
      <c r="R514" s="18"/>
      <c r="S514" s="18"/>
      <c r="T514" s="18"/>
      <c r="U514" s="18"/>
      <c r="V514" s="18"/>
      <c r="W514" s="18"/>
      <c r="X514" s="18"/>
      <c r="Y514" s="18"/>
      <c r="Z514" s="18"/>
      <c r="AA514" s="18"/>
      <c r="AB514" s="18"/>
      <c r="AC514" s="18"/>
      <c r="AD514" s="18"/>
      <c r="AE514" s="18"/>
      <c r="AF514" s="18"/>
      <c r="AG514" s="18"/>
    </row>
    <row r="515" spans="1:33" x14ac:dyDescent="0.2">
      <c r="A515" s="18"/>
      <c r="B515" s="18"/>
      <c r="C515" s="18"/>
      <c r="D515" s="18"/>
      <c r="E515" s="18"/>
      <c r="F515" s="18"/>
      <c r="G515" s="18"/>
      <c r="H515" s="18"/>
      <c r="I515" s="18"/>
      <c r="J515" s="18"/>
      <c r="K515" s="18"/>
      <c r="L515" s="18"/>
      <c r="M515" s="18"/>
      <c r="N515" s="18"/>
      <c r="O515" s="1316"/>
      <c r="P515" s="18"/>
      <c r="Q515" s="18"/>
      <c r="R515" s="18"/>
      <c r="S515" s="18"/>
      <c r="T515" s="18"/>
      <c r="U515" s="18"/>
      <c r="V515" s="18"/>
      <c r="W515" s="18"/>
      <c r="X515" s="18"/>
      <c r="Y515" s="18"/>
      <c r="Z515" s="18"/>
      <c r="AA515" s="18"/>
      <c r="AB515" s="18"/>
      <c r="AC515" s="18"/>
      <c r="AD515" s="18"/>
      <c r="AE515" s="18"/>
      <c r="AF515" s="18"/>
      <c r="AG515" s="18"/>
    </row>
    <row r="516" spans="1:33" x14ac:dyDescent="0.2">
      <c r="A516" s="18"/>
      <c r="B516" s="18"/>
      <c r="C516" s="18"/>
      <c r="D516" s="18"/>
      <c r="E516" s="18"/>
      <c r="F516" s="18"/>
      <c r="G516" s="18"/>
      <c r="H516" s="18"/>
      <c r="I516" s="18"/>
      <c r="J516" s="18"/>
      <c r="K516" s="18"/>
      <c r="L516" s="18"/>
      <c r="M516" s="18"/>
      <c r="N516" s="18"/>
      <c r="O516" s="1316"/>
      <c r="P516" s="18"/>
      <c r="Q516" s="18"/>
      <c r="R516" s="18"/>
      <c r="S516" s="18"/>
      <c r="T516" s="18"/>
      <c r="U516" s="18"/>
      <c r="V516" s="18"/>
      <c r="W516" s="18"/>
      <c r="X516" s="18"/>
      <c r="Y516" s="18"/>
      <c r="Z516" s="18"/>
      <c r="AA516" s="18"/>
      <c r="AB516" s="18"/>
      <c r="AC516" s="18"/>
      <c r="AD516" s="18"/>
      <c r="AE516" s="18"/>
      <c r="AF516" s="18"/>
      <c r="AG516" s="18"/>
    </row>
    <row r="517" spans="1:33" x14ac:dyDescent="0.2">
      <c r="A517" s="18"/>
      <c r="B517" s="18"/>
      <c r="C517" s="18"/>
      <c r="D517" s="18"/>
      <c r="E517" s="18"/>
      <c r="F517" s="18"/>
      <c r="G517" s="18"/>
      <c r="H517" s="18"/>
      <c r="I517" s="18"/>
      <c r="J517" s="18"/>
      <c r="K517" s="18"/>
      <c r="L517" s="18"/>
      <c r="M517" s="18"/>
      <c r="N517" s="18"/>
      <c r="O517" s="1316"/>
      <c r="P517" s="18"/>
      <c r="Q517" s="18"/>
      <c r="R517" s="18"/>
      <c r="S517" s="18"/>
      <c r="T517" s="18"/>
      <c r="U517" s="18"/>
      <c r="V517" s="18"/>
      <c r="W517" s="18"/>
      <c r="X517" s="18"/>
      <c r="Y517" s="18"/>
      <c r="Z517" s="18"/>
      <c r="AA517" s="18"/>
      <c r="AB517" s="18"/>
      <c r="AC517" s="18"/>
      <c r="AD517" s="18"/>
      <c r="AE517" s="18"/>
      <c r="AF517" s="18"/>
      <c r="AG517" s="18"/>
    </row>
    <row r="518" spans="1:33" x14ac:dyDescent="0.2">
      <c r="A518" s="18"/>
      <c r="B518" s="18"/>
      <c r="C518" s="18"/>
      <c r="D518" s="18"/>
      <c r="E518" s="18"/>
      <c r="F518" s="18"/>
      <c r="G518" s="18"/>
      <c r="H518" s="18"/>
      <c r="I518" s="18"/>
      <c r="J518" s="18"/>
      <c r="K518" s="18"/>
      <c r="L518" s="18"/>
      <c r="M518" s="18"/>
      <c r="N518" s="18"/>
      <c r="O518" s="1316"/>
      <c r="P518" s="18"/>
      <c r="Q518" s="18"/>
      <c r="R518" s="18"/>
      <c r="S518" s="18"/>
      <c r="T518" s="18"/>
      <c r="U518" s="18"/>
      <c r="V518" s="18"/>
      <c r="W518" s="18"/>
      <c r="X518" s="18"/>
      <c r="Y518" s="18"/>
      <c r="Z518" s="18"/>
      <c r="AA518" s="18"/>
      <c r="AB518" s="18"/>
      <c r="AC518" s="18"/>
      <c r="AD518" s="18"/>
      <c r="AE518" s="18"/>
      <c r="AF518" s="18"/>
      <c r="AG518" s="18"/>
    </row>
    <row r="519" spans="1:33" x14ac:dyDescent="0.2">
      <c r="A519" s="18"/>
      <c r="B519" s="18"/>
      <c r="C519" s="18"/>
      <c r="D519" s="18"/>
      <c r="E519" s="18"/>
      <c r="F519" s="18"/>
      <c r="G519" s="18"/>
      <c r="H519" s="18"/>
      <c r="I519" s="18"/>
      <c r="J519" s="18"/>
      <c r="K519" s="18"/>
      <c r="L519" s="18"/>
      <c r="M519" s="18"/>
      <c r="N519" s="18"/>
      <c r="O519" s="1316"/>
      <c r="P519" s="18"/>
      <c r="Q519" s="18"/>
      <c r="R519" s="18"/>
      <c r="S519" s="18"/>
      <c r="T519" s="18"/>
      <c r="U519" s="18"/>
      <c r="V519" s="18"/>
      <c r="W519" s="18"/>
      <c r="X519" s="18"/>
      <c r="Y519" s="18"/>
      <c r="Z519" s="18"/>
      <c r="AA519" s="18"/>
      <c r="AB519" s="18"/>
      <c r="AC519" s="18"/>
      <c r="AD519" s="18"/>
      <c r="AE519" s="18"/>
      <c r="AF519" s="18"/>
      <c r="AG519" s="18"/>
    </row>
    <row r="520" spans="1:33" x14ac:dyDescent="0.2">
      <c r="A520" s="18"/>
      <c r="B520" s="18"/>
      <c r="C520" s="18"/>
      <c r="D520" s="18"/>
      <c r="E520" s="18"/>
      <c r="F520" s="18"/>
      <c r="G520" s="18"/>
      <c r="H520" s="18"/>
      <c r="I520" s="18"/>
      <c r="J520" s="18"/>
      <c r="K520" s="18"/>
      <c r="L520" s="18"/>
      <c r="M520" s="18"/>
      <c r="N520" s="18"/>
      <c r="O520" s="1316"/>
      <c r="P520" s="18"/>
      <c r="Q520" s="18"/>
      <c r="R520" s="18"/>
      <c r="S520" s="18"/>
      <c r="T520" s="18"/>
      <c r="U520" s="18"/>
      <c r="V520" s="18"/>
      <c r="W520" s="18"/>
      <c r="X520" s="18"/>
      <c r="Y520" s="18"/>
      <c r="Z520" s="18"/>
      <c r="AA520" s="18"/>
      <c r="AB520" s="18"/>
      <c r="AC520" s="18"/>
      <c r="AD520" s="18"/>
      <c r="AE520" s="18"/>
      <c r="AF520" s="18"/>
      <c r="AG520" s="18"/>
    </row>
    <row r="521" spans="1:33" x14ac:dyDescent="0.2">
      <c r="A521" s="18"/>
      <c r="B521" s="18"/>
      <c r="C521" s="18"/>
      <c r="D521" s="18"/>
      <c r="E521" s="18"/>
      <c r="F521" s="18"/>
      <c r="G521" s="18"/>
      <c r="H521" s="18"/>
      <c r="I521" s="18"/>
      <c r="J521" s="18"/>
      <c r="K521" s="18"/>
      <c r="L521" s="18"/>
      <c r="M521" s="18"/>
      <c r="N521" s="18"/>
      <c r="O521" s="1316"/>
      <c r="P521" s="18"/>
      <c r="Q521" s="18"/>
      <c r="R521" s="18"/>
      <c r="S521" s="18"/>
      <c r="T521" s="18"/>
      <c r="U521" s="18"/>
      <c r="V521" s="18"/>
      <c r="W521" s="18"/>
      <c r="X521" s="18"/>
      <c r="Y521" s="18"/>
      <c r="Z521" s="18"/>
      <c r="AA521" s="18"/>
      <c r="AB521" s="18"/>
      <c r="AC521" s="18"/>
      <c r="AD521" s="18"/>
      <c r="AE521" s="18"/>
      <c r="AF521" s="18"/>
      <c r="AG521" s="18"/>
    </row>
    <row r="522" spans="1:33" x14ac:dyDescent="0.2">
      <c r="A522" s="18"/>
      <c r="B522" s="18"/>
      <c r="C522" s="18"/>
      <c r="D522" s="18"/>
      <c r="E522" s="18"/>
      <c r="F522" s="18"/>
      <c r="G522" s="18"/>
      <c r="H522" s="18"/>
      <c r="I522" s="18"/>
      <c r="J522" s="18"/>
      <c r="K522" s="18"/>
      <c r="L522" s="18"/>
      <c r="M522" s="18"/>
      <c r="N522" s="18"/>
      <c r="O522" s="1316"/>
      <c r="P522" s="18"/>
      <c r="Q522" s="18"/>
      <c r="R522" s="18"/>
      <c r="S522" s="18"/>
      <c r="T522" s="18"/>
      <c r="U522" s="18"/>
      <c r="V522" s="18"/>
      <c r="W522" s="18"/>
      <c r="X522" s="18"/>
      <c r="Y522" s="18"/>
      <c r="Z522" s="18"/>
      <c r="AA522" s="18"/>
      <c r="AB522" s="18"/>
      <c r="AC522" s="18"/>
      <c r="AD522" s="18"/>
      <c r="AE522" s="18"/>
      <c r="AF522" s="18"/>
      <c r="AG522" s="18"/>
    </row>
    <row r="523" spans="1:33" x14ac:dyDescent="0.2">
      <c r="A523" s="18"/>
      <c r="B523" s="18"/>
      <c r="C523" s="18"/>
      <c r="D523" s="18"/>
      <c r="E523" s="18"/>
      <c r="F523" s="18"/>
      <c r="G523" s="18"/>
      <c r="H523" s="18"/>
      <c r="I523" s="18"/>
      <c r="J523" s="18"/>
      <c r="K523" s="18"/>
      <c r="L523" s="18"/>
      <c r="M523" s="18"/>
      <c r="N523" s="18"/>
      <c r="O523" s="1316"/>
      <c r="P523" s="18"/>
      <c r="Q523" s="18"/>
      <c r="R523" s="18"/>
      <c r="S523" s="18"/>
      <c r="T523" s="18"/>
      <c r="U523" s="18"/>
      <c r="V523" s="18"/>
      <c r="W523" s="18"/>
      <c r="X523" s="18"/>
      <c r="Y523" s="18"/>
      <c r="Z523" s="18"/>
      <c r="AA523" s="18"/>
      <c r="AB523" s="18"/>
      <c r="AC523" s="18"/>
      <c r="AD523" s="18"/>
      <c r="AE523" s="18"/>
      <c r="AF523" s="18"/>
      <c r="AG523" s="18"/>
    </row>
    <row r="524" spans="1:33" x14ac:dyDescent="0.2">
      <c r="A524" s="18"/>
      <c r="B524" s="18"/>
      <c r="C524" s="18"/>
      <c r="D524" s="18"/>
      <c r="E524" s="18"/>
      <c r="F524" s="18"/>
      <c r="G524" s="18"/>
      <c r="H524" s="18"/>
      <c r="I524" s="18"/>
      <c r="J524" s="18"/>
      <c r="K524" s="18"/>
      <c r="L524" s="18"/>
      <c r="M524" s="18"/>
      <c r="N524" s="18"/>
      <c r="O524" s="1316"/>
      <c r="P524" s="18"/>
      <c r="Q524" s="18"/>
      <c r="R524" s="18"/>
      <c r="S524" s="18"/>
      <c r="T524" s="18"/>
      <c r="U524" s="18"/>
      <c r="V524" s="18"/>
      <c r="W524" s="18"/>
      <c r="X524" s="18"/>
      <c r="Y524" s="18"/>
      <c r="Z524" s="18"/>
      <c r="AA524" s="18"/>
      <c r="AB524" s="18"/>
      <c r="AC524" s="18"/>
      <c r="AD524" s="18"/>
      <c r="AE524" s="18"/>
      <c r="AF524" s="18"/>
      <c r="AG524" s="18"/>
    </row>
    <row r="525" spans="1:33" x14ac:dyDescent="0.2">
      <c r="A525" s="18"/>
      <c r="B525" s="18"/>
      <c r="C525" s="18"/>
      <c r="D525" s="18"/>
      <c r="E525" s="18"/>
      <c r="F525" s="18"/>
      <c r="G525" s="18"/>
      <c r="H525" s="18"/>
      <c r="I525" s="18"/>
      <c r="J525" s="18"/>
      <c r="K525" s="18"/>
      <c r="L525" s="18"/>
      <c r="M525" s="18"/>
      <c r="N525" s="18"/>
      <c r="O525" s="1316"/>
      <c r="P525" s="18"/>
      <c r="Q525" s="18"/>
      <c r="R525" s="18"/>
      <c r="S525" s="18"/>
      <c r="T525" s="18"/>
      <c r="U525" s="18"/>
      <c r="V525" s="18"/>
      <c r="W525" s="18"/>
      <c r="X525" s="18"/>
      <c r="Y525" s="18"/>
      <c r="Z525" s="18"/>
      <c r="AA525" s="18"/>
      <c r="AB525" s="18"/>
      <c r="AC525" s="18"/>
      <c r="AD525" s="18"/>
      <c r="AE525" s="18"/>
      <c r="AF525" s="18"/>
      <c r="AG525" s="18"/>
    </row>
    <row r="526" spans="1:33" x14ac:dyDescent="0.2">
      <c r="A526" s="18"/>
      <c r="B526" s="18"/>
      <c r="C526" s="18"/>
      <c r="D526" s="18"/>
      <c r="E526" s="18"/>
      <c r="F526" s="18"/>
      <c r="G526" s="18"/>
      <c r="H526" s="18"/>
      <c r="I526" s="18"/>
      <c r="J526" s="18"/>
      <c r="K526" s="18"/>
      <c r="L526" s="18"/>
      <c r="M526" s="18"/>
      <c r="N526" s="18"/>
      <c r="O526" s="1316"/>
      <c r="P526" s="18"/>
      <c r="Q526" s="18"/>
      <c r="R526" s="18"/>
      <c r="S526" s="18"/>
      <c r="T526" s="18"/>
      <c r="U526" s="18"/>
      <c r="V526" s="18"/>
      <c r="W526" s="18"/>
      <c r="X526" s="18"/>
      <c r="Y526" s="18"/>
      <c r="Z526" s="18"/>
      <c r="AA526" s="18"/>
      <c r="AB526" s="18"/>
      <c r="AC526" s="18"/>
      <c r="AD526" s="18"/>
      <c r="AE526" s="18"/>
      <c r="AF526" s="18"/>
      <c r="AG526" s="18"/>
    </row>
    <row r="527" spans="1:33" x14ac:dyDescent="0.2">
      <c r="A527" s="18"/>
      <c r="B527" s="18"/>
      <c r="C527" s="18"/>
      <c r="D527" s="18"/>
      <c r="E527" s="18"/>
      <c r="F527" s="18"/>
      <c r="G527" s="18"/>
      <c r="H527" s="18"/>
      <c r="I527" s="18"/>
      <c r="J527" s="18"/>
      <c r="K527" s="18"/>
      <c r="L527" s="18"/>
      <c r="M527" s="18"/>
      <c r="N527" s="18"/>
      <c r="O527" s="1316"/>
      <c r="P527" s="18"/>
      <c r="Q527" s="18"/>
      <c r="R527" s="18"/>
      <c r="S527" s="18"/>
      <c r="T527" s="18"/>
      <c r="U527" s="18"/>
      <c r="V527" s="18"/>
      <c r="W527" s="18"/>
      <c r="X527" s="18"/>
      <c r="Y527" s="18"/>
      <c r="Z527" s="18"/>
      <c r="AA527" s="18"/>
      <c r="AB527" s="18"/>
      <c r="AC527" s="18"/>
      <c r="AD527" s="18"/>
      <c r="AE527" s="18"/>
      <c r="AF527" s="18"/>
      <c r="AG527" s="18"/>
    </row>
    <row r="528" spans="1:33" x14ac:dyDescent="0.2">
      <c r="A528" s="18"/>
      <c r="B528" s="18"/>
      <c r="C528" s="18"/>
      <c r="D528" s="18"/>
      <c r="E528" s="18"/>
      <c r="F528" s="18"/>
      <c r="G528" s="18"/>
      <c r="H528" s="18"/>
      <c r="I528" s="18"/>
      <c r="J528" s="18"/>
      <c r="K528" s="18"/>
      <c r="L528" s="18"/>
      <c r="M528" s="18"/>
      <c r="N528" s="18"/>
      <c r="O528" s="1316"/>
      <c r="P528" s="18"/>
      <c r="Q528" s="18"/>
      <c r="R528" s="18"/>
      <c r="S528" s="18"/>
      <c r="T528" s="18"/>
      <c r="U528" s="18"/>
      <c r="V528" s="18"/>
      <c r="W528" s="18"/>
      <c r="X528" s="18"/>
      <c r="Y528" s="18"/>
      <c r="Z528" s="18"/>
      <c r="AA528" s="18"/>
      <c r="AB528" s="18"/>
      <c r="AC528" s="18"/>
      <c r="AD528" s="18"/>
      <c r="AE528" s="18"/>
      <c r="AF528" s="18"/>
      <c r="AG528" s="18"/>
    </row>
    <row r="529" spans="1:33" x14ac:dyDescent="0.2">
      <c r="A529" s="18"/>
      <c r="B529" s="18"/>
      <c r="C529" s="18"/>
      <c r="D529" s="18"/>
      <c r="E529" s="18"/>
      <c r="F529" s="18"/>
      <c r="G529" s="18"/>
      <c r="H529" s="18"/>
      <c r="I529" s="18"/>
      <c r="J529" s="18"/>
      <c r="K529" s="18"/>
      <c r="L529" s="18"/>
      <c r="M529" s="18"/>
      <c r="N529" s="18"/>
      <c r="O529" s="1316"/>
      <c r="P529" s="18"/>
      <c r="Q529" s="18"/>
      <c r="R529" s="18"/>
      <c r="S529" s="18"/>
      <c r="T529" s="18"/>
      <c r="U529" s="18"/>
      <c r="V529" s="18"/>
      <c r="W529" s="18"/>
      <c r="X529" s="18"/>
      <c r="Y529" s="18"/>
      <c r="Z529" s="18"/>
      <c r="AA529" s="18"/>
      <c r="AB529" s="18"/>
      <c r="AC529" s="18"/>
      <c r="AD529" s="18"/>
      <c r="AE529" s="18"/>
      <c r="AF529" s="18"/>
      <c r="AG529" s="18"/>
    </row>
    <row r="530" spans="1:33" x14ac:dyDescent="0.2">
      <c r="A530" s="18"/>
      <c r="B530" s="18"/>
      <c r="C530" s="18"/>
      <c r="D530" s="18"/>
      <c r="E530" s="18"/>
      <c r="F530" s="18"/>
      <c r="G530" s="18"/>
      <c r="H530" s="18"/>
      <c r="I530" s="18"/>
      <c r="J530" s="18"/>
      <c r="K530" s="18"/>
      <c r="L530" s="18"/>
      <c r="M530" s="18"/>
      <c r="N530" s="18"/>
      <c r="O530" s="1316"/>
      <c r="P530" s="18"/>
      <c r="Q530" s="18"/>
      <c r="R530" s="18"/>
      <c r="S530" s="18"/>
      <c r="T530" s="18"/>
      <c r="U530" s="18"/>
      <c r="V530" s="18"/>
      <c r="W530" s="18"/>
      <c r="X530" s="18"/>
      <c r="Y530" s="18"/>
      <c r="Z530" s="18"/>
      <c r="AA530" s="18"/>
      <c r="AB530" s="18"/>
      <c r="AC530" s="18"/>
      <c r="AD530" s="18"/>
      <c r="AE530" s="18"/>
      <c r="AF530" s="18"/>
      <c r="AG530" s="18"/>
    </row>
    <row r="531" spans="1:33" x14ac:dyDescent="0.2">
      <c r="A531" s="18"/>
      <c r="B531" s="18"/>
      <c r="C531" s="18"/>
      <c r="D531" s="18"/>
      <c r="E531" s="18"/>
      <c r="F531" s="18"/>
      <c r="G531" s="18"/>
      <c r="H531" s="18"/>
      <c r="I531" s="18"/>
      <c r="J531" s="18"/>
      <c r="K531" s="18"/>
      <c r="L531" s="18"/>
      <c r="M531" s="18"/>
      <c r="N531" s="18"/>
      <c r="O531" s="1316"/>
      <c r="P531" s="18"/>
      <c r="Q531" s="18"/>
      <c r="R531" s="18"/>
      <c r="S531" s="18"/>
      <c r="T531" s="18"/>
      <c r="U531" s="18"/>
      <c r="V531" s="18"/>
      <c r="W531" s="18"/>
      <c r="X531" s="18"/>
      <c r="Y531" s="18"/>
      <c r="Z531" s="18"/>
      <c r="AA531" s="18"/>
      <c r="AB531" s="18"/>
      <c r="AC531" s="18"/>
      <c r="AD531" s="18"/>
      <c r="AE531" s="18"/>
      <c r="AF531" s="18"/>
      <c r="AG531" s="18"/>
    </row>
    <row r="532" spans="1:33" x14ac:dyDescent="0.2">
      <c r="A532" s="18"/>
      <c r="B532" s="18"/>
      <c r="C532" s="18"/>
      <c r="D532" s="18"/>
      <c r="E532" s="18"/>
      <c r="F532" s="18"/>
      <c r="G532" s="18"/>
      <c r="H532" s="18"/>
      <c r="I532" s="18"/>
      <c r="J532" s="18"/>
      <c r="K532" s="18"/>
      <c r="L532" s="18"/>
      <c r="M532" s="18"/>
      <c r="N532" s="18"/>
      <c r="O532" s="1316"/>
      <c r="P532" s="18"/>
      <c r="Q532" s="18"/>
      <c r="R532" s="18"/>
      <c r="S532" s="18"/>
      <c r="T532" s="18"/>
      <c r="U532" s="18"/>
      <c r="V532" s="18"/>
      <c r="W532" s="18"/>
      <c r="X532" s="18"/>
      <c r="Y532" s="18"/>
      <c r="Z532" s="18"/>
      <c r="AA532" s="18"/>
      <c r="AB532" s="18"/>
      <c r="AC532" s="18"/>
      <c r="AD532" s="18"/>
      <c r="AE532" s="18"/>
      <c r="AF532" s="18"/>
      <c r="AG532" s="18"/>
    </row>
    <row r="533" spans="1:33" x14ac:dyDescent="0.2">
      <c r="A533" s="18"/>
      <c r="B533" s="18"/>
      <c r="C533" s="18"/>
      <c r="D533" s="18"/>
      <c r="E533" s="18"/>
      <c r="F533" s="18"/>
      <c r="G533" s="18"/>
      <c r="H533" s="18"/>
      <c r="I533" s="18"/>
      <c r="J533" s="18"/>
      <c r="K533" s="18"/>
      <c r="L533" s="18"/>
      <c r="M533" s="18"/>
      <c r="N533" s="18"/>
      <c r="O533" s="1316"/>
      <c r="P533" s="18"/>
      <c r="Q533" s="18"/>
      <c r="R533" s="18"/>
      <c r="S533" s="18"/>
      <c r="T533" s="18"/>
      <c r="U533" s="18"/>
      <c r="V533" s="18"/>
      <c r="W533" s="18"/>
      <c r="X533" s="18"/>
      <c r="Y533" s="18"/>
      <c r="Z533" s="18"/>
      <c r="AA533" s="18"/>
      <c r="AB533" s="18"/>
      <c r="AC533" s="18"/>
      <c r="AD533" s="18"/>
      <c r="AE533" s="18"/>
      <c r="AF533" s="18"/>
      <c r="AG533" s="18"/>
    </row>
    <row r="534" spans="1:33" x14ac:dyDescent="0.2">
      <c r="A534" s="18"/>
      <c r="B534" s="18"/>
      <c r="C534" s="18"/>
      <c r="D534" s="18"/>
      <c r="E534" s="18"/>
      <c r="F534" s="18"/>
      <c r="G534" s="18"/>
      <c r="H534" s="18"/>
      <c r="I534" s="18"/>
      <c r="J534" s="18"/>
      <c r="K534" s="18"/>
      <c r="L534" s="18"/>
      <c r="M534" s="18"/>
      <c r="N534" s="18"/>
      <c r="O534" s="1316"/>
      <c r="P534" s="18"/>
      <c r="Q534" s="18"/>
      <c r="R534" s="18"/>
      <c r="S534" s="18"/>
      <c r="T534" s="18"/>
      <c r="U534" s="18"/>
      <c r="V534" s="18"/>
      <c r="W534" s="18"/>
      <c r="X534" s="18"/>
      <c r="Y534" s="18"/>
      <c r="Z534" s="18"/>
      <c r="AA534" s="18"/>
      <c r="AB534" s="18"/>
      <c r="AC534" s="18"/>
      <c r="AD534" s="18"/>
      <c r="AE534" s="18"/>
      <c r="AF534" s="18"/>
      <c r="AG534" s="18"/>
    </row>
    <row r="535" spans="1:33" x14ac:dyDescent="0.2">
      <c r="A535" s="18"/>
      <c r="B535" s="18"/>
      <c r="C535" s="18"/>
      <c r="D535" s="18"/>
      <c r="E535" s="18"/>
      <c r="F535" s="18"/>
      <c r="G535" s="18"/>
      <c r="H535" s="18"/>
      <c r="I535" s="18"/>
      <c r="J535" s="18"/>
      <c r="K535" s="18"/>
      <c r="L535" s="18"/>
      <c r="M535" s="18"/>
      <c r="N535" s="18"/>
      <c r="O535" s="1316"/>
      <c r="P535" s="18"/>
      <c r="Q535" s="18"/>
      <c r="R535" s="18"/>
      <c r="S535" s="18"/>
      <c r="T535" s="18"/>
      <c r="U535" s="18"/>
      <c r="V535" s="18"/>
      <c r="W535" s="18"/>
      <c r="X535" s="18"/>
      <c r="Y535" s="18"/>
      <c r="Z535" s="18"/>
      <c r="AA535" s="18"/>
      <c r="AB535" s="18"/>
      <c r="AC535" s="18"/>
      <c r="AD535" s="18"/>
      <c r="AE535" s="18"/>
      <c r="AF535" s="18"/>
      <c r="AG535" s="18"/>
    </row>
    <row r="536" spans="1:33" x14ac:dyDescent="0.2">
      <c r="A536" s="18"/>
      <c r="B536" s="18"/>
      <c r="C536" s="18"/>
      <c r="D536" s="18"/>
      <c r="E536" s="18"/>
      <c r="F536" s="18"/>
      <c r="G536" s="18"/>
      <c r="H536" s="18"/>
      <c r="I536" s="18"/>
      <c r="J536" s="18"/>
      <c r="K536" s="18"/>
      <c r="L536" s="18"/>
      <c r="M536" s="18"/>
      <c r="N536" s="18"/>
      <c r="O536" s="1316"/>
      <c r="P536" s="18"/>
      <c r="Q536" s="18"/>
      <c r="R536" s="18"/>
      <c r="S536" s="18"/>
      <c r="T536" s="18"/>
      <c r="U536" s="18"/>
      <c r="V536" s="18"/>
      <c r="W536" s="18"/>
      <c r="X536" s="18"/>
      <c r="Y536" s="18"/>
      <c r="Z536" s="18"/>
      <c r="AA536" s="18"/>
      <c r="AB536" s="18"/>
      <c r="AC536" s="18"/>
      <c r="AD536" s="18"/>
      <c r="AE536" s="18"/>
      <c r="AF536" s="18"/>
      <c r="AG536" s="18"/>
    </row>
    <row r="537" spans="1:33" x14ac:dyDescent="0.2">
      <c r="A537" s="18"/>
      <c r="B537" s="18"/>
      <c r="C537" s="18"/>
      <c r="D537" s="18"/>
      <c r="E537" s="18"/>
      <c r="F537" s="18"/>
      <c r="G537" s="18"/>
      <c r="H537" s="18"/>
      <c r="I537" s="18"/>
      <c r="J537" s="18"/>
      <c r="K537" s="18"/>
      <c r="L537" s="18"/>
      <c r="M537" s="18"/>
      <c r="N537" s="18"/>
      <c r="O537" s="1316"/>
      <c r="P537" s="18"/>
      <c r="Q537" s="18"/>
      <c r="R537" s="18"/>
      <c r="S537" s="18"/>
      <c r="T537" s="18"/>
      <c r="U537" s="18"/>
      <c r="V537" s="18"/>
      <c r="W537" s="18"/>
      <c r="X537" s="18"/>
      <c r="Y537" s="18"/>
      <c r="Z537" s="18"/>
      <c r="AA537" s="18"/>
      <c r="AB537" s="18"/>
      <c r="AC537" s="18"/>
      <c r="AD537" s="18"/>
      <c r="AE537" s="18"/>
      <c r="AF537" s="18"/>
      <c r="AG537" s="18"/>
    </row>
    <row r="538" spans="1:33" x14ac:dyDescent="0.2">
      <c r="A538" s="18"/>
      <c r="B538" s="18"/>
      <c r="C538" s="18"/>
      <c r="D538" s="18"/>
      <c r="E538" s="18"/>
      <c r="F538" s="18"/>
      <c r="G538" s="18"/>
      <c r="H538" s="18"/>
      <c r="I538" s="18"/>
      <c r="J538" s="18"/>
      <c r="K538" s="18"/>
      <c r="L538" s="18"/>
      <c r="M538" s="18"/>
      <c r="N538" s="18"/>
      <c r="O538" s="1316"/>
      <c r="P538" s="18"/>
      <c r="Q538" s="18"/>
      <c r="R538" s="18"/>
      <c r="S538" s="18"/>
      <c r="T538" s="18"/>
      <c r="U538" s="18"/>
      <c r="V538" s="18"/>
      <c r="W538" s="18"/>
      <c r="X538" s="18"/>
      <c r="Y538" s="18"/>
      <c r="Z538" s="18"/>
      <c r="AA538" s="18"/>
      <c r="AB538" s="18"/>
      <c r="AC538" s="18"/>
      <c r="AD538" s="18"/>
      <c r="AE538" s="18"/>
      <c r="AF538" s="18"/>
      <c r="AG538" s="18"/>
    </row>
    <row r="539" spans="1:33" x14ac:dyDescent="0.2">
      <c r="A539" s="18"/>
      <c r="B539" s="18"/>
      <c r="C539" s="18"/>
      <c r="D539" s="18"/>
      <c r="E539" s="18"/>
      <c r="F539" s="18"/>
      <c r="G539" s="18"/>
      <c r="H539" s="18"/>
      <c r="I539" s="18"/>
      <c r="J539" s="18"/>
      <c r="K539" s="18"/>
      <c r="L539" s="18"/>
      <c r="M539" s="18"/>
      <c r="N539" s="18"/>
      <c r="O539" s="1316"/>
      <c r="P539" s="18"/>
      <c r="Q539" s="18"/>
      <c r="R539" s="18"/>
      <c r="S539" s="18"/>
      <c r="T539" s="18"/>
      <c r="U539" s="18"/>
      <c r="V539" s="18"/>
      <c r="W539" s="18"/>
      <c r="X539" s="18"/>
      <c r="Y539" s="18"/>
      <c r="Z539" s="18"/>
      <c r="AA539" s="18"/>
      <c r="AB539" s="18"/>
      <c r="AC539" s="18"/>
      <c r="AD539" s="18"/>
      <c r="AE539" s="18"/>
      <c r="AF539" s="18"/>
      <c r="AG539" s="18"/>
    </row>
    <row r="540" spans="1:33" x14ac:dyDescent="0.2">
      <c r="A540" s="18"/>
      <c r="B540" s="18"/>
      <c r="C540" s="18"/>
      <c r="D540" s="18"/>
      <c r="E540" s="18"/>
      <c r="F540" s="18"/>
      <c r="G540" s="18"/>
      <c r="H540" s="18"/>
      <c r="I540" s="18"/>
      <c r="J540" s="18"/>
      <c r="K540" s="18"/>
      <c r="L540" s="18"/>
      <c r="M540" s="18"/>
      <c r="N540" s="18"/>
      <c r="O540" s="1316"/>
      <c r="P540" s="18"/>
      <c r="Q540" s="18"/>
      <c r="R540" s="18"/>
      <c r="S540" s="18"/>
      <c r="T540" s="18"/>
      <c r="U540" s="18"/>
      <c r="V540" s="18"/>
      <c r="W540" s="18"/>
      <c r="X540" s="18"/>
      <c r="Y540" s="18"/>
      <c r="Z540" s="18"/>
      <c r="AA540" s="18"/>
      <c r="AB540" s="18"/>
      <c r="AC540" s="18"/>
      <c r="AD540" s="18"/>
      <c r="AE540" s="18"/>
      <c r="AF540" s="18"/>
      <c r="AG540" s="18"/>
    </row>
    <row r="541" spans="1:33" x14ac:dyDescent="0.2">
      <c r="A541" s="18"/>
      <c r="B541" s="18"/>
      <c r="C541" s="18"/>
      <c r="D541" s="18"/>
      <c r="E541" s="18"/>
      <c r="F541" s="18"/>
      <c r="G541" s="18"/>
      <c r="H541" s="18"/>
      <c r="I541" s="18"/>
      <c r="J541" s="18"/>
      <c r="K541" s="18"/>
      <c r="L541" s="18"/>
      <c r="M541" s="18"/>
      <c r="N541" s="18"/>
      <c r="O541" s="1316"/>
      <c r="P541" s="18"/>
      <c r="Q541" s="18"/>
      <c r="R541" s="18"/>
      <c r="S541" s="18"/>
      <c r="T541" s="18"/>
      <c r="U541" s="18"/>
      <c r="V541" s="18"/>
      <c r="W541" s="18"/>
      <c r="X541" s="18"/>
      <c r="Y541" s="18"/>
      <c r="Z541" s="18"/>
      <c r="AA541" s="18"/>
      <c r="AB541" s="18"/>
      <c r="AC541" s="18"/>
      <c r="AD541" s="18"/>
      <c r="AE541" s="18"/>
      <c r="AF541" s="18"/>
      <c r="AG541" s="18"/>
    </row>
    <row r="542" spans="1:33" x14ac:dyDescent="0.2">
      <c r="A542" s="18"/>
      <c r="B542" s="18"/>
      <c r="C542" s="18"/>
      <c r="D542" s="18"/>
      <c r="E542" s="18"/>
      <c r="F542" s="18"/>
      <c r="G542" s="18"/>
      <c r="H542" s="18"/>
      <c r="I542" s="18"/>
      <c r="J542" s="18"/>
      <c r="K542" s="18"/>
      <c r="L542" s="18"/>
      <c r="M542" s="18"/>
      <c r="N542" s="18"/>
      <c r="O542" s="1316"/>
      <c r="P542" s="18"/>
      <c r="Q542" s="18"/>
      <c r="R542" s="18"/>
      <c r="S542" s="18"/>
      <c r="T542" s="18"/>
      <c r="U542" s="18"/>
      <c r="V542" s="18"/>
      <c r="W542" s="18"/>
      <c r="X542" s="18"/>
      <c r="Y542" s="18"/>
      <c r="Z542" s="18"/>
      <c r="AA542" s="18"/>
      <c r="AB542" s="18"/>
      <c r="AC542" s="18"/>
      <c r="AD542" s="18"/>
      <c r="AE542" s="18"/>
      <c r="AF542" s="18"/>
      <c r="AG542" s="18"/>
    </row>
    <row r="543" spans="1:33" x14ac:dyDescent="0.2">
      <c r="A543" s="18"/>
      <c r="B543" s="18"/>
      <c r="C543" s="18"/>
      <c r="D543" s="18"/>
      <c r="E543" s="18"/>
      <c r="F543" s="18"/>
      <c r="G543" s="18"/>
      <c r="H543" s="18"/>
      <c r="I543" s="18"/>
      <c r="J543" s="18"/>
      <c r="K543" s="18"/>
      <c r="L543" s="18"/>
      <c r="M543" s="18"/>
      <c r="N543" s="18"/>
      <c r="O543" s="1316"/>
      <c r="P543" s="18"/>
      <c r="Q543" s="18"/>
      <c r="R543" s="18"/>
      <c r="S543" s="18"/>
      <c r="T543" s="18"/>
      <c r="U543" s="18"/>
      <c r="V543" s="18"/>
      <c r="W543" s="18"/>
      <c r="X543" s="18"/>
      <c r="Y543" s="18"/>
      <c r="Z543" s="18"/>
      <c r="AA543" s="18"/>
      <c r="AB543" s="18"/>
      <c r="AC543" s="18"/>
      <c r="AD543" s="18"/>
      <c r="AE543" s="18"/>
      <c r="AF543" s="18"/>
      <c r="AG543" s="18"/>
    </row>
    <row r="544" spans="1:33" x14ac:dyDescent="0.2">
      <c r="A544" s="18"/>
      <c r="B544" s="18"/>
      <c r="C544" s="18"/>
      <c r="D544" s="18"/>
      <c r="E544" s="18"/>
      <c r="F544" s="18"/>
      <c r="G544" s="18"/>
      <c r="H544" s="18"/>
      <c r="I544" s="18"/>
      <c r="J544" s="18"/>
      <c r="K544" s="18"/>
      <c r="L544" s="18"/>
      <c r="M544" s="18"/>
      <c r="N544" s="18"/>
      <c r="O544" s="1316"/>
      <c r="P544" s="18"/>
      <c r="Q544" s="18"/>
      <c r="R544" s="18"/>
      <c r="S544" s="18"/>
      <c r="T544" s="18"/>
      <c r="U544" s="18"/>
      <c r="V544" s="18"/>
      <c r="W544" s="18"/>
      <c r="X544" s="18"/>
      <c r="Y544" s="18"/>
      <c r="Z544" s="18"/>
      <c r="AA544" s="18"/>
      <c r="AB544" s="18"/>
      <c r="AC544" s="18"/>
      <c r="AD544" s="18"/>
      <c r="AE544" s="18"/>
      <c r="AF544" s="18"/>
      <c r="AG544" s="18"/>
    </row>
    <row r="545" spans="1:33" x14ac:dyDescent="0.2">
      <c r="A545" s="18"/>
      <c r="B545" s="18"/>
      <c r="C545" s="18"/>
      <c r="D545" s="18"/>
      <c r="E545" s="18"/>
      <c r="F545" s="18"/>
      <c r="G545" s="18"/>
      <c r="H545" s="18"/>
      <c r="I545" s="18"/>
      <c r="J545" s="18"/>
      <c r="K545" s="18"/>
      <c r="L545" s="18"/>
      <c r="M545" s="18"/>
      <c r="N545" s="18"/>
      <c r="O545" s="1316"/>
      <c r="P545" s="18"/>
      <c r="Q545" s="18"/>
      <c r="R545" s="18"/>
      <c r="S545" s="18"/>
      <c r="T545" s="18"/>
      <c r="U545" s="18"/>
      <c r="V545" s="18"/>
      <c r="W545" s="18"/>
      <c r="X545" s="18"/>
      <c r="Y545" s="18"/>
      <c r="Z545" s="18"/>
      <c r="AA545" s="18"/>
      <c r="AB545" s="18"/>
      <c r="AC545" s="18"/>
      <c r="AD545" s="18"/>
      <c r="AE545" s="18"/>
      <c r="AF545" s="18"/>
      <c r="AG545" s="18"/>
    </row>
    <row r="546" spans="1:33" x14ac:dyDescent="0.2">
      <c r="A546" s="18"/>
      <c r="B546" s="18"/>
      <c r="C546" s="18"/>
      <c r="D546" s="18"/>
      <c r="E546" s="18"/>
      <c r="F546" s="18"/>
      <c r="G546" s="18"/>
      <c r="H546" s="18"/>
      <c r="I546" s="18"/>
      <c r="J546" s="18"/>
      <c r="K546" s="18"/>
      <c r="L546" s="18"/>
      <c r="M546" s="18"/>
      <c r="N546" s="18"/>
      <c r="O546" s="1316"/>
      <c r="P546" s="18"/>
      <c r="Q546" s="18"/>
      <c r="R546" s="18"/>
      <c r="S546" s="18"/>
      <c r="T546" s="18"/>
      <c r="U546" s="18"/>
      <c r="V546" s="18"/>
      <c r="W546" s="18"/>
      <c r="X546" s="18"/>
      <c r="Y546" s="18"/>
      <c r="Z546" s="18"/>
      <c r="AA546" s="18"/>
      <c r="AB546" s="18"/>
      <c r="AC546" s="18"/>
      <c r="AD546" s="18"/>
      <c r="AE546" s="18"/>
      <c r="AF546" s="18"/>
      <c r="AG546" s="18"/>
    </row>
    <row r="547" spans="1:33" x14ac:dyDescent="0.2">
      <c r="A547" s="18"/>
      <c r="B547" s="18"/>
      <c r="C547" s="18"/>
      <c r="D547" s="18"/>
      <c r="E547" s="18"/>
      <c r="F547" s="18"/>
      <c r="G547" s="18"/>
      <c r="H547" s="18"/>
      <c r="I547" s="18"/>
      <c r="J547" s="18"/>
      <c r="K547" s="18"/>
      <c r="L547" s="18"/>
      <c r="M547" s="18"/>
      <c r="N547" s="18"/>
      <c r="O547" s="1316"/>
      <c r="P547" s="18"/>
      <c r="Q547" s="18"/>
      <c r="R547" s="18"/>
      <c r="S547" s="18"/>
      <c r="T547" s="18"/>
      <c r="U547" s="18"/>
      <c r="V547" s="18"/>
      <c r="W547" s="18"/>
      <c r="X547" s="18"/>
      <c r="Y547" s="18"/>
      <c r="Z547" s="18"/>
      <c r="AA547" s="18"/>
      <c r="AB547" s="18"/>
      <c r="AC547" s="18"/>
      <c r="AD547" s="18"/>
      <c r="AE547" s="18"/>
      <c r="AF547" s="18"/>
      <c r="AG547" s="18"/>
    </row>
    <row r="548" spans="1:33" x14ac:dyDescent="0.2">
      <c r="A548" s="18"/>
      <c r="B548" s="18"/>
      <c r="C548" s="18"/>
      <c r="D548" s="18"/>
      <c r="E548" s="18"/>
      <c r="F548" s="18"/>
      <c r="G548" s="18"/>
      <c r="H548" s="18"/>
      <c r="I548" s="18"/>
      <c r="J548" s="18"/>
      <c r="K548" s="18"/>
      <c r="L548" s="18"/>
      <c r="M548" s="18"/>
      <c r="N548" s="18"/>
      <c r="O548" s="1316"/>
      <c r="P548" s="18"/>
      <c r="Q548" s="18"/>
      <c r="R548" s="18"/>
      <c r="S548" s="18"/>
      <c r="T548" s="18"/>
      <c r="U548" s="18"/>
      <c r="V548" s="18"/>
      <c r="W548" s="18"/>
      <c r="X548" s="18"/>
      <c r="Y548" s="18"/>
      <c r="Z548" s="18"/>
      <c r="AA548" s="18"/>
      <c r="AB548" s="18"/>
      <c r="AC548" s="18"/>
      <c r="AD548" s="18"/>
      <c r="AE548" s="18"/>
      <c r="AF548" s="18"/>
      <c r="AG548" s="18"/>
    </row>
    <row r="549" spans="1:33" x14ac:dyDescent="0.2">
      <c r="A549" s="18"/>
      <c r="B549" s="18"/>
      <c r="C549" s="18"/>
      <c r="D549" s="18"/>
      <c r="E549" s="18"/>
      <c r="F549" s="18"/>
      <c r="G549" s="18"/>
      <c r="H549" s="18"/>
      <c r="I549" s="18"/>
      <c r="J549" s="18"/>
      <c r="K549" s="18"/>
      <c r="L549" s="18"/>
      <c r="M549" s="18"/>
      <c r="N549" s="18"/>
      <c r="O549" s="1316"/>
      <c r="P549" s="18"/>
      <c r="Q549" s="18"/>
      <c r="R549" s="18"/>
      <c r="S549" s="18"/>
      <c r="T549" s="18"/>
      <c r="U549" s="18"/>
      <c r="V549" s="18"/>
      <c r="W549" s="18"/>
      <c r="X549" s="18"/>
      <c r="Y549" s="18"/>
      <c r="Z549" s="18"/>
      <c r="AA549" s="18"/>
      <c r="AB549" s="18"/>
      <c r="AC549" s="18"/>
      <c r="AD549" s="18"/>
      <c r="AE549" s="18"/>
      <c r="AF549" s="18"/>
      <c r="AG549" s="18"/>
    </row>
    <row r="550" spans="1:33" x14ac:dyDescent="0.2">
      <c r="A550" s="18"/>
      <c r="B550" s="18"/>
      <c r="C550" s="18"/>
      <c r="D550" s="18"/>
      <c r="E550" s="18"/>
      <c r="F550" s="18"/>
      <c r="G550" s="18"/>
      <c r="H550" s="18"/>
      <c r="I550" s="18"/>
      <c r="J550" s="18"/>
      <c r="K550" s="18"/>
      <c r="L550" s="18"/>
      <c r="M550" s="18"/>
      <c r="N550" s="18"/>
      <c r="O550" s="1316"/>
      <c r="P550" s="18"/>
      <c r="Q550" s="18"/>
      <c r="R550" s="18"/>
      <c r="S550" s="18"/>
      <c r="T550" s="18"/>
      <c r="U550" s="18"/>
      <c r="V550" s="18"/>
      <c r="W550" s="18"/>
      <c r="X550" s="18"/>
      <c r="Y550" s="18"/>
      <c r="Z550" s="18"/>
      <c r="AA550" s="18"/>
      <c r="AB550" s="18"/>
      <c r="AC550" s="18"/>
      <c r="AD550" s="18"/>
      <c r="AE550" s="18"/>
      <c r="AF550" s="18"/>
      <c r="AG550" s="18"/>
    </row>
    <row r="551" spans="1:33" x14ac:dyDescent="0.2">
      <c r="A551" s="18"/>
      <c r="B551" s="18"/>
      <c r="C551" s="18"/>
      <c r="D551" s="18"/>
      <c r="E551" s="18"/>
      <c r="F551" s="18"/>
      <c r="G551" s="18"/>
      <c r="H551" s="18"/>
      <c r="I551" s="18"/>
      <c r="J551" s="18"/>
      <c r="K551" s="18"/>
      <c r="L551" s="18"/>
      <c r="M551" s="18"/>
      <c r="N551" s="18"/>
      <c r="O551" s="1316"/>
      <c r="P551" s="18"/>
      <c r="Q551" s="18"/>
      <c r="R551" s="18"/>
      <c r="S551" s="18"/>
      <c r="T551" s="18"/>
      <c r="U551" s="18"/>
      <c r="V551" s="18"/>
      <c r="W551" s="18"/>
      <c r="X551" s="18"/>
      <c r="Y551" s="18"/>
      <c r="Z551" s="18"/>
      <c r="AA551" s="18"/>
      <c r="AB551" s="18"/>
      <c r="AC551" s="18"/>
      <c r="AD551" s="18"/>
      <c r="AE551" s="18"/>
      <c r="AF551" s="18"/>
      <c r="AG551" s="18"/>
    </row>
    <row r="552" spans="1:33" x14ac:dyDescent="0.2">
      <c r="A552" s="18"/>
      <c r="B552" s="18"/>
      <c r="C552" s="18"/>
      <c r="D552" s="18"/>
      <c r="E552" s="18"/>
      <c r="F552" s="18"/>
      <c r="G552" s="18"/>
      <c r="H552" s="18"/>
      <c r="I552" s="18"/>
      <c r="J552" s="18"/>
      <c r="K552" s="18"/>
      <c r="L552" s="18"/>
      <c r="M552" s="18"/>
      <c r="N552" s="18"/>
      <c r="O552" s="1316"/>
      <c r="P552" s="18"/>
      <c r="Q552" s="18"/>
      <c r="R552" s="18"/>
      <c r="S552" s="18"/>
      <c r="T552" s="18"/>
      <c r="U552" s="18"/>
      <c r="V552" s="18"/>
      <c r="W552" s="18"/>
      <c r="X552" s="18"/>
      <c r="Y552" s="18"/>
      <c r="Z552" s="18"/>
      <c r="AA552" s="18"/>
      <c r="AB552" s="18"/>
      <c r="AC552" s="18"/>
      <c r="AD552" s="18"/>
      <c r="AE552" s="18"/>
      <c r="AF552" s="18"/>
      <c r="AG552" s="18"/>
    </row>
    <row r="553" spans="1:33" x14ac:dyDescent="0.2">
      <c r="A553" s="18"/>
      <c r="B553" s="18"/>
      <c r="C553" s="18"/>
      <c r="D553" s="18"/>
      <c r="E553" s="18"/>
      <c r="F553" s="18"/>
      <c r="G553" s="18"/>
      <c r="H553" s="18"/>
      <c r="I553" s="18"/>
      <c r="J553" s="18"/>
      <c r="K553" s="18"/>
      <c r="L553" s="18"/>
      <c r="M553" s="18"/>
      <c r="N553" s="18"/>
      <c r="O553" s="1316"/>
      <c r="P553" s="18"/>
      <c r="Q553" s="18"/>
      <c r="R553" s="18"/>
      <c r="S553" s="18"/>
      <c r="T553" s="18"/>
      <c r="U553" s="18"/>
      <c r="V553" s="18"/>
      <c r="W553" s="18"/>
      <c r="X553" s="18"/>
      <c r="Y553" s="18"/>
      <c r="Z553" s="18"/>
      <c r="AA553" s="18"/>
      <c r="AB553" s="18"/>
      <c r="AC553" s="18"/>
      <c r="AD553" s="18"/>
      <c r="AE553" s="18"/>
      <c r="AF553" s="18"/>
      <c r="AG553" s="18"/>
    </row>
    <row r="554" spans="1:33" x14ac:dyDescent="0.2">
      <c r="A554" s="18"/>
      <c r="B554" s="18"/>
      <c r="C554" s="18"/>
      <c r="D554" s="18"/>
      <c r="E554" s="18"/>
      <c r="F554" s="18"/>
      <c r="G554" s="18"/>
      <c r="H554" s="18"/>
      <c r="I554" s="18"/>
      <c r="J554" s="18"/>
      <c r="K554" s="18"/>
      <c r="L554" s="18"/>
      <c r="M554" s="18"/>
      <c r="N554" s="18"/>
      <c r="O554" s="1316"/>
      <c r="P554" s="18"/>
      <c r="Q554" s="18"/>
      <c r="R554" s="18"/>
      <c r="S554" s="18"/>
      <c r="T554" s="18"/>
      <c r="U554" s="18"/>
      <c r="V554" s="18"/>
      <c r="W554" s="18"/>
      <c r="X554" s="18"/>
      <c r="Y554" s="18"/>
      <c r="Z554" s="18"/>
      <c r="AA554" s="18"/>
      <c r="AB554" s="18"/>
      <c r="AC554" s="18"/>
      <c r="AD554" s="18"/>
      <c r="AE554" s="18"/>
      <c r="AF554" s="18"/>
      <c r="AG554" s="18"/>
    </row>
    <row r="555" spans="1:33" x14ac:dyDescent="0.2">
      <c r="A555" s="18"/>
      <c r="B555" s="18"/>
      <c r="C555" s="18"/>
      <c r="D555" s="18"/>
      <c r="E555" s="18"/>
      <c r="F555" s="18"/>
      <c r="G555" s="18"/>
      <c r="H555" s="18"/>
      <c r="I555" s="18"/>
      <c r="J555" s="18"/>
      <c r="K555" s="18"/>
      <c r="L555" s="18"/>
      <c r="M555" s="18"/>
      <c r="N555" s="18"/>
      <c r="O555" s="1316"/>
      <c r="P555" s="18"/>
      <c r="Q555" s="18"/>
      <c r="R555" s="18"/>
      <c r="S555" s="18"/>
      <c r="T555" s="18"/>
      <c r="U555" s="18"/>
      <c r="V555" s="18"/>
      <c r="W555" s="18"/>
      <c r="X555" s="18"/>
      <c r="Y555" s="18"/>
      <c r="Z555" s="18"/>
      <c r="AA555" s="18"/>
      <c r="AB555" s="18"/>
      <c r="AC555" s="18"/>
      <c r="AD555" s="18"/>
      <c r="AE555" s="18"/>
      <c r="AF555" s="18"/>
      <c r="AG555" s="18"/>
    </row>
    <row r="556" spans="1:33" x14ac:dyDescent="0.2">
      <c r="A556" s="18"/>
      <c r="B556" s="18"/>
      <c r="C556" s="18"/>
      <c r="D556" s="18"/>
      <c r="E556" s="18"/>
      <c r="F556" s="18"/>
      <c r="G556" s="18"/>
      <c r="H556" s="18"/>
      <c r="I556" s="18"/>
      <c r="J556" s="18"/>
      <c r="K556" s="18"/>
      <c r="L556" s="18"/>
      <c r="M556" s="18"/>
      <c r="N556" s="18"/>
      <c r="O556" s="1316"/>
      <c r="P556" s="18"/>
      <c r="Q556" s="18"/>
      <c r="R556" s="18"/>
      <c r="S556" s="18"/>
      <c r="T556" s="18"/>
      <c r="U556" s="18"/>
      <c r="V556" s="18"/>
      <c r="W556" s="18"/>
      <c r="X556" s="18"/>
      <c r="Y556" s="18"/>
      <c r="Z556" s="18"/>
      <c r="AA556" s="18"/>
      <c r="AB556" s="18"/>
      <c r="AC556" s="18"/>
      <c r="AD556" s="18"/>
      <c r="AE556" s="18"/>
      <c r="AF556" s="18"/>
      <c r="AG556" s="18"/>
    </row>
    <row r="557" spans="1:33" x14ac:dyDescent="0.2">
      <c r="A557" s="18"/>
      <c r="B557" s="18"/>
      <c r="C557" s="18"/>
      <c r="D557" s="18"/>
      <c r="E557" s="18"/>
      <c r="F557" s="18"/>
      <c r="G557" s="18"/>
      <c r="H557" s="18"/>
      <c r="I557" s="18"/>
      <c r="J557" s="18"/>
      <c r="K557" s="18"/>
      <c r="L557" s="18"/>
      <c r="M557" s="18"/>
      <c r="N557" s="18"/>
      <c r="O557" s="1316"/>
      <c r="P557" s="18"/>
      <c r="Q557" s="18"/>
      <c r="R557" s="18"/>
      <c r="S557" s="18"/>
      <c r="T557" s="18"/>
      <c r="U557" s="18"/>
      <c r="V557" s="18"/>
      <c r="W557" s="18"/>
      <c r="X557" s="18"/>
      <c r="Y557" s="18"/>
      <c r="Z557" s="18"/>
      <c r="AA557" s="18"/>
      <c r="AB557" s="18"/>
      <c r="AC557" s="18"/>
      <c r="AD557" s="18"/>
      <c r="AE557" s="18"/>
      <c r="AF557" s="18"/>
      <c r="AG557" s="18"/>
    </row>
    <row r="558" spans="1:33" x14ac:dyDescent="0.2">
      <c r="A558" s="18"/>
      <c r="B558" s="18"/>
      <c r="C558" s="18"/>
      <c r="D558" s="18"/>
      <c r="E558" s="18"/>
      <c r="F558" s="18"/>
      <c r="G558" s="18"/>
      <c r="H558" s="18"/>
      <c r="I558" s="18"/>
      <c r="J558" s="18"/>
      <c r="K558" s="18"/>
      <c r="L558" s="18"/>
      <c r="M558" s="18"/>
      <c r="N558" s="18"/>
      <c r="O558" s="1316"/>
      <c r="P558" s="18"/>
      <c r="Q558" s="18"/>
      <c r="R558" s="18"/>
      <c r="S558" s="18"/>
      <c r="T558" s="18"/>
      <c r="U558" s="18"/>
      <c r="V558" s="18"/>
      <c r="W558" s="18"/>
      <c r="X558" s="18"/>
      <c r="Y558" s="18"/>
      <c r="Z558" s="18"/>
      <c r="AA558" s="18"/>
      <c r="AB558" s="18"/>
      <c r="AC558" s="18"/>
      <c r="AD558" s="18"/>
      <c r="AE558" s="18"/>
      <c r="AF558" s="18"/>
      <c r="AG558" s="18"/>
    </row>
    <row r="559" spans="1:33" x14ac:dyDescent="0.2">
      <c r="A559" s="18"/>
      <c r="B559" s="18"/>
      <c r="C559" s="18"/>
      <c r="D559" s="18"/>
      <c r="E559" s="18"/>
      <c r="F559" s="18"/>
      <c r="G559" s="18"/>
      <c r="H559" s="18"/>
      <c r="I559" s="18"/>
      <c r="J559" s="18"/>
      <c r="K559" s="18"/>
      <c r="L559" s="18"/>
      <c r="M559" s="18"/>
      <c r="N559" s="18"/>
      <c r="O559" s="1316"/>
      <c r="P559" s="18"/>
      <c r="Q559" s="18"/>
      <c r="R559" s="18"/>
      <c r="S559" s="18"/>
      <c r="T559" s="18"/>
      <c r="U559" s="18"/>
      <c r="V559" s="18"/>
      <c r="W559" s="18"/>
      <c r="X559" s="18"/>
      <c r="Y559" s="18"/>
      <c r="Z559" s="18"/>
      <c r="AA559" s="18"/>
      <c r="AB559" s="18"/>
      <c r="AC559" s="18"/>
      <c r="AD559" s="18"/>
      <c r="AE559" s="18"/>
      <c r="AF559" s="18"/>
      <c r="AG559" s="18"/>
    </row>
    <row r="560" spans="1:33" x14ac:dyDescent="0.2">
      <c r="A560" s="18"/>
      <c r="B560" s="18"/>
      <c r="C560" s="18"/>
      <c r="D560" s="18"/>
      <c r="E560" s="18"/>
      <c r="F560" s="18"/>
      <c r="G560" s="18"/>
      <c r="H560" s="18"/>
      <c r="I560" s="18"/>
      <c r="J560" s="18"/>
      <c r="K560" s="18"/>
      <c r="L560" s="18"/>
      <c r="M560" s="18"/>
      <c r="N560" s="18"/>
      <c r="O560" s="1316"/>
      <c r="P560" s="18"/>
      <c r="Q560" s="18"/>
      <c r="R560" s="18"/>
      <c r="S560" s="18"/>
      <c r="T560" s="18"/>
      <c r="U560" s="18"/>
      <c r="V560" s="18"/>
      <c r="W560" s="18"/>
      <c r="X560" s="18"/>
      <c r="Y560" s="18"/>
      <c r="Z560" s="18"/>
      <c r="AA560" s="18"/>
      <c r="AB560" s="18"/>
      <c r="AC560" s="18"/>
      <c r="AD560" s="18"/>
      <c r="AE560" s="18"/>
      <c r="AF560" s="18"/>
      <c r="AG560" s="18"/>
    </row>
    <row r="561" spans="1:33" x14ac:dyDescent="0.2">
      <c r="A561" s="18"/>
      <c r="B561" s="18"/>
      <c r="C561" s="18"/>
      <c r="D561" s="18"/>
      <c r="E561" s="18"/>
      <c r="F561" s="18"/>
      <c r="G561" s="18"/>
      <c r="H561" s="18"/>
      <c r="I561" s="18"/>
      <c r="J561" s="18"/>
      <c r="K561" s="18"/>
      <c r="L561" s="18"/>
      <c r="M561" s="18"/>
      <c r="N561" s="18"/>
      <c r="O561" s="1316"/>
      <c r="P561" s="18"/>
      <c r="Q561" s="18"/>
      <c r="R561" s="18"/>
      <c r="S561" s="18"/>
      <c r="T561" s="18"/>
      <c r="U561" s="18"/>
      <c r="V561" s="18"/>
      <c r="W561" s="18"/>
      <c r="X561" s="18"/>
      <c r="Y561" s="18"/>
      <c r="Z561" s="18"/>
      <c r="AA561" s="18"/>
      <c r="AB561" s="18"/>
      <c r="AC561" s="18"/>
      <c r="AD561" s="18"/>
      <c r="AE561" s="18"/>
      <c r="AF561" s="18"/>
      <c r="AG561" s="18"/>
    </row>
    <row r="562" spans="1:33" x14ac:dyDescent="0.2">
      <c r="A562" s="18"/>
      <c r="B562" s="18"/>
      <c r="C562" s="18"/>
      <c r="D562" s="18"/>
      <c r="E562" s="18"/>
      <c r="F562" s="18"/>
      <c r="G562" s="18"/>
      <c r="H562" s="18"/>
      <c r="I562" s="18"/>
      <c r="J562" s="18"/>
      <c r="K562" s="18"/>
      <c r="L562" s="18"/>
      <c r="M562" s="18"/>
      <c r="N562" s="18"/>
      <c r="O562" s="1316"/>
      <c r="P562" s="18"/>
      <c r="Q562" s="18"/>
      <c r="R562" s="18"/>
      <c r="S562" s="18"/>
      <c r="T562" s="18"/>
      <c r="U562" s="18"/>
      <c r="V562" s="18"/>
      <c r="W562" s="18"/>
      <c r="X562" s="18"/>
      <c r="Y562" s="18"/>
      <c r="Z562" s="18"/>
      <c r="AA562" s="18"/>
      <c r="AB562" s="18"/>
      <c r="AC562" s="18"/>
      <c r="AD562" s="18"/>
      <c r="AE562" s="18"/>
      <c r="AF562" s="18"/>
      <c r="AG562" s="18"/>
    </row>
    <row r="563" spans="1:33" x14ac:dyDescent="0.2">
      <c r="A563" s="18"/>
      <c r="B563" s="18"/>
      <c r="C563" s="18"/>
      <c r="D563" s="18"/>
      <c r="E563" s="18"/>
      <c r="F563" s="18"/>
      <c r="G563" s="18"/>
      <c r="H563" s="18"/>
      <c r="I563" s="18"/>
      <c r="J563" s="18"/>
      <c r="K563" s="18"/>
      <c r="L563" s="18"/>
      <c r="M563" s="18"/>
      <c r="N563" s="18"/>
      <c r="O563" s="1316"/>
      <c r="P563" s="18"/>
      <c r="Q563" s="18"/>
      <c r="R563" s="18"/>
      <c r="S563" s="18"/>
      <c r="T563" s="18"/>
      <c r="U563" s="18"/>
      <c r="V563" s="18"/>
      <c r="W563" s="18"/>
      <c r="X563" s="18"/>
      <c r="Y563" s="18"/>
      <c r="Z563" s="18"/>
      <c r="AA563" s="18"/>
      <c r="AB563" s="18"/>
      <c r="AC563" s="18"/>
      <c r="AD563" s="18"/>
      <c r="AE563" s="18"/>
      <c r="AF563" s="18"/>
      <c r="AG563" s="18"/>
    </row>
    <row r="564" spans="1:33" x14ac:dyDescent="0.2">
      <c r="A564" s="18"/>
      <c r="B564" s="18"/>
      <c r="C564" s="18"/>
      <c r="D564" s="18"/>
      <c r="E564" s="18"/>
      <c r="F564" s="18"/>
      <c r="G564" s="18"/>
      <c r="H564" s="18"/>
      <c r="I564" s="18"/>
      <c r="J564" s="18"/>
      <c r="K564" s="18"/>
      <c r="L564" s="18"/>
      <c r="M564" s="18"/>
      <c r="N564" s="18"/>
      <c r="O564" s="1316"/>
      <c r="P564" s="18"/>
      <c r="Q564" s="18"/>
      <c r="R564" s="18"/>
      <c r="S564" s="18"/>
      <c r="T564" s="18"/>
      <c r="U564" s="18"/>
      <c r="V564" s="18"/>
      <c r="W564" s="18"/>
      <c r="X564" s="18"/>
      <c r="Y564" s="18"/>
      <c r="Z564" s="18"/>
      <c r="AA564" s="18"/>
      <c r="AB564" s="18"/>
      <c r="AC564" s="18"/>
      <c r="AD564" s="18"/>
      <c r="AE564" s="18"/>
      <c r="AF564" s="18"/>
      <c r="AG564" s="18"/>
    </row>
    <row r="565" spans="1:33" x14ac:dyDescent="0.2">
      <c r="A565" s="18"/>
      <c r="B565" s="18"/>
      <c r="C565" s="18"/>
      <c r="D565" s="18"/>
      <c r="E565" s="18"/>
      <c r="F565" s="18"/>
      <c r="G565" s="18"/>
      <c r="H565" s="18"/>
      <c r="I565" s="18"/>
      <c r="J565" s="18"/>
      <c r="K565" s="18"/>
      <c r="L565" s="18"/>
      <c r="M565" s="18"/>
      <c r="N565" s="18"/>
      <c r="O565" s="1316"/>
      <c r="P565" s="18"/>
      <c r="Q565" s="18"/>
      <c r="R565" s="18"/>
      <c r="S565" s="18"/>
      <c r="T565" s="18"/>
      <c r="U565" s="18"/>
      <c r="V565" s="18"/>
      <c r="W565" s="18"/>
      <c r="X565" s="18"/>
      <c r="Y565" s="18"/>
      <c r="Z565" s="18"/>
      <c r="AA565" s="18"/>
      <c r="AB565" s="18"/>
      <c r="AC565" s="18"/>
      <c r="AD565" s="18"/>
      <c r="AE565" s="18"/>
      <c r="AF565" s="18"/>
      <c r="AG565" s="18"/>
    </row>
    <row r="566" spans="1:33" x14ac:dyDescent="0.2">
      <c r="A566" s="18"/>
      <c r="B566" s="18"/>
      <c r="C566" s="18"/>
      <c r="D566" s="18"/>
      <c r="E566" s="18"/>
      <c r="F566" s="18"/>
      <c r="G566" s="18"/>
      <c r="H566" s="18"/>
      <c r="I566" s="18"/>
      <c r="J566" s="18"/>
      <c r="K566" s="18"/>
      <c r="L566" s="18"/>
      <c r="M566" s="18"/>
      <c r="N566" s="18"/>
      <c r="O566" s="1316"/>
      <c r="P566" s="18"/>
      <c r="Q566" s="18"/>
      <c r="R566" s="18"/>
      <c r="S566" s="18"/>
      <c r="T566" s="18"/>
      <c r="U566" s="18"/>
      <c r="V566" s="18"/>
      <c r="W566" s="18"/>
      <c r="X566" s="18"/>
      <c r="Y566" s="18"/>
      <c r="Z566" s="18"/>
      <c r="AA566" s="18"/>
      <c r="AB566" s="18"/>
      <c r="AC566" s="18"/>
      <c r="AD566" s="18"/>
      <c r="AE566" s="18"/>
      <c r="AF566" s="18"/>
      <c r="AG566" s="18"/>
    </row>
    <row r="567" spans="1:33" x14ac:dyDescent="0.2">
      <c r="A567" s="18"/>
      <c r="B567" s="18"/>
      <c r="C567" s="18"/>
      <c r="D567" s="18"/>
      <c r="E567" s="18"/>
      <c r="F567" s="18"/>
      <c r="G567" s="18"/>
      <c r="H567" s="18"/>
      <c r="I567" s="18"/>
      <c r="J567" s="18"/>
      <c r="K567" s="18"/>
      <c r="L567" s="18"/>
      <c r="M567" s="18"/>
      <c r="N567" s="18"/>
      <c r="O567" s="1316"/>
      <c r="P567" s="18"/>
      <c r="Q567" s="18"/>
      <c r="R567" s="18"/>
      <c r="S567" s="18"/>
      <c r="T567" s="18"/>
      <c r="U567" s="18"/>
      <c r="V567" s="18"/>
      <c r="W567" s="18"/>
      <c r="X567" s="18"/>
      <c r="Y567" s="18"/>
      <c r="Z567" s="18"/>
      <c r="AA567" s="18"/>
      <c r="AB567" s="18"/>
      <c r="AC567" s="18"/>
      <c r="AD567" s="18"/>
      <c r="AE567" s="18"/>
      <c r="AF567" s="18"/>
      <c r="AG567" s="18"/>
    </row>
    <row r="568" spans="1:33" x14ac:dyDescent="0.2">
      <c r="A568" s="18"/>
      <c r="B568" s="18"/>
      <c r="C568" s="18"/>
      <c r="D568" s="18"/>
      <c r="E568" s="18"/>
      <c r="F568" s="18"/>
      <c r="G568" s="18"/>
      <c r="H568" s="18"/>
      <c r="I568" s="18"/>
      <c r="J568" s="18"/>
      <c r="K568" s="18"/>
      <c r="L568" s="18"/>
      <c r="M568" s="18"/>
      <c r="N568" s="18"/>
      <c r="O568" s="1316"/>
      <c r="P568" s="18"/>
      <c r="Q568" s="18"/>
      <c r="R568" s="18"/>
      <c r="S568" s="18"/>
      <c r="T568" s="18"/>
      <c r="U568" s="18"/>
      <c r="V568" s="18"/>
      <c r="W568" s="18"/>
      <c r="X568" s="18"/>
      <c r="Y568" s="18"/>
      <c r="Z568" s="18"/>
      <c r="AA568" s="18"/>
      <c r="AB568" s="18"/>
      <c r="AC568" s="18"/>
      <c r="AD568" s="18"/>
      <c r="AE568" s="18"/>
      <c r="AF568" s="18"/>
      <c r="AG568" s="18"/>
    </row>
    <row r="569" spans="1:33" x14ac:dyDescent="0.2">
      <c r="A569" s="18"/>
      <c r="B569" s="18"/>
      <c r="C569" s="18"/>
      <c r="D569" s="18"/>
      <c r="E569" s="18"/>
      <c r="F569" s="18"/>
      <c r="G569" s="18"/>
      <c r="H569" s="18"/>
      <c r="I569" s="18"/>
      <c r="J569" s="18"/>
      <c r="K569" s="18"/>
      <c r="L569" s="18"/>
      <c r="M569" s="18"/>
      <c r="N569" s="18"/>
      <c r="O569" s="1316"/>
      <c r="P569" s="18"/>
      <c r="Q569" s="18"/>
      <c r="R569" s="18"/>
      <c r="S569" s="18"/>
      <c r="T569" s="18"/>
      <c r="U569" s="18"/>
      <c r="V569" s="18"/>
      <c r="W569" s="18"/>
      <c r="X569" s="18"/>
      <c r="Y569" s="18"/>
      <c r="Z569" s="18"/>
      <c r="AA569" s="18"/>
      <c r="AB569" s="18"/>
      <c r="AC569" s="18"/>
      <c r="AD569" s="18"/>
      <c r="AE569" s="18"/>
      <c r="AF569" s="18"/>
      <c r="AG569" s="18"/>
    </row>
    <row r="570" spans="1:33" x14ac:dyDescent="0.2">
      <c r="A570" s="18"/>
      <c r="B570" s="18"/>
      <c r="C570" s="18"/>
      <c r="D570" s="18"/>
      <c r="E570" s="18"/>
      <c r="F570" s="18"/>
      <c r="G570" s="18"/>
      <c r="H570" s="18"/>
      <c r="I570" s="18"/>
      <c r="J570" s="18"/>
      <c r="K570" s="18"/>
      <c r="L570" s="18"/>
      <c r="M570" s="18"/>
      <c r="N570" s="18"/>
      <c r="O570" s="1316"/>
      <c r="P570" s="18"/>
      <c r="Q570" s="18"/>
      <c r="R570" s="18"/>
      <c r="S570" s="18"/>
      <c r="T570" s="18"/>
      <c r="U570" s="18"/>
      <c r="V570" s="18"/>
      <c r="W570" s="18"/>
      <c r="X570" s="18"/>
      <c r="Y570" s="18"/>
      <c r="Z570" s="18"/>
      <c r="AA570" s="18"/>
      <c r="AB570" s="18"/>
      <c r="AC570" s="18"/>
      <c r="AD570" s="18"/>
      <c r="AE570" s="18"/>
      <c r="AF570" s="18"/>
      <c r="AG570" s="18"/>
    </row>
    <row r="571" spans="1:33" x14ac:dyDescent="0.2">
      <c r="A571" s="18"/>
      <c r="B571" s="18"/>
      <c r="C571" s="18"/>
      <c r="D571" s="18"/>
      <c r="E571" s="18"/>
      <c r="F571" s="18"/>
      <c r="G571" s="18"/>
      <c r="H571" s="18"/>
      <c r="I571" s="18"/>
      <c r="J571" s="18"/>
      <c r="K571" s="18"/>
      <c r="L571" s="18"/>
      <c r="M571" s="18"/>
      <c r="N571" s="18"/>
      <c r="O571" s="1316"/>
      <c r="P571" s="18"/>
      <c r="Q571" s="18"/>
      <c r="R571" s="18"/>
      <c r="S571" s="18"/>
      <c r="T571" s="18"/>
      <c r="U571" s="18"/>
      <c r="V571" s="18"/>
      <c r="W571" s="18"/>
      <c r="X571" s="18"/>
      <c r="Y571" s="18"/>
      <c r="Z571" s="18"/>
      <c r="AA571" s="18"/>
      <c r="AB571" s="18"/>
      <c r="AC571" s="18"/>
      <c r="AD571" s="18"/>
      <c r="AE571" s="18"/>
      <c r="AF571" s="18"/>
      <c r="AG571" s="18"/>
    </row>
    <row r="572" spans="1:33" x14ac:dyDescent="0.2">
      <c r="A572" s="18"/>
      <c r="B572" s="18"/>
      <c r="C572" s="18"/>
      <c r="D572" s="18"/>
      <c r="E572" s="18"/>
      <c r="F572" s="18"/>
      <c r="G572" s="18"/>
      <c r="H572" s="18"/>
      <c r="I572" s="18"/>
      <c r="J572" s="18"/>
      <c r="K572" s="18"/>
      <c r="L572" s="18"/>
      <c r="M572" s="18"/>
      <c r="N572" s="18"/>
      <c r="O572" s="1316"/>
      <c r="P572" s="18"/>
      <c r="Q572" s="18"/>
      <c r="R572" s="18"/>
      <c r="S572" s="18"/>
      <c r="T572" s="18"/>
      <c r="U572" s="18"/>
      <c r="V572" s="18"/>
      <c r="W572" s="18"/>
      <c r="X572" s="18"/>
      <c r="Y572" s="18"/>
      <c r="Z572" s="18"/>
      <c r="AA572" s="18"/>
      <c r="AB572" s="18"/>
      <c r="AC572" s="18"/>
      <c r="AD572" s="18"/>
      <c r="AE572" s="18"/>
      <c r="AF572" s="18"/>
      <c r="AG572" s="18"/>
    </row>
    <row r="573" spans="1:33" x14ac:dyDescent="0.2">
      <c r="A573" s="18"/>
      <c r="B573" s="18"/>
      <c r="C573" s="18"/>
      <c r="D573" s="18"/>
      <c r="E573" s="18"/>
      <c r="F573" s="18"/>
      <c r="G573" s="18"/>
      <c r="H573" s="18"/>
      <c r="I573" s="18"/>
      <c r="J573" s="18"/>
      <c r="K573" s="18"/>
      <c r="L573" s="18"/>
      <c r="M573" s="18"/>
      <c r="N573" s="18"/>
      <c r="O573" s="1316"/>
      <c r="P573" s="18"/>
      <c r="Q573" s="18"/>
      <c r="R573" s="18"/>
      <c r="S573" s="18"/>
      <c r="T573" s="18"/>
      <c r="U573" s="18"/>
      <c r="V573" s="18"/>
      <c r="W573" s="18"/>
      <c r="X573" s="18"/>
      <c r="Y573" s="18"/>
      <c r="Z573" s="18"/>
      <c r="AA573" s="18"/>
      <c r="AB573" s="18"/>
      <c r="AC573" s="18"/>
      <c r="AD573" s="18"/>
      <c r="AE573" s="18"/>
      <c r="AF573" s="18"/>
      <c r="AG573" s="18"/>
    </row>
    <row r="574" spans="1:33" x14ac:dyDescent="0.2">
      <c r="A574" s="18"/>
      <c r="B574" s="18"/>
      <c r="C574" s="18"/>
      <c r="D574" s="18"/>
      <c r="E574" s="18"/>
      <c r="F574" s="18"/>
      <c r="G574" s="18"/>
      <c r="H574" s="18"/>
      <c r="I574" s="18"/>
      <c r="J574" s="18"/>
      <c r="K574" s="18"/>
      <c r="L574" s="18"/>
      <c r="M574" s="18"/>
      <c r="N574" s="18"/>
      <c r="O574" s="1316"/>
      <c r="P574" s="18"/>
      <c r="Q574" s="18"/>
      <c r="R574" s="18"/>
      <c r="S574" s="18"/>
      <c r="T574" s="18"/>
      <c r="U574" s="18"/>
      <c r="V574" s="18"/>
      <c r="W574" s="18"/>
      <c r="X574" s="18"/>
      <c r="Y574" s="18"/>
      <c r="Z574" s="18"/>
      <c r="AA574" s="18"/>
      <c r="AB574" s="18"/>
      <c r="AC574" s="18"/>
      <c r="AD574" s="18"/>
      <c r="AE574" s="18"/>
      <c r="AF574" s="18"/>
      <c r="AG574" s="18"/>
    </row>
    <row r="575" spans="1:33" x14ac:dyDescent="0.2">
      <c r="A575" s="18"/>
      <c r="B575" s="18"/>
      <c r="C575" s="18"/>
      <c r="D575" s="18"/>
      <c r="E575" s="18"/>
      <c r="F575" s="18"/>
      <c r="G575" s="18"/>
      <c r="H575" s="18"/>
      <c r="I575" s="18"/>
      <c r="J575" s="18"/>
      <c r="K575" s="18"/>
      <c r="L575" s="18"/>
      <c r="M575" s="18"/>
      <c r="N575" s="18"/>
      <c r="O575" s="1316"/>
      <c r="P575" s="18"/>
      <c r="Q575" s="18"/>
      <c r="R575" s="18"/>
      <c r="S575" s="18"/>
      <c r="T575" s="18"/>
      <c r="U575" s="18"/>
      <c r="V575" s="18"/>
      <c r="W575" s="18"/>
      <c r="X575" s="18"/>
      <c r="Y575" s="18"/>
      <c r="Z575" s="18"/>
      <c r="AA575" s="18"/>
      <c r="AB575" s="18"/>
      <c r="AC575" s="18"/>
      <c r="AD575" s="18"/>
      <c r="AE575" s="18"/>
      <c r="AF575" s="18"/>
      <c r="AG575" s="18"/>
    </row>
    <row r="576" spans="1:33" x14ac:dyDescent="0.2">
      <c r="A576" s="18"/>
      <c r="B576" s="18"/>
      <c r="C576" s="18"/>
      <c r="D576" s="18"/>
      <c r="E576" s="18"/>
      <c r="F576" s="18"/>
      <c r="G576" s="18"/>
      <c r="H576" s="18"/>
      <c r="I576" s="18"/>
      <c r="J576" s="18"/>
      <c r="K576" s="18"/>
      <c r="L576" s="18"/>
      <c r="M576" s="18"/>
      <c r="N576" s="18"/>
      <c r="O576" s="1316"/>
      <c r="P576" s="18"/>
      <c r="Q576" s="18"/>
      <c r="R576" s="18"/>
      <c r="S576" s="18"/>
      <c r="T576" s="18"/>
      <c r="U576" s="18"/>
      <c r="V576" s="18"/>
      <c r="W576" s="18"/>
      <c r="X576" s="18"/>
      <c r="Y576" s="18"/>
      <c r="Z576" s="18"/>
      <c r="AA576" s="18"/>
      <c r="AB576" s="18"/>
      <c r="AC576" s="18"/>
      <c r="AD576" s="18"/>
      <c r="AE576" s="18"/>
      <c r="AF576" s="18"/>
      <c r="AG576" s="18"/>
    </row>
    <row r="577" spans="1:33" x14ac:dyDescent="0.2">
      <c r="A577" s="18"/>
      <c r="B577" s="18"/>
      <c r="C577" s="18"/>
      <c r="D577" s="18"/>
      <c r="E577" s="18"/>
      <c r="F577" s="18"/>
      <c r="G577" s="18"/>
      <c r="H577" s="18"/>
      <c r="I577" s="18"/>
      <c r="J577" s="18"/>
      <c r="K577" s="18"/>
      <c r="L577" s="18"/>
      <c r="M577" s="18"/>
      <c r="N577" s="18"/>
      <c r="O577" s="1316"/>
      <c r="P577" s="18"/>
      <c r="Q577" s="18"/>
      <c r="R577" s="18"/>
      <c r="S577" s="18"/>
      <c r="T577" s="18"/>
      <c r="U577" s="18"/>
      <c r="V577" s="18"/>
      <c r="W577" s="18"/>
      <c r="X577" s="18"/>
      <c r="Y577" s="18"/>
      <c r="Z577" s="18"/>
      <c r="AA577" s="18"/>
      <c r="AB577" s="18"/>
      <c r="AC577" s="18"/>
      <c r="AD577" s="18"/>
      <c r="AE577" s="18"/>
      <c r="AF577" s="18"/>
      <c r="AG577" s="18"/>
    </row>
    <row r="578" spans="1:33" x14ac:dyDescent="0.2">
      <c r="A578" s="18"/>
      <c r="B578" s="18"/>
      <c r="C578" s="18"/>
      <c r="D578" s="18"/>
      <c r="E578" s="18"/>
      <c r="F578" s="18"/>
      <c r="G578" s="18"/>
      <c r="H578" s="18"/>
      <c r="I578" s="18"/>
      <c r="J578" s="18"/>
      <c r="K578" s="18"/>
      <c r="L578" s="18"/>
      <c r="M578" s="18"/>
      <c r="N578" s="18"/>
      <c r="O578" s="1316"/>
      <c r="P578" s="18"/>
      <c r="Q578" s="18"/>
      <c r="R578" s="18"/>
      <c r="S578" s="18"/>
      <c r="T578" s="18"/>
      <c r="U578" s="18"/>
      <c r="V578" s="18"/>
      <c r="W578" s="18"/>
      <c r="X578" s="18"/>
      <c r="Y578" s="18"/>
      <c r="Z578" s="18"/>
      <c r="AA578" s="18"/>
      <c r="AB578" s="18"/>
      <c r="AC578" s="18"/>
      <c r="AD578" s="18"/>
      <c r="AE578" s="18"/>
      <c r="AF578" s="18"/>
      <c r="AG578" s="18"/>
    </row>
    <row r="579" spans="1:33" x14ac:dyDescent="0.2">
      <c r="A579" s="18"/>
      <c r="B579" s="18"/>
      <c r="C579" s="18"/>
      <c r="D579" s="18"/>
      <c r="E579" s="18"/>
      <c r="F579" s="18"/>
      <c r="G579" s="18"/>
      <c r="H579" s="18"/>
      <c r="I579" s="18"/>
      <c r="J579" s="18"/>
      <c r="K579" s="18"/>
      <c r="L579" s="18"/>
      <c r="M579" s="18"/>
      <c r="N579" s="18"/>
      <c r="O579" s="1316"/>
      <c r="P579" s="18"/>
      <c r="Q579" s="18"/>
      <c r="R579" s="18"/>
      <c r="S579" s="18"/>
      <c r="T579" s="18"/>
      <c r="U579" s="18"/>
      <c r="V579" s="18"/>
      <c r="W579" s="18"/>
      <c r="X579" s="18"/>
      <c r="Y579" s="18"/>
      <c r="Z579" s="18"/>
      <c r="AA579" s="18"/>
      <c r="AB579" s="18"/>
      <c r="AC579" s="18"/>
      <c r="AD579" s="18"/>
      <c r="AE579" s="18"/>
      <c r="AF579" s="18"/>
      <c r="AG579" s="18"/>
    </row>
    <row r="580" spans="1:33" x14ac:dyDescent="0.2">
      <c r="A580" s="18"/>
      <c r="B580" s="18"/>
      <c r="C580" s="18"/>
      <c r="D580" s="18"/>
      <c r="E580" s="18"/>
      <c r="F580" s="18"/>
      <c r="G580" s="18"/>
      <c r="H580" s="18"/>
      <c r="I580" s="18"/>
      <c r="J580" s="18"/>
      <c r="K580" s="18"/>
      <c r="L580" s="18"/>
      <c r="M580" s="18"/>
      <c r="N580" s="18"/>
      <c r="O580" s="1316"/>
      <c r="P580" s="18"/>
      <c r="Q580" s="18"/>
      <c r="R580" s="18"/>
      <c r="S580" s="18"/>
      <c r="T580" s="18"/>
      <c r="U580" s="18"/>
      <c r="V580" s="18"/>
      <c r="W580" s="18"/>
      <c r="X580" s="18"/>
      <c r="Y580" s="18"/>
      <c r="Z580" s="18"/>
      <c r="AA580" s="18"/>
      <c r="AB580" s="18"/>
      <c r="AC580" s="18"/>
      <c r="AD580" s="18"/>
      <c r="AE580" s="18"/>
      <c r="AF580" s="18"/>
      <c r="AG580" s="18"/>
    </row>
    <row r="581" spans="1:33" x14ac:dyDescent="0.2">
      <c r="A581" s="18"/>
      <c r="B581" s="18"/>
      <c r="C581" s="18"/>
      <c r="D581" s="18"/>
      <c r="E581" s="18"/>
      <c r="F581" s="18"/>
      <c r="G581" s="18"/>
      <c r="H581" s="18"/>
      <c r="I581" s="18"/>
      <c r="J581" s="18"/>
      <c r="K581" s="18"/>
      <c r="L581" s="18"/>
      <c r="M581" s="18"/>
      <c r="N581" s="18"/>
      <c r="O581" s="1316"/>
      <c r="P581" s="18"/>
      <c r="Q581" s="18"/>
      <c r="R581" s="18"/>
      <c r="S581" s="18"/>
      <c r="T581" s="18"/>
      <c r="U581" s="18"/>
      <c r="V581" s="18"/>
      <c r="W581" s="18"/>
      <c r="X581" s="18"/>
      <c r="Y581" s="18"/>
      <c r="Z581" s="18"/>
      <c r="AA581" s="18"/>
      <c r="AB581" s="18"/>
      <c r="AC581" s="18"/>
      <c r="AD581" s="18"/>
      <c r="AE581" s="18"/>
      <c r="AF581" s="18"/>
      <c r="AG581" s="18"/>
    </row>
    <row r="582" spans="1:33" x14ac:dyDescent="0.2">
      <c r="A582" s="18"/>
      <c r="B582" s="18"/>
      <c r="C582" s="18"/>
      <c r="D582" s="18"/>
      <c r="E582" s="18"/>
      <c r="F582" s="18"/>
      <c r="G582" s="18"/>
      <c r="H582" s="18"/>
      <c r="I582" s="18"/>
      <c r="J582" s="18"/>
      <c r="K582" s="18"/>
      <c r="L582" s="18"/>
      <c r="M582" s="18"/>
      <c r="N582" s="18"/>
      <c r="O582" s="1316"/>
      <c r="P582" s="18"/>
      <c r="Q582" s="18"/>
      <c r="R582" s="18"/>
      <c r="S582" s="18"/>
      <c r="T582" s="18"/>
      <c r="U582" s="18"/>
      <c r="V582" s="18"/>
      <c r="W582" s="18"/>
      <c r="X582" s="18"/>
      <c r="Y582" s="18"/>
      <c r="Z582" s="18"/>
      <c r="AA582" s="18"/>
      <c r="AB582" s="18"/>
      <c r="AC582" s="18"/>
      <c r="AD582" s="18"/>
      <c r="AE582" s="18"/>
      <c r="AF582" s="18"/>
      <c r="AG582" s="18"/>
    </row>
    <row r="583" spans="1:33" x14ac:dyDescent="0.2">
      <c r="A583" s="18"/>
      <c r="B583" s="18"/>
      <c r="C583" s="18"/>
      <c r="D583" s="18"/>
      <c r="E583" s="18"/>
      <c r="F583" s="18"/>
      <c r="G583" s="18"/>
      <c r="H583" s="18"/>
      <c r="I583" s="18"/>
      <c r="J583" s="18"/>
      <c r="K583" s="18"/>
      <c r="L583" s="18"/>
      <c r="M583" s="18"/>
      <c r="N583" s="18"/>
      <c r="O583" s="1316"/>
      <c r="P583" s="18"/>
      <c r="Q583" s="18"/>
      <c r="R583" s="18"/>
      <c r="S583" s="18"/>
      <c r="T583" s="18"/>
      <c r="U583" s="18"/>
      <c r="V583" s="18"/>
      <c r="W583" s="18"/>
      <c r="X583" s="18"/>
      <c r="Y583" s="18"/>
      <c r="Z583" s="18"/>
      <c r="AA583" s="18"/>
      <c r="AB583" s="18"/>
      <c r="AC583" s="18"/>
      <c r="AD583" s="18"/>
      <c r="AE583" s="18"/>
      <c r="AF583" s="18"/>
      <c r="AG583" s="18"/>
    </row>
    <row r="584" spans="1:33" x14ac:dyDescent="0.2">
      <c r="A584" s="18"/>
      <c r="B584" s="18"/>
      <c r="C584" s="18"/>
      <c r="D584" s="18"/>
      <c r="E584" s="18"/>
      <c r="F584" s="18"/>
      <c r="G584" s="18"/>
      <c r="H584" s="18"/>
      <c r="I584" s="18"/>
      <c r="J584" s="18"/>
      <c r="K584" s="18"/>
      <c r="L584" s="18"/>
      <c r="M584" s="18"/>
      <c r="N584" s="18"/>
      <c r="O584" s="1316"/>
      <c r="P584" s="18"/>
      <c r="Q584" s="18"/>
      <c r="R584" s="18"/>
      <c r="S584" s="18"/>
      <c r="T584" s="18"/>
      <c r="U584" s="18"/>
      <c r="V584" s="18"/>
      <c r="W584" s="18"/>
      <c r="X584" s="18"/>
      <c r="Y584" s="18"/>
      <c r="Z584" s="18"/>
      <c r="AA584" s="18"/>
      <c r="AB584" s="18"/>
      <c r="AC584" s="18"/>
      <c r="AD584" s="18"/>
      <c r="AE584" s="18"/>
      <c r="AF584" s="18"/>
      <c r="AG584" s="18"/>
    </row>
    <row r="585" spans="1:33" x14ac:dyDescent="0.2">
      <c r="A585" s="18"/>
      <c r="B585" s="18"/>
      <c r="C585" s="18"/>
      <c r="D585" s="18"/>
      <c r="E585" s="18"/>
      <c r="F585" s="18"/>
      <c r="G585" s="18"/>
      <c r="H585" s="18"/>
      <c r="I585" s="18"/>
      <c r="J585" s="18"/>
      <c r="K585" s="18"/>
      <c r="L585" s="18"/>
      <c r="M585" s="18"/>
      <c r="N585" s="18"/>
      <c r="O585" s="1316"/>
      <c r="P585" s="18"/>
      <c r="Q585" s="18"/>
      <c r="R585" s="18"/>
      <c r="S585" s="18"/>
      <c r="T585" s="18"/>
      <c r="U585" s="18"/>
      <c r="V585" s="18"/>
      <c r="W585" s="18"/>
      <c r="X585" s="18"/>
      <c r="Y585" s="18"/>
      <c r="Z585" s="18"/>
      <c r="AA585" s="18"/>
      <c r="AB585" s="18"/>
      <c r="AC585" s="18"/>
      <c r="AD585" s="18"/>
      <c r="AE585" s="18"/>
      <c r="AF585" s="18"/>
      <c r="AG585" s="18"/>
    </row>
    <row r="586" spans="1:33" x14ac:dyDescent="0.2">
      <c r="A586" s="18"/>
      <c r="B586" s="18"/>
      <c r="C586" s="18"/>
      <c r="D586" s="18"/>
      <c r="E586" s="18"/>
      <c r="F586" s="18"/>
      <c r="G586" s="18"/>
      <c r="H586" s="18"/>
      <c r="I586" s="18"/>
      <c r="J586" s="18"/>
      <c r="K586" s="18"/>
      <c r="L586" s="18"/>
      <c r="M586" s="18"/>
      <c r="N586" s="18"/>
      <c r="O586" s="1316"/>
      <c r="P586" s="18"/>
      <c r="Q586" s="18"/>
      <c r="R586" s="18"/>
      <c r="S586" s="18"/>
      <c r="T586" s="18"/>
      <c r="U586" s="18"/>
      <c r="V586" s="18"/>
      <c r="W586" s="18"/>
      <c r="X586" s="18"/>
      <c r="Y586" s="18"/>
      <c r="Z586" s="18"/>
      <c r="AA586" s="18"/>
      <c r="AB586" s="18"/>
      <c r="AC586" s="18"/>
      <c r="AD586" s="18"/>
      <c r="AE586" s="18"/>
      <c r="AF586" s="18"/>
      <c r="AG586" s="18"/>
    </row>
    <row r="587" spans="1:33" x14ac:dyDescent="0.2">
      <c r="A587" s="18"/>
      <c r="B587" s="18"/>
      <c r="C587" s="18"/>
      <c r="D587" s="18"/>
      <c r="E587" s="18"/>
      <c r="F587" s="18"/>
      <c r="G587" s="18"/>
      <c r="H587" s="18"/>
      <c r="I587" s="18"/>
      <c r="J587" s="18"/>
      <c r="K587" s="18"/>
      <c r="L587" s="18"/>
      <c r="M587" s="18"/>
      <c r="N587" s="18"/>
      <c r="O587" s="1316"/>
      <c r="P587" s="18"/>
      <c r="Q587" s="18"/>
      <c r="R587" s="18"/>
      <c r="S587" s="18"/>
      <c r="T587" s="18"/>
      <c r="U587" s="18"/>
      <c r="V587" s="18"/>
      <c r="W587" s="18"/>
      <c r="X587" s="18"/>
      <c r="Y587" s="18"/>
      <c r="Z587" s="18"/>
      <c r="AA587" s="18"/>
      <c r="AB587" s="18"/>
      <c r="AC587" s="18"/>
      <c r="AD587" s="18"/>
      <c r="AE587" s="18"/>
      <c r="AF587" s="18"/>
      <c r="AG587" s="18"/>
    </row>
    <row r="588" spans="1:33" x14ac:dyDescent="0.2">
      <c r="A588" s="18"/>
      <c r="B588" s="18"/>
      <c r="C588" s="18"/>
      <c r="D588" s="18"/>
      <c r="E588" s="18"/>
      <c r="F588" s="18"/>
      <c r="G588" s="18"/>
      <c r="H588" s="18"/>
      <c r="I588" s="18"/>
      <c r="J588" s="18"/>
      <c r="K588" s="18"/>
      <c r="L588" s="18"/>
      <c r="M588" s="18"/>
      <c r="N588" s="18"/>
      <c r="O588" s="1316"/>
      <c r="P588" s="18"/>
      <c r="Q588" s="18"/>
      <c r="R588" s="18"/>
      <c r="S588" s="18"/>
      <c r="T588" s="18"/>
      <c r="U588" s="18"/>
      <c r="V588" s="18"/>
      <c r="W588" s="18"/>
      <c r="X588" s="18"/>
      <c r="Y588" s="18"/>
      <c r="Z588" s="18"/>
      <c r="AA588" s="18"/>
      <c r="AB588" s="18"/>
      <c r="AC588" s="18"/>
      <c r="AD588" s="18"/>
      <c r="AE588" s="18"/>
      <c r="AF588" s="18"/>
      <c r="AG588" s="18"/>
    </row>
    <row r="589" spans="1:33" x14ac:dyDescent="0.2">
      <c r="A589" s="18"/>
      <c r="B589" s="18"/>
      <c r="C589" s="18"/>
      <c r="D589" s="18"/>
      <c r="E589" s="18"/>
      <c r="F589" s="18"/>
      <c r="G589" s="18"/>
      <c r="H589" s="18"/>
      <c r="I589" s="18"/>
      <c r="J589" s="18"/>
      <c r="K589" s="18"/>
      <c r="L589" s="18"/>
      <c r="M589" s="18"/>
      <c r="N589" s="18"/>
      <c r="O589" s="1316"/>
      <c r="P589" s="18"/>
      <c r="Q589" s="18"/>
      <c r="R589" s="18"/>
      <c r="S589" s="18"/>
      <c r="T589" s="18"/>
      <c r="U589" s="18"/>
      <c r="V589" s="18"/>
      <c r="W589" s="18"/>
      <c r="X589" s="18"/>
      <c r="Y589" s="18"/>
      <c r="Z589" s="18"/>
      <c r="AA589" s="18"/>
      <c r="AB589" s="18"/>
      <c r="AC589" s="18"/>
      <c r="AD589" s="18"/>
      <c r="AE589" s="18"/>
      <c r="AF589" s="18"/>
      <c r="AG589" s="18"/>
    </row>
    <row r="590" spans="1:33" x14ac:dyDescent="0.2">
      <c r="A590" s="18"/>
      <c r="B590" s="18"/>
      <c r="C590" s="18"/>
      <c r="D590" s="18"/>
      <c r="E590" s="18"/>
      <c r="F590" s="18"/>
      <c r="G590" s="18"/>
      <c r="H590" s="18"/>
      <c r="I590" s="18"/>
      <c r="J590" s="18"/>
      <c r="K590" s="18"/>
      <c r="L590" s="18"/>
      <c r="M590" s="18"/>
      <c r="N590" s="18"/>
      <c r="O590" s="1316"/>
      <c r="P590" s="18"/>
      <c r="Q590" s="18"/>
      <c r="R590" s="18"/>
      <c r="S590" s="18"/>
      <c r="T590" s="18"/>
      <c r="U590" s="18"/>
      <c r="V590" s="18"/>
      <c r="W590" s="18"/>
      <c r="X590" s="18"/>
      <c r="Y590" s="18"/>
      <c r="Z590" s="18"/>
      <c r="AA590" s="18"/>
      <c r="AB590" s="18"/>
      <c r="AC590" s="18"/>
      <c r="AD590" s="18"/>
      <c r="AE590" s="18"/>
      <c r="AF590" s="18"/>
      <c r="AG590" s="18"/>
    </row>
    <row r="591" spans="1:33" x14ac:dyDescent="0.2">
      <c r="A591" s="18"/>
      <c r="B591" s="18"/>
      <c r="C591" s="18"/>
      <c r="D591" s="18"/>
      <c r="E591" s="18"/>
      <c r="F591" s="18"/>
      <c r="G591" s="18"/>
      <c r="H591" s="18"/>
      <c r="I591" s="18"/>
      <c r="J591" s="18"/>
      <c r="K591" s="18"/>
      <c r="L591" s="18"/>
      <c r="M591" s="18"/>
      <c r="N591" s="18"/>
      <c r="O591" s="1316"/>
      <c r="P591" s="18"/>
      <c r="Q591" s="18"/>
      <c r="R591" s="18"/>
      <c r="S591" s="18"/>
      <c r="T591" s="18"/>
      <c r="U591" s="18"/>
      <c r="V591" s="18"/>
      <c r="W591" s="18"/>
      <c r="X591" s="18"/>
      <c r="Y591" s="18"/>
      <c r="Z591" s="18"/>
      <c r="AA591" s="18"/>
      <c r="AB591" s="18"/>
      <c r="AC591" s="18"/>
      <c r="AD591" s="18"/>
      <c r="AE591" s="18"/>
      <c r="AF591" s="18"/>
      <c r="AG591" s="18"/>
    </row>
    <row r="592" spans="1:33" x14ac:dyDescent="0.2">
      <c r="A592" s="18"/>
      <c r="B592" s="18"/>
      <c r="C592" s="18"/>
      <c r="D592" s="18"/>
      <c r="E592" s="18"/>
      <c r="F592" s="18"/>
      <c r="G592" s="18"/>
      <c r="H592" s="18"/>
      <c r="I592" s="18"/>
      <c r="J592" s="18"/>
      <c r="K592" s="18"/>
      <c r="L592" s="18"/>
      <c r="M592" s="18"/>
      <c r="N592" s="18"/>
      <c r="O592" s="1316"/>
      <c r="P592" s="18"/>
      <c r="Q592" s="18"/>
      <c r="R592" s="18"/>
      <c r="S592" s="18"/>
      <c r="T592" s="18"/>
      <c r="U592" s="18"/>
      <c r="V592" s="18"/>
      <c r="W592" s="18"/>
      <c r="X592" s="18"/>
      <c r="Y592" s="18"/>
      <c r="Z592" s="18"/>
      <c r="AA592" s="18"/>
      <c r="AB592" s="18"/>
      <c r="AC592" s="18"/>
      <c r="AD592" s="18"/>
      <c r="AE592" s="18"/>
      <c r="AF592" s="18"/>
      <c r="AG592" s="18"/>
    </row>
    <row r="593" spans="1:33" x14ac:dyDescent="0.2">
      <c r="A593" s="18"/>
      <c r="B593" s="18"/>
      <c r="C593" s="18"/>
      <c r="D593" s="18"/>
      <c r="E593" s="18"/>
      <c r="F593" s="18"/>
      <c r="G593" s="18"/>
      <c r="H593" s="18"/>
      <c r="I593" s="18"/>
      <c r="J593" s="18"/>
      <c r="K593" s="18"/>
      <c r="L593" s="18"/>
      <c r="M593" s="18"/>
      <c r="N593" s="18"/>
      <c r="O593" s="1316"/>
      <c r="P593" s="18"/>
      <c r="Q593" s="18"/>
      <c r="R593" s="18"/>
      <c r="S593" s="18"/>
      <c r="T593" s="18"/>
      <c r="U593" s="18"/>
      <c r="V593" s="18"/>
      <c r="W593" s="18"/>
      <c r="X593" s="18"/>
      <c r="Y593" s="18"/>
      <c r="Z593" s="18"/>
      <c r="AA593" s="18"/>
      <c r="AB593" s="18"/>
      <c r="AC593" s="18"/>
      <c r="AD593" s="18"/>
      <c r="AE593" s="18"/>
      <c r="AF593" s="18"/>
      <c r="AG593" s="18"/>
    </row>
    <row r="594" spans="1:33" x14ac:dyDescent="0.2">
      <c r="A594" s="18"/>
      <c r="B594" s="18"/>
      <c r="C594" s="18"/>
      <c r="D594" s="18"/>
      <c r="E594" s="18"/>
      <c r="F594" s="18"/>
      <c r="G594" s="18"/>
      <c r="H594" s="18"/>
      <c r="I594" s="18"/>
      <c r="J594" s="18"/>
      <c r="K594" s="18"/>
      <c r="L594" s="18"/>
      <c r="M594" s="18"/>
      <c r="N594" s="18"/>
      <c r="O594" s="1316"/>
      <c r="P594" s="18"/>
      <c r="Q594" s="18"/>
      <c r="R594" s="18"/>
      <c r="S594" s="18"/>
      <c r="T594" s="18"/>
      <c r="U594" s="18"/>
      <c r="V594" s="18"/>
      <c r="W594" s="18"/>
      <c r="X594" s="18"/>
      <c r="Y594" s="18"/>
      <c r="Z594" s="18"/>
      <c r="AA594" s="18"/>
      <c r="AB594" s="18"/>
      <c r="AC594" s="18"/>
      <c r="AD594" s="18"/>
      <c r="AE594" s="18"/>
      <c r="AF594" s="18"/>
      <c r="AG594" s="18"/>
    </row>
    <row r="595" spans="1:33" x14ac:dyDescent="0.2">
      <c r="A595" s="18"/>
      <c r="B595" s="18"/>
      <c r="C595" s="18"/>
      <c r="D595" s="18"/>
      <c r="E595" s="18"/>
      <c r="F595" s="18"/>
      <c r="G595" s="18"/>
      <c r="H595" s="18"/>
      <c r="I595" s="18"/>
      <c r="J595" s="18"/>
      <c r="K595" s="18"/>
      <c r="L595" s="18"/>
      <c r="M595" s="18"/>
      <c r="N595" s="18"/>
      <c r="O595" s="1316"/>
      <c r="P595" s="18"/>
      <c r="Q595" s="18"/>
      <c r="R595" s="18"/>
      <c r="S595" s="18"/>
      <c r="T595" s="18"/>
      <c r="U595" s="18"/>
      <c r="V595" s="18"/>
      <c r="W595" s="18"/>
      <c r="X595" s="18"/>
      <c r="Y595" s="18"/>
      <c r="Z595" s="18"/>
      <c r="AA595" s="18"/>
      <c r="AB595" s="18"/>
      <c r="AC595" s="18"/>
      <c r="AD595" s="18"/>
      <c r="AE595" s="18"/>
      <c r="AF595" s="18"/>
      <c r="AG595" s="18"/>
    </row>
    <row r="596" spans="1:33" x14ac:dyDescent="0.2">
      <c r="A596" s="18"/>
      <c r="B596" s="18"/>
      <c r="C596" s="18"/>
      <c r="D596" s="18"/>
      <c r="E596" s="18"/>
      <c r="F596" s="18"/>
      <c r="G596" s="18"/>
      <c r="H596" s="18"/>
      <c r="I596" s="18"/>
      <c r="J596" s="18"/>
      <c r="K596" s="18"/>
      <c r="L596" s="18"/>
      <c r="M596" s="18"/>
      <c r="N596" s="18"/>
      <c r="O596" s="1316"/>
      <c r="P596" s="18"/>
      <c r="Q596" s="18"/>
      <c r="R596" s="18"/>
      <c r="S596" s="18"/>
      <c r="T596" s="18"/>
      <c r="U596" s="18"/>
      <c r="V596" s="18"/>
      <c r="W596" s="18"/>
      <c r="X596" s="18"/>
      <c r="Y596" s="18"/>
      <c r="Z596" s="18"/>
      <c r="AA596" s="18"/>
      <c r="AB596" s="18"/>
      <c r="AC596" s="18"/>
      <c r="AD596" s="18"/>
      <c r="AE596" s="18"/>
      <c r="AF596" s="18"/>
      <c r="AG596" s="18"/>
    </row>
    <row r="597" spans="1:33" x14ac:dyDescent="0.2">
      <c r="A597" s="18"/>
      <c r="B597" s="18"/>
      <c r="C597" s="18"/>
      <c r="D597" s="18"/>
      <c r="E597" s="18"/>
      <c r="F597" s="18"/>
      <c r="G597" s="18"/>
      <c r="H597" s="18"/>
      <c r="I597" s="18"/>
      <c r="J597" s="18"/>
      <c r="K597" s="18"/>
      <c r="L597" s="18"/>
      <c r="M597" s="18"/>
      <c r="N597" s="18"/>
      <c r="O597" s="1316"/>
      <c r="P597" s="18"/>
      <c r="Q597" s="18"/>
      <c r="R597" s="18"/>
      <c r="S597" s="18"/>
      <c r="T597" s="18"/>
      <c r="U597" s="18"/>
      <c r="V597" s="18"/>
      <c r="W597" s="18"/>
      <c r="X597" s="18"/>
      <c r="Y597" s="18"/>
      <c r="Z597" s="18"/>
      <c r="AA597" s="18"/>
      <c r="AB597" s="18"/>
      <c r="AC597" s="18"/>
      <c r="AD597" s="18"/>
      <c r="AE597" s="18"/>
      <c r="AF597" s="18"/>
      <c r="AG597" s="18"/>
    </row>
    <row r="598" spans="1:33" x14ac:dyDescent="0.2">
      <c r="A598" s="18"/>
      <c r="B598" s="18"/>
      <c r="C598" s="18"/>
      <c r="D598" s="18"/>
      <c r="E598" s="18"/>
      <c r="F598" s="18"/>
      <c r="G598" s="18"/>
      <c r="H598" s="18"/>
      <c r="I598" s="18"/>
      <c r="J598" s="18"/>
      <c r="K598" s="18"/>
      <c r="L598" s="18"/>
      <c r="M598" s="18"/>
      <c r="N598" s="18"/>
      <c r="O598" s="1316"/>
      <c r="P598" s="18"/>
      <c r="Q598" s="18"/>
      <c r="R598" s="18"/>
      <c r="S598" s="18"/>
      <c r="T598" s="18"/>
      <c r="U598" s="18"/>
      <c r="V598" s="18"/>
      <c r="W598" s="18"/>
      <c r="X598" s="18"/>
      <c r="Y598" s="18"/>
      <c r="Z598" s="18"/>
      <c r="AA598" s="18"/>
      <c r="AB598" s="18"/>
      <c r="AC598" s="18"/>
      <c r="AD598" s="18"/>
      <c r="AE598" s="18"/>
      <c r="AF598" s="18"/>
      <c r="AG598" s="18"/>
    </row>
    <row r="599" spans="1:33" x14ac:dyDescent="0.2">
      <c r="A599" s="18"/>
      <c r="B599" s="18"/>
      <c r="C599" s="18"/>
      <c r="D599" s="18"/>
      <c r="E599" s="18"/>
      <c r="F599" s="18"/>
      <c r="G599" s="18"/>
      <c r="H599" s="18"/>
      <c r="I599" s="18"/>
      <c r="J599" s="18"/>
      <c r="K599" s="18"/>
      <c r="L599" s="18"/>
      <c r="M599" s="18"/>
      <c r="N599" s="18"/>
      <c r="O599" s="1316"/>
      <c r="P599" s="18"/>
      <c r="Q599" s="18"/>
      <c r="R599" s="18"/>
      <c r="S599" s="18"/>
      <c r="T599" s="18"/>
      <c r="U599" s="18"/>
      <c r="V599" s="18"/>
      <c r="W599" s="18"/>
      <c r="X599" s="18"/>
      <c r="Y599" s="18"/>
      <c r="Z599" s="18"/>
      <c r="AA599" s="18"/>
      <c r="AB599" s="18"/>
      <c r="AC599" s="18"/>
      <c r="AD599" s="18"/>
      <c r="AE599" s="18"/>
      <c r="AF599" s="18"/>
      <c r="AG599" s="18"/>
    </row>
    <row r="600" spans="1:33" x14ac:dyDescent="0.2">
      <c r="A600" s="18"/>
      <c r="B600" s="18"/>
      <c r="C600" s="18"/>
      <c r="D600" s="18"/>
      <c r="E600" s="18"/>
      <c r="F600" s="18"/>
      <c r="G600" s="18"/>
      <c r="H600" s="18"/>
      <c r="I600" s="18"/>
      <c r="J600" s="18"/>
      <c r="K600" s="18"/>
      <c r="L600" s="18"/>
      <c r="M600" s="18"/>
      <c r="N600" s="18"/>
      <c r="O600" s="1316"/>
      <c r="P600" s="18"/>
      <c r="Q600" s="18"/>
      <c r="R600" s="18"/>
      <c r="S600" s="18"/>
      <c r="T600" s="18"/>
      <c r="U600" s="18"/>
      <c r="V600" s="18"/>
      <c r="W600" s="18"/>
      <c r="X600" s="18"/>
      <c r="Y600" s="18"/>
      <c r="Z600" s="18"/>
      <c r="AA600" s="18"/>
      <c r="AB600" s="18"/>
      <c r="AC600" s="18"/>
      <c r="AD600" s="18"/>
      <c r="AE600" s="18"/>
      <c r="AF600" s="18"/>
      <c r="AG600" s="18"/>
    </row>
    <row r="601" spans="1:33" x14ac:dyDescent="0.2">
      <c r="A601" s="18"/>
      <c r="B601" s="18"/>
      <c r="C601" s="18"/>
      <c r="D601" s="18"/>
      <c r="E601" s="18"/>
      <c r="F601" s="18"/>
      <c r="G601" s="18"/>
      <c r="H601" s="18"/>
      <c r="I601" s="18"/>
      <c r="J601" s="18"/>
      <c r="K601" s="18"/>
      <c r="L601" s="18"/>
      <c r="M601" s="18"/>
      <c r="N601" s="18"/>
      <c r="O601" s="1316"/>
      <c r="P601" s="18"/>
      <c r="Q601" s="18"/>
      <c r="R601" s="18"/>
      <c r="S601" s="18"/>
      <c r="T601" s="18"/>
      <c r="U601" s="18"/>
      <c r="V601" s="18"/>
      <c r="W601" s="18"/>
      <c r="X601" s="18"/>
      <c r="Y601" s="18"/>
      <c r="Z601" s="18"/>
      <c r="AA601" s="18"/>
      <c r="AB601" s="18"/>
      <c r="AC601" s="18"/>
      <c r="AD601" s="18"/>
      <c r="AE601" s="18"/>
      <c r="AF601" s="18"/>
      <c r="AG601" s="18"/>
    </row>
    <row r="602" spans="1:33" x14ac:dyDescent="0.2">
      <c r="A602" s="18"/>
      <c r="B602" s="18"/>
      <c r="C602" s="18"/>
      <c r="D602" s="18"/>
      <c r="E602" s="18"/>
      <c r="F602" s="18"/>
      <c r="G602" s="18"/>
      <c r="H602" s="18"/>
      <c r="I602" s="18"/>
      <c r="J602" s="18"/>
      <c r="K602" s="18"/>
      <c r="L602" s="18"/>
      <c r="M602" s="18"/>
      <c r="N602" s="18"/>
      <c r="O602" s="1316"/>
      <c r="P602" s="18"/>
      <c r="Q602" s="18"/>
      <c r="R602" s="18"/>
      <c r="S602" s="18"/>
      <c r="T602" s="18"/>
      <c r="U602" s="18"/>
      <c r="V602" s="18"/>
      <c r="W602" s="18"/>
      <c r="X602" s="18"/>
      <c r="Y602" s="18"/>
      <c r="Z602" s="18"/>
      <c r="AA602" s="18"/>
      <c r="AB602" s="18"/>
      <c r="AC602" s="18"/>
      <c r="AD602" s="18"/>
      <c r="AE602" s="18"/>
      <c r="AF602" s="18"/>
      <c r="AG602" s="18"/>
    </row>
    <row r="603" spans="1:33" x14ac:dyDescent="0.2">
      <c r="A603" s="18"/>
      <c r="B603" s="18"/>
      <c r="C603" s="18"/>
      <c r="D603" s="18"/>
      <c r="E603" s="18"/>
      <c r="F603" s="18"/>
      <c r="G603" s="18"/>
      <c r="H603" s="18"/>
      <c r="I603" s="18"/>
      <c r="J603" s="18"/>
      <c r="K603" s="18"/>
      <c r="L603" s="18"/>
      <c r="M603" s="18"/>
      <c r="N603" s="18"/>
      <c r="O603" s="1316"/>
      <c r="P603" s="18"/>
      <c r="Q603" s="18"/>
      <c r="R603" s="18"/>
      <c r="S603" s="18"/>
      <c r="T603" s="18"/>
      <c r="U603" s="18"/>
      <c r="V603" s="18"/>
      <c r="W603" s="18"/>
      <c r="X603" s="18"/>
      <c r="Y603" s="18"/>
      <c r="Z603" s="18"/>
      <c r="AA603" s="18"/>
      <c r="AB603" s="18"/>
      <c r="AC603" s="18"/>
      <c r="AD603" s="18"/>
      <c r="AE603" s="18"/>
      <c r="AF603" s="18"/>
      <c r="AG603" s="18"/>
    </row>
    <row r="604" spans="1:33" x14ac:dyDescent="0.2">
      <c r="A604" s="18"/>
      <c r="B604" s="18"/>
      <c r="C604" s="18"/>
      <c r="D604" s="18"/>
      <c r="E604" s="18"/>
      <c r="F604" s="18"/>
      <c r="G604" s="18"/>
      <c r="H604" s="18"/>
      <c r="I604" s="18"/>
      <c r="J604" s="18"/>
      <c r="K604" s="18"/>
      <c r="L604" s="18"/>
      <c r="M604" s="18"/>
      <c r="N604" s="18"/>
      <c r="O604" s="1316"/>
      <c r="P604" s="18"/>
      <c r="Q604" s="18"/>
      <c r="R604" s="18"/>
      <c r="S604" s="18"/>
      <c r="T604" s="18"/>
      <c r="U604" s="18"/>
      <c r="V604" s="18"/>
      <c r="W604" s="18"/>
      <c r="X604" s="18"/>
      <c r="Y604" s="18"/>
      <c r="Z604" s="18"/>
      <c r="AA604" s="18"/>
      <c r="AB604" s="18"/>
      <c r="AC604" s="18"/>
      <c r="AD604" s="18"/>
      <c r="AE604" s="18"/>
      <c r="AF604" s="18"/>
      <c r="AG604" s="18"/>
    </row>
    <row r="605" spans="1:33" x14ac:dyDescent="0.2">
      <c r="A605" s="18"/>
      <c r="B605" s="18"/>
      <c r="C605" s="18"/>
      <c r="D605" s="18"/>
      <c r="E605" s="18"/>
      <c r="F605" s="18"/>
      <c r="G605" s="18"/>
      <c r="H605" s="18"/>
      <c r="I605" s="18"/>
      <c r="J605" s="18"/>
      <c r="K605" s="18"/>
      <c r="L605" s="18"/>
      <c r="M605" s="18"/>
      <c r="N605" s="18"/>
      <c r="O605" s="1316"/>
      <c r="P605" s="18"/>
      <c r="Q605" s="18"/>
      <c r="R605" s="18"/>
      <c r="S605" s="18"/>
      <c r="T605" s="18"/>
      <c r="U605" s="18"/>
      <c r="V605" s="18"/>
      <c r="W605" s="18"/>
      <c r="X605" s="18"/>
      <c r="Y605" s="18"/>
      <c r="Z605" s="18"/>
      <c r="AA605" s="18"/>
      <c r="AB605" s="18"/>
      <c r="AC605" s="18"/>
      <c r="AD605" s="18"/>
      <c r="AE605" s="18"/>
      <c r="AF605" s="18"/>
      <c r="AG605" s="18"/>
    </row>
    <row r="606" spans="1:33" x14ac:dyDescent="0.2">
      <c r="A606" s="18"/>
      <c r="B606" s="18"/>
      <c r="C606" s="18"/>
      <c r="D606" s="18"/>
      <c r="E606" s="18"/>
      <c r="F606" s="18"/>
      <c r="G606" s="18"/>
      <c r="H606" s="18"/>
      <c r="I606" s="18"/>
      <c r="J606" s="18"/>
      <c r="K606" s="18"/>
      <c r="L606" s="18"/>
      <c r="M606" s="18"/>
      <c r="N606" s="18"/>
      <c r="O606" s="1316"/>
      <c r="P606" s="18"/>
      <c r="Q606" s="18"/>
      <c r="R606" s="18"/>
      <c r="S606" s="18"/>
      <c r="T606" s="18"/>
      <c r="U606" s="18"/>
      <c r="V606" s="18"/>
      <c r="W606" s="18"/>
      <c r="X606" s="18"/>
      <c r="Y606" s="18"/>
      <c r="Z606" s="18"/>
      <c r="AA606" s="18"/>
      <c r="AB606" s="18"/>
      <c r="AC606" s="18"/>
      <c r="AD606" s="18"/>
      <c r="AE606" s="18"/>
      <c r="AF606" s="18"/>
      <c r="AG606" s="18"/>
    </row>
    <row r="607" spans="1:33" x14ac:dyDescent="0.2">
      <c r="A607" s="18"/>
      <c r="B607" s="18"/>
      <c r="C607" s="18"/>
      <c r="D607" s="18"/>
      <c r="E607" s="18"/>
      <c r="F607" s="18"/>
      <c r="G607" s="18"/>
      <c r="H607" s="18"/>
      <c r="I607" s="18"/>
      <c r="J607" s="18"/>
      <c r="K607" s="18"/>
      <c r="L607" s="18"/>
      <c r="M607" s="18"/>
      <c r="N607" s="18"/>
      <c r="O607" s="1316"/>
      <c r="P607" s="18"/>
      <c r="Q607" s="18"/>
      <c r="R607" s="18"/>
      <c r="S607" s="18"/>
      <c r="T607" s="18"/>
      <c r="U607" s="18"/>
      <c r="V607" s="18"/>
      <c r="W607" s="18"/>
      <c r="X607" s="18"/>
      <c r="Y607" s="18"/>
      <c r="Z607" s="18"/>
      <c r="AA607" s="18"/>
      <c r="AB607" s="18"/>
      <c r="AC607" s="18"/>
      <c r="AD607" s="18"/>
      <c r="AE607" s="18"/>
      <c r="AF607" s="18"/>
      <c r="AG607" s="18"/>
    </row>
    <row r="608" spans="1:33" x14ac:dyDescent="0.2">
      <c r="A608" s="18"/>
      <c r="B608" s="18"/>
      <c r="C608" s="18"/>
      <c r="D608" s="18"/>
      <c r="E608" s="18"/>
      <c r="F608" s="18"/>
      <c r="G608" s="18"/>
      <c r="H608" s="18"/>
      <c r="I608" s="18"/>
      <c r="J608" s="18"/>
      <c r="K608" s="18"/>
      <c r="L608" s="18"/>
      <c r="M608" s="18"/>
      <c r="N608" s="18"/>
      <c r="O608" s="1316"/>
      <c r="P608" s="18"/>
      <c r="Q608" s="18"/>
      <c r="R608" s="18"/>
      <c r="S608" s="18"/>
      <c r="T608" s="18"/>
      <c r="U608" s="18"/>
      <c r="V608" s="18"/>
      <c r="W608" s="18"/>
      <c r="X608" s="18"/>
      <c r="Y608" s="18"/>
      <c r="Z608" s="18"/>
      <c r="AA608" s="18"/>
      <c r="AB608" s="18"/>
      <c r="AC608" s="18"/>
      <c r="AD608" s="18"/>
      <c r="AE608" s="18"/>
      <c r="AF608" s="18"/>
      <c r="AG608" s="18"/>
    </row>
    <row r="609" spans="1:33" x14ac:dyDescent="0.2">
      <c r="A609" s="18"/>
      <c r="B609" s="18"/>
      <c r="C609" s="18"/>
      <c r="D609" s="18"/>
      <c r="E609" s="18"/>
      <c r="F609" s="18"/>
      <c r="G609" s="18"/>
      <c r="H609" s="18"/>
      <c r="I609" s="18"/>
      <c r="J609" s="18"/>
      <c r="K609" s="18"/>
      <c r="L609" s="18"/>
      <c r="M609" s="18"/>
      <c r="N609" s="18"/>
      <c r="O609" s="1316"/>
      <c r="P609" s="18"/>
      <c r="Q609" s="18"/>
      <c r="R609" s="18"/>
      <c r="S609" s="18"/>
      <c r="T609" s="18"/>
      <c r="U609" s="18"/>
      <c r="V609" s="18"/>
      <c r="W609" s="18"/>
      <c r="X609" s="18"/>
      <c r="Y609" s="18"/>
      <c r="Z609" s="18"/>
      <c r="AA609" s="18"/>
      <c r="AB609" s="18"/>
      <c r="AC609" s="18"/>
      <c r="AD609" s="18"/>
      <c r="AE609" s="18"/>
      <c r="AF609" s="18"/>
      <c r="AG609" s="18"/>
    </row>
    <row r="610" spans="1:33" x14ac:dyDescent="0.2">
      <c r="A610" s="18"/>
      <c r="B610" s="18"/>
      <c r="C610" s="18"/>
      <c r="D610" s="18"/>
      <c r="E610" s="18"/>
      <c r="F610" s="18"/>
      <c r="G610" s="18"/>
      <c r="H610" s="18"/>
      <c r="I610" s="18"/>
      <c r="J610" s="18"/>
      <c r="K610" s="18"/>
      <c r="L610" s="18"/>
      <c r="M610" s="18"/>
      <c r="N610" s="18"/>
      <c r="O610" s="1316"/>
      <c r="P610" s="18"/>
      <c r="Q610" s="18"/>
      <c r="R610" s="18"/>
      <c r="S610" s="18"/>
      <c r="T610" s="18"/>
      <c r="U610" s="18"/>
      <c r="V610" s="18"/>
      <c r="W610" s="18"/>
      <c r="X610" s="18"/>
      <c r="Y610" s="18"/>
      <c r="Z610" s="18"/>
      <c r="AA610" s="18"/>
      <c r="AB610" s="18"/>
      <c r="AC610" s="18"/>
      <c r="AD610" s="18"/>
      <c r="AE610" s="18"/>
      <c r="AF610" s="18"/>
      <c r="AG610" s="18"/>
    </row>
    <row r="611" spans="1:33" x14ac:dyDescent="0.2">
      <c r="A611" s="18"/>
      <c r="B611" s="18"/>
      <c r="C611" s="18"/>
      <c r="D611" s="18"/>
      <c r="E611" s="18"/>
      <c r="F611" s="18"/>
      <c r="G611" s="18"/>
      <c r="H611" s="18"/>
      <c r="I611" s="18"/>
      <c r="J611" s="18"/>
      <c r="K611" s="18"/>
      <c r="L611" s="18"/>
      <c r="M611" s="18"/>
      <c r="N611" s="18"/>
      <c r="O611" s="1316"/>
      <c r="P611" s="18"/>
      <c r="Q611" s="18"/>
      <c r="R611" s="18"/>
      <c r="S611" s="18"/>
      <c r="T611" s="18"/>
      <c r="U611" s="18"/>
      <c r="V611" s="18"/>
      <c r="W611" s="18"/>
      <c r="X611" s="18"/>
      <c r="Y611" s="18"/>
      <c r="Z611" s="18"/>
      <c r="AA611" s="18"/>
      <c r="AB611" s="18"/>
      <c r="AC611" s="18"/>
      <c r="AD611" s="18"/>
      <c r="AE611" s="18"/>
      <c r="AF611" s="18"/>
      <c r="AG611" s="18"/>
    </row>
    <row r="612" spans="1:33" x14ac:dyDescent="0.2">
      <c r="A612" s="18"/>
      <c r="B612" s="18"/>
      <c r="C612" s="18"/>
      <c r="D612" s="18"/>
      <c r="E612" s="18"/>
      <c r="F612" s="18"/>
      <c r="G612" s="18"/>
      <c r="H612" s="18"/>
      <c r="I612" s="18"/>
      <c r="J612" s="18"/>
      <c r="K612" s="18"/>
      <c r="L612" s="18"/>
      <c r="M612" s="18"/>
      <c r="N612" s="18"/>
      <c r="O612" s="1316"/>
      <c r="P612" s="18"/>
      <c r="Q612" s="18"/>
      <c r="R612" s="18"/>
      <c r="S612" s="18"/>
      <c r="T612" s="18"/>
      <c r="U612" s="18"/>
      <c r="V612" s="18"/>
      <c r="W612" s="18"/>
      <c r="X612" s="18"/>
      <c r="Y612" s="18"/>
      <c r="Z612" s="18"/>
      <c r="AA612" s="18"/>
      <c r="AB612" s="18"/>
      <c r="AC612" s="18"/>
      <c r="AD612" s="18"/>
      <c r="AE612" s="18"/>
      <c r="AF612" s="18"/>
      <c r="AG612" s="18"/>
    </row>
    <row r="613" spans="1:33" x14ac:dyDescent="0.2">
      <c r="A613" s="18"/>
      <c r="B613" s="18"/>
      <c r="C613" s="18"/>
      <c r="D613" s="18"/>
      <c r="E613" s="18"/>
      <c r="F613" s="18"/>
      <c r="G613" s="18"/>
      <c r="H613" s="18"/>
      <c r="I613" s="18"/>
      <c r="J613" s="18"/>
      <c r="K613" s="18"/>
      <c r="L613" s="18"/>
      <c r="M613" s="18"/>
      <c r="N613" s="18"/>
      <c r="O613" s="1316"/>
      <c r="P613" s="18"/>
      <c r="Q613" s="18"/>
      <c r="R613" s="18"/>
      <c r="S613" s="18"/>
      <c r="T613" s="18"/>
      <c r="U613" s="18"/>
      <c r="V613" s="18"/>
      <c r="W613" s="18"/>
      <c r="X613" s="18"/>
      <c r="Y613" s="18"/>
      <c r="Z613" s="18"/>
      <c r="AA613" s="18"/>
      <c r="AB613" s="18"/>
      <c r="AC613" s="18"/>
      <c r="AD613" s="18"/>
      <c r="AE613" s="18"/>
      <c r="AF613" s="18"/>
      <c r="AG613" s="18"/>
    </row>
    <row r="614" spans="1:33" x14ac:dyDescent="0.2">
      <c r="A614" s="18"/>
      <c r="B614" s="18"/>
      <c r="C614" s="18"/>
      <c r="D614" s="18"/>
      <c r="E614" s="18"/>
      <c r="F614" s="18"/>
      <c r="G614" s="18"/>
      <c r="H614" s="18"/>
      <c r="I614" s="18"/>
      <c r="J614" s="18"/>
      <c r="K614" s="18"/>
      <c r="L614" s="18"/>
      <c r="M614" s="18"/>
      <c r="N614" s="18"/>
      <c r="O614" s="1316"/>
      <c r="P614" s="18"/>
      <c r="Q614" s="18"/>
      <c r="R614" s="18"/>
      <c r="S614" s="18"/>
      <c r="T614" s="18"/>
      <c r="U614" s="18"/>
      <c r="V614" s="18"/>
      <c r="W614" s="18"/>
      <c r="X614" s="18"/>
      <c r="Y614" s="18"/>
      <c r="Z614" s="18"/>
      <c r="AA614" s="18"/>
      <c r="AB614" s="18"/>
      <c r="AC614" s="18"/>
      <c r="AD614" s="18"/>
      <c r="AE614" s="18"/>
      <c r="AF614" s="18"/>
      <c r="AG614" s="18"/>
    </row>
    <row r="615" spans="1:33" x14ac:dyDescent="0.2">
      <c r="A615" s="18"/>
      <c r="B615" s="18"/>
      <c r="C615" s="18"/>
      <c r="D615" s="18"/>
      <c r="E615" s="18"/>
      <c r="F615" s="18"/>
      <c r="G615" s="18"/>
      <c r="H615" s="18"/>
      <c r="I615" s="18"/>
      <c r="J615" s="18"/>
      <c r="K615" s="18"/>
      <c r="L615" s="18"/>
      <c r="M615" s="18"/>
      <c r="N615" s="18"/>
      <c r="O615" s="1316"/>
      <c r="P615" s="18"/>
      <c r="Q615" s="18"/>
      <c r="R615" s="18"/>
      <c r="S615" s="18"/>
      <c r="T615" s="18"/>
      <c r="U615" s="18"/>
      <c r="V615" s="18"/>
      <c r="W615" s="18"/>
      <c r="X615" s="18"/>
      <c r="Y615" s="18"/>
      <c r="Z615" s="18"/>
      <c r="AA615" s="18"/>
      <c r="AB615" s="18"/>
      <c r="AC615" s="18"/>
      <c r="AD615" s="18"/>
      <c r="AE615" s="18"/>
      <c r="AF615" s="18"/>
      <c r="AG615" s="18"/>
    </row>
    <row r="616" spans="1:33" x14ac:dyDescent="0.2">
      <c r="A616" s="18"/>
      <c r="B616" s="18"/>
      <c r="C616" s="18"/>
      <c r="D616" s="18"/>
      <c r="E616" s="18"/>
      <c r="F616" s="18"/>
      <c r="G616" s="18"/>
      <c r="H616" s="18"/>
      <c r="I616" s="18"/>
      <c r="J616" s="18"/>
      <c r="K616" s="18"/>
      <c r="L616" s="18"/>
      <c r="M616" s="18"/>
      <c r="N616" s="18"/>
      <c r="O616" s="1316"/>
      <c r="P616" s="18"/>
      <c r="Q616" s="18"/>
      <c r="R616" s="18"/>
      <c r="S616" s="18"/>
      <c r="T616" s="18"/>
      <c r="U616" s="18"/>
      <c r="V616" s="18"/>
      <c r="W616" s="18"/>
      <c r="X616" s="18"/>
      <c r="Y616" s="18"/>
      <c r="Z616" s="18"/>
      <c r="AA616" s="18"/>
      <c r="AB616" s="18"/>
      <c r="AC616" s="18"/>
      <c r="AD616" s="18"/>
      <c r="AE616" s="18"/>
      <c r="AF616" s="18"/>
      <c r="AG616" s="18"/>
    </row>
    <row r="617" spans="1:33" x14ac:dyDescent="0.2">
      <c r="A617" s="18"/>
      <c r="B617" s="18"/>
      <c r="C617" s="18"/>
      <c r="D617" s="18"/>
      <c r="E617" s="18"/>
      <c r="F617" s="18"/>
      <c r="G617" s="18"/>
      <c r="H617" s="18"/>
      <c r="I617" s="18"/>
      <c r="J617" s="18"/>
      <c r="K617" s="18"/>
      <c r="L617" s="18"/>
      <c r="M617" s="18"/>
      <c r="N617" s="18"/>
      <c r="O617" s="1316"/>
      <c r="P617" s="18"/>
      <c r="Q617" s="18"/>
      <c r="R617" s="18"/>
      <c r="S617" s="18"/>
      <c r="T617" s="18"/>
      <c r="U617" s="18"/>
      <c r="V617" s="18"/>
      <c r="W617" s="18"/>
      <c r="X617" s="18"/>
      <c r="Y617" s="18"/>
      <c r="Z617" s="18"/>
      <c r="AA617" s="18"/>
      <c r="AB617" s="18"/>
      <c r="AC617" s="18"/>
      <c r="AD617" s="18"/>
      <c r="AE617" s="18"/>
      <c r="AF617" s="18"/>
      <c r="AG617" s="18"/>
    </row>
    <row r="618" spans="1:33" x14ac:dyDescent="0.2">
      <c r="A618" s="18"/>
      <c r="B618" s="18"/>
      <c r="C618" s="18"/>
      <c r="D618" s="18"/>
      <c r="E618" s="18"/>
      <c r="F618" s="18"/>
      <c r="G618" s="18"/>
      <c r="H618" s="18"/>
      <c r="I618" s="18"/>
      <c r="J618" s="18"/>
      <c r="K618" s="18"/>
      <c r="L618" s="18"/>
      <c r="M618" s="18"/>
      <c r="N618" s="18"/>
      <c r="O618" s="1316"/>
      <c r="P618" s="18"/>
      <c r="Q618" s="18"/>
      <c r="R618" s="18"/>
      <c r="S618" s="18"/>
      <c r="T618" s="18"/>
      <c r="U618" s="18"/>
      <c r="V618" s="18"/>
      <c r="W618" s="18"/>
      <c r="X618" s="18"/>
      <c r="Y618" s="18"/>
      <c r="Z618" s="18"/>
      <c r="AA618" s="18"/>
      <c r="AB618" s="18"/>
      <c r="AC618" s="18"/>
      <c r="AD618" s="18"/>
      <c r="AE618" s="18"/>
      <c r="AF618" s="18"/>
      <c r="AG618" s="18"/>
    </row>
    <row r="619" spans="1:33" x14ac:dyDescent="0.2">
      <c r="A619" s="18"/>
      <c r="B619" s="18"/>
      <c r="C619" s="18"/>
      <c r="D619" s="18"/>
      <c r="E619" s="18"/>
      <c r="F619" s="18"/>
      <c r="G619" s="18"/>
      <c r="H619" s="18"/>
      <c r="I619" s="18"/>
      <c r="J619" s="18"/>
      <c r="K619" s="18"/>
      <c r="L619" s="18"/>
      <c r="M619" s="18"/>
      <c r="N619" s="18"/>
      <c r="O619" s="1316"/>
      <c r="P619" s="18"/>
      <c r="Q619" s="18"/>
      <c r="R619" s="18"/>
      <c r="S619" s="18"/>
      <c r="T619" s="18"/>
      <c r="U619" s="18"/>
      <c r="V619" s="18"/>
      <c r="W619" s="18"/>
      <c r="X619" s="18"/>
      <c r="Y619" s="18"/>
      <c r="Z619" s="18"/>
      <c r="AA619" s="18"/>
      <c r="AB619" s="18"/>
      <c r="AC619" s="18"/>
      <c r="AD619" s="18"/>
      <c r="AE619" s="18"/>
      <c r="AF619" s="18"/>
      <c r="AG619" s="18"/>
    </row>
    <row r="620" spans="1:33" x14ac:dyDescent="0.2">
      <c r="A620" s="18"/>
      <c r="B620" s="18"/>
      <c r="C620" s="18"/>
      <c r="D620" s="18"/>
      <c r="E620" s="18"/>
      <c r="F620" s="18"/>
      <c r="G620" s="18"/>
      <c r="H620" s="18"/>
      <c r="I620" s="18"/>
      <c r="J620" s="18"/>
      <c r="K620" s="18"/>
      <c r="L620" s="18"/>
      <c r="M620" s="18"/>
      <c r="N620" s="18"/>
      <c r="O620" s="1316"/>
      <c r="P620" s="18"/>
      <c r="Q620" s="18"/>
      <c r="R620" s="18"/>
      <c r="S620" s="18"/>
      <c r="T620" s="18"/>
      <c r="U620" s="18"/>
      <c r="V620" s="18"/>
      <c r="W620" s="18"/>
      <c r="X620" s="18"/>
      <c r="Y620" s="18"/>
      <c r="Z620" s="18"/>
      <c r="AA620" s="18"/>
      <c r="AB620" s="18"/>
      <c r="AC620" s="18"/>
      <c r="AD620" s="18"/>
      <c r="AE620" s="18"/>
      <c r="AF620" s="18"/>
      <c r="AG620" s="18"/>
    </row>
    <row r="621" spans="1:33" x14ac:dyDescent="0.2">
      <c r="A621" s="18"/>
      <c r="B621" s="18"/>
      <c r="C621" s="18"/>
      <c r="D621" s="18"/>
      <c r="E621" s="18"/>
      <c r="F621" s="18"/>
      <c r="G621" s="18"/>
      <c r="H621" s="18"/>
      <c r="I621" s="18"/>
      <c r="J621" s="18"/>
      <c r="K621" s="18"/>
      <c r="L621" s="18"/>
      <c r="M621" s="18"/>
      <c r="N621" s="18"/>
      <c r="O621" s="1316"/>
      <c r="P621" s="18"/>
      <c r="Q621" s="18"/>
      <c r="R621" s="18"/>
      <c r="S621" s="18"/>
      <c r="T621" s="18"/>
      <c r="U621" s="18"/>
      <c r="V621" s="18"/>
      <c r="W621" s="18"/>
      <c r="X621" s="18"/>
      <c r="Y621" s="18"/>
      <c r="Z621" s="18"/>
      <c r="AA621" s="18"/>
      <c r="AB621" s="18"/>
      <c r="AC621" s="18"/>
      <c r="AD621" s="18"/>
      <c r="AE621" s="18"/>
      <c r="AF621" s="18"/>
      <c r="AG621" s="18"/>
    </row>
    <row r="622" spans="1:33" x14ac:dyDescent="0.2">
      <c r="A622" s="18"/>
      <c r="B622" s="18"/>
      <c r="C622" s="18"/>
      <c r="D622" s="18"/>
      <c r="E622" s="18"/>
      <c r="F622" s="18"/>
      <c r="G622" s="18"/>
      <c r="H622" s="18"/>
      <c r="I622" s="18"/>
      <c r="J622" s="18"/>
      <c r="K622" s="18"/>
      <c r="L622" s="18"/>
      <c r="M622" s="18"/>
      <c r="N622" s="18"/>
      <c r="O622" s="1316"/>
      <c r="P622" s="18"/>
      <c r="Q622" s="18"/>
      <c r="R622" s="18"/>
      <c r="S622" s="18"/>
      <c r="T622" s="18"/>
      <c r="U622" s="18"/>
      <c r="V622" s="18"/>
      <c r="W622" s="18"/>
      <c r="X622" s="18"/>
      <c r="Y622" s="18"/>
      <c r="Z622" s="18"/>
      <c r="AA622" s="18"/>
      <c r="AB622" s="18"/>
      <c r="AC622" s="18"/>
      <c r="AD622" s="18"/>
      <c r="AE622" s="18"/>
      <c r="AF622" s="18"/>
      <c r="AG622" s="18"/>
    </row>
    <row r="623" spans="1:33" x14ac:dyDescent="0.2">
      <c r="A623" s="18"/>
      <c r="B623" s="18"/>
      <c r="C623" s="18"/>
      <c r="D623" s="18"/>
      <c r="E623" s="18"/>
      <c r="F623" s="18"/>
      <c r="G623" s="18"/>
      <c r="H623" s="18"/>
      <c r="I623" s="18"/>
      <c r="J623" s="18"/>
      <c r="K623" s="18"/>
      <c r="L623" s="18"/>
      <c r="M623" s="18"/>
      <c r="N623" s="18"/>
      <c r="O623" s="1316"/>
      <c r="P623" s="18"/>
      <c r="Q623" s="18"/>
      <c r="R623" s="18"/>
      <c r="S623" s="18"/>
      <c r="T623" s="18"/>
      <c r="U623" s="18"/>
      <c r="V623" s="18"/>
      <c r="W623" s="18"/>
      <c r="X623" s="18"/>
      <c r="Y623" s="18"/>
      <c r="Z623" s="18"/>
      <c r="AA623" s="18"/>
      <c r="AB623" s="18"/>
      <c r="AC623" s="18"/>
      <c r="AD623" s="18"/>
      <c r="AE623" s="18"/>
      <c r="AF623" s="18"/>
      <c r="AG623" s="18"/>
    </row>
    <row r="624" spans="1:33" x14ac:dyDescent="0.2">
      <c r="A624" s="18"/>
      <c r="B624" s="18"/>
      <c r="C624" s="18"/>
      <c r="D624" s="18"/>
      <c r="E624" s="18"/>
      <c r="F624" s="18"/>
      <c r="G624" s="18"/>
      <c r="H624" s="18"/>
      <c r="I624" s="18"/>
      <c r="J624" s="18"/>
      <c r="K624" s="18"/>
      <c r="L624" s="18"/>
      <c r="M624" s="18"/>
      <c r="N624" s="18"/>
      <c r="O624" s="1316"/>
      <c r="P624" s="18"/>
      <c r="Q624" s="18"/>
      <c r="R624" s="18"/>
      <c r="S624" s="18"/>
      <c r="T624" s="18"/>
      <c r="U624" s="18"/>
      <c r="V624" s="18"/>
      <c r="W624" s="18"/>
      <c r="X624" s="18"/>
      <c r="Y624" s="18"/>
      <c r="Z624" s="18"/>
      <c r="AA624" s="18"/>
      <c r="AB624" s="18"/>
      <c r="AC624" s="18"/>
      <c r="AD624" s="18"/>
      <c r="AE624" s="18"/>
      <c r="AF624" s="18"/>
      <c r="AG624" s="18"/>
    </row>
    <row r="625" spans="1:33" x14ac:dyDescent="0.2">
      <c r="A625" s="18"/>
      <c r="B625" s="18"/>
      <c r="C625" s="18"/>
      <c r="D625" s="18"/>
      <c r="E625" s="18"/>
      <c r="F625" s="18"/>
      <c r="G625" s="18"/>
      <c r="H625" s="18"/>
      <c r="I625" s="18"/>
      <c r="J625" s="18"/>
      <c r="K625" s="18"/>
      <c r="L625" s="18"/>
      <c r="M625" s="18"/>
      <c r="N625" s="18"/>
      <c r="O625" s="1316"/>
      <c r="P625" s="18"/>
      <c r="Q625" s="18"/>
      <c r="R625" s="18"/>
      <c r="S625" s="18"/>
      <c r="T625" s="18"/>
      <c r="U625" s="18"/>
      <c r="V625" s="18"/>
      <c r="W625" s="18"/>
      <c r="X625" s="18"/>
      <c r="Y625" s="18"/>
      <c r="Z625" s="18"/>
      <c r="AA625" s="18"/>
      <c r="AB625" s="18"/>
      <c r="AC625" s="18"/>
      <c r="AD625" s="18"/>
      <c r="AE625" s="18"/>
      <c r="AF625" s="18"/>
      <c r="AG625" s="18"/>
    </row>
    <row r="626" spans="1:33" x14ac:dyDescent="0.2">
      <c r="A626" s="18"/>
      <c r="B626" s="18"/>
      <c r="C626" s="18"/>
      <c r="D626" s="18"/>
      <c r="E626" s="18"/>
      <c r="F626" s="18"/>
      <c r="G626" s="18"/>
      <c r="H626" s="18"/>
      <c r="I626" s="18"/>
      <c r="J626" s="18"/>
      <c r="K626" s="18"/>
      <c r="L626" s="18"/>
      <c r="M626" s="18"/>
      <c r="N626" s="18"/>
      <c r="O626" s="1316"/>
      <c r="P626" s="18"/>
      <c r="Q626" s="18"/>
      <c r="R626" s="18"/>
      <c r="S626" s="18"/>
      <c r="T626" s="18"/>
      <c r="U626" s="18"/>
      <c r="V626" s="18"/>
      <c r="W626" s="18"/>
      <c r="X626" s="18"/>
      <c r="Y626" s="18"/>
      <c r="Z626" s="18"/>
      <c r="AA626" s="18"/>
      <c r="AB626" s="18"/>
      <c r="AC626" s="18"/>
      <c r="AD626" s="18"/>
      <c r="AE626" s="18"/>
      <c r="AF626" s="18"/>
      <c r="AG626" s="18"/>
    </row>
    <row r="627" spans="1:33" x14ac:dyDescent="0.2">
      <c r="A627" s="18"/>
      <c r="B627" s="18"/>
      <c r="C627" s="18"/>
      <c r="D627" s="18"/>
      <c r="E627" s="18"/>
      <c r="F627" s="18"/>
      <c r="G627" s="18"/>
      <c r="H627" s="18"/>
      <c r="I627" s="18"/>
      <c r="J627" s="18"/>
      <c r="K627" s="18"/>
      <c r="L627" s="18"/>
      <c r="M627" s="18"/>
      <c r="N627" s="18"/>
      <c r="O627" s="1316"/>
      <c r="P627" s="18"/>
      <c r="Q627" s="18"/>
      <c r="R627" s="18"/>
      <c r="S627" s="18"/>
      <c r="T627" s="18"/>
      <c r="U627" s="18"/>
      <c r="V627" s="18"/>
      <c r="W627" s="18"/>
      <c r="X627" s="18"/>
      <c r="Y627" s="18"/>
      <c r="Z627" s="18"/>
      <c r="AA627" s="18"/>
      <c r="AB627" s="18"/>
      <c r="AC627" s="18"/>
      <c r="AD627" s="18"/>
      <c r="AE627" s="18"/>
      <c r="AF627" s="18"/>
      <c r="AG627" s="18"/>
    </row>
    <row r="628" spans="1:33" x14ac:dyDescent="0.2">
      <c r="A628" s="18"/>
      <c r="B628" s="18"/>
      <c r="C628" s="18"/>
      <c r="D628" s="18"/>
      <c r="E628" s="18"/>
      <c r="F628" s="18"/>
      <c r="G628" s="18"/>
      <c r="H628" s="18"/>
      <c r="I628" s="18"/>
      <c r="J628" s="18"/>
      <c r="K628" s="18"/>
      <c r="L628" s="18"/>
      <c r="M628" s="18"/>
      <c r="N628" s="18"/>
      <c r="O628" s="1316"/>
      <c r="P628" s="18"/>
      <c r="Q628" s="18"/>
      <c r="R628" s="18"/>
      <c r="S628" s="18"/>
      <c r="T628" s="18"/>
      <c r="U628" s="18"/>
      <c r="V628" s="18"/>
      <c r="W628" s="18"/>
      <c r="X628" s="18"/>
      <c r="Y628" s="18"/>
      <c r="Z628" s="18"/>
      <c r="AA628" s="18"/>
      <c r="AB628" s="18"/>
      <c r="AC628" s="18"/>
      <c r="AD628" s="18"/>
      <c r="AE628" s="18"/>
      <c r="AF628" s="18"/>
      <c r="AG628" s="18"/>
    </row>
    <row r="629" spans="1:33" x14ac:dyDescent="0.2">
      <c r="A629" s="18"/>
      <c r="B629" s="18"/>
      <c r="C629" s="18"/>
      <c r="D629" s="18"/>
      <c r="E629" s="18"/>
      <c r="F629" s="18"/>
      <c r="G629" s="18"/>
      <c r="H629" s="18"/>
      <c r="I629" s="18"/>
      <c r="J629" s="18"/>
      <c r="K629" s="18"/>
      <c r="L629" s="18"/>
      <c r="M629" s="18"/>
      <c r="N629" s="18"/>
      <c r="O629" s="1316"/>
      <c r="P629" s="18"/>
      <c r="Q629" s="18"/>
      <c r="R629" s="18"/>
      <c r="S629" s="18"/>
      <c r="T629" s="18"/>
      <c r="U629" s="18"/>
      <c r="V629" s="18"/>
      <c r="W629" s="18"/>
      <c r="X629" s="18"/>
      <c r="Y629" s="18"/>
      <c r="Z629" s="18"/>
      <c r="AA629" s="18"/>
      <c r="AB629" s="18"/>
      <c r="AC629" s="18"/>
      <c r="AD629" s="18"/>
      <c r="AE629" s="18"/>
      <c r="AF629" s="18"/>
      <c r="AG629" s="18"/>
    </row>
    <row r="630" spans="1:33" x14ac:dyDescent="0.2">
      <c r="A630" s="18"/>
      <c r="B630" s="18"/>
      <c r="C630" s="18"/>
      <c r="D630" s="18"/>
      <c r="E630" s="18"/>
      <c r="F630" s="18"/>
      <c r="G630" s="18"/>
      <c r="H630" s="18"/>
      <c r="I630" s="18"/>
      <c r="J630" s="18"/>
      <c r="K630" s="18"/>
      <c r="L630" s="18"/>
      <c r="M630" s="18"/>
      <c r="N630" s="18"/>
      <c r="O630" s="1316"/>
      <c r="P630" s="18"/>
      <c r="Q630" s="18"/>
      <c r="R630" s="18"/>
      <c r="S630" s="18"/>
      <c r="T630" s="18"/>
      <c r="U630" s="18"/>
      <c r="V630" s="18"/>
      <c r="W630" s="18"/>
      <c r="X630" s="18"/>
      <c r="Y630" s="18"/>
      <c r="Z630" s="18"/>
      <c r="AA630" s="18"/>
      <c r="AB630" s="18"/>
      <c r="AC630" s="18"/>
      <c r="AD630" s="18"/>
      <c r="AE630" s="18"/>
      <c r="AF630" s="18"/>
      <c r="AG630" s="18"/>
    </row>
    <row r="631" spans="1:33" x14ac:dyDescent="0.2">
      <c r="A631" s="18"/>
      <c r="B631" s="18"/>
      <c r="C631" s="18"/>
      <c r="D631" s="18"/>
      <c r="E631" s="18"/>
      <c r="F631" s="18"/>
      <c r="G631" s="18"/>
      <c r="H631" s="18"/>
      <c r="I631" s="18"/>
      <c r="J631" s="18"/>
      <c r="K631" s="18"/>
      <c r="L631" s="18"/>
      <c r="M631" s="18"/>
      <c r="N631" s="18"/>
      <c r="O631" s="1316"/>
      <c r="P631" s="18"/>
      <c r="Q631" s="18"/>
      <c r="R631" s="18"/>
      <c r="S631" s="18"/>
      <c r="T631" s="18"/>
      <c r="U631" s="18"/>
      <c r="V631" s="18"/>
      <c r="W631" s="18"/>
      <c r="X631" s="18"/>
      <c r="Y631" s="18"/>
      <c r="Z631" s="18"/>
      <c r="AA631" s="18"/>
      <c r="AB631" s="18"/>
      <c r="AC631" s="18"/>
      <c r="AD631" s="18"/>
      <c r="AE631" s="18"/>
      <c r="AF631" s="18"/>
      <c r="AG631" s="18"/>
    </row>
    <row r="632" spans="1:33" x14ac:dyDescent="0.2">
      <c r="A632" s="18"/>
      <c r="B632" s="18"/>
      <c r="C632" s="18"/>
      <c r="D632" s="18"/>
      <c r="E632" s="18"/>
      <c r="F632" s="18"/>
      <c r="G632" s="18"/>
      <c r="H632" s="18"/>
      <c r="I632" s="18"/>
      <c r="J632" s="18"/>
      <c r="K632" s="18"/>
      <c r="L632" s="18"/>
      <c r="M632" s="18"/>
      <c r="N632" s="18"/>
      <c r="O632" s="1316"/>
      <c r="P632" s="18"/>
      <c r="Q632" s="18"/>
      <c r="R632" s="18"/>
      <c r="S632" s="18"/>
      <c r="T632" s="18"/>
      <c r="U632" s="18"/>
      <c r="V632" s="18"/>
      <c r="W632" s="18"/>
      <c r="X632" s="18"/>
      <c r="Y632" s="18"/>
      <c r="Z632" s="18"/>
      <c r="AA632" s="18"/>
      <c r="AB632" s="18"/>
      <c r="AC632" s="18"/>
      <c r="AD632" s="18"/>
      <c r="AE632" s="18"/>
      <c r="AF632" s="18"/>
      <c r="AG632" s="18"/>
    </row>
    <row r="633" spans="1:33" x14ac:dyDescent="0.2">
      <c r="A633" s="18"/>
      <c r="B633" s="18"/>
      <c r="C633" s="18"/>
      <c r="D633" s="18"/>
      <c r="E633" s="18"/>
      <c r="F633" s="18"/>
      <c r="G633" s="18"/>
      <c r="H633" s="18"/>
      <c r="I633" s="18"/>
      <c r="J633" s="18"/>
      <c r="K633" s="18"/>
      <c r="L633" s="18"/>
      <c r="M633" s="18"/>
      <c r="N633" s="18"/>
      <c r="O633" s="1316"/>
      <c r="P633" s="18"/>
      <c r="Q633" s="18"/>
      <c r="R633" s="18"/>
      <c r="S633" s="18"/>
      <c r="T633" s="18"/>
      <c r="U633" s="18"/>
      <c r="V633" s="18"/>
      <c r="W633" s="18"/>
      <c r="X633" s="18"/>
      <c r="Y633" s="18"/>
      <c r="Z633" s="18"/>
      <c r="AA633" s="18"/>
      <c r="AB633" s="18"/>
      <c r="AC633" s="18"/>
      <c r="AD633" s="18"/>
      <c r="AE633" s="18"/>
      <c r="AF633" s="18"/>
      <c r="AG633" s="18"/>
    </row>
    <row r="634" spans="1:33" x14ac:dyDescent="0.2">
      <c r="A634" s="18"/>
      <c r="B634" s="18"/>
      <c r="C634" s="18"/>
      <c r="D634" s="18"/>
      <c r="E634" s="18"/>
      <c r="F634" s="18"/>
      <c r="G634" s="18"/>
      <c r="H634" s="18"/>
      <c r="I634" s="18"/>
      <c r="J634" s="18"/>
      <c r="K634" s="18"/>
      <c r="L634" s="18"/>
      <c r="M634" s="18"/>
      <c r="N634" s="18"/>
      <c r="O634" s="1316"/>
      <c r="P634" s="18"/>
      <c r="Q634" s="18"/>
      <c r="R634" s="18"/>
      <c r="S634" s="18"/>
      <c r="T634" s="18"/>
      <c r="U634" s="18"/>
      <c r="V634" s="18"/>
      <c r="W634" s="18"/>
      <c r="X634" s="18"/>
      <c r="Y634" s="18"/>
      <c r="Z634" s="18"/>
      <c r="AA634" s="18"/>
      <c r="AB634" s="18"/>
      <c r="AC634" s="18"/>
      <c r="AD634" s="18"/>
      <c r="AE634" s="18"/>
      <c r="AF634" s="18"/>
      <c r="AG634" s="18"/>
    </row>
    <row r="635" spans="1:33" x14ac:dyDescent="0.2">
      <c r="A635" s="18"/>
      <c r="B635" s="18"/>
      <c r="C635" s="18"/>
      <c r="D635" s="18"/>
      <c r="E635" s="18"/>
      <c r="F635" s="18"/>
      <c r="G635" s="18"/>
      <c r="H635" s="18"/>
      <c r="I635" s="18"/>
      <c r="J635" s="18"/>
      <c r="K635" s="18"/>
      <c r="L635" s="18"/>
      <c r="M635" s="18"/>
      <c r="N635" s="18"/>
      <c r="O635" s="1316"/>
      <c r="P635" s="18"/>
      <c r="Q635" s="18"/>
      <c r="R635" s="18"/>
      <c r="S635" s="18"/>
      <c r="T635" s="18"/>
      <c r="U635" s="18"/>
      <c r="V635" s="18"/>
      <c r="W635" s="18"/>
      <c r="X635" s="18"/>
      <c r="Y635" s="18"/>
      <c r="Z635" s="18"/>
      <c r="AA635" s="18"/>
      <c r="AB635" s="18"/>
      <c r="AC635" s="18"/>
      <c r="AD635" s="18"/>
      <c r="AE635" s="18"/>
      <c r="AF635" s="18"/>
      <c r="AG635" s="18"/>
    </row>
    <row r="636" spans="1:33" x14ac:dyDescent="0.2">
      <c r="A636" s="18"/>
      <c r="B636" s="18"/>
      <c r="C636" s="18"/>
      <c r="D636" s="18"/>
      <c r="E636" s="18"/>
      <c r="F636" s="18"/>
      <c r="G636" s="18"/>
      <c r="H636" s="18"/>
      <c r="I636" s="18"/>
      <c r="J636" s="18"/>
      <c r="K636" s="18"/>
      <c r="L636" s="18"/>
      <c r="M636" s="18"/>
      <c r="N636" s="18"/>
      <c r="O636" s="1316"/>
      <c r="P636" s="18"/>
      <c r="Q636" s="18"/>
      <c r="R636" s="18"/>
      <c r="S636" s="18"/>
      <c r="T636" s="18"/>
      <c r="U636" s="18"/>
      <c r="V636" s="18"/>
      <c r="W636" s="18"/>
      <c r="X636" s="18"/>
      <c r="Y636" s="18"/>
      <c r="Z636" s="18"/>
      <c r="AA636" s="18"/>
      <c r="AB636" s="18"/>
      <c r="AC636" s="18"/>
      <c r="AD636" s="18"/>
      <c r="AE636" s="18"/>
      <c r="AF636" s="18"/>
      <c r="AG636" s="18"/>
    </row>
    <row r="637" spans="1:33" x14ac:dyDescent="0.2">
      <c r="A637" s="18"/>
      <c r="B637" s="18"/>
      <c r="C637" s="18"/>
      <c r="D637" s="18"/>
      <c r="E637" s="18"/>
      <c r="F637" s="18"/>
      <c r="G637" s="18"/>
      <c r="H637" s="18"/>
      <c r="I637" s="18"/>
      <c r="J637" s="18"/>
      <c r="K637" s="18"/>
      <c r="L637" s="18"/>
      <c r="M637" s="18"/>
      <c r="N637" s="18"/>
      <c r="O637" s="1316"/>
      <c r="P637" s="18"/>
      <c r="Q637" s="18"/>
      <c r="R637" s="18"/>
      <c r="S637" s="18"/>
      <c r="T637" s="18"/>
      <c r="U637" s="18"/>
      <c r="V637" s="18"/>
      <c r="W637" s="18"/>
      <c r="X637" s="18"/>
      <c r="Y637" s="18"/>
      <c r="Z637" s="18"/>
      <c r="AA637" s="18"/>
      <c r="AB637" s="18"/>
      <c r="AC637" s="18"/>
      <c r="AD637" s="18"/>
      <c r="AE637" s="18"/>
      <c r="AF637" s="18"/>
      <c r="AG637" s="18"/>
    </row>
    <row r="638" spans="1:33" x14ac:dyDescent="0.2">
      <c r="A638" s="18"/>
      <c r="B638" s="18"/>
      <c r="C638" s="18"/>
      <c r="D638" s="18"/>
      <c r="E638" s="18"/>
      <c r="F638" s="18"/>
      <c r="G638" s="18"/>
      <c r="H638" s="18"/>
      <c r="I638" s="18"/>
      <c r="J638" s="18"/>
      <c r="K638" s="18"/>
      <c r="L638" s="18"/>
      <c r="M638" s="18"/>
      <c r="N638" s="18"/>
      <c r="O638" s="1316"/>
      <c r="P638" s="18"/>
      <c r="Q638" s="18"/>
      <c r="R638" s="18"/>
      <c r="S638" s="18"/>
      <c r="T638" s="18"/>
      <c r="U638" s="18"/>
      <c r="V638" s="18"/>
      <c r="W638" s="18"/>
      <c r="X638" s="18"/>
      <c r="Y638" s="18"/>
      <c r="Z638" s="18"/>
      <c r="AA638" s="18"/>
      <c r="AB638" s="18"/>
      <c r="AC638" s="18"/>
      <c r="AD638" s="18"/>
      <c r="AE638" s="18"/>
      <c r="AF638" s="18"/>
      <c r="AG638" s="18"/>
    </row>
    <row r="639" spans="1:33" x14ac:dyDescent="0.2">
      <c r="A639" s="18"/>
      <c r="B639" s="18"/>
      <c r="C639" s="18"/>
      <c r="D639" s="18"/>
      <c r="E639" s="18"/>
      <c r="F639" s="18"/>
      <c r="G639" s="18"/>
      <c r="H639" s="18"/>
      <c r="I639" s="18"/>
      <c r="J639" s="18"/>
      <c r="K639" s="18"/>
      <c r="L639" s="18"/>
      <c r="M639" s="18"/>
      <c r="N639" s="18"/>
      <c r="O639" s="1316"/>
      <c r="P639" s="18"/>
      <c r="Q639" s="18"/>
      <c r="R639" s="18"/>
      <c r="S639" s="18"/>
      <c r="T639" s="18"/>
      <c r="U639" s="18"/>
      <c r="V639" s="18"/>
      <c r="W639" s="18"/>
      <c r="X639" s="18"/>
      <c r="Y639" s="18"/>
      <c r="Z639" s="18"/>
      <c r="AA639" s="18"/>
      <c r="AB639" s="18"/>
      <c r="AC639" s="18"/>
      <c r="AD639" s="18"/>
      <c r="AE639" s="18"/>
      <c r="AF639" s="18"/>
      <c r="AG639" s="18"/>
    </row>
    <row r="640" spans="1:33" x14ac:dyDescent="0.2">
      <c r="A640" s="18"/>
      <c r="B640" s="18"/>
      <c r="C640" s="18"/>
      <c r="D640" s="18"/>
      <c r="E640" s="18"/>
      <c r="F640" s="18"/>
      <c r="G640" s="18"/>
      <c r="H640" s="18"/>
      <c r="I640" s="18"/>
      <c r="J640" s="18"/>
      <c r="K640" s="18"/>
      <c r="L640" s="18"/>
      <c r="M640" s="18"/>
      <c r="N640" s="18"/>
      <c r="O640" s="1316"/>
      <c r="P640" s="18"/>
      <c r="Q640" s="18"/>
      <c r="R640" s="18"/>
      <c r="S640" s="18"/>
      <c r="T640" s="18"/>
      <c r="U640" s="18"/>
      <c r="V640" s="18"/>
      <c r="W640" s="18"/>
      <c r="X640" s="18"/>
      <c r="Y640" s="18"/>
      <c r="Z640" s="18"/>
      <c r="AA640" s="18"/>
      <c r="AB640" s="18"/>
      <c r="AC640" s="18"/>
      <c r="AD640" s="18"/>
      <c r="AE640" s="18"/>
      <c r="AF640" s="18"/>
      <c r="AG640" s="18"/>
    </row>
    <row r="641" spans="1:33" x14ac:dyDescent="0.2">
      <c r="A641" s="18"/>
      <c r="B641" s="18"/>
      <c r="C641" s="18"/>
      <c r="D641" s="18"/>
      <c r="E641" s="18"/>
      <c r="F641" s="18"/>
      <c r="G641" s="18"/>
      <c r="H641" s="18"/>
      <c r="I641" s="18"/>
      <c r="J641" s="18"/>
      <c r="K641" s="18"/>
      <c r="L641" s="18"/>
      <c r="M641" s="18"/>
      <c r="N641" s="18"/>
      <c r="O641" s="1316"/>
      <c r="P641" s="18"/>
      <c r="Q641" s="18"/>
      <c r="R641" s="18"/>
      <c r="S641" s="18"/>
      <c r="T641" s="18"/>
      <c r="U641" s="18"/>
      <c r="V641" s="18"/>
      <c r="W641" s="18"/>
      <c r="X641" s="18"/>
      <c r="Y641" s="18"/>
      <c r="Z641" s="18"/>
      <c r="AA641" s="18"/>
      <c r="AB641" s="18"/>
      <c r="AC641" s="18"/>
      <c r="AD641" s="18"/>
      <c r="AE641" s="18"/>
      <c r="AF641" s="18"/>
      <c r="AG641" s="18"/>
    </row>
    <row r="642" spans="1:33" x14ac:dyDescent="0.2">
      <c r="A642" s="18"/>
      <c r="B642" s="18"/>
      <c r="C642" s="18"/>
      <c r="D642" s="18"/>
      <c r="E642" s="18"/>
      <c r="F642" s="18"/>
      <c r="G642" s="18"/>
      <c r="H642" s="18"/>
      <c r="I642" s="18"/>
      <c r="J642" s="18"/>
      <c r="K642" s="18"/>
      <c r="L642" s="18"/>
      <c r="M642" s="18"/>
      <c r="N642" s="18"/>
      <c r="O642" s="1316"/>
      <c r="P642" s="18"/>
      <c r="Q642" s="18"/>
      <c r="R642" s="18"/>
      <c r="S642" s="18"/>
      <c r="T642" s="18"/>
      <c r="U642" s="18"/>
      <c r="V642" s="18"/>
      <c r="W642" s="18"/>
      <c r="X642" s="18"/>
      <c r="Y642" s="18"/>
      <c r="Z642" s="18"/>
      <c r="AA642" s="18"/>
      <c r="AB642" s="18"/>
      <c r="AC642" s="18"/>
      <c r="AD642" s="18"/>
      <c r="AE642" s="18"/>
      <c r="AF642" s="18"/>
      <c r="AG642" s="18"/>
    </row>
    <row r="643" spans="1:33" x14ac:dyDescent="0.2">
      <c r="A643" s="18"/>
      <c r="B643" s="18"/>
      <c r="C643" s="18"/>
      <c r="D643" s="18"/>
      <c r="E643" s="18"/>
      <c r="F643" s="18"/>
      <c r="G643" s="18"/>
      <c r="H643" s="18"/>
      <c r="I643" s="18"/>
      <c r="J643" s="18"/>
      <c r="K643" s="18"/>
      <c r="L643" s="18"/>
      <c r="M643" s="18"/>
      <c r="N643" s="18"/>
      <c r="O643" s="1316"/>
      <c r="P643" s="18"/>
      <c r="Q643" s="18"/>
      <c r="R643" s="18"/>
      <c r="S643" s="18"/>
      <c r="T643" s="18"/>
      <c r="U643" s="18"/>
      <c r="V643" s="18"/>
      <c r="W643" s="18"/>
      <c r="X643" s="18"/>
      <c r="Y643" s="18"/>
      <c r="Z643" s="18"/>
      <c r="AA643" s="18"/>
      <c r="AB643" s="18"/>
      <c r="AC643" s="18"/>
      <c r="AD643" s="18"/>
      <c r="AE643" s="18"/>
      <c r="AF643" s="18"/>
      <c r="AG643" s="18"/>
    </row>
    <row r="644" spans="1:33" x14ac:dyDescent="0.2">
      <c r="A644" s="18"/>
      <c r="B644" s="18"/>
      <c r="C644" s="18"/>
      <c r="D644" s="18"/>
      <c r="E644" s="18"/>
      <c r="F644" s="18"/>
      <c r="G644" s="18"/>
      <c r="H644" s="18"/>
      <c r="I644" s="18"/>
      <c r="J644" s="18"/>
      <c r="K644" s="18"/>
      <c r="L644" s="18"/>
      <c r="M644" s="18"/>
      <c r="N644" s="18"/>
      <c r="O644" s="1316"/>
      <c r="P644" s="18"/>
      <c r="Q644" s="18"/>
      <c r="R644" s="18"/>
      <c r="S644" s="18"/>
      <c r="T644" s="18"/>
      <c r="U644" s="18"/>
      <c r="V644" s="18"/>
      <c r="W644" s="18"/>
      <c r="X644" s="18"/>
      <c r="Y644" s="18"/>
      <c r="Z644" s="18"/>
      <c r="AA644" s="18"/>
      <c r="AB644" s="18"/>
      <c r="AC644" s="18"/>
      <c r="AD644" s="18"/>
      <c r="AE644" s="18"/>
      <c r="AF644" s="18"/>
      <c r="AG644" s="18"/>
    </row>
    <row r="645" spans="1:33" x14ac:dyDescent="0.2">
      <c r="A645" s="18"/>
      <c r="B645" s="18"/>
      <c r="C645" s="18"/>
      <c r="D645" s="18"/>
      <c r="E645" s="18"/>
      <c r="F645" s="18"/>
      <c r="G645" s="18"/>
      <c r="H645" s="18"/>
      <c r="I645" s="18"/>
      <c r="J645" s="18"/>
      <c r="K645" s="18"/>
      <c r="L645" s="18"/>
      <c r="M645" s="18"/>
      <c r="N645" s="18"/>
      <c r="O645" s="1316"/>
      <c r="P645" s="18"/>
      <c r="Q645" s="18"/>
      <c r="R645" s="18"/>
      <c r="S645" s="18"/>
      <c r="T645" s="18"/>
      <c r="U645" s="18"/>
      <c r="V645" s="18"/>
      <c r="W645" s="18"/>
      <c r="X645" s="18"/>
      <c r="Y645" s="18"/>
      <c r="Z645" s="18"/>
      <c r="AA645" s="18"/>
      <c r="AB645" s="18"/>
      <c r="AC645" s="18"/>
      <c r="AD645" s="18"/>
      <c r="AE645" s="18"/>
      <c r="AF645" s="18"/>
      <c r="AG645" s="18"/>
    </row>
    <row r="646" spans="1:33" x14ac:dyDescent="0.2">
      <c r="A646" s="18"/>
      <c r="B646" s="18"/>
      <c r="C646" s="18"/>
      <c r="D646" s="18"/>
      <c r="E646" s="18"/>
      <c r="F646" s="18"/>
      <c r="G646" s="18"/>
      <c r="H646" s="18"/>
      <c r="I646" s="18"/>
      <c r="J646" s="18"/>
      <c r="K646" s="18"/>
      <c r="L646" s="18"/>
      <c r="M646" s="18"/>
      <c r="N646" s="18"/>
      <c r="O646" s="1316"/>
      <c r="P646" s="18"/>
      <c r="Q646" s="18"/>
      <c r="R646" s="18"/>
      <c r="S646" s="18"/>
      <c r="T646" s="18"/>
      <c r="U646" s="18"/>
      <c r="V646" s="18"/>
      <c r="W646" s="18"/>
      <c r="X646" s="18"/>
      <c r="Y646" s="18"/>
      <c r="Z646" s="18"/>
      <c r="AA646" s="18"/>
      <c r="AB646" s="18"/>
      <c r="AC646" s="18"/>
      <c r="AD646" s="18"/>
      <c r="AE646" s="18"/>
      <c r="AF646" s="18"/>
      <c r="AG646" s="18"/>
    </row>
    <row r="647" spans="1:33" x14ac:dyDescent="0.2">
      <c r="A647" s="18"/>
      <c r="B647" s="18"/>
      <c r="C647" s="18"/>
      <c r="D647" s="18"/>
      <c r="E647" s="18"/>
      <c r="F647" s="18"/>
      <c r="G647" s="18"/>
      <c r="H647" s="18"/>
      <c r="I647" s="18"/>
      <c r="J647" s="18"/>
      <c r="K647" s="18"/>
      <c r="L647" s="18"/>
      <c r="M647" s="18"/>
      <c r="N647" s="18"/>
      <c r="O647" s="1316"/>
      <c r="P647" s="18"/>
      <c r="Q647" s="18"/>
      <c r="R647" s="18"/>
      <c r="S647" s="18"/>
      <c r="T647" s="18"/>
      <c r="U647" s="18"/>
      <c r="V647" s="18"/>
      <c r="W647" s="18"/>
      <c r="X647" s="18"/>
      <c r="Y647" s="18"/>
      <c r="Z647" s="18"/>
      <c r="AA647" s="18"/>
      <c r="AB647" s="18"/>
      <c r="AC647" s="18"/>
      <c r="AD647" s="18"/>
      <c r="AE647" s="18"/>
      <c r="AF647" s="18"/>
      <c r="AG647" s="18"/>
    </row>
    <row r="648" spans="1:33" x14ac:dyDescent="0.2">
      <c r="A648" s="18"/>
      <c r="B648" s="18"/>
      <c r="C648" s="18"/>
      <c r="D648" s="18"/>
      <c r="E648" s="18"/>
      <c r="F648" s="18"/>
      <c r="G648" s="18"/>
      <c r="H648" s="18"/>
      <c r="I648" s="18"/>
      <c r="J648" s="18"/>
      <c r="K648" s="18"/>
      <c r="L648" s="18"/>
      <c r="M648" s="18"/>
      <c r="N648" s="18"/>
      <c r="O648" s="1316"/>
      <c r="P648" s="18"/>
      <c r="Q648" s="18"/>
      <c r="R648" s="18"/>
      <c r="S648" s="18"/>
      <c r="T648" s="18"/>
      <c r="U648" s="18"/>
      <c r="V648" s="18"/>
      <c r="W648" s="18"/>
      <c r="X648" s="18"/>
      <c r="Y648" s="18"/>
      <c r="Z648" s="18"/>
      <c r="AA648" s="18"/>
      <c r="AB648" s="18"/>
      <c r="AC648" s="18"/>
      <c r="AD648" s="18"/>
      <c r="AE648" s="18"/>
      <c r="AF648" s="18"/>
      <c r="AG648" s="18"/>
    </row>
    <row r="649" spans="1:33" x14ac:dyDescent="0.2">
      <c r="A649" s="18"/>
      <c r="B649" s="18"/>
      <c r="C649" s="18"/>
      <c r="D649" s="18"/>
      <c r="E649" s="18"/>
      <c r="F649" s="18"/>
      <c r="G649" s="18"/>
      <c r="H649" s="18"/>
      <c r="I649" s="18"/>
      <c r="J649" s="18"/>
      <c r="K649" s="18"/>
      <c r="L649" s="18"/>
      <c r="M649" s="18"/>
      <c r="N649" s="18"/>
      <c r="O649" s="1316"/>
      <c r="P649" s="18"/>
      <c r="Q649" s="18"/>
      <c r="R649" s="18"/>
      <c r="S649" s="18"/>
      <c r="T649" s="18"/>
      <c r="U649" s="18"/>
      <c r="V649" s="18"/>
      <c r="W649" s="18"/>
      <c r="X649" s="18"/>
      <c r="Y649" s="18"/>
      <c r="Z649" s="18"/>
      <c r="AA649" s="18"/>
      <c r="AB649" s="18"/>
      <c r="AC649" s="18"/>
      <c r="AD649" s="18"/>
      <c r="AE649" s="18"/>
      <c r="AF649" s="18"/>
      <c r="AG649" s="18"/>
    </row>
    <row r="650" spans="1:33" x14ac:dyDescent="0.2">
      <c r="A650" s="18"/>
      <c r="B650" s="18"/>
      <c r="C650" s="18"/>
      <c r="D650" s="18"/>
      <c r="E650" s="18"/>
      <c r="F650" s="18"/>
      <c r="G650" s="18"/>
      <c r="H650" s="18"/>
      <c r="I650" s="18"/>
      <c r="J650" s="18"/>
      <c r="K650" s="18"/>
      <c r="L650" s="18"/>
      <c r="M650" s="18"/>
      <c r="N650" s="18"/>
      <c r="O650" s="1316"/>
      <c r="P650" s="18"/>
      <c r="Q650" s="18"/>
      <c r="R650" s="18"/>
      <c r="S650" s="18"/>
      <c r="T650" s="18"/>
      <c r="U650" s="18"/>
      <c r="V650" s="18"/>
      <c r="W650" s="18"/>
      <c r="X650" s="18"/>
      <c r="Y650" s="18"/>
      <c r="Z650" s="18"/>
      <c r="AA650" s="18"/>
      <c r="AB650" s="18"/>
      <c r="AC650" s="18"/>
      <c r="AD650" s="18"/>
      <c r="AE650" s="18"/>
      <c r="AF650" s="18"/>
      <c r="AG650" s="18"/>
    </row>
    <row r="651" spans="1:33" x14ac:dyDescent="0.2">
      <c r="A651" s="18"/>
      <c r="B651" s="18"/>
      <c r="C651" s="18"/>
      <c r="D651" s="18"/>
      <c r="E651" s="18"/>
      <c r="F651" s="18"/>
      <c r="G651" s="18"/>
      <c r="H651" s="18"/>
      <c r="I651" s="18"/>
      <c r="J651" s="18"/>
      <c r="K651" s="18"/>
      <c r="L651" s="18"/>
      <c r="M651" s="18"/>
      <c r="N651" s="18"/>
      <c r="O651" s="1316"/>
      <c r="P651" s="18"/>
      <c r="Q651" s="18"/>
      <c r="R651" s="18"/>
      <c r="S651" s="18"/>
      <c r="T651" s="18"/>
      <c r="U651" s="18"/>
      <c r="V651" s="18"/>
      <c r="W651" s="18"/>
      <c r="X651" s="18"/>
      <c r="Y651" s="18"/>
      <c r="Z651" s="18"/>
      <c r="AA651" s="18"/>
      <c r="AB651" s="18"/>
      <c r="AC651" s="18"/>
      <c r="AD651" s="18"/>
      <c r="AE651" s="18"/>
      <c r="AF651" s="18"/>
      <c r="AG651" s="18"/>
    </row>
    <row r="652" spans="1:33" x14ac:dyDescent="0.2">
      <c r="A652" s="18"/>
      <c r="B652" s="18"/>
      <c r="C652" s="18"/>
      <c r="D652" s="18"/>
      <c r="E652" s="18"/>
      <c r="F652" s="18"/>
      <c r="G652" s="18"/>
      <c r="H652" s="18"/>
      <c r="I652" s="18"/>
      <c r="J652" s="18"/>
      <c r="K652" s="18"/>
      <c r="L652" s="18"/>
      <c r="M652" s="18"/>
      <c r="N652" s="18"/>
      <c r="O652" s="1316"/>
      <c r="P652" s="18"/>
      <c r="Q652" s="18"/>
      <c r="R652" s="18"/>
      <c r="S652" s="18"/>
      <c r="T652" s="18"/>
      <c r="U652" s="18"/>
      <c r="V652" s="18"/>
      <c r="W652" s="18"/>
      <c r="X652" s="18"/>
      <c r="Y652" s="18"/>
      <c r="Z652" s="18"/>
      <c r="AA652" s="18"/>
      <c r="AB652" s="18"/>
      <c r="AC652" s="18"/>
      <c r="AD652" s="18"/>
      <c r="AE652" s="18"/>
      <c r="AF652" s="18"/>
      <c r="AG652" s="18"/>
    </row>
    <row r="653" spans="1:33" x14ac:dyDescent="0.2">
      <c r="A653" s="18"/>
      <c r="B653" s="18"/>
      <c r="C653" s="18"/>
      <c r="D653" s="18"/>
      <c r="E653" s="18"/>
      <c r="F653" s="18"/>
      <c r="G653" s="18"/>
      <c r="H653" s="18"/>
      <c r="I653" s="18"/>
      <c r="J653" s="18"/>
      <c r="K653" s="18"/>
      <c r="L653" s="18"/>
      <c r="M653" s="18"/>
      <c r="N653" s="18"/>
      <c r="O653" s="1316"/>
      <c r="P653" s="18"/>
      <c r="Q653" s="18"/>
      <c r="R653" s="18"/>
      <c r="S653" s="18"/>
      <c r="T653" s="18"/>
      <c r="U653" s="18"/>
      <c r="V653" s="18"/>
      <c r="W653" s="18"/>
      <c r="X653" s="18"/>
      <c r="Y653" s="18"/>
      <c r="Z653" s="18"/>
      <c r="AA653" s="18"/>
      <c r="AB653" s="18"/>
      <c r="AC653" s="18"/>
      <c r="AD653" s="18"/>
      <c r="AE653" s="18"/>
      <c r="AF653" s="18"/>
      <c r="AG653" s="18"/>
    </row>
    <row r="654" spans="1:33" x14ac:dyDescent="0.2">
      <c r="A654" s="18"/>
      <c r="B654" s="18"/>
      <c r="C654" s="18"/>
      <c r="D654" s="18"/>
      <c r="E654" s="18"/>
      <c r="F654" s="18"/>
      <c r="G654" s="18"/>
      <c r="H654" s="18"/>
      <c r="I654" s="18"/>
      <c r="J654" s="18"/>
      <c r="K654" s="18"/>
      <c r="L654" s="18"/>
      <c r="M654" s="18"/>
      <c r="N654" s="18"/>
      <c r="O654" s="1316"/>
      <c r="P654" s="18"/>
      <c r="Q654" s="18"/>
      <c r="R654" s="18"/>
      <c r="S654" s="18"/>
      <c r="T654" s="18"/>
      <c r="U654" s="18"/>
      <c r="V654" s="18"/>
      <c r="W654" s="18"/>
      <c r="X654" s="18"/>
      <c r="Y654" s="18"/>
      <c r="Z654" s="18"/>
      <c r="AA654" s="18"/>
      <c r="AB654" s="18"/>
      <c r="AC654" s="18"/>
      <c r="AD654" s="18"/>
      <c r="AE654" s="18"/>
      <c r="AF654" s="18"/>
      <c r="AG654" s="18"/>
    </row>
    <row r="655" spans="1:33" x14ac:dyDescent="0.2">
      <c r="A655" s="18"/>
      <c r="B655" s="18"/>
      <c r="C655" s="18"/>
      <c r="D655" s="18"/>
      <c r="E655" s="18"/>
      <c r="F655" s="18"/>
      <c r="G655" s="18"/>
      <c r="H655" s="18"/>
      <c r="I655" s="18"/>
      <c r="J655" s="18"/>
      <c r="K655" s="18"/>
      <c r="L655" s="18"/>
      <c r="M655" s="18"/>
      <c r="N655" s="18"/>
      <c r="O655" s="1316"/>
      <c r="P655" s="18"/>
      <c r="Q655" s="18"/>
      <c r="R655" s="18"/>
      <c r="S655" s="18"/>
      <c r="T655" s="18"/>
      <c r="U655" s="18"/>
      <c r="V655" s="18"/>
      <c r="W655" s="18"/>
      <c r="X655" s="18"/>
      <c r="Y655" s="18"/>
      <c r="Z655" s="18"/>
      <c r="AA655" s="18"/>
      <c r="AB655" s="18"/>
      <c r="AC655" s="18"/>
      <c r="AD655" s="18"/>
      <c r="AE655" s="18"/>
      <c r="AF655" s="18"/>
      <c r="AG655" s="18"/>
    </row>
    <row r="656" spans="1:33" x14ac:dyDescent="0.2">
      <c r="A656" s="18"/>
      <c r="B656" s="18"/>
      <c r="C656" s="18"/>
      <c r="D656" s="18"/>
      <c r="E656" s="18"/>
      <c r="F656" s="18"/>
      <c r="G656" s="18"/>
      <c r="H656" s="18"/>
      <c r="I656" s="18"/>
      <c r="J656" s="18"/>
      <c r="K656" s="18"/>
      <c r="L656" s="18"/>
      <c r="M656" s="18"/>
      <c r="N656" s="18"/>
      <c r="O656" s="1316"/>
      <c r="P656" s="18"/>
      <c r="Q656" s="18"/>
      <c r="R656" s="18"/>
      <c r="S656" s="18"/>
      <c r="T656" s="18"/>
      <c r="U656" s="18"/>
      <c r="V656" s="18"/>
      <c r="W656" s="18"/>
      <c r="X656" s="18"/>
      <c r="Y656" s="18"/>
      <c r="Z656" s="18"/>
      <c r="AA656" s="18"/>
      <c r="AB656" s="18"/>
      <c r="AC656" s="18"/>
      <c r="AD656" s="18"/>
      <c r="AE656" s="18"/>
      <c r="AF656" s="18"/>
      <c r="AG656" s="18"/>
    </row>
    <row r="657" spans="1:33" x14ac:dyDescent="0.2">
      <c r="A657" s="18"/>
      <c r="B657" s="18"/>
      <c r="C657" s="18"/>
      <c r="D657" s="18"/>
      <c r="E657" s="18"/>
      <c r="F657" s="18"/>
      <c r="G657" s="18"/>
      <c r="H657" s="18"/>
      <c r="I657" s="18"/>
      <c r="J657" s="18"/>
      <c r="K657" s="18"/>
      <c r="L657" s="18"/>
      <c r="M657" s="18"/>
      <c r="N657" s="18"/>
      <c r="O657" s="1316"/>
      <c r="P657" s="18"/>
      <c r="Q657" s="18"/>
      <c r="R657" s="18"/>
      <c r="S657" s="18"/>
      <c r="T657" s="18"/>
      <c r="U657" s="18"/>
      <c r="V657" s="18"/>
      <c r="W657" s="18"/>
      <c r="X657" s="18"/>
      <c r="Y657" s="18"/>
      <c r="Z657" s="18"/>
      <c r="AA657" s="18"/>
      <c r="AB657" s="18"/>
      <c r="AC657" s="18"/>
      <c r="AD657" s="18"/>
      <c r="AE657" s="18"/>
      <c r="AF657" s="18"/>
      <c r="AG657" s="18"/>
    </row>
    <row r="658" spans="1:33" x14ac:dyDescent="0.2">
      <c r="A658" s="18"/>
      <c r="B658" s="18"/>
      <c r="C658" s="18"/>
      <c r="D658" s="18"/>
      <c r="E658" s="18"/>
      <c r="F658" s="18"/>
      <c r="G658" s="18"/>
      <c r="H658" s="18"/>
      <c r="I658" s="18"/>
      <c r="J658" s="18"/>
      <c r="K658" s="18"/>
      <c r="L658" s="18"/>
      <c r="M658" s="18"/>
      <c r="N658" s="18"/>
      <c r="O658" s="1316"/>
      <c r="P658" s="18"/>
      <c r="Q658" s="18"/>
      <c r="R658" s="18"/>
      <c r="S658" s="18"/>
      <c r="T658" s="18"/>
      <c r="U658" s="18"/>
      <c r="V658" s="18"/>
      <c r="W658" s="18"/>
      <c r="X658" s="18"/>
      <c r="Y658" s="18"/>
      <c r="Z658" s="18"/>
      <c r="AA658" s="18"/>
      <c r="AB658" s="18"/>
      <c r="AC658" s="18"/>
      <c r="AD658" s="18"/>
      <c r="AE658" s="18"/>
      <c r="AF658" s="18"/>
      <c r="AG658" s="18"/>
    </row>
    <row r="659" spans="1:33" x14ac:dyDescent="0.2">
      <c r="A659" s="18"/>
      <c r="B659" s="18"/>
      <c r="C659" s="18"/>
      <c r="D659" s="18"/>
      <c r="E659" s="18"/>
      <c r="F659" s="18"/>
      <c r="G659" s="18"/>
      <c r="H659" s="18"/>
      <c r="I659" s="18"/>
      <c r="J659" s="18"/>
      <c r="K659" s="18"/>
      <c r="L659" s="18"/>
      <c r="M659" s="18"/>
      <c r="N659" s="18"/>
      <c r="O659" s="1316"/>
      <c r="P659" s="18"/>
      <c r="Q659" s="18"/>
      <c r="R659" s="18"/>
      <c r="S659" s="18"/>
      <c r="T659" s="18"/>
      <c r="U659" s="18"/>
      <c r="V659" s="18"/>
      <c r="W659" s="18"/>
      <c r="X659" s="18"/>
      <c r="Y659" s="18"/>
      <c r="Z659" s="18"/>
      <c r="AA659" s="18"/>
      <c r="AB659" s="18"/>
      <c r="AC659" s="18"/>
      <c r="AD659" s="18"/>
      <c r="AE659" s="18"/>
      <c r="AF659" s="18"/>
      <c r="AG659" s="18"/>
    </row>
    <row r="660" spans="1:33" x14ac:dyDescent="0.2">
      <c r="A660" s="18"/>
      <c r="B660" s="18"/>
      <c r="C660" s="18"/>
      <c r="D660" s="18"/>
      <c r="E660" s="18"/>
      <c r="F660" s="18"/>
      <c r="G660" s="18"/>
      <c r="H660" s="18"/>
      <c r="I660" s="18"/>
      <c r="J660" s="18"/>
      <c r="K660" s="18"/>
      <c r="L660" s="18"/>
      <c r="M660" s="18"/>
      <c r="N660" s="18"/>
      <c r="O660" s="1316"/>
      <c r="P660" s="18"/>
      <c r="Q660" s="18"/>
      <c r="R660" s="18"/>
      <c r="S660" s="18"/>
      <c r="T660" s="18"/>
      <c r="U660" s="18"/>
      <c r="V660" s="18"/>
      <c r="W660" s="18"/>
      <c r="X660" s="18"/>
      <c r="Y660" s="18"/>
      <c r="Z660" s="18"/>
      <c r="AA660" s="18"/>
      <c r="AB660" s="18"/>
      <c r="AC660" s="18"/>
      <c r="AD660" s="18"/>
      <c r="AE660" s="18"/>
      <c r="AF660" s="18"/>
      <c r="AG660" s="18"/>
    </row>
    <row r="661" spans="1:33" x14ac:dyDescent="0.2">
      <c r="A661" s="18"/>
      <c r="B661" s="18"/>
      <c r="C661" s="18"/>
      <c r="D661" s="18"/>
      <c r="E661" s="18"/>
      <c r="F661" s="18"/>
      <c r="G661" s="18"/>
      <c r="H661" s="18"/>
      <c r="I661" s="18"/>
      <c r="J661" s="18"/>
      <c r="K661" s="18"/>
      <c r="L661" s="18"/>
      <c r="M661" s="18"/>
      <c r="N661" s="18"/>
      <c r="O661" s="1316"/>
      <c r="P661" s="18"/>
      <c r="Q661" s="18"/>
      <c r="R661" s="18"/>
      <c r="S661" s="18"/>
      <c r="T661" s="18"/>
      <c r="U661" s="18"/>
      <c r="V661" s="18"/>
      <c r="W661" s="18"/>
      <c r="X661" s="18"/>
      <c r="Y661" s="18"/>
      <c r="Z661" s="18"/>
      <c r="AA661" s="18"/>
      <c r="AB661" s="18"/>
      <c r="AC661" s="18"/>
      <c r="AD661" s="18"/>
      <c r="AE661" s="18"/>
      <c r="AF661" s="18"/>
      <c r="AG661" s="18"/>
    </row>
    <row r="662" spans="1:33" x14ac:dyDescent="0.2">
      <c r="A662" s="18"/>
      <c r="B662" s="18"/>
      <c r="C662" s="18"/>
      <c r="D662" s="18"/>
      <c r="E662" s="18"/>
      <c r="F662" s="18"/>
      <c r="G662" s="18"/>
      <c r="H662" s="18"/>
      <c r="I662" s="18"/>
      <c r="J662" s="18"/>
      <c r="K662" s="18"/>
      <c r="L662" s="18"/>
      <c r="M662" s="18"/>
      <c r="N662" s="18"/>
      <c r="O662" s="1316"/>
      <c r="P662" s="18"/>
      <c r="Q662" s="18"/>
      <c r="R662" s="18"/>
      <c r="S662" s="18"/>
      <c r="T662" s="18"/>
      <c r="U662" s="18"/>
      <c r="V662" s="18"/>
      <c r="W662" s="18"/>
      <c r="X662" s="18"/>
      <c r="Y662" s="18"/>
      <c r="Z662" s="18"/>
      <c r="AA662" s="18"/>
      <c r="AB662" s="18"/>
      <c r="AC662" s="18"/>
      <c r="AD662" s="18"/>
      <c r="AE662" s="18"/>
      <c r="AF662" s="18"/>
      <c r="AG662" s="18"/>
    </row>
    <row r="663" spans="1:33" x14ac:dyDescent="0.2">
      <c r="A663" s="18"/>
      <c r="B663" s="18"/>
      <c r="C663" s="18"/>
      <c r="D663" s="18"/>
      <c r="E663" s="18"/>
      <c r="F663" s="18"/>
      <c r="G663" s="18"/>
      <c r="H663" s="18"/>
      <c r="I663" s="18"/>
      <c r="J663" s="18"/>
      <c r="K663" s="18"/>
      <c r="L663" s="18"/>
      <c r="M663" s="18"/>
      <c r="N663" s="18"/>
      <c r="O663" s="1316"/>
      <c r="P663" s="18"/>
      <c r="Q663" s="18"/>
      <c r="R663" s="18"/>
      <c r="S663" s="18"/>
      <c r="T663" s="18"/>
      <c r="U663" s="18"/>
      <c r="V663" s="18"/>
      <c r="W663" s="18"/>
      <c r="X663" s="18"/>
      <c r="Y663" s="18"/>
      <c r="Z663" s="18"/>
      <c r="AA663" s="18"/>
      <c r="AB663" s="18"/>
      <c r="AC663" s="18"/>
      <c r="AD663" s="18"/>
      <c r="AE663" s="18"/>
      <c r="AF663" s="18"/>
      <c r="AG663" s="18"/>
    </row>
    <row r="664" spans="1:33" x14ac:dyDescent="0.2">
      <c r="A664" s="18"/>
      <c r="B664" s="18"/>
      <c r="C664" s="18"/>
      <c r="D664" s="18"/>
      <c r="E664" s="18"/>
      <c r="F664" s="18"/>
      <c r="G664" s="18"/>
      <c r="H664" s="18"/>
      <c r="I664" s="18"/>
      <c r="J664" s="18"/>
      <c r="K664" s="18"/>
      <c r="L664" s="18"/>
      <c r="M664" s="18"/>
      <c r="N664" s="18"/>
      <c r="O664" s="1316"/>
      <c r="P664" s="18"/>
      <c r="Q664" s="18"/>
      <c r="R664" s="18"/>
      <c r="S664" s="18"/>
      <c r="T664" s="18"/>
      <c r="U664" s="18"/>
      <c r="V664" s="18"/>
      <c r="W664" s="18"/>
      <c r="X664" s="18"/>
      <c r="Y664" s="18"/>
      <c r="Z664" s="18"/>
      <c r="AA664" s="18"/>
      <c r="AB664" s="18"/>
      <c r="AC664" s="18"/>
      <c r="AD664" s="18"/>
      <c r="AE664" s="18"/>
      <c r="AF664" s="18"/>
      <c r="AG664" s="18"/>
    </row>
    <row r="665" spans="1:33" x14ac:dyDescent="0.2">
      <c r="A665" s="18"/>
      <c r="B665" s="18"/>
      <c r="C665" s="18"/>
      <c r="D665" s="18"/>
      <c r="E665" s="18"/>
      <c r="F665" s="18"/>
      <c r="G665" s="18"/>
      <c r="H665" s="18"/>
      <c r="I665" s="18"/>
      <c r="J665" s="18"/>
      <c r="K665" s="18"/>
      <c r="L665" s="18"/>
      <c r="M665" s="18"/>
      <c r="N665" s="18"/>
      <c r="O665" s="1316"/>
      <c r="P665" s="18"/>
      <c r="Q665" s="18"/>
      <c r="R665" s="18"/>
      <c r="S665" s="18"/>
      <c r="T665" s="18"/>
      <c r="U665" s="18"/>
      <c r="V665" s="18"/>
      <c r="W665" s="18"/>
      <c r="X665" s="18"/>
      <c r="Y665" s="18"/>
      <c r="Z665" s="18"/>
      <c r="AA665" s="18"/>
      <c r="AB665" s="18"/>
      <c r="AC665" s="18"/>
      <c r="AD665" s="18"/>
      <c r="AE665" s="18"/>
      <c r="AF665" s="18"/>
      <c r="AG665" s="18"/>
    </row>
    <row r="666" spans="1:33" x14ac:dyDescent="0.2">
      <c r="A666" s="18"/>
      <c r="B666" s="18"/>
      <c r="C666" s="18"/>
      <c r="D666" s="18"/>
      <c r="E666" s="18"/>
      <c r="F666" s="18"/>
      <c r="G666" s="18"/>
      <c r="H666" s="18"/>
      <c r="I666" s="18"/>
      <c r="J666" s="18"/>
      <c r="K666" s="18"/>
      <c r="L666" s="18"/>
      <c r="M666" s="18"/>
      <c r="N666" s="18"/>
      <c r="O666" s="1316"/>
      <c r="P666" s="18"/>
      <c r="Q666" s="18"/>
      <c r="R666" s="18"/>
      <c r="S666" s="18"/>
      <c r="T666" s="18"/>
      <c r="U666" s="18"/>
      <c r="V666" s="18"/>
      <c r="W666" s="18"/>
      <c r="X666" s="18"/>
      <c r="Y666" s="18"/>
      <c r="Z666" s="18"/>
      <c r="AA666" s="18"/>
      <c r="AB666" s="18"/>
      <c r="AC666" s="18"/>
      <c r="AD666" s="18"/>
      <c r="AE666" s="18"/>
      <c r="AF666" s="18"/>
      <c r="AG666" s="18"/>
    </row>
    <row r="667" spans="1:33" x14ac:dyDescent="0.2">
      <c r="A667" s="18"/>
      <c r="B667" s="18"/>
      <c r="C667" s="18"/>
      <c r="D667" s="18"/>
      <c r="E667" s="18"/>
      <c r="F667" s="18"/>
      <c r="G667" s="18"/>
      <c r="H667" s="18"/>
      <c r="I667" s="18"/>
      <c r="J667" s="18"/>
      <c r="K667" s="18"/>
      <c r="L667" s="18"/>
      <c r="M667" s="18"/>
      <c r="N667" s="18"/>
      <c r="O667" s="1316"/>
      <c r="P667" s="18"/>
      <c r="Q667" s="18"/>
      <c r="R667" s="18"/>
      <c r="S667" s="18"/>
      <c r="T667" s="18"/>
      <c r="U667" s="18"/>
      <c r="V667" s="18"/>
      <c r="W667" s="18"/>
      <c r="X667" s="18"/>
      <c r="Y667" s="18"/>
      <c r="Z667" s="18"/>
      <c r="AA667" s="18"/>
      <c r="AB667" s="18"/>
      <c r="AC667" s="18"/>
      <c r="AD667" s="18"/>
      <c r="AE667" s="18"/>
      <c r="AF667" s="18"/>
      <c r="AG667" s="18"/>
    </row>
    <row r="668" spans="1:33" x14ac:dyDescent="0.2">
      <c r="A668" s="18"/>
      <c r="B668" s="18"/>
      <c r="C668" s="18"/>
      <c r="D668" s="18"/>
      <c r="E668" s="18"/>
      <c r="F668" s="18"/>
      <c r="G668" s="18"/>
      <c r="H668" s="18"/>
      <c r="I668" s="18"/>
      <c r="J668" s="18"/>
      <c r="K668" s="18"/>
      <c r="L668" s="18"/>
      <c r="M668" s="18"/>
      <c r="N668" s="18"/>
      <c r="O668" s="1316"/>
      <c r="P668" s="18"/>
      <c r="Q668" s="18"/>
      <c r="R668" s="18"/>
      <c r="S668" s="18"/>
      <c r="T668" s="18"/>
      <c r="U668" s="18"/>
      <c r="V668" s="18"/>
      <c r="W668" s="18"/>
      <c r="X668" s="18"/>
      <c r="Y668" s="18"/>
      <c r="Z668" s="18"/>
      <c r="AA668" s="18"/>
      <c r="AB668" s="18"/>
      <c r="AC668" s="18"/>
      <c r="AD668" s="18"/>
      <c r="AE668" s="18"/>
      <c r="AF668" s="18"/>
      <c r="AG668" s="18"/>
    </row>
    <row r="669" spans="1:33" x14ac:dyDescent="0.2">
      <c r="A669" s="18"/>
      <c r="B669" s="18"/>
      <c r="C669" s="18"/>
      <c r="D669" s="18"/>
      <c r="E669" s="18"/>
      <c r="F669" s="18"/>
      <c r="G669" s="18"/>
      <c r="H669" s="18"/>
      <c r="I669" s="18"/>
      <c r="J669" s="18"/>
      <c r="K669" s="18"/>
      <c r="L669" s="18"/>
      <c r="M669" s="18"/>
      <c r="N669" s="18"/>
      <c r="O669" s="1316"/>
      <c r="P669" s="18"/>
      <c r="Q669" s="18"/>
      <c r="R669" s="18"/>
      <c r="S669" s="18"/>
      <c r="T669" s="18"/>
      <c r="U669" s="18"/>
      <c r="V669" s="18"/>
      <c r="W669" s="18"/>
      <c r="X669" s="18"/>
      <c r="Y669" s="18"/>
      <c r="Z669" s="18"/>
      <c r="AA669" s="18"/>
      <c r="AB669" s="18"/>
      <c r="AC669" s="18"/>
      <c r="AD669" s="18"/>
      <c r="AE669" s="18"/>
      <c r="AF669" s="18"/>
      <c r="AG669" s="18"/>
    </row>
    <row r="670" spans="1:33" x14ac:dyDescent="0.2">
      <c r="A670" s="18"/>
      <c r="B670" s="18"/>
      <c r="C670" s="18"/>
      <c r="D670" s="18"/>
      <c r="E670" s="18"/>
      <c r="F670" s="18"/>
      <c r="G670" s="18"/>
      <c r="H670" s="18"/>
      <c r="I670" s="18"/>
      <c r="J670" s="18"/>
      <c r="K670" s="18"/>
      <c r="L670" s="18"/>
      <c r="M670" s="18"/>
      <c r="N670" s="18"/>
      <c r="O670" s="1316"/>
      <c r="P670" s="18"/>
      <c r="Q670" s="18"/>
      <c r="R670" s="18"/>
      <c r="S670" s="18"/>
      <c r="T670" s="18"/>
      <c r="U670" s="18"/>
      <c r="V670" s="18"/>
      <c r="W670" s="18"/>
      <c r="X670" s="18"/>
      <c r="Y670" s="18"/>
      <c r="Z670" s="18"/>
      <c r="AA670" s="18"/>
      <c r="AB670" s="18"/>
      <c r="AC670" s="18"/>
      <c r="AD670" s="18"/>
      <c r="AE670" s="18"/>
      <c r="AF670" s="18"/>
      <c r="AG670" s="18"/>
    </row>
    <row r="671" spans="1:33" x14ac:dyDescent="0.2">
      <c r="A671" s="18"/>
      <c r="B671" s="18"/>
      <c r="C671" s="18"/>
      <c r="D671" s="18"/>
      <c r="E671" s="18"/>
      <c r="F671" s="18"/>
      <c r="G671" s="18"/>
      <c r="H671" s="18"/>
      <c r="I671" s="18"/>
      <c r="J671" s="18"/>
      <c r="K671" s="18"/>
      <c r="L671" s="18"/>
      <c r="M671" s="18"/>
      <c r="N671" s="18"/>
      <c r="O671" s="1316"/>
      <c r="P671" s="18"/>
      <c r="Q671" s="18"/>
      <c r="R671" s="18"/>
      <c r="S671" s="18"/>
      <c r="T671" s="18"/>
      <c r="U671" s="18"/>
      <c r="V671" s="18"/>
      <c r="W671" s="18"/>
      <c r="X671" s="18"/>
      <c r="Y671" s="18"/>
      <c r="Z671" s="18"/>
      <c r="AA671" s="18"/>
      <c r="AB671" s="18"/>
      <c r="AC671" s="18"/>
      <c r="AD671" s="18"/>
      <c r="AE671" s="18"/>
      <c r="AF671" s="18"/>
      <c r="AG671" s="18"/>
    </row>
    <row r="672" spans="1:33" x14ac:dyDescent="0.2">
      <c r="A672" s="18"/>
      <c r="B672" s="18"/>
      <c r="C672" s="18"/>
      <c r="D672" s="18"/>
      <c r="E672" s="18"/>
      <c r="F672" s="18"/>
      <c r="G672" s="18"/>
      <c r="H672" s="18"/>
      <c r="I672" s="18"/>
      <c r="J672" s="18"/>
      <c r="K672" s="18"/>
      <c r="L672" s="18"/>
      <c r="M672" s="18"/>
      <c r="N672" s="18"/>
      <c r="O672" s="1316"/>
      <c r="P672" s="18"/>
      <c r="Q672" s="18"/>
      <c r="R672" s="18"/>
      <c r="S672" s="18"/>
      <c r="T672" s="18"/>
      <c r="U672" s="18"/>
      <c r="V672" s="18"/>
      <c r="W672" s="18"/>
      <c r="X672" s="18"/>
      <c r="Y672" s="18"/>
      <c r="Z672" s="18"/>
      <c r="AA672" s="18"/>
      <c r="AB672" s="18"/>
      <c r="AC672" s="18"/>
      <c r="AD672" s="18"/>
      <c r="AE672" s="18"/>
      <c r="AF672" s="18"/>
      <c r="AG672" s="18"/>
    </row>
    <row r="673" spans="1:33" x14ac:dyDescent="0.2">
      <c r="A673" s="18"/>
      <c r="B673" s="18"/>
      <c r="C673" s="18"/>
      <c r="D673" s="18"/>
      <c r="E673" s="18"/>
      <c r="F673" s="18"/>
      <c r="G673" s="18"/>
      <c r="H673" s="18"/>
      <c r="I673" s="18"/>
      <c r="J673" s="18"/>
      <c r="K673" s="18"/>
      <c r="L673" s="18"/>
      <c r="M673" s="18"/>
      <c r="N673" s="18"/>
      <c r="O673" s="1316"/>
      <c r="P673" s="18"/>
      <c r="Q673" s="18"/>
      <c r="R673" s="18"/>
      <c r="S673" s="18"/>
      <c r="T673" s="18"/>
      <c r="U673" s="18"/>
      <c r="V673" s="18"/>
      <c r="W673" s="18"/>
      <c r="X673" s="18"/>
      <c r="Y673" s="18"/>
      <c r="Z673" s="18"/>
      <c r="AA673" s="18"/>
      <c r="AB673" s="18"/>
      <c r="AC673" s="18"/>
      <c r="AD673" s="18"/>
      <c r="AE673" s="18"/>
      <c r="AF673" s="18"/>
      <c r="AG673" s="18"/>
    </row>
    <row r="674" spans="1:33" x14ac:dyDescent="0.2">
      <c r="A674" s="18"/>
      <c r="B674" s="18"/>
      <c r="C674" s="18"/>
      <c r="D674" s="18"/>
      <c r="E674" s="18"/>
      <c r="F674" s="18"/>
      <c r="G674" s="18"/>
      <c r="H674" s="18"/>
      <c r="I674" s="18"/>
      <c r="J674" s="18"/>
      <c r="K674" s="18"/>
      <c r="L674" s="18"/>
      <c r="M674" s="18"/>
      <c r="N674" s="18"/>
      <c r="O674" s="1316"/>
      <c r="P674" s="18"/>
      <c r="Q674" s="18"/>
      <c r="R674" s="18"/>
      <c r="S674" s="18"/>
      <c r="T674" s="18"/>
      <c r="U674" s="18"/>
      <c r="V674" s="18"/>
      <c r="W674" s="18"/>
      <c r="X674" s="18"/>
      <c r="Y674" s="18"/>
      <c r="Z674" s="18"/>
      <c r="AA674" s="18"/>
      <c r="AB674" s="18"/>
      <c r="AC674" s="18"/>
      <c r="AD674" s="18"/>
      <c r="AE674" s="18"/>
      <c r="AF674" s="18"/>
      <c r="AG674" s="18"/>
    </row>
    <row r="675" spans="1:33" x14ac:dyDescent="0.2">
      <c r="A675" s="18"/>
      <c r="B675" s="18"/>
      <c r="C675" s="18"/>
      <c r="D675" s="18"/>
      <c r="E675" s="18"/>
      <c r="F675" s="18"/>
      <c r="G675" s="18"/>
      <c r="H675" s="18"/>
      <c r="I675" s="18"/>
      <c r="J675" s="18"/>
      <c r="K675" s="18"/>
      <c r="L675" s="18"/>
      <c r="M675" s="18"/>
      <c r="N675" s="18"/>
      <c r="O675" s="1316"/>
      <c r="P675" s="18"/>
      <c r="Q675" s="18"/>
      <c r="R675" s="18"/>
      <c r="S675" s="18"/>
      <c r="T675" s="18"/>
      <c r="U675" s="18"/>
      <c r="V675" s="18"/>
      <c r="W675" s="18"/>
      <c r="X675" s="18"/>
      <c r="Y675" s="18"/>
      <c r="Z675" s="18"/>
      <c r="AA675" s="18"/>
      <c r="AB675" s="18"/>
      <c r="AC675" s="18"/>
      <c r="AD675" s="18"/>
      <c r="AE675" s="18"/>
      <c r="AF675" s="18"/>
      <c r="AG675" s="18"/>
    </row>
    <row r="676" spans="1:33" x14ac:dyDescent="0.2">
      <c r="A676" s="18"/>
      <c r="B676" s="18"/>
      <c r="C676" s="18"/>
      <c r="D676" s="18"/>
      <c r="E676" s="18"/>
      <c r="F676" s="18"/>
      <c r="G676" s="18"/>
      <c r="H676" s="18"/>
      <c r="I676" s="18"/>
      <c r="J676" s="18"/>
      <c r="K676" s="18"/>
      <c r="L676" s="18"/>
      <c r="M676" s="18"/>
      <c r="N676" s="18"/>
      <c r="O676" s="1316"/>
      <c r="P676" s="18"/>
      <c r="Q676" s="18"/>
      <c r="R676" s="18"/>
      <c r="S676" s="18"/>
      <c r="T676" s="18"/>
      <c r="U676" s="18"/>
      <c r="V676" s="18"/>
      <c r="W676" s="18"/>
      <c r="X676" s="18"/>
      <c r="Y676" s="18"/>
      <c r="Z676" s="18"/>
      <c r="AA676" s="18"/>
      <c r="AB676" s="18"/>
      <c r="AC676" s="18"/>
      <c r="AD676" s="18"/>
      <c r="AE676" s="18"/>
      <c r="AF676" s="18"/>
      <c r="AG676" s="18"/>
    </row>
    <row r="677" spans="1:33" x14ac:dyDescent="0.2">
      <c r="A677" s="18"/>
      <c r="B677" s="18"/>
      <c r="C677" s="18"/>
      <c r="D677" s="18"/>
      <c r="E677" s="18"/>
      <c r="F677" s="18"/>
      <c r="G677" s="18"/>
      <c r="H677" s="18"/>
      <c r="I677" s="18"/>
      <c r="J677" s="18"/>
      <c r="K677" s="18"/>
      <c r="L677" s="18"/>
      <c r="M677" s="18"/>
      <c r="N677" s="18"/>
      <c r="O677" s="1316"/>
      <c r="P677" s="18"/>
      <c r="Q677" s="18"/>
      <c r="R677" s="18"/>
      <c r="S677" s="18"/>
      <c r="T677" s="18"/>
      <c r="U677" s="18"/>
      <c r="V677" s="18"/>
      <c r="W677" s="18"/>
      <c r="X677" s="18"/>
      <c r="Y677" s="18"/>
      <c r="Z677" s="18"/>
      <c r="AA677" s="18"/>
      <c r="AB677" s="18"/>
      <c r="AC677" s="18"/>
      <c r="AD677" s="18"/>
      <c r="AE677" s="18"/>
      <c r="AF677" s="18"/>
      <c r="AG677" s="18"/>
    </row>
    <row r="678" spans="1:33" x14ac:dyDescent="0.2">
      <c r="A678" s="18"/>
      <c r="B678" s="18"/>
      <c r="C678" s="18"/>
      <c r="D678" s="18"/>
      <c r="E678" s="18"/>
      <c r="F678" s="18"/>
      <c r="G678" s="18"/>
      <c r="H678" s="18"/>
      <c r="I678" s="18"/>
      <c r="J678" s="18"/>
      <c r="K678" s="18"/>
      <c r="L678" s="18"/>
      <c r="M678" s="18"/>
      <c r="N678" s="18"/>
      <c r="O678" s="1316"/>
      <c r="P678" s="18"/>
      <c r="Q678" s="18"/>
      <c r="R678" s="18"/>
      <c r="S678" s="18"/>
      <c r="T678" s="18"/>
      <c r="U678" s="18"/>
      <c r="V678" s="18"/>
      <c r="W678" s="18"/>
      <c r="X678" s="18"/>
      <c r="Y678" s="18"/>
      <c r="Z678" s="18"/>
      <c r="AA678" s="18"/>
      <c r="AB678" s="18"/>
      <c r="AC678" s="18"/>
      <c r="AD678" s="18"/>
      <c r="AE678" s="18"/>
      <c r="AF678" s="18"/>
      <c r="AG678" s="18"/>
    </row>
    <row r="679" spans="1:33" x14ac:dyDescent="0.2">
      <c r="A679" s="18"/>
      <c r="B679" s="18"/>
      <c r="C679" s="18"/>
      <c r="D679" s="18"/>
      <c r="E679" s="18"/>
      <c r="F679" s="18"/>
      <c r="G679" s="18"/>
      <c r="H679" s="18"/>
      <c r="I679" s="18"/>
      <c r="J679" s="18"/>
      <c r="K679" s="18"/>
      <c r="L679" s="18"/>
      <c r="M679" s="18"/>
      <c r="N679" s="18"/>
      <c r="O679" s="1316"/>
      <c r="P679" s="18"/>
      <c r="Q679" s="18"/>
      <c r="R679" s="18"/>
      <c r="S679" s="18"/>
      <c r="T679" s="18"/>
      <c r="U679" s="18"/>
      <c r="V679" s="18"/>
      <c r="W679" s="18"/>
      <c r="X679" s="18"/>
      <c r="Y679" s="18"/>
      <c r="Z679" s="18"/>
      <c r="AA679" s="18"/>
      <c r="AB679" s="18"/>
      <c r="AC679" s="18"/>
      <c r="AD679" s="18"/>
      <c r="AE679" s="18"/>
      <c r="AF679" s="18"/>
      <c r="AG679" s="18"/>
    </row>
    <row r="680" spans="1:33" x14ac:dyDescent="0.2">
      <c r="A680" s="18"/>
      <c r="B680" s="18"/>
      <c r="C680" s="18"/>
      <c r="D680" s="18"/>
      <c r="E680" s="18"/>
      <c r="F680" s="18"/>
      <c r="G680" s="18"/>
      <c r="H680" s="18"/>
      <c r="I680" s="18"/>
      <c r="J680" s="18"/>
      <c r="K680" s="18"/>
      <c r="L680" s="18"/>
      <c r="M680" s="18"/>
      <c r="N680" s="18"/>
      <c r="O680" s="1316"/>
      <c r="P680" s="18"/>
      <c r="Q680" s="18"/>
      <c r="R680" s="18"/>
      <c r="S680" s="18"/>
      <c r="T680" s="18"/>
      <c r="U680" s="18"/>
      <c r="V680" s="18"/>
      <c r="W680" s="18"/>
      <c r="X680" s="18"/>
      <c r="Y680" s="18"/>
      <c r="Z680" s="18"/>
      <c r="AA680" s="18"/>
      <c r="AB680" s="18"/>
      <c r="AC680" s="18"/>
      <c r="AD680" s="18"/>
      <c r="AE680" s="18"/>
      <c r="AF680" s="18"/>
      <c r="AG680" s="18"/>
    </row>
    <row r="681" spans="1:33" x14ac:dyDescent="0.2">
      <c r="A681" s="18"/>
      <c r="B681" s="18"/>
      <c r="C681" s="18"/>
      <c r="D681" s="18"/>
      <c r="E681" s="18"/>
      <c r="F681" s="18"/>
      <c r="G681" s="18"/>
      <c r="H681" s="18"/>
      <c r="I681" s="18"/>
      <c r="J681" s="18"/>
      <c r="K681" s="18"/>
      <c r="L681" s="18"/>
      <c r="M681" s="18"/>
      <c r="N681" s="18"/>
      <c r="O681" s="1316"/>
      <c r="P681" s="18"/>
      <c r="Q681" s="18"/>
      <c r="R681" s="18"/>
      <c r="S681" s="18"/>
      <c r="T681" s="18"/>
      <c r="U681" s="18"/>
      <c r="V681" s="18"/>
      <c r="W681" s="18"/>
      <c r="X681" s="18"/>
      <c r="Y681" s="18"/>
      <c r="Z681" s="18"/>
      <c r="AA681" s="18"/>
      <c r="AB681" s="18"/>
      <c r="AC681" s="18"/>
      <c r="AD681" s="18"/>
      <c r="AE681" s="18"/>
      <c r="AF681" s="18"/>
      <c r="AG681" s="18"/>
    </row>
    <row r="682" spans="1:33" x14ac:dyDescent="0.2">
      <c r="A682" s="18"/>
      <c r="B682" s="18"/>
      <c r="C682" s="18"/>
      <c r="D682" s="18"/>
      <c r="E682" s="18"/>
      <c r="F682" s="18"/>
      <c r="G682" s="18"/>
      <c r="H682" s="18"/>
      <c r="I682" s="18"/>
      <c r="J682" s="18"/>
      <c r="K682" s="18"/>
      <c r="L682" s="18"/>
      <c r="M682" s="18"/>
      <c r="N682" s="18"/>
      <c r="O682" s="1316"/>
      <c r="P682" s="18"/>
      <c r="Q682" s="18"/>
      <c r="R682" s="18"/>
      <c r="S682" s="18"/>
      <c r="T682" s="18"/>
      <c r="U682" s="18"/>
      <c r="V682" s="18"/>
      <c r="W682" s="18"/>
      <c r="X682" s="18"/>
      <c r="Y682" s="18"/>
      <c r="Z682" s="18"/>
      <c r="AA682" s="18"/>
      <c r="AB682" s="18"/>
      <c r="AC682" s="18"/>
      <c r="AD682" s="18"/>
      <c r="AE682" s="18"/>
      <c r="AF682" s="18"/>
      <c r="AG682" s="18"/>
    </row>
    <row r="683" spans="1:33" x14ac:dyDescent="0.2">
      <c r="A683" s="18"/>
      <c r="B683" s="18"/>
      <c r="C683" s="18"/>
      <c r="D683" s="18"/>
      <c r="E683" s="18"/>
      <c r="F683" s="18"/>
      <c r="G683" s="18"/>
      <c r="H683" s="18"/>
      <c r="I683" s="18"/>
      <c r="J683" s="18"/>
      <c r="K683" s="18"/>
      <c r="L683" s="18"/>
      <c r="M683" s="18"/>
      <c r="N683" s="18"/>
      <c r="O683" s="1316"/>
      <c r="P683" s="18"/>
      <c r="Q683" s="18"/>
      <c r="R683" s="18"/>
      <c r="S683" s="18"/>
      <c r="T683" s="18"/>
      <c r="U683" s="18"/>
      <c r="V683" s="18"/>
      <c r="W683" s="18"/>
      <c r="X683" s="18"/>
      <c r="Y683" s="18"/>
      <c r="Z683" s="18"/>
      <c r="AA683" s="18"/>
      <c r="AB683" s="18"/>
      <c r="AC683" s="18"/>
      <c r="AD683" s="18"/>
      <c r="AE683" s="18"/>
      <c r="AF683" s="18"/>
      <c r="AG683" s="18"/>
    </row>
    <row r="684" spans="1:33" x14ac:dyDescent="0.2">
      <c r="A684" s="18"/>
      <c r="B684" s="18"/>
      <c r="C684" s="18"/>
      <c r="D684" s="18"/>
      <c r="E684" s="18"/>
      <c r="F684" s="18"/>
      <c r="G684" s="18"/>
      <c r="H684" s="18"/>
      <c r="I684" s="18"/>
      <c r="J684" s="18"/>
      <c r="K684" s="18"/>
      <c r="L684" s="18"/>
      <c r="M684" s="18"/>
      <c r="N684" s="18"/>
      <c r="O684" s="1316"/>
      <c r="P684" s="18"/>
      <c r="Q684" s="18"/>
      <c r="R684" s="18"/>
      <c r="S684" s="18"/>
      <c r="T684" s="18"/>
      <c r="U684" s="18"/>
      <c r="V684" s="18"/>
      <c r="W684" s="18"/>
      <c r="X684" s="18"/>
      <c r="Y684" s="18"/>
      <c r="Z684" s="18"/>
      <c r="AA684" s="18"/>
      <c r="AB684" s="18"/>
      <c r="AC684" s="18"/>
      <c r="AD684" s="18"/>
      <c r="AE684" s="18"/>
      <c r="AF684" s="18"/>
      <c r="AG684" s="18"/>
    </row>
    <row r="685" spans="1:33" x14ac:dyDescent="0.2">
      <c r="A685" s="18"/>
      <c r="B685" s="18"/>
      <c r="C685" s="18"/>
      <c r="D685" s="18"/>
      <c r="E685" s="18"/>
      <c r="F685" s="18"/>
      <c r="G685" s="18"/>
      <c r="H685" s="18"/>
      <c r="I685" s="18"/>
      <c r="J685" s="18"/>
      <c r="K685" s="18"/>
      <c r="L685" s="18"/>
      <c r="M685" s="18"/>
      <c r="N685" s="18"/>
      <c r="O685" s="1316"/>
      <c r="P685" s="18"/>
      <c r="Q685" s="18"/>
      <c r="R685" s="18"/>
      <c r="S685" s="18"/>
      <c r="T685" s="18"/>
      <c r="U685" s="18"/>
      <c r="V685" s="18"/>
      <c r="W685" s="18"/>
      <c r="X685" s="18"/>
      <c r="Y685" s="18"/>
      <c r="Z685" s="18"/>
      <c r="AA685" s="18"/>
      <c r="AB685" s="18"/>
      <c r="AC685" s="18"/>
      <c r="AD685" s="18"/>
      <c r="AE685" s="18"/>
      <c r="AF685" s="18"/>
      <c r="AG685" s="18"/>
    </row>
    <row r="686" spans="1:33" x14ac:dyDescent="0.2">
      <c r="A686" s="18"/>
      <c r="B686" s="18"/>
      <c r="C686" s="18"/>
      <c r="D686" s="18"/>
      <c r="E686" s="18"/>
      <c r="F686" s="18"/>
      <c r="G686" s="18"/>
      <c r="H686" s="18"/>
      <c r="I686" s="18"/>
      <c r="J686" s="18"/>
      <c r="K686" s="18"/>
      <c r="L686" s="18"/>
      <c r="M686" s="18"/>
      <c r="N686" s="18"/>
      <c r="O686" s="1316"/>
      <c r="P686" s="18"/>
      <c r="Q686" s="18"/>
      <c r="R686" s="18"/>
      <c r="S686" s="18"/>
      <c r="T686" s="18"/>
      <c r="U686" s="18"/>
      <c r="V686" s="18"/>
      <c r="W686" s="18"/>
      <c r="X686" s="18"/>
      <c r="Y686" s="18"/>
      <c r="Z686" s="18"/>
      <c r="AA686" s="18"/>
      <c r="AB686" s="18"/>
      <c r="AC686" s="18"/>
      <c r="AD686" s="18"/>
      <c r="AE686" s="18"/>
      <c r="AF686" s="18"/>
      <c r="AG686" s="18"/>
    </row>
    <row r="687" spans="1:33" x14ac:dyDescent="0.2">
      <c r="A687" s="18"/>
      <c r="B687" s="18"/>
      <c r="C687" s="18"/>
      <c r="D687" s="18"/>
      <c r="E687" s="18"/>
      <c r="F687" s="18"/>
      <c r="G687" s="18"/>
      <c r="H687" s="18"/>
      <c r="I687" s="18"/>
      <c r="J687" s="18"/>
      <c r="K687" s="18"/>
      <c r="L687" s="18"/>
      <c r="M687" s="18"/>
      <c r="N687" s="18"/>
      <c r="O687" s="1316"/>
      <c r="P687" s="18"/>
      <c r="Q687" s="18"/>
      <c r="R687" s="18"/>
      <c r="S687" s="18"/>
      <c r="T687" s="18"/>
      <c r="U687" s="18"/>
      <c r="V687" s="18"/>
      <c r="W687" s="18"/>
      <c r="X687" s="18"/>
      <c r="Y687" s="18"/>
      <c r="Z687" s="18"/>
      <c r="AA687" s="18"/>
      <c r="AB687" s="18"/>
      <c r="AC687" s="18"/>
      <c r="AD687" s="18"/>
      <c r="AE687" s="18"/>
      <c r="AF687" s="18"/>
      <c r="AG687" s="18"/>
    </row>
    <row r="688" spans="1:33" x14ac:dyDescent="0.2">
      <c r="A688" s="18"/>
      <c r="B688" s="18"/>
      <c r="C688" s="18"/>
      <c r="D688" s="18"/>
      <c r="E688" s="18"/>
      <c r="F688" s="18"/>
      <c r="G688" s="18"/>
      <c r="H688" s="18"/>
      <c r="I688" s="18"/>
      <c r="J688" s="18"/>
      <c r="K688" s="18"/>
      <c r="L688" s="18"/>
      <c r="M688" s="18"/>
      <c r="N688" s="18"/>
      <c r="O688" s="1316"/>
      <c r="P688" s="18"/>
      <c r="Q688" s="18"/>
      <c r="R688" s="18"/>
      <c r="S688" s="18"/>
      <c r="T688" s="18"/>
      <c r="U688" s="18"/>
      <c r="V688" s="18"/>
      <c r="W688" s="18"/>
      <c r="X688" s="18"/>
      <c r="Y688" s="18"/>
      <c r="Z688" s="18"/>
      <c r="AA688" s="18"/>
      <c r="AB688" s="18"/>
      <c r="AC688" s="18"/>
      <c r="AD688" s="18"/>
      <c r="AE688" s="18"/>
      <c r="AF688" s="18"/>
      <c r="AG688" s="18"/>
    </row>
    <row r="689" spans="1:33" x14ac:dyDescent="0.2">
      <c r="A689" s="18"/>
      <c r="B689" s="18"/>
      <c r="C689" s="18"/>
      <c r="D689" s="18"/>
      <c r="E689" s="18"/>
      <c r="F689" s="18"/>
      <c r="G689" s="18"/>
      <c r="H689" s="18"/>
      <c r="I689" s="18"/>
      <c r="J689" s="18"/>
      <c r="K689" s="18"/>
      <c r="L689" s="18"/>
      <c r="M689" s="18"/>
      <c r="N689" s="18"/>
      <c r="O689" s="1316"/>
      <c r="P689" s="18"/>
      <c r="Q689" s="18"/>
      <c r="R689" s="18"/>
      <c r="S689" s="18"/>
      <c r="T689" s="18"/>
      <c r="U689" s="18"/>
      <c r="V689" s="18"/>
      <c r="W689" s="18"/>
      <c r="X689" s="18"/>
      <c r="Y689" s="18"/>
      <c r="Z689" s="18"/>
      <c r="AA689" s="18"/>
      <c r="AB689" s="18"/>
      <c r="AC689" s="18"/>
      <c r="AD689" s="18"/>
      <c r="AE689" s="18"/>
      <c r="AF689" s="18"/>
      <c r="AG689" s="18"/>
    </row>
    <row r="690" spans="1:33" x14ac:dyDescent="0.2">
      <c r="A690" s="18"/>
      <c r="B690" s="18"/>
      <c r="C690" s="18"/>
      <c r="D690" s="18"/>
      <c r="E690" s="18"/>
      <c r="F690" s="18"/>
      <c r="G690" s="18"/>
      <c r="H690" s="18"/>
      <c r="I690" s="18"/>
      <c r="J690" s="18"/>
      <c r="K690" s="18"/>
      <c r="L690" s="18"/>
      <c r="M690" s="18"/>
      <c r="N690" s="18"/>
      <c r="O690" s="1316"/>
      <c r="P690" s="18"/>
      <c r="Q690" s="18"/>
      <c r="R690" s="18"/>
      <c r="S690" s="18"/>
      <c r="T690" s="18"/>
      <c r="U690" s="18"/>
      <c r="V690" s="18"/>
      <c r="W690" s="18"/>
      <c r="X690" s="18"/>
      <c r="Y690" s="18"/>
      <c r="Z690" s="18"/>
      <c r="AA690" s="18"/>
      <c r="AB690" s="18"/>
      <c r="AC690" s="18"/>
      <c r="AD690" s="18"/>
      <c r="AE690" s="18"/>
      <c r="AF690" s="18"/>
      <c r="AG690" s="18"/>
    </row>
    <row r="691" spans="1:33" x14ac:dyDescent="0.2">
      <c r="A691" s="18"/>
      <c r="B691" s="18"/>
      <c r="C691" s="18"/>
      <c r="D691" s="18"/>
      <c r="E691" s="18"/>
      <c r="F691" s="18"/>
      <c r="G691" s="18"/>
      <c r="H691" s="18"/>
      <c r="I691" s="18"/>
      <c r="J691" s="18"/>
      <c r="K691" s="18"/>
      <c r="L691" s="18"/>
      <c r="M691" s="18"/>
      <c r="N691" s="18"/>
      <c r="O691" s="1316"/>
      <c r="P691" s="18"/>
      <c r="Q691" s="18"/>
      <c r="R691" s="18"/>
      <c r="S691" s="18"/>
      <c r="T691" s="18"/>
      <c r="U691" s="18"/>
      <c r="V691" s="18"/>
      <c r="W691" s="18"/>
      <c r="X691" s="18"/>
      <c r="Y691" s="18"/>
      <c r="Z691" s="18"/>
      <c r="AA691" s="18"/>
      <c r="AB691" s="18"/>
      <c r="AC691" s="18"/>
      <c r="AD691" s="18"/>
      <c r="AE691" s="18"/>
      <c r="AF691" s="18"/>
      <c r="AG691" s="18"/>
    </row>
    <row r="692" spans="1:33" x14ac:dyDescent="0.2">
      <c r="A692" s="18"/>
      <c r="B692" s="18"/>
      <c r="C692" s="18"/>
      <c r="D692" s="18"/>
      <c r="E692" s="18"/>
      <c r="F692" s="18"/>
      <c r="G692" s="18"/>
      <c r="H692" s="18"/>
      <c r="I692" s="18"/>
      <c r="J692" s="18"/>
      <c r="K692" s="18"/>
      <c r="L692" s="18"/>
      <c r="M692" s="18"/>
      <c r="N692" s="18"/>
      <c r="O692" s="1316"/>
      <c r="P692" s="18"/>
      <c r="Q692" s="18"/>
      <c r="R692" s="18"/>
      <c r="S692" s="18"/>
      <c r="T692" s="18"/>
      <c r="U692" s="18"/>
      <c r="V692" s="18"/>
      <c r="W692" s="18"/>
      <c r="X692" s="18"/>
      <c r="Y692" s="18"/>
      <c r="Z692" s="18"/>
      <c r="AA692" s="18"/>
      <c r="AB692" s="18"/>
      <c r="AC692" s="18"/>
      <c r="AD692" s="18"/>
      <c r="AE692" s="18"/>
      <c r="AF692" s="18"/>
      <c r="AG692" s="18"/>
    </row>
    <row r="693" spans="1:33" x14ac:dyDescent="0.2">
      <c r="A693" s="18"/>
      <c r="B693" s="18"/>
      <c r="C693" s="18"/>
      <c r="D693" s="18"/>
      <c r="E693" s="18"/>
      <c r="F693" s="18"/>
      <c r="G693" s="18"/>
      <c r="H693" s="18"/>
      <c r="I693" s="18"/>
      <c r="J693" s="18"/>
      <c r="K693" s="18"/>
      <c r="L693" s="18"/>
      <c r="M693" s="18"/>
      <c r="N693" s="18"/>
      <c r="O693" s="1316"/>
      <c r="P693" s="18"/>
      <c r="Q693" s="18"/>
      <c r="R693" s="18"/>
      <c r="S693" s="18"/>
      <c r="T693" s="18"/>
      <c r="U693" s="18"/>
      <c r="V693" s="18"/>
      <c r="W693" s="18"/>
      <c r="X693" s="18"/>
      <c r="Y693" s="18"/>
      <c r="Z693" s="18"/>
      <c r="AA693" s="18"/>
      <c r="AB693" s="18"/>
      <c r="AC693" s="18"/>
      <c r="AD693" s="18"/>
      <c r="AE693" s="18"/>
      <c r="AF693" s="18"/>
      <c r="AG693" s="18"/>
    </row>
    <row r="694" spans="1:33" x14ac:dyDescent="0.2">
      <c r="A694" s="18"/>
      <c r="B694" s="18"/>
      <c r="C694" s="18"/>
      <c r="D694" s="18"/>
      <c r="E694" s="18"/>
      <c r="F694" s="18"/>
      <c r="G694" s="18"/>
      <c r="H694" s="18"/>
      <c r="I694" s="18"/>
      <c r="J694" s="18"/>
      <c r="K694" s="18"/>
      <c r="L694" s="18"/>
      <c r="M694" s="18"/>
      <c r="N694" s="18"/>
      <c r="O694" s="1316"/>
      <c r="P694" s="18"/>
      <c r="Q694" s="18"/>
      <c r="R694" s="18"/>
      <c r="S694" s="18"/>
      <c r="T694" s="18"/>
      <c r="U694" s="18"/>
      <c r="V694" s="18"/>
      <c r="W694" s="18"/>
      <c r="X694" s="18"/>
      <c r="Y694" s="18"/>
      <c r="Z694" s="18"/>
      <c r="AA694" s="18"/>
      <c r="AB694" s="18"/>
      <c r="AC694" s="18"/>
      <c r="AD694" s="18"/>
      <c r="AE694" s="18"/>
      <c r="AF694" s="18"/>
      <c r="AG694" s="18"/>
    </row>
    <row r="695" spans="1:33" x14ac:dyDescent="0.2">
      <c r="A695" s="18"/>
      <c r="B695" s="18"/>
      <c r="C695" s="18"/>
      <c r="D695" s="18"/>
      <c r="E695" s="18"/>
      <c r="F695" s="18"/>
      <c r="G695" s="18"/>
      <c r="H695" s="18"/>
      <c r="I695" s="18"/>
      <c r="J695" s="18"/>
      <c r="K695" s="18"/>
      <c r="L695" s="18"/>
      <c r="M695" s="18"/>
      <c r="N695" s="18"/>
      <c r="O695" s="1316"/>
      <c r="P695" s="18"/>
      <c r="Q695" s="18"/>
      <c r="R695" s="18"/>
      <c r="S695" s="18"/>
      <c r="T695" s="18"/>
      <c r="U695" s="18"/>
      <c r="V695" s="18"/>
      <c r="W695" s="18"/>
      <c r="X695" s="18"/>
      <c r="Y695" s="18"/>
      <c r="Z695" s="18"/>
      <c r="AA695" s="18"/>
      <c r="AB695" s="18"/>
      <c r="AC695" s="18"/>
      <c r="AD695" s="18"/>
      <c r="AE695" s="18"/>
      <c r="AF695" s="18"/>
      <c r="AG695" s="18"/>
    </row>
    <row r="696" spans="1:33" x14ac:dyDescent="0.2">
      <c r="A696" s="18"/>
      <c r="B696" s="18"/>
      <c r="C696" s="18"/>
      <c r="D696" s="18"/>
      <c r="E696" s="18"/>
      <c r="F696" s="18"/>
      <c r="G696" s="18"/>
      <c r="H696" s="18"/>
      <c r="I696" s="18"/>
      <c r="J696" s="18"/>
      <c r="K696" s="18"/>
      <c r="L696" s="18"/>
      <c r="M696" s="18"/>
      <c r="N696" s="18"/>
      <c r="O696" s="1316"/>
      <c r="P696" s="18"/>
      <c r="Q696" s="18"/>
      <c r="R696" s="18"/>
      <c r="S696" s="18"/>
      <c r="T696" s="18"/>
      <c r="U696" s="18"/>
      <c r="V696" s="18"/>
      <c r="W696" s="18"/>
      <c r="X696" s="18"/>
      <c r="Y696" s="18"/>
      <c r="Z696" s="18"/>
      <c r="AA696" s="18"/>
      <c r="AB696" s="18"/>
      <c r="AC696" s="18"/>
      <c r="AD696" s="18"/>
      <c r="AE696" s="18"/>
      <c r="AF696" s="18"/>
      <c r="AG696" s="18"/>
    </row>
    <row r="697" spans="1:33" x14ac:dyDescent="0.2">
      <c r="A697" s="18"/>
      <c r="B697" s="18"/>
      <c r="C697" s="18"/>
      <c r="D697" s="18"/>
      <c r="E697" s="18"/>
      <c r="F697" s="18"/>
      <c r="G697" s="18"/>
      <c r="H697" s="18"/>
      <c r="I697" s="18"/>
      <c r="J697" s="18"/>
      <c r="K697" s="18"/>
      <c r="L697" s="18"/>
      <c r="M697" s="18"/>
      <c r="N697" s="18"/>
      <c r="O697" s="1316"/>
      <c r="P697" s="18"/>
      <c r="Q697" s="18"/>
      <c r="R697" s="18"/>
      <c r="S697" s="18"/>
      <c r="T697" s="18"/>
      <c r="U697" s="18"/>
      <c r="V697" s="18"/>
      <c r="W697" s="18"/>
      <c r="X697" s="18"/>
      <c r="Y697" s="18"/>
      <c r="Z697" s="18"/>
      <c r="AA697" s="18"/>
      <c r="AB697" s="18"/>
      <c r="AC697" s="18"/>
      <c r="AD697" s="18"/>
      <c r="AE697" s="18"/>
      <c r="AF697" s="18"/>
      <c r="AG697" s="18"/>
    </row>
    <row r="698" spans="1:33" x14ac:dyDescent="0.2">
      <c r="A698" s="18"/>
      <c r="B698" s="18"/>
      <c r="C698" s="18"/>
      <c r="D698" s="18"/>
      <c r="E698" s="18"/>
      <c r="F698" s="18"/>
      <c r="G698" s="18"/>
      <c r="H698" s="18"/>
      <c r="I698" s="18"/>
      <c r="J698" s="18"/>
      <c r="K698" s="18"/>
      <c r="L698" s="18"/>
      <c r="M698" s="18"/>
      <c r="N698" s="18"/>
      <c r="O698" s="1316"/>
      <c r="P698" s="18"/>
      <c r="Q698" s="18"/>
      <c r="R698" s="18"/>
      <c r="S698" s="18"/>
      <c r="T698" s="18"/>
      <c r="U698" s="18"/>
      <c r="V698" s="18"/>
      <c r="W698" s="18"/>
      <c r="X698" s="18"/>
      <c r="Y698" s="18"/>
      <c r="Z698" s="18"/>
      <c r="AA698" s="18"/>
      <c r="AB698" s="18"/>
      <c r="AC698" s="18"/>
      <c r="AD698" s="18"/>
      <c r="AE698" s="18"/>
      <c r="AF698" s="18"/>
      <c r="AG698" s="18"/>
    </row>
    <row r="699" spans="1:33" x14ac:dyDescent="0.2">
      <c r="A699" s="18"/>
      <c r="B699" s="18"/>
      <c r="C699" s="18"/>
      <c r="D699" s="18"/>
      <c r="E699" s="18"/>
      <c r="F699" s="18"/>
      <c r="G699" s="18"/>
      <c r="H699" s="18"/>
      <c r="I699" s="18"/>
      <c r="J699" s="18"/>
      <c r="K699" s="18"/>
      <c r="L699" s="18"/>
      <c r="M699" s="18"/>
      <c r="N699" s="18"/>
      <c r="O699" s="1316"/>
      <c r="P699" s="18"/>
      <c r="Q699" s="18"/>
      <c r="R699" s="18"/>
      <c r="S699" s="18"/>
      <c r="T699" s="18"/>
      <c r="U699" s="18"/>
      <c r="V699" s="18"/>
      <c r="W699" s="18"/>
      <c r="X699" s="18"/>
      <c r="Y699" s="18"/>
      <c r="Z699" s="18"/>
      <c r="AA699" s="18"/>
      <c r="AB699" s="18"/>
      <c r="AC699" s="18"/>
      <c r="AD699" s="18"/>
      <c r="AE699" s="18"/>
      <c r="AF699" s="18"/>
      <c r="AG699" s="18"/>
    </row>
    <row r="700" spans="1:33" x14ac:dyDescent="0.2">
      <c r="A700" s="18"/>
      <c r="B700" s="18"/>
      <c r="C700" s="18"/>
      <c r="D700" s="18"/>
      <c r="E700" s="18"/>
      <c r="F700" s="18"/>
      <c r="G700" s="18"/>
      <c r="H700" s="18"/>
      <c r="I700" s="18"/>
      <c r="J700" s="18"/>
      <c r="K700" s="18"/>
      <c r="L700" s="18"/>
      <c r="M700" s="18"/>
      <c r="N700" s="18"/>
      <c r="O700" s="1316"/>
      <c r="P700" s="18"/>
      <c r="Q700" s="18"/>
      <c r="R700" s="18"/>
      <c r="S700" s="18"/>
      <c r="T700" s="18"/>
      <c r="U700" s="18"/>
      <c r="V700" s="18"/>
      <c r="W700" s="18"/>
      <c r="X700" s="18"/>
      <c r="Y700" s="18"/>
      <c r="Z700" s="18"/>
      <c r="AA700" s="18"/>
      <c r="AB700" s="18"/>
      <c r="AC700" s="18"/>
      <c r="AD700" s="18"/>
      <c r="AE700" s="18"/>
      <c r="AF700" s="18"/>
      <c r="AG700" s="18"/>
    </row>
    <row r="701" spans="1:33" x14ac:dyDescent="0.2">
      <c r="A701" s="18"/>
      <c r="B701" s="18"/>
      <c r="C701" s="18"/>
      <c r="D701" s="18"/>
      <c r="E701" s="18"/>
      <c r="F701" s="18"/>
      <c r="G701" s="18"/>
      <c r="H701" s="18"/>
      <c r="I701" s="18"/>
      <c r="J701" s="18"/>
      <c r="K701" s="18"/>
      <c r="L701" s="18"/>
      <c r="M701" s="18"/>
      <c r="N701" s="18"/>
      <c r="O701" s="1316"/>
      <c r="P701" s="18"/>
      <c r="Q701" s="18"/>
      <c r="R701" s="18"/>
      <c r="S701" s="18"/>
      <c r="T701" s="18"/>
      <c r="U701" s="18"/>
      <c r="V701" s="18"/>
      <c r="W701" s="18"/>
      <c r="X701" s="18"/>
      <c r="Y701" s="18"/>
      <c r="Z701" s="18"/>
      <c r="AA701" s="18"/>
      <c r="AB701" s="18"/>
      <c r="AC701" s="18"/>
      <c r="AD701" s="18"/>
      <c r="AE701" s="18"/>
      <c r="AF701" s="18"/>
      <c r="AG701" s="18"/>
    </row>
    <row r="702" spans="1:33" x14ac:dyDescent="0.2">
      <c r="A702" s="18"/>
      <c r="B702" s="18"/>
      <c r="C702" s="18"/>
      <c r="D702" s="18"/>
      <c r="E702" s="18"/>
      <c r="F702" s="18"/>
      <c r="G702" s="18"/>
      <c r="H702" s="18"/>
      <c r="I702" s="18"/>
      <c r="J702" s="18"/>
      <c r="K702" s="18"/>
      <c r="L702" s="18"/>
      <c r="M702" s="18"/>
      <c r="N702" s="18"/>
      <c r="O702" s="1316"/>
      <c r="P702" s="18"/>
      <c r="Q702" s="18"/>
      <c r="R702" s="18"/>
      <c r="S702" s="18"/>
      <c r="T702" s="18"/>
      <c r="U702" s="18"/>
      <c r="V702" s="18"/>
      <c r="W702" s="18"/>
      <c r="X702" s="18"/>
      <c r="Y702" s="18"/>
      <c r="Z702" s="18"/>
      <c r="AA702" s="18"/>
      <c r="AB702" s="18"/>
      <c r="AC702" s="18"/>
      <c r="AD702" s="18"/>
      <c r="AE702" s="18"/>
      <c r="AF702" s="18"/>
      <c r="AG702" s="18"/>
    </row>
    <row r="703" spans="1:33" x14ac:dyDescent="0.2">
      <c r="A703" s="18"/>
      <c r="B703" s="18"/>
      <c r="C703" s="18"/>
      <c r="D703" s="18"/>
      <c r="E703" s="18"/>
      <c r="F703" s="18"/>
      <c r="G703" s="18"/>
      <c r="H703" s="18"/>
      <c r="I703" s="18"/>
      <c r="J703" s="18"/>
      <c r="K703" s="18"/>
      <c r="L703" s="18"/>
      <c r="M703" s="18"/>
      <c r="N703" s="18"/>
      <c r="O703" s="1316"/>
      <c r="P703" s="18"/>
      <c r="Q703" s="18"/>
      <c r="R703" s="18"/>
      <c r="S703" s="18"/>
      <c r="T703" s="18"/>
      <c r="U703" s="18"/>
      <c r="V703" s="18"/>
      <c r="W703" s="18"/>
      <c r="X703" s="18"/>
      <c r="Y703" s="18"/>
      <c r="Z703" s="18"/>
      <c r="AA703" s="18"/>
      <c r="AB703" s="18"/>
      <c r="AC703" s="18"/>
      <c r="AD703" s="18"/>
      <c r="AE703" s="18"/>
      <c r="AF703" s="18"/>
      <c r="AG703" s="18"/>
    </row>
    <row r="704" spans="1:33" x14ac:dyDescent="0.2">
      <c r="A704" s="18"/>
      <c r="B704" s="18"/>
      <c r="C704" s="18"/>
      <c r="D704" s="18"/>
      <c r="E704" s="18"/>
      <c r="F704" s="18"/>
      <c r="G704" s="18"/>
      <c r="H704" s="18"/>
      <c r="I704" s="18"/>
      <c r="J704" s="18"/>
      <c r="K704" s="18"/>
      <c r="L704" s="18"/>
      <c r="M704" s="18"/>
      <c r="N704" s="18"/>
      <c r="O704" s="1316"/>
      <c r="P704" s="18"/>
      <c r="Q704" s="18"/>
      <c r="R704" s="18"/>
      <c r="S704" s="18"/>
      <c r="T704" s="18"/>
      <c r="U704" s="18"/>
      <c r="V704" s="18"/>
      <c r="W704" s="18"/>
      <c r="X704" s="18"/>
      <c r="Y704" s="18"/>
      <c r="Z704" s="18"/>
      <c r="AA704" s="18"/>
      <c r="AB704" s="18"/>
      <c r="AC704" s="18"/>
      <c r="AD704" s="18"/>
      <c r="AE704" s="18"/>
      <c r="AF704" s="18"/>
      <c r="AG704" s="18"/>
    </row>
    <row r="705" spans="1:33" x14ac:dyDescent="0.2">
      <c r="A705" s="18"/>
      <c r="B705" s="18"/>
      <c r="C705" s="18"/>
      <c r="D705" s="18"/>
      <c r="E705" s="18"/>
      <c r="F705" s="18"/>
      <c r="G705" s="18"/>
      <c r="H705" s="18"/>
      <c r="I705" s="18"/>
      <c r="J705" s="18"/>
      <c r="K705" s="18"/>
      <c r="L705" s="18"/>
      <c r="M705" s="18"/>
      <c r="N705" s="18"/>
      <c r="O705" s="1316"/>
      <c r="P705" s="18"/>
      <c r="Q705" s="18"/>
      <c r="R705" s="18"/>
      <c r="S705" s="18"/>
      <c r="T705" s="18"/>
      <c r="U705" s="18"/>
      <c r="V705" s="18"/>
      <c r="W705" s="18"/>
      <c r="X705" s="18"/>
      <c r="Y705" s="18"/>
      <c r="Z705" s="18"/>
      <c r="AA705" s="18"/>
      <c r="AB705" s="18"/>
      <c r="AC705" s="18"/>
      <c r="AD705" s="18"/>
      <c r="AE705" s="18"/>
      <c r="AF705" s="18"/>
      <c r="AG705" s="18"/>
    </row>
    <row r="706" spans="1:33" x14ac:dyDescent="0.2">
      <c r="A706" s="18"/>
      <c r="B706" s="18"/>
      <c r="C706" s="18"/>
      <c r="D706" s="18"/>
      <c r="E706" s="18"/>
      <c r="F706" s="18"/>
      <c r="G706" s="18"/>
      <c r="H706" s="18"/>
      <c r="I706" s="18"/>
      <c r="J706" s="18"/>
      <c r="K706" s="18"/>
      <c r="L706" s="18"/>
      <c r="M706" s="18"/>
      <c r="N706" s="18"/>
      <c r="O706" s="1316"/>
      <c r="P706" s="18"/>
      <c r="Q706" s="18"/>
      <c r="R706" s="18"/>
      <c r="S706" s="18"/>
      <c r="T706" s="18"/>
      <c r="U706" s="18"/>
      <c r="V706" s="18"/>
      <c r="W706" s="18"/>
      <c r="X706" s="18"/>
      <c r="Y706" s="18"/>
      <c r="Z706" s="18"/>
      <c r="AA706" s="18"/>
      <c r="AB706" s="18"/>
      <c r="AC706" s="18"/>
      <c r="AD706" s="18"/>
      <c r="AE706" s="18"/>
      <c r="AF706" s="18"/>
      <c r="AG706" s="18"/>
    </row>
    <row r="707" spans="1:33" x14ac:dyDescent="0.2">
      <c r="A707" s="18"/>
      <c r="B707" s="18"/>
      <c r="C707" s="18"/>
      <c r="D707" s="18"/>
      <c r="E707" s="18"/>
      <c r="F707" s="18"/>
      <c r="G707" s="18"/>
      <c r="H707" s="18"/>
      <c r="I707" s="18"/>
      <c r="J707" s="18"/>
      <c r="K707" s="18"/>
      <c r="L707" s="18"/>
      <c r="M707" s="18"/>
      <c r="N707" s="18"/>
      <c r="O707" s="1316"/>
      <c r="P707" s="18"/>
      <c r="Q707" s="18"/>
      <c r="R707" s="18"/>
      <c r="S707" s="18"/>
      <c r="T707" s="18"/>
      <c r="U707" s="18"/>
      <c r="V707" s="18"/>
      <c r="W707" s="18"/>
      <c r="X707" s="18"/>
      <c r="Y707" s="18"/>
      <c r="Z707" s="18"/>
      <c r="AA707" s="18"/>
      <c r="AB707" s="18"/>
      <c r="AC707" s="18"/>
      <c r="AD707" s="18"/>
      <c r="AE707" s="18"/>
      <c r="AF707" s="18"/>
      <c r="AG707" s="18"/>
    </row>
    <row r="708" spans="1:33" x14ac:dyDescent="0.2">
      <c r="A708" s="18"/>
      <c r="B708" s="18"/>
      <c r="C708" s="18"/>
      <c r="D708" s="18"/>
      <c r="E708" s="18"/>
      <c r="F708" s="18"/>
      <c r="G708" s="18"/>
      <c r="H708" s="18"/>
      <c r="I708" s="18"/>
      <c r="J708" s="18"/>
      <c r="K708" s="18"/>
      <c r="L708" s="18"/>
      <c r="M708" s="18"/>
      <c r="N708" s="18"/>
      <c r="O708" s="1316"/>
      <c r="P708" s="18"/>
      <c r="Q708" s="18"/>
      <c r="R708" s="18"/>
      <c r="S708" s="18"/>
      <c r="T708" s="18"/>
      <c r="U708" s="18"/>
      <c r="V708" s="18"/>
      <c r="W708" s="18"/>
      <c r="X708" s="18"/>
      <c r="Y708" s="18"/>
      <c r="Z708" s="18"/>
      <c r="AA708" s="18"/>
      <c r="AB708" s="18"/>
      <c r="AC708" s="18"/>
      <c r="AD708" s="18"/>
      <c r="AE708" s="18"/>
      <c r="AF708" s="18"/>
      <c r="AG708" s="18"/>
    </row>
    <row r="709" spans="1:33" x14ac:dyDescent="0.2">
      <c r="A709" s="18"/>
      <c r="B709" s="18"/>
      <c r="C709" s="18"/>
      <c r="D709" s="18"/>
      <c r="E709" s="18"/>
      <c r="F709" s="18"/>
      <c r="G709" s="18"/>
      <c r="H709" s="18"/>
      <c r="I709" s="18"/>
      <c r="J709" s="18"/>
      <c r="K709" s="18"/>
      <c r="L709" s="18"/>
      <c r="M709" s="18"/>
      <c r="N709" s="18"/>
      <c r="O709" s="1316"/>
      <c r="P709" s="18"/>
      <c r="Q709" s="18"/>
      <c r="R709" s="18"/>
      <c r="S709" s="18"/>
      <c r="T709" s="18"/>
      <c r="U709" s="18"/>
      <c r="V709" s="18"/>
      <c r="W709" s="18"/>
      <c r="X709" s="18"/>
      <c r="Y709" s="18"/>
      <c r="Z709" s="18"/>
      <c r="AA709" s="18"/>
      <c r="AB709" s="18"/>
      <c r="AC709" s="18"/>
      <c r="AD709" s="18"/>
      <c r="AE709" s="18"/>
      <c r="AF709" s="18"/>
      <c r="AG709" s="18"/>
    </row>
    <row r="710" spans="1:33" x14ac:dyDescent="0.2">
      <c r="A710" s="18"/>
      <c r="B710" s="18"/>
      <c r="C710" s="18"/>
      <c r="D710" s="18"/>
      <c r="E710" s="18"/>
      <c r="F710" s="18"/>
      <c r="G710" s="18"/>
      <c r="H710" s="18"/>
      <c r="I710" s="18"/>
      <c r="J710" s="18"/>
      <c r="K710" s="18"/>
      <c r="L710" s="18"/>
      <c r="M710" s="18"/>
      <c r="N710" s="18"/>
      <c r="O710" s="1316"/>
      <c r="P710" s="18"/>
      <c r="Q710" s="18"/>
      <c r="R710" s="18"/>
      <c r="S710" s="18"/>
      <c r="T710" s="18"/>
      <c r="U710" s="18"/>
      <c r="V710" s="18"/>
      <c r="W710" s="18"/>
      <c r="X710" s="18"/>
      <c r="Y710" s="18"/>
      <c r="Z710" s="18"/>
      <c r="AA710" s="18"/>
      <c r="AB710" s="18"/>
      <c r="AC710" s="18"/>
      <c r="AD710" s="18"/>
      <c r="AE710" s="18"/>
      <c r="AF710" s="18"/>
      <c r="AG710" s="18"/>
    </row>
    <row r="711" spans="1:33" x14ac:dyDescent="0.2">
      <c r="A711" s="18"/>
      <c r="B711" s="18"/>
      <c r="C711" s="18"/>
      <c r="D711" s="18"/>
      <c r="E711" s="18"/>
      <c r="F711" s="18"/>
      <c r="G711" s="18"/>
      <c r="H711" s="18"/>
      <c r="I711" s="18"/>
      <c r="J711" s="18"/>
      <c r="K711" s="18"/>
      <c r="L711" s="18"/>
      <c r="M711" s="18"/>
      <c r="N711" s="18"/>
      <c r="O711" s="1316"/>
      <c r="P711" s="18"/>
      <c r="Q711" s="18"/>
      <c r="R711" s="18"/>
      <c r="S711" s="18"/>
      <c r="T711" s="18"/>
      <c r="U711" s="18"/>
      <c r="V711" s="18"/>
      <c r="W711" s="18"/>
      <c r="X711" s="18"/>
      <c r="Y711" s="18"/>
      <c r="Z711" s="18"/>
      <c r="AA711" s="18"/>
      <c r="AB711" s="18"/>
      <c r="AC711" s="18"/>
      <c r="AD711" s="18"/>
      <c r="AE711" s="18"/>
      <c r="AF711" s="18"/>
      <c r="AG711" s="18"/>
    </row>
    <row r="712" spans="1:33" x14ac:dyDescent="0.2">
      <c r="A712" s="18"/>
      <c r="B712" s="18"/>
      <c r="C712" s="18"/>
      <c r="D712" s="18"/>
      <c r="E712" s="18"/>
      <c r="F712" s="18"/>
      <c r="G712" s="18"/>
      <c r="H712" s="18"/>
      <c r="I712" s="18"/>
      <c r="J712" s="18"/>
      <c r="K712" s="18"/>
      <c r="L712" s="18"/>
      <c r="M712" s="18"/>
      <c r="N712" s="18"/>
      <c r="O712" s="1316"/>
      <c r="P712" s="18"/>
      <c r="Q712" s="18"/>
      <c r="R712" s="18"/>
      <c r="S712" s="18"/>
      <c r="T712" s="18"/>
      <c r="U712" s="18"/>
      <c r="V712" s="18"/>
      <c r="W712" s="18"/>
      <c r="X712" s="18"/>
      <c r="Y712" s="18"/>
      <c r="Z712" s="18"/>
      <c r="AA712" s="18"/>
      <c r="AB712" s="18"/>
      <c r="AC712" s="18"/>
      <c r="AD712" s="18"/>
      <c r="AE712" s="18"/>
      <c r="AF712" s="18"/>
      <c r="AG712" s="18"/>
    </row>
    <row r="713" spans="1:33" x14ac:dyDescent="0.2">
      <c r="A713" s="18"/>
      <c r="B713" s="18"/>
      <c r="C713" s="18"/>
      <c r="D713" s="18"/>
      <c r="E713" s="18"/>
      <c r="F713" s="18"/>
      <c r="G713" s="18"/>
      <c r="H713" s="18"/>
      <c r="I713" s="18"/>
      <c r="J713" s="18"/>
      <c r="K713" s="18"/>
      <c r="L713" s="18"/>
      <c r="M713" s="18"/>
      <c r="N713" s="18"/>
      <c r="O713" s="1316"/>
      <c r="P713" s="18"/>
      <c r="Q713" s="18"/>
      <c r="R713" s="18"/>
      <c r="S713" s="18"/>
      <c r="T713" s="18"/>
      <c r="U713" s="18"/>
      <c r="V713" s="18"/>
      <c r="W713" s="18"/>
      <c r="X713" s="18"/>
      <c r="Y713" s="18"/>
      <c r="Z713" s="18"/>
      <c r="AA713" s="18"/>
      <c r="AB713" s="18"/>
      <c r="AC713" s="18"/>
      <c r="AD713" s="18"/>
      <c r="AE713" s="18"/>
      <c r="AF713" s="18"/>
      <c r="AG713" s="18"/>
    </row>
    <row r="714" spans="1:33" x14ac:dyDescent="0.2">
      <c r="A714" s="18"/>
      <c r="B714" s="18"/>
      <c r="C714" s="18"/>
      <c r="D714" s="18"/>
      <c r="E714" s="18"/>
      <c r="F714" s="18"/>
      <c r="G714" s="18"/>
      <c r="H714" s="18"/>
      <c r="I714" s="18"/>
      <c r="J714" s="18"/>
      <c r="K714" s="18"/>
      <c r="L714" s="18"/>
      <c r="M714" s="18"/>
      <c r="N714" s="18"/>
      <c r="O714" s="1316"/>
      <c r="P714" s="18"/>
      <c r="Q714" s="18"/>
      <c r="R714" s="18"/>
      <c r="S714" s="18"/>
      <c r="T714" s="18"/>
      <c r="U714" s="18"/>
      <c r="V714" s="18"/>
      <c r="W714" s="18"/>
      <c r="X714" s="18"/>
      <c r="Y714" s="18"/>
      <c r="Z714" s="18"/>
      <c r="AA714" s="18"/>
      <c r="AB714" s="18"/>
      <c r="AC714" s="18"/>
      <c r="AD714" s="18"/>
      <c r="AE714" s="18"/>
      <c r="AF714" s="18"/>
      <c r="AG714" s="18"/>
    </row>
    <row r="715" spans="1:33" x14ac:dyDescent="0.2">
      <c r="A715" s="18"/>
      <c r="B715" s="18"/>
      <c r="C715" s="18"/>
      <c r="D715" s="18"/>
      <c r="E715" s="18"/>
      <c r="F715" s="18"/>
      <c r="G715" s="18"/>
      <c r="H715" s="18"/>
      <c r="I715" s="18"/>
      <c r="J715" s="18"/>
      <c r="K715" s="18"/>
      <c r="L715" s="18"/>
      <c r="M715" s="18"/>
      <c r="N715" s="18"/>
      <c r="O715" s="1316"/>
      <c r="P715" s="18"/>
      <c r="Q715" s="18"/>
      <c r="R715" s="18"/>
      <c r="S715" s="18"/>
      <c r="T715" s="18"/>
      <c r="U715" s="18"/>
      <c r="V715" s="18"/>
      <c r="W715" s="18"/>
      <c r="X715" s="18"/>
      <c r="Y715" s="18"/>
      <c r="Z715" s="18"/>
      <c r="AA715" s="18"/>
      <c r="AB715" s="18"/>
      <c r="AC715" s="18"/>
      <c r="AD715" s="18"/>
      <c r="AE715" s="18"/>
      <c r="AF715" s="18"/>
      <c r="AG715" s="18"/>
    </row>
    <row r="716" spans="1:33" x14ac:dyDescent="0.2">
      <c r="A716" s="18"/>
      <c r="B716" s="18"/>
      <c r="C716" s="18"/>
      <c r="D716" s="18"/>
      <c r="E716" s="18"/>
      <c r="F716" s="18"/>
      <c r="G716" s="18"/>
      <c r="H716" s="18"/>
      <c r="I716" s="18"/>
      <c r="J716" s="18"/>
      <c r="K716" s="18"/>
      <c r="L716" s="18"/>
      <c r="M716" s="18"/>
      <c r="N716" s="18"/>
      <c r="O716" s="1316"/>
      <c r="P716" s="18"/>
      <c r="Q716" s="18"/>
      <c r="R716" s="18"/>
      <c r="S716" s="18"/>
      <c r="T716" s="18"/>
      <c r="U716" s="18"/>
      <c r="V716" s="18"/>
      <c r="W716" s="18"/>
      <c r="X716" s="18"/>
      <c r="Y716" s="18"/>
      <c r="Z716" s="18"/>
      <c r="AA716" s="18"/>
      <c r="AB716" s="18"/>
      <c r="AC716" s="18"/>
      <c r="AD716" s="18"/>
      <c r="AE716" s="18"/>
      <c r="AF716" s="18"/>
      <c r="AG716" s="18"/>
    </row>
    <row r="717" spans="1:33" x14ac:dyDescent="0.2">
      <c r="A717" s="18"/>
      <c r="B717" s="18"/>
      <c r="C717" s="18"/>
      <c r="D717" s="18"/>
      <c r="E717" s="18"/>
      <c r="F717" s="18"/>
      <c r="G717" s="18"/>
      <c r="H717" s="18"/>
      <c r="I717" s="18"/>
      <c r="J717" s="18"/>
      <c r="K717" s="18"/>
      <c r="L717" s="18"/>
      <c r="M717" s="18"/>
      <c r="N717" s="18"/>
      <c r="O717" s="1316"/>
      <c r="P717" s="18"/>
      <c r="Q717" s="18"/>
      <c r="R717" s="18"/>
      <c r="S717" s="18"/>
      <c r="T717" s="18"/>
      <c r="U717" s="18"/>
      <c r="V717" s="18"/>
      <c r="W717" s="18"/>
      <c r="X717" s="18"/>
      <c r="Y717" s="18"/>
      <c r="Z717" s="18"/>
      <c r="AA717" s="18"/>
      <c r="AB717" s="18"/>
      <c r="AC717" s="18"/>
      <c r="AD717" s="18"/>
      <c r="AE717" s="18"/>
      <c r="AF717" s="18"/>
      <c r="AG717" s="18"/>
    </row>
    <row r="718" spans="1:33" x14ac:dyDescent="0.2">
      <c r="A718" s="18"/>
      <c r="B718" s="18"/>
      <c r="C718" s="18"/>
      <c r="D718" s="18"/>
      <c r="E718" s="18"/>
      <c r="F718" s="18"/>
      <c r="G718" s="18"/>
      <c r="H718" s="18"/>
      <c r="I718" s="18"/>
      <c r="J718" s="18"/>
      <c r="K718" s="18"/>
      <c r="L718" s="18"/>
      <c r="M718" s="18"/>
      <c r="N718" s="18"/>
      <c r="O718" s="1316"/>
      <c r="P718" s="18"/>
      <c r="Q718" s="18"/>
      <c r="R718" s="18"/>
      <c r="S718" s="18"/>
      <c r="T718" s="18"/>
      <c r="U718" s="18"/>
      <c r="V718" s="18"/>
      <c r="W718" s="18"/>
      <c r="X718" s="18"/>
      <c r="Y718" s="18"/>
      <c r="Z718" s="18"/>
      <c r="AA718" s="18"/>
      <c r="AB718" s="18"/>
      <c r="AC718" s="18"/>
      <c r="AD718" s="18"/>
      <c r="AE718" s="18"/>
      <c r="AF718" s="18"/>
      <c r="AG718" s="18"/>
    </row>
    <row r="719" spans="1:33" x14ac:dyDescent="0.2">
      <c r="A719" s="18"/>
      <c r="B719" s="18"/>
      <c r="C719" s="18"/>
      <c r="D719" s="18"/>
      <c r="E719" s="18"/>
      <c r="F719" s="18"/>
      <c r="G719" s="18"/>
      <c r="H719" s="18"/>
      <c r="I719" s="18"/>
      <c r="J719" s="18"/>
      <c r="K719" s="18"/>
      <c r="L719" s="18"/>
      <c r="M719" s="18"/>
      <c r="N719" s="18"/>
      <c r="O719" s="1316"/>
      <c r="P719" s="18"/>
      <c r="Q719" s="18"/>
      <c r="R719" s="18"/>
      <c r="S719" s="18"/>
      <c r="T719" s="18"/>
      <c r="U719" s="18"/>
      <c r="V719" s="18"/>
      <c r="W719" s="18"/>
      <c r="X719" s="18"/>
      <c r="Y719" s="18"/>
      <c r="Z719" s="18"/>
      <c r="AA719" s="18"/>
      <c r="AB719" s="18"/>
      <c r="AC719" s="18"/>
      <c r="AD719" s="18"/>
      <c r="AE719" s="18"/>
      <c r="AF719" s="18"/>
      <c r="AG719" s="18"/>
    </row>
    <row r="720" spans="1:33" x14ac:dyDescent="0.2">
      <c r="A720" s="18"/>
      <c r="B720" s="18"/>
      <c r="C720" s="18"/>
      <c r="D720" s="18"/>
      <c r="E720" s="18"/>
      <c r="F720" s="18"/>
      <c r="G720" s="18"/>
      <c r="H720" s="18"/>
      <c r="I720" s="18"/>
      <c r="J720" s="18"/>
      <c r="K720" s="18"/>
      <c r="L720" s="18"/>
      <c r="M720" s="18"/>
      <c r="N720" s="18"/>
      <c r="O720" s="1316"/>
      <c r="P720" s="18"/>
      <c r="Q720" s="18"/>
      <c r="R720" s="18"/>
      <c r="S720" s="18"/>
      <c r="T720" s="18"/>
      <c r="U720" s="18"/>
      <c r="V720" s="18"/>
      <c r="W720" s="18"/>
      <c r="X720" s="18"/>
      <c r="Y720" s="18"/>
      <c r="Z720" s="18"/>
      <c r="AA720" s="18"/>
      <c r="AB720" s="18"/>
      <c r="AC720" s="18"/>
      <c r="AD720" s="18"/>
      <c r="AE720" s="18"/>
      <c r="AF720" s="18"/>
      <c r="AG720" s="18"/>
    </row>
    <row r="721" spans="1:33" x14ac:dyDescent="0.2">
      <c r="A721" s="18"/>
      <c r="B721" s="18"/>
      <c r="C721" s="18"/>
      <c r="D721" s="18"/>
      <c r="E721" s="18"/>
      <c r="F721" s="18"/>
      <c r="G721" s="18"/>
      <c r="H721" s="18"/>
      <c r="I721" s="18"/>
      <c r="J721" s="18"/>
      <c r="K721" s="18"/>
      <c r="L721" s="18"/>
      <c r="M721" s="18"/>
      <c r="N721" s="18"/>
      <c r="O721" s="1316"/>
      <c r="P721" s="18"/>
      <c r="Q721" s="18"/>
      <c r="R721" s="18"/>
      <c r="S721" s="18"/>
      <c r="T721" s="18"/>
      <c r="U721" s="18"/>
      <c r="V721" s="18"/>
      <c r="W721" s="18"/>
      <c r="X721" s="18"/>
      <c r="Y721" s="18"/>
      <c r="Z721" s="18"/>
      <c r="AA721" s="18"/>
      <c r="AB721" s="18"/>
      <c r="AC721" s="18"/>
      <c r="AD721" s="18"/>
      <c r="AE721" s="18"/>
      <c r="AF721" s="18"/>
      <c r="AG721" s="18"/>
    </row>
    <row r="722" spans="1:33" x14ac:dyDescent="0.2">
      <c r="A722" s="18"/>
      <c r="B722" s="18"/>
      <c r="C722" s="18"/>
      <c r="D722" s="18"/>
      <c r="E722" s="18"/>
      <c r="F722" s="18"/>
      <c r="G722" s="18"/>
      <c r="H722" s="18"/>
      <c r="I722" s="18"/>
      <c r="J722" s="18"/>
      <c r="K722" s="18"/>
      <c r="L722" s="18"/>
      <c r="M722" s="18"/>
      <c r="N722" s="18"/>
      <c r="O722" s="1316"/>
      <c r="P722" s="18"/>
      <c r="Q722" s="18"/>
      <c r="R722" s="18"/>
      <c r="S722" s="18"/>
      <c r="T722" s="18"/>
      <c r="U722" s="18"/>
      <c r="V722" s="18"/>
      <c r="W722" s="18"/>
      <c r="X722" s="18"/>
      <c r="Y722" s="18"/>
      <c r="Z722" s="18"/>
      <c r="AA722" s="18"/>
      <c r="AB722" s="18"/>
      <c r="AC722" s="18"/>
      <c r="AD722" s="18"/>
      <c r="AE722" s="18"/>
      <c r="AF722" s="18"/>
      <c r="AG722" s="18"/>
    </row>
    <row r="723" spans="1:33" x14ac:dyDescent="0.2">
      <c r="A723" s="18"/>
      <c r="B723" s="18"/>
      <c r="C723" s="18"/>
      <c r="D723" s="18"/>
      <c r="E723" s="18"/>
      <c r="F723" s="18"/>
      <c r="G723" s="18"/>
      <c r="H723" s="18"/>
      <c r="I723" s="18"/>
      <c r="J723" s="18"/>
      <c r="K723" s="18"/>
      <c r="L723" s="18"/>
      <c r="M723" s="18"/>
      <c r="N723" s="18"/>
      <c r="O723" s="1316"/>
      <c r="P723" s="18"/>
      <c r="Q723" s="18"/>
      <c r="R723" s="18"/>
      <c r="S723" s="18"/>
      <c r="T723" s="18"/>
      <c r="U723" s="18"/>
      <c r="V723" s="18"/>
      <c r="W723" s="18"/>
      <c r="X723" s="18"/>
      <c r="Y723" s="18"/>
      <c r="Z723" s="18"/>
      <c r="AA723" s="18"/>
      <c r="AB723" s="18"/>
      <c r="AC723" s="18"/>
      <c r="AD723" s="18"/>
      <c r="AE723" s="18"/>
      <c r="AF723" s="18"/>
      <c r="AG723" s="18"/>
    </row>
    <row r="724" spans="1:33" x14ac:dyDescent="0.2">
      <c r="A724" s="18"/>
      <c r="B724" s="18"/>
      <c r="C724" s="18"/>
      <c r="D724" s="18"/>
      <c r="E724" s="18"/>
      <c r="F724" s="18"/>
      <c r="G724" s="18"/>
      <c r="H724" s="18"/>
      <c r="I724" s="18"/>
      <c r="J724" s="18"/>
      <c r="K724" s="18"/>
      <c r="L724" s="18"/>
      <c r="M724" s="18"/>
      <c r="N724" s="18"/>
      <c r="O724" s="1316"/>
      <c r="P724" s="18"/>
      <c r="Q724" s="18"/>
      <c r="R724" s="18"/>
      <c r="S724" s="18"/>
      <c r="T724" s="18"/>
      <c r="U724" s="18"/>
      <c r="V724" s="18"/>
      <c r="W724" s="18"/>
      <c r="X724" s="18"/>
      <c r="Y724" s="18"/>
      <c r="Z724" s="18"/>
      <c r="AA724" s="18"/>
      <c r="AB724" s="18"/>
      <c r="AC724" s="18"/>
      <c r="AD724" s="18"/>
      <c r="AE724" s="18"/>
      <c r="AF724" s="18"/>
      <c r="AG724" s="18"/>
    </row>
    <row r="725" spans="1:33" x14ac:dyDescent="0.2">
      <c r="A725" s="18"/>
      <c r="B725" s="18"/>
      <c r="C725" s="18"/>
      <c r="D725" s="18"/>
      <c r="E725" s="18"/>
      <c r="F725" s="18"/>
      <c r="G725" s="18"/>
      <c r="H725" s="18"/>
      <c r="I725" s="18"/>
      <c r="J725" s="18"/>
      <c r="K725" s="18"/>
      <c r="L725" s="18"/>
      <c r="M725" s="18"/>
      <c r="N725" s="18"/>
      <c r="O725" s="1316"/>
      <c r="P725" s="18"/>
      <c r="Q725" s="18"/>
      <c r="R725" s="18"/>
      <c r="S725" s="18"/>
      <c r="T725" s="18"/>
      <c r="U725" s="18"/>
      <c r="V725" s="18"/>
      <c r="W725" s="18"/>
      <c r="X725" s="18"/>
      <c r="Y725" s="18"/>
      <c r="Z725" s="18"/>
      <c r="AA725" s="18"/>
      <c r="AB725" s="18"/>
      <c r="AC725" s="18"/>
      <c r="AD725" s="18"/>
      <c r="AE725" s="18"/>
      <c r="AF725" s="18"/>
      <c r="AG725" s="18"/>
    </row>
    <row r="726" spans="1:33" x14ac:dyDescent="0.2">
      <c r="A726" s="18"/>
      <c r="B726" s="18"/>
      <c r="C726" s="18"/>
      <c r="D726" s="18"/>
      <c r="E726" s="18"/>
      <c r="F726" s="18"/>
      <c r="G726" s="18"/>
      <c r="H726" s="18"/>
      <c r="I726" s="18"/>
      <c r="J726" s="18"/>
      <c r="K726" s="18"/>
      <c r="L726" s="18"/>
      <c r="M726" s="18"/>
      <c r="N726" s="18"/>
      <c r="O726" s="1316"/>
      <c r="P726" s="18"/>
      <c r="Q726" s="18"/>
      <c r="R726" s="18"/>
      <c r="S726" s="18"/>
      <c r="T726" s="18"/>
      <c r="U726" s="18"/>
      <c r="V726" s="18"/>
      <c r="W726" s="18"/>
      <c r="X726" s="18"/>
      <c r="Y726" s="18"/>
      <c r="Z726" s="18"/>
      <c r="AA726" s="18"/>
      <c r="AB726" s="18"/>
      <c r="AC726" s="18"/>
      <c r="AD726" s="18"/>
      <c r="AE726" s="18"/>
      <c r="AF726" s="18"/>
      <c r="AG726" s="18"/>
    </row>
    <row r="727" spans="1:33" x14ac:dyDescent="0.2">
      <c r="A727" s="18"/>
      <c r="B727" s="18"/>
      <c r="C727" s="18"/>
      <c r="D727" s="18"/>
      <c r="E727" s="18"/>
      <c r="F727" s="18"/>
      <c r="G727" s="18"/>
      <c r="H727" s="18"/>
      <c r="I727" s="18"/>
      <c r="J727" s="18"/>
      <c r="K727" s="18"/>
      <c r="L727" s="18"/>
      <c r="M727" s="18"/>
      <c r="N727" s="18"/>
      <c r="O727" s="1316"/>
      <c r="P727" s="18"/>
      <c r="Q727" s="18"/>
      <c r="R727" s="18"/>
      <c r="S727" s="18"/>
      <c r="T727" s="18"/>
      <c r="U727" s="18"/>
      <c r="V727" s="18"/>
      <c r="W727" s="18"/>
      <c r="X727" s="18"/>
      <c r="Y727" s="18"/>
      <c r="Z727" s="18"/>
      <c r="AA727" s="18"/>
      <c r="AB727" s="18"/>
      <c r="AC727" s="18"/>
      <c r="AD727" s="18"/>
      <c r="AE727" s="18"/>
      <c r="AF727" s="18"/>
      <c r="AG727" s="18"/>
    </row>
    <row r="728" spans="1:33" x14ac:dyDescent="0.2">
      <c r="A728" s="18"/>
      <c r="B728" s="18"/>
      <c r="C728" s="18"/>
      <c r="D728" s="18"/>
      <c r="E728" s="18"/>
      <c r="F728" s="18"/>
      <c r="G728" s="18"/>
      <c r="H728" s="18"/>
      <c r="I728" s="18"/>
      <c r="J728" s="18"/>
      <c r="K728" s="18"/>
      <c r="L728" s="18"/>
      <c r="M728" s="18"/>
      <c r="N728" s="18"/>
      <c r="O728" s="1316"/>
      <c r="P728" s="18"/>
      <c r="Q728" s="18"/>
      <c r="R728" s="18"/>
      <c r="S728" s="18"/>
      <c r="T728" s="18"/>
      <c r="U728" s="18"/>
      <c r="V728" s="18"/>
      <c r="W728" s="18"/>
      <c r="X728" s="18"/>
      <c r="Y728" s="18"/>
      <c r="Z728" s="18"/>
      <c r="AA728" s="18"/>
      <c r="AB728" s="18"/>
      <c r="AC728" s="18"/>
      <c r="AD728" s="18"/>
      <c r="AE728" s="18"/>
      <c r="AF728" s="18"/>
      <c r="AG728" s="18"/>
    </row>
    <row r="729" spans="1:33" x14ac:dyDescent="0.2">
      <c r="A729" s="18"/>
      <c r="B729" s="18"/>
      <c r="C729" s="18"/>
      <c r="D729" s="18"/>
      <c r="E729" s="18"/>
      <c r="F729" s="18"/>
      <c r="G729" s="18"/>
      <c r="H729" s="18"/>
      <c r="I729" s="18"/>
      <c r="J729" s="18"/>
      <c r="K729" s="18"/>
      <c r="L729" s="18"/>
      <c r="M729" s="18"/>
      <c r="N729" s="18"/>
      <c r="O729" s="1316"/>
      <c r="P729" s="18"/>
      <c r="Q729" s="18"/>
      <c r="R729" s="18"/>
      <c r="S729" s="18"/>
      <c r="T729" s="18"/>
      <c r="U729" s="18"/>
      <c r="V729" s="18"/>
      <c r="W729" s="18"/>
      <c r="X729" s="18"/>
      <c r="Y729" s="18"/>
      <c r="Z729" s="18"/>
      <c r="AA729" s="18"/>
      <c r="AB729" s="18"/>
      <c r="AC729" s="18"/>
      <c r="AD729" s="18"/>
      <c r="AE729" s="18"/>
      <c r="AF729" s="18"/>
      <c r="AG729" s="18"/>
    </row>
    <row r="730" spans="1:33" x14ac:dyDescent="0.2">
      <c r="A730" s="18"/>
      <c r="B730" s="18"/>
      <c r="C730" s="18"/>
      <c r="D730" s="18"/>
      <c r="E730" s="18"/>
      <c r="F730" s="18"/>
      <c r="G730" s="18"/>
      <c r="H730" s="18"/>
      <c r="I730" s="18"/>
      <c r="J730" s="18"/>
      <c r="K730" s="18"/>
      <c r="L730" s="18"/>
      <c r="M730" s="18"/>
      <c r="N730" s="18"/>
      <c r="O730" s="1316"/>
      <c r="P730" s="18"/>
      <c r="Q730" s="18"/>
      <c r="R730" s="18"/>
      <c r="S730" s="18"/>
      <c r="T730" s="18"/>
      <c r="U730" s="18"/>
      <c r="V730" s="18"/>
      <c r="W730" s="18"/>
      <c r="X730" s="18"/>
      <c r="Y730" s="18"/>
      <c r="Z730" s="18"/>
      <c r="AA730" s="18"/>
      <c r="AB730" s="18"/>
      <c r="AC730" s="18"/>
      <c r="AD730" s="18"/>
      <c r="AE730" s="18"/>
      <c r="AF730" s="18"/>
      <c r="AG730" s="18"/>
    </row>
    <row r="731" spans="1:33" x14ac:dyDescent="0.2">
      <c r="A731" s="18"/>
      <c r="B731" s="18"/>
      <c r="C731" s="18"/>
      <c r="D731" s="18"/>
      <c r="E731" s="18"/>
      <c r="F731" s="18"/>
      <c r="G731" s="18"/>
      <c r="H731" s="18"/>
      <c r="I731" s="18"/>
      <c r="J731" s="18"/>
      <c r="K731" s="18"/>
      <c r="L731" s="18"/>
      <c r="M731" s="18"/>
      <c r="N731" s="18"/>
      <c r="O731" s="1316"/>
      <c r="P731" s="18"/>
      <c r="Q731" s="18"/>
      <c r="R731" s="18"/>
      <c r="S731" s="18"/>
      <c r="T731" s="18"/>
      <c r="U731" s="18"/>
      <c r="V731" s="18"/>
      <c r="W731" s="18"/>
      <c r="X731" s="18"/>
      <c r="Y731" s="18"/>
      <c r="Z731" s="18"/>
      <c r="AA731" s="18"/>
      <c r="AB731" s="18"/>
      <c r="AC731" s="18"/>
      <c r="AD731" s="18"/>
      <c r="AE731" s="18"/>
      <c r="AF731" s="18"/>
      <c r="AG731" s="18"/>
    </row>
    <row r="732" spans="1:33" x14ac:dyDescent="0.2">
      <c r="A732" s="18"/>
      <c r="B732" s="18"/>
      <c r="C732" s="18"/>
      <c r="D732" s="18"/>
      <c r="E732" s="18"/>
      <c r="F732" s="18"/>
      <c r="G732" s="18"/>
      <c r="H732" s="18"/>
      <c r="I732" s="18"/>
      <c r="J732" s="18"/>
      <c r="K732" s="18"/>
      <c r="L732" s="18"/>
      <c r="M732" s="18"/>
      <c r="N732" s="18"/>
      <c r="O732" s="1316"/>
      <c r="P732" s="18"/>
      <c r="Q732" s="18"/>
      <c r="R732" s="18"/>
      <c r="S732" s="18"/>
      <c r="T732" s="18"/>
      <c r="U732" s="18"/>
      <c r="V732" s="18"/>
      <c r="W732" s="18"/>
      <c r="X732" s="18"/>
      <c r="Y732" s="18"/>
      <c r="Z732" s="18"/>
      <c r="AA732" s="18"/>
      <c r="AB732" s="18"/>
      <c r="AC732" s="18"/>
      <c r="AD732" s="18"/>
      <c r="AE732" s="18"/>
      <c r="AF732" s="18"/>
      <c r="AG732" s="18"/>
    </row>
    <row r="733" spans="1:33" x14ac:dyDescent="0.2">
      <c r="A733" s="18"/>
      <c r="B733" s="18"/>
      <c r="C733" s="18"/>
      <c r="D733" s="18"/>
      <c r="E733" s="18"/>
      <c r="F733" s="18"/>
      <c r="G733" s="18"/>
      <c r="H733" s="18"/>
      <c r="I733" s="18"/>
      <c r="J733" s="18"/>
      <c r="K733" s="18"/>
      <c r="L733" s="18"/>
      <c r="M733" s="18"/>
      <c r="N733" s="18"/>
      <c r="O733" s="1316"/>
      <c r="P733" s="18"/>
      <c r="Q733" s="18"/>
      <c r="R733" s="18"/>
      <c r="S733" s="18"/>
      <c r="T733" s="18"/>
      <c r="U733" s="18"/>
      <c r="V733" s="18"/>
      <c r="W733" s="18"/>
      <c r="X733" s="18"/>
      <c r="Y733" s="18"/>
      <c r="Z733" s="18"/>
      <c r="AA733" s="18"/>
      <c r="AB733" s="18"/>
      <c r="AC733" s="18"/>
      <c r="AD733" s="18"/>
      <c r="AE733" s="18"/>
      <c r="AF733" s="18"/>
      <c r="AG733" s="18"/>
    </row>
    <row r="734" spans="1:33" x14ac:dyDescent="0.2">
      <c r="A734" s="18"/>
      <c r="B734" s="18"/>
      <c r="C734" s="18"/>
      <c r="D734" s="18"/>
      <c r="E734" s="18"/>
      <c r="F734" s="18"/>
      <c r="G734" s="18"/>
      <c r="H734" s="18"/>
      <c r="I734" s="18"/>
      <c r="J734" s="18"/>
      <c r="K734" s="18"/>
      <c r="L734" s="18"/>
      <c r="M734" s="18"/>
      <c r="N734" s="18"/>
      <c r="O734" s="1316"/>
      <c r="P734" s="18"/>
      <c r="Q734" s="18"/>
      <c r="R734" s="18"/>
      <c r="S734" s="18"/>
      <c r="T734" s="18"/>
      <c r="U734" s="18"/>
      <c r="V734" s="18"/>
      <c r="W734" s="18"/>
      <c r="X734" s="18"/>
      <c r="Y734" s="18"/>
      <c r="Z734" s="18"/>
      <c r="AA734" s="18"/>
      <c r="AB734" s="18"/>
      <c r="AC734" s="18"/>
      <c r="AD734" s="18"/>
      <c r="AE734" s="18"/>
      <c r="AF734" s="18"/>
      <c r="AG734" s="18"/>
    </row>
    <row r="735" spans="1:33" x14ac:dyDescent="0.2">
      <c r="A735" s="18"/>
      <c r="B735" s="18"/>
      <c r="C735" s="18"/>
      <c r="D735" s="18"/>
      <c r="E735" s="18"/>
      <c r="F735" s="18"/>
      <c r="G735" s="18"/>
      <c r="H735" s="18"/>
      <c r="I735" s="18"/>
      <c r="J735" s="18"/>
      <c r="K735" s="18"/>
      <c r="L735" s="18"/>
      <c r="M735" s="18"/>
      <c r="N735" s="18"/>
      <c r="O735" s="1316"/>
      <c r="P735" s="18"/>
      <c r="Q735" s="18"/>
      <c r="R735" s="18"/>
      <c r="S735" s="18"/>
      <c r="T735" s="18"/>
      <c r="U735" s="18"/>
      <c r="V735" s="18"/>
      <c r="W735" s="18"/>
      <c r="X735" s="18"/>
      <c r="Y735" s="18"/>
      <c r="Z735" s="18"/>
      <c r="AA735" s="18"/>
      <c r="AB735" s="18"/>
      <c r="AC735" s="18"/>
      <c r="AD735" s="18"/>
      <c r="AE735" s="18"/>
      <c r="AF735" s="18"/>
      <c r="AG735" s="18"/>
    </row>
    <row r="736" spans="1:33" x14ac:dyDescent="0.2">
      <c r="A736" s="18"/>
      <c r="B736" s="18"/>
      <c r="C736" s="18"/>
      <c r="D736" s="18"/>
      <c r="E736" s="18"/>
      <c r="F736" s="18"/>
      <c r="G736" s="18"/>
      <c r="H736" s="18"/>
      <c r="I736" s="18"/>
      <c r="J736" s="18"/>
      <c r="K736" s="18"/>
      <c r="L736" s="18"/>
      <c r="M736" s="18"/>
      <c r="N736" s="18"/>
      <c r="O736" s="1316"/>
      <c r="P736" s="18"/>
      <c r="Q736" s="18"/>
      <c r="R736" s="18"/>
      <c r="S736" s="18"/>
      <c r="T736" s="18"/>
      <c r="U736" s="18"/>
      <c r="V736" s="18"/>
      <c r="W736" s="18"/>
      <c r="X736" s="18"/>
      <c r="Y736" s="18"/>
      <c r="Z736" s="18"/>
      <c r="AA736" s="18"/>
      <c r="AB736" s="18"/>
      <c r="AC736" s="18"/>
      <c r="AD736" s="18"/>
      <c r="AE736" s="18"/>
      <c r="AF736" s="18"/>
      <c r="AG736" s="18"/>
    </row>
    <row r="737" spans="1:33" x14ac:dyDescent="0.2">
      <c r="A737" s="18"/>
      <c r="B737" s="18"/>
      <c r="C737" s="18"/>
      <c r="D737" s="18"/>
      <c r="E737" s="18"/>
      <c r="F737" s="18"/>
      <c r="G737" s="18"/>
      <c r="H737" s="18"/>
      <c r="I737" s="18"/>
      <c r="J737" s="18"/>
      <c r="K737" s="18"/>
      <c r="L737" s="18"/>
      <c r="M737" s="18"/>
      <c r="N737" s="18"/>
      <c r="O737" s="1316"/>
      <c r="P737" s="18"/>
      <c r="Q737" s="18"/>
      <c r="R737" s="18"/>
      <c r="S737" s="18"/>
      <c r="T737" s="18"/>
      <c r="U737" s="18"/>
      <c r="V737" s="18"/>
      <c r="W737" s="18"/>
      <c r="X737" s="18"/>
      <c r="Y737" s="18"/>
      <c r="Z737" s="18"/>
      <c r="AA737" s="18"/>
      <c r="AB737" s="18"/>
      <c r="AC737" s="18"/>
      <c r="AD737" s="18"/>
      <c r="AE737" s="18"/>
      <c r="AF737" s="18"/>
      <c r="AG737" s="18"/>
    </row>
    <row r="738" spans="1:33" x14ac:dyDescent="0.2">
      <c r="A738" s="18"/>
      <c r="B738" s="18"/>
      <c r="C738" s="18"/>
      <c r="D738" s="18"/>
      <c r="E738" s="18"/>
      <c r="F738" s="18"/>
      <c r="G738" s="18"/>
      <c r="H738" s="18"/>
      <c r="I738" s="18"/>
      <c r="J738" s="18"/>
      <c r="K738" s="18"/>
      <c r="L738" s="18"/>
      <c r="M738" s="18"/>
      <c r="N738" s="18"/>
      <c r="O738" s="1316"/>
      <c r="P738" s="18"/>
      <c r="Q738" s="18"/>
      <c r="R738" s="18"/>
      <c r="S738" s="18"/>
      <c r="T738" s="18"/>
      <c r="U738" s="18"/>
      <c r="V738" s="18"/>
      <c r="W738" s="18"/>
      <c r="X738" s="18"/>
      <c r="Y738" s="18"/>
      <c r="Z738" s="18"/>
      <c r="AA738" s="18"/>
      <c r="AB738" s="18"/>
      <c r="AC738" s="18"/>
      <c r="AD738" s="18"/>
      <c r="AE738" s="18"/>
      <c r="AF738" s="18"/>
      <c r="AG738" s="18"/>
    </row>
    <row r="739" spans="1:33" x14ac:dyDescent="0.2">
      <c r="A739" s="18"/>
      <c r="B739" s="18"/>
      <c r="C739" s="18"/>
      <c r="D739" s="18"/>
      <c r="E739" s="18"/>
      <c r="F739" s="18"/>
      <c r="G739" s="18"/>
      <c r="H739" s="18"/>
      <c r="I739" s="18"/>
      <c r="J739" s="18"/>
      <c r="K739" s="18"/>
      <c r="L739" s="18"/>
      <c r="M739" s="18"/>
      <c r="N739" s="18"/>
      <c r="O739" s="1316"/>
      <c r="P739" s="18"/>
      <c r="Q739" s="18"/>
      <c r="R739" s="18"/>
      <c r="S739" s="18"/>
      <c r="T739" s="18"/>
      <c r="U739" s="18"/>
      <c r="V739" s="18"/>
      <c r="W739" s="18"/>
      <c r="X739" s="18"/>
      <c r="Y739" s="18"/>
      <c r="Z739" s="18"/>
      <c r="AA739" s="18"/>
      <c r="AB739" s="18"/>
      <c r="AC739" s="18"/>
      <c r="AD739" s="18"/>
      <c r="AE739" s="18"/>
      <c r="AF739" s="18"/>
      <c r="AG739" s="18"/>
    </row>
    <row r="740" spans="1:33" x14ac:dyDescent="0.2">
      <c r="A740" s="18"/>
      <c r="B740" s="18"/>
      <c r="C740" s="18"/>
      <c r="D740" s="18"/>
      <c r="E740" s="18"/>
      <c r="F740" s="18"/>
      <c r="G740" s="18"/>
      <c r="H740" s="18"/>
      <c r="I740" s="18"/>
      <c r="J740" s="18"/>
      <c r="K740" s="18"/>
      <c r="L740" s="18"/>
      <c r="M740" s="18"/>
      <c r="N740" s="18"/>
      <c r="O740" s="1316"/>
      <c r="P740" s="18"/>
      <c r="Q740" s="18"/>
      <c r="R740" s="18"/>
      <c r="S740" s="18"/>
      <c r="T740" s="18"/>
      <c r="U740" s="18"/>
      <c r="V740" s="18"/>
      <c r="W740" s="18"/>
      <c r="X740" s="18"/>
      <c r="Y740" s="18"/>
      <c r="Z740" s="18"/>
      <c r="AA740" s="18"/>
      <c r="AB740" s="18"/>
      <c r="AC740" s="18"/>
      <c r="AD740" s="18"/>
      <c r="AE740" s="18"/>
      <c r="AF740" s="18"/>
      <c r="AG740" s="18"/>
    </row>
    <row r="741" spans="1:33" x14ac:dyDescent="0.2">
      <c r="A741" s="18"/>
      <c r="B741" s="18"/>
      <c r="C741" s="18"/>
      <c r="D741" s="18"/>
      <c r="E741" s="18"/>
      <c r="F741" s="18"/>
      <c r="G741" s="18"/>
      <c r="H741" s="18"/>
      <c r="I741" s="18"/>
      <c r="J741" s="18"/>
      <c r="K741" s="18"/>
      <c r="L741" s="18"/>
      <c r="M741" s="18"/>
      <c r="N741" s="18"/>
      <c r="O741" s="1316"/>
      <c r="P741" s="18"/>
      <c r="Q741" s="18"/>
      <c r="R741" s="18"/>
      <c r="S741" s="18"/>
      <c r="T741" s="18"/>
      <c r="U741" s="18"/>
      <c r="V741" s="18"/>
      <c r="W741" s="18"/>
      <c r="X741" s="18"/>
      <c r="Y741" s="18"/>
      <c r="Z741" s="18"/>
      <c r="AA741" s="18"/>
      <c r="AB741" s="18"/>
      <c r="AC741" s="18"/>
      <c r="AD741" s="18"/>
      <c r="AE741" s="18"/>
      <c r="AF741" s="18"/>
      <c r="AG741" s="18"/>
    </row>
    <row r="742" spans="1:33" x14ac:dyDescent="0.2">
      <c r="A742" s="18"/>
      <c r="B742" s="18"/>
      <c r="C742" s="18"/>
      <c r="D742" s="18"/>
      <c r="E742" s="18"/>
      <c r="F742" s="18"/>
      <c r="G742" s="18"/>
      <c r="H742" s="18"/>
      <c r="I742" s="18"/>
      <c r="J742" s="18"/>
      <c r="K742" s="18"/>
      <c r="L742" s="18"/>
      <c r="M742" s="18"/>
      <c r="N742" s="18"/>
      <c r="O742" s="1316"/>
      <c r="P742" s="18"/>
      <c r="Q742" s="18"/>
      <c r="R742" s="18"/>
      <c r="S742" s="18"/>
      <c r="T742" s="18"/>
      <c r="U742" s="18"/>
      <c r="V742" s="18"/>
      <c r="W742" s="18"/>
      <c r="X742" s="18"/>
      <c r="Y742" s="18"/>
      <c r="Z742" s="18"/>
      <c r="AA742" s="18"/>
      <c r="AB742" s="18"/>
      <c r="AC742" s="18"/>
      <c r="AD742" s="18"/>
      <c r="AE742" s="18"/>
      <c r="AF742" s="18"/>
      <c r="AG742" s="18"/>
    </row>
    <row r="743" spans="1:33" x14ac:dyDescent="0.2">
      <c r="A743" s="18"/>
      <c r="B743" s="18"/>
      <c r="C743" s="18"/>
      <c r="D743" s="18"/>
      <c r="E743" s="18"/>
      <c r="F743" s="18"/>
      <c r="G743" s="18"/>
      <c r="H743" s="18"/>
      <c r="I743" s="18"/>
      <c r="J743" s="18"/>
      <c r="K743" s="18"/>
      <c r="L743" s="18"/>
      <c r="M743" s="18"/>
      <c r="N743" s="18"/>
      <c r="O743" s="1316"/>
      <c r="P743" s="18"/>
      <c r="Q743" s="18"/>
      <c r="R743" s="18"/>
      <c r="S743" s="18"/>
      <c r="T743" s="18"/>
      <c r="U743" s="18"/>
      <c r="V743" s="18"/>
      <c r="W743" s="18"/>
      <c r="X743" s="18"/>
      <c r="Y743" s="18"/>
      <c r="Z743" s="18"/>
      <c r="AA743" s="18"/>
      <c r="AB743" s="18"/>
      <c r="AC743" s="18"/>
      <c r="AD743" s="18"/>
      <c r="AE743" s="18"/>
      <c r="AF743" s="18"/>
      <c r="AG743" s="18"/>
    </row>
    <row r="744" spans="1:33" x14ac:dyDescent="0.2">
      <c r="A744" s="18"/>
      <c r="B744" s="18"/>
      <c r="C744" s="18"/>
      <c r="D744" s="18"/>
      <c r="E744" s="18"/>
      <c r="F744" s="18"/>
      <c r="G744" s="18"/>
      <c r="H744" s="18"/>
      <c r="I744" s="18"/>
      <c r="J744" s="18"/>
      <c r="K744" s="18"/>
      <c r="L744" s="18"/>
      <c r="M744" s="18"/>
      <c r="N744" s="18"/>
      <c r="O744" s="1316"/>
      <c r="P744" s="18"/>
      <c r="Q744" s="18"/>
      <c r="R744" s="18"/>
      <c r="S744" s="18"/>
      <c r="T744" s="18"/>
      <c r="U744" s="18"/>
      <c r="V744" s="18"/>
      <c r="W744" s="18"/>
      <c r="X744" s="18"/>
      <c r="Y744" s="18"/>
      <c r="Z744" s="18"/>
      <c r="AA744" s="18"/>
      <c r="AB744" s="18"/>
      <c r="AC744" s="18"/>
      <c r="AD744" s="18"/>
      <c r="AE744" s="18"/>
      <c r="AF744" s="18"/>
      <c r="AG744" s="18"/>
    </row>
    <row r="745" spans="1:33" x14ac:dyDescent="0.2">
      <c r="A745" s="18"/>
      <c r="B745" s="18"/>
      <c r="C745" s="18"/>
      <c r="D745" s="18"/>
      <c r="E745" s="18"/>
      <c r="F745" s="18"/>
      <c r="G745" s="18"/>
      <c r="H745" s="18"/>
      <c r="I745" s="18"/>
      <c r="J745" s="18"/>
      <c r="K745" s="18"/>
      <c r="L745" s="18"/>
      <c r="M745" s="18"/>
      <c r="N745" s="18"/>
      <c r="O745" s="1316"/>
      <c r="P745" s="18"/>
      <c r="Q745" s="18"/>
      <c r="R745" s="18"/>
      <c r="S745" s="18"/>
      <c r="T745" s="18"/>
      <c r="U745" s="18"/>
      <c r="V745" s="18"/>
      <c r="W745" s="18"/>
      <c r="X745" s="18"/>
      <c r="Y745" s="18"/>
      <c r="Z745" s="18"/>
      <c r="AA745" s="18"/>
      <c r="AB745" s="18"/>
      <c r="AC745" s="18"/>
      <c r="AD745" s="18"/>
      <c r="AE745" s="18"/>
      <c r="AF745" s="18"/>
      <c r="AG745" s="18"/>
    </row>
    <row r="746" spans="1:33" x14ac:dyDescent="0.2">
      <c r="A746" s="18"/>
      <c r="B746" s="18"/>
      <c r="C746" s="18"/>
      <c r="D746" s="18"/>
      <c r="E746" s="18"/>
      <c r="F746" s="18"/>
      <c r="G746" s="18"/>
      <c r="H746" s="18"/>
      <c r="I746" s="18"/>
      <c r="J746" s="18"/>
      <c r="K746" s="18"/>
      <c r="L746" s="18"/>
      <c r="M746" s="18"/>
      <c r="N746" s="18"/>
      <c r="O746" s="1316"/>
      <c r="P746" s="18"/>
      <c r="Q746" s="18"/>
      <c r="R746" s="18"/>
      <c r="S746" s="18"/>
      <c r="T746" s="18"/>
      <c r="U746" s="18"/>
      <c r="V746" s="18"/>
      <c r="W746" s="18"/>
      <c r="X746" s="18"/>
      <c r="Y746" s="18"/>
      <c r="Z746" s="18"/>
      <c r="AA746" s="18"/>
      <c r="AB746" s="18"/>
      <c r="AC746" s="18"/>
      <c r="AD746" s="18"/>
      <c r="AE746" s="18"/>
      <c r="AF746" s="18"/>
      <c r="AG746" s="18"/>
    </row>
    <row r="747" spans="1:33" x14ac:dyDescent="0.2">
      <c r="A747" s="18"/>
      <c r="B747" s="18"/>
      <c r="C747" s="18"/>
      <c r="D747" s="18"/>
      <c r="E747" s="18"/>
      <c r="F747" s="18"/>
      <c r="G747" s="18"/>
      <c r="H747" s="18"/>
      <c r="I747" s="18"/>
      <c r="J747" s="18"/>
      <c r="K747" s="18"/>
      <c r="L747" s="18"/>
      <c r="M747" s="18"/>
      <c r="N747" s="18"/>
      <c r="O747" s="1316"/>
      <c r="P747" s="18"/>
      <c r="Q747" s="18"/>
      <c r="R747" s="18"/>
      <c r="S747" s="18"/>
      <c r="T747" s="18"/>
      <c r="U747" s="18"/>
      <c r="V747" s="18"/>
      <c r="W747" s="18"/>
      <c r="X747" s="18"/>
      <c r="Y747" s="18"/>
      <c r="Z747" s="18"/>
      <c r="AA747" s="18"/>
      <c r="AB747" s="18"/>
      <c r="AC747" s="18"/>
      <c r="AD747" s="18"/>
      <c r="AE747" s="18"/>
      <c r="AF747" s="18"/>
      <c r="AG747" s="18"/>
    </row>
    <row r="748" spans="1:33" x14ac:dyDescent="0.2">
      <c r="A748" s="18"/>
      <c r="B748" s="18"/>
      <c r="C748" s="18"/>
      <c r="D748" s="18"/>
      <c r="E748" s="18"/>
      <c r="F748" s="18"/>
      <c r="G748" s="18"/>
      <c r="H748" s="18"/>
      <c r="I748" s="18"/>
      <c r="J748" s="18"/>
      <c r="K748" s="18"/>
      <c r="L748" s="18"/>
      <c r="M748" s="18"/>
      <c r="N748" s="18"/>
      <c r="O748" s="1316"/>
      <c r="P748" s="18"/>
      <c r="Q748" s="18"/>
      <c r="R748" s="18"/>
      <c r="S748" s="18"/>
      <c r="T748" s="18"/>
      <c r="U748" s="18"/>
      <c r="V748" s="18"/>
      <c r="W748" s="18"/>
      <c r="X748" s="18"/>
      <c r="Y748" s="18"/>
      <c r="Z748" s="18"/>
      <c r="AA748" s="18"/>
      <c r="AB748" s="18"/>
      <c r="AC748" s="18"/>
      <c r="AD748" s="18"/>
      <c r="AE748" s="18"/>
      <c r="AF748" s="18"/>
      <c r="AG748" s="18"/>
    </row>
    <row r="749" spans="1:33" x14ac:dyDescent="0.2">
      <c r="A749" s="18"/>
      <c r="B749" s="18"/>
      <c r="C749" s="18"/>
      <c r="D749" s="18"/>
      <c r="E749" s="18"/>
      <c r="F749" s="18"/>
      <c r="G749" s="18"/>
      <c r="H749" s="18"/>
      <c r="I749" s="18"/>
      <c r="J749" s="18"/>
      <c r="K749" s="18"/>
      <c r="L749" s="18"/>
      <c r="M749" s="18"/>
      <c r="N749" s="18"/>
      <c r="O749" s="1316"/>
      <c r="P749" s="18"/>
      <c r="Q749" s="18"/>
      <c r="R749" s="18"/>
      <c r="S749" s="18"/>
      <c r="T749" s="18"/>
      <c r="U749" s="18"/>
      <c r="V749" s="18"/>
      <c r="W749" s="18"/>
      <c r="X749" s="18"/>
      <c r="Y749" s="18"/>
      <c r="Z749" s="18"/>
      <c r="AA749" s="18"/>
      <c r="AB749" s="18"/>
      <c r="AC749" s="18"/>
      <c r="AD749" s="18"/>
      <c r="AE749" s="18"/>
      <c r="AF749" s="18"/>
      <c r="AG749" s="18"/>
    </row>
    <row r="750" spans="1:33" x14ac:dyDescent="0.2">
      <c r="A750" s="18"/>
      <c r="B750" s="18"/>
      <c r="C750" s="18"/>
      <c r="D750" s="18"/>
      <c r="E750" s="18"/>
      <c r="F750" s="18"/>
      <c r="G750" s="18"/>
      <c r="H750" s="18"/>
      <c r="I750" s="18"/>
      <c r="J750" s="18"/>
      <c r="K750" s="18"/>
      <c r="L750" s="18"/>
      <c r="M750" s="18"/>
      <c r="N750" s="18"/>
      <c r="O750" s="1316"/>
      <c r="P750" s="18"/>
      <c r="Q750" s="18"/>
      <c r="R750" s="18"/>
      <c r="S750" s="18"/>
      <c r="T750" s="18"/>
      <c r="U750" s="18"/>
      <c r="V750" s="18"/>
      <c r="W750" s="18"/>
      <c r="X750" s="18"/>
      <c r="Y750" s="18"/>
      <c r="Z750" s="18"/>
      <c r="AA750" s="18"/>
      <c r="AB750" s="18"/>
      <c r="AC750" s="18"/>
      <c r="AD750" s="18"/>
      <c r="AE750" s="18"/>
      <c r="AF750" s="18"/>
      <c r="AG750" s="18"/>
    </row>
    <row r="751" spans="1:33" x14ac:dyDescent="0.2">
      <c r="A751" s="18"/>
      <c r="B751" s="18"/>
      <c r="C751" s="18"/>
      <c r="D751" s="18"/>
      <c r="E751" s="18"/>
      <c r="F751" s="18"/>
      <c r="G751" s="18"/>
      <c r="H751" s="18"/>
      <c r="I751" s="18"/>
      <c r="J751" s="18"/>
      <c r="K751" s="18"/>
      <c r="L751" s="18"/>
      <c r="M751" s="18"/>
      <c r="N751" s="18"/>
      <c r="O751" s="1316"/>
      <c r="P751" s="18"/>
      <c r="Q751" s="18"/>
      <c r="R751" s="18"/>
      <c r="S751" s="18"/>
      <c r="T751" s="18"/>
      <c r="U751" s="18"/>
      <c r="V751" s="18"/>
      <c r="W751" s="18"/>
      <c r="X751" s="18"/>
      <c r="Y751" s="18"/>
      <c r="Z751" s="18"/>
      <c r="AA751" s="18"/>
      <c r="AB751" s="18"/>
      <c r="AC751" s="18"/>
      <c r="AD751" s="18"/>
      <c r="AE751" s="18"/>
      <c r="AF751" s="18"/>
      <c r="AG751" s="18"/>
    </row>
    <row r="752" spans="1:33" x14ac:dyDescent="0.2">
      <c r="A752" s="18"/>
      <c r="B752" s="18"/>
      <c r="C752" s="18"/>
      <c r="D752" s="18"/>
      <c r="E752" s="18"/>
      <c r="F752" s="18"/>
      <c r="G752" s="18"/>
      <c r="H752" s="18"/>
      <c r="I752" s="18"/>
      <c r="J752" s="18"/>
      <c r="K752" s="18"/>
      <c r="L752" s="18"/>
      <c r="M752" s="18"/>
      <c r="N752" s="18"/>
      <c r="O752" s="1316"/>
      <c r="P752" s="18"/>
      <c r="Q752" s="18"/>
      <c r="R752" s="18"/>
      <c r="S752" s="18"/>
      <c r="T752" s="18"/>
      <c r="U752" s="18"/>
      <c r="V752" s="18"/>
      <c r="W752" s="18"/>
      <c r="X752" s="18"/>
      <c r="Y752" s="18"/>
      <c r="Z752" s="18"/>
      <c r="AA752" s="18"/>
      <c r="AB752" s="18"/>
      <c r="AC752" s="18"/>
      <c r="AD752" s="18"/>
      <c r="AE752" s="18"/>
      <c r="AF752" s="18"/>
      <c r="AG752" s="18"/>
    </row>
    <row r="753" spans="1:33" x14ac:dyDescent="0.2">
      <c r="A753" s="18"/>
      <c r="B753" s="18"/>
      <c r="C753" s="18"/>
      <c r="D753" s="18"/>
      <c r="E753" s="18"/>
      <c r="F753" s="18"/>
      <c r="G753" s="18"/>
      <c r="H753" s="18"/>
      <c r="I753" s="18"/>
      <c r="J753" s="18"/>
      <c r="K753" s="18"/>
      <c r="L753" s="18"/>
      <c r="M753" s="18"/>
      <c r="N753" s="18"/>
      <c r="O753" s="1316"/>
      <c r="P753" s="18"/>
      <c r="Q753" s="18"/>
      <c r="R753" s="18"/>
      <c r="S753" s="18"/>
      <c r="T753" s="18"/>
      <c r="U753" s="18"/>
      <c r="V753" s="18"/>
      <c r="W753" s="18"/>
      <c r="X753" s="18"/>
      <c r="Y753" s="18"/>
      <c r="Z753" s="18"/>
      <c r="AA753" s="18"/>
      <c r="AB753" s="18"/>
      <c r="AC753" s="18"/>
      <c r="AD753" s="18"/>
      <c r="AE753" s="18"/>
      <c r="AF753" s="18"/>
      <c r="AG753" s="18"/>
    </row>
    <row r="754" spans="1:33" x14ac:dyDescent="0.2">
      <c r="A754" s="18"/>
      <c r="B754" s="18"/>
      <c r="C754" s="18"/>
      <c r="D754" s="18"/>
      <c r="E754" s="18"/>
      <c r="F754" s="18"/>
      <c r="G754" s="18"/>
      <c r="H754" s="18"/>
      <c r="I754" s="18"/>
      <c r="J754" s="18"/>
      <c r="K754" s="18"/>
      <c r="L754" s="18"/>
      <c r="M754" s="18"/>
      <c r="N754" s="18"/>
      <c r="O754" s="1316"/>
      <c r="P754" s="18"/>
      <c r="Q754" s="18"/>
      <c r="R754" s="18"/>
      <c r="S754" s="18"/>
      <c r="T754" s="18"/>
      <c r="U754" s="18"/>
      <c r="V754" s="18"/>
      <c r="W754" s="18"/>
      <c r="X754" s="18"/>
      <c r="Y754" s="18"/>
      <c r="Z754" s="18"/>
      <c r="AA754" s="18"/>
      <c r="AB754" s="18"/>
      <c r="AC754" s="18"/>
      <c r="AD754" s="18"/>
      <c r="AE754" s="18"/>
      <c r="AF754" s="18"/>
      <c r="AG754" s="18"/>
    </row>
    <row r="755" spans="1:33" x14ac:dyDescent="0.2">
      <c r="A755" s="18"/>
      <c r="B755" s="18"/>
      <c r="C755" s="18"/>
      <c r="D755" s="18"/>
      <c r="E755" s="18"/>
      <c r="F755" s="18"/>
      <c r="G755" s="18"/>
      <c r="H755" s="18"/>
      <c r="I755" s="18"/>
      <c r="J755" s="18"/>
      <c r="K755" s="18"/>
      <c r="L755" s="18"/>
      <c r="M755" s="18"/>
      <c r="N755" s="18"/>
      <c r="O755" s="1316"/>
      <c r="P755" s="18"/>
      <c r="Q755" s="18"/>
      <c r="R755" s="18"/>
      <c r="S755" s="18"/>
      <c r="T755" s="18"/>
      <c r="U755" s="18"/>
      <c r="V755" s="18"/>
      <c r="W755" s="18"/>
      <c r="X755" s="18"/>
      <c r="Y755" s="18"/>
      <c r="Z755" s="18"/>
      <c r="AA755" s="18"/>
      <c r="AB755" s="18"/>
      <c r="AC755" s="18"/>
      <c r="AD755" s="18"/>
      <c r="AE755" s="18"/>
      <c r="AF755" s="18"/>
      <c r="AG755" s="18"/>
    </row>
    <row r="756" spans="1:33" x14ac:dyDescent="0.2">
      <c r="A756" s="18"/>
      <c r="B756" s="18"/>
      <c r="C756" s="18"/>
      <c r="D756" s="18"/>
      <c r="E756" s="18"/>
      <c r="F756" s="18"/>
      <c r="G756" s="18"/>
      <c r="H756" s="18"/>
      <c r="I756" s="18"/>
      <c r="J756" s="18"/>
      <c r="K756" s="18"/>
      <c r="L756" s="18"/>
      <c r="M756" s="18"/>
      <c r="N756" s="18"/>
      <c r="O756" s="1316"/>
      <c r="P756" s="18"/>
      <c r="Q756" s="18"/>
      <c r="R756" s="18"/>
      <c r="S756" s="18"/>
      <c r="T756" s="18"/>
      <c r="U756" s="18"/>
      <c r="V756" s="18"/>
      <c r="W756" s="18"/>
      <c r="X756" s="18"/>
      <c r="Y756" s="18"/>
      <c r="Z756" s="18"/>
      <c r="AA756" s="18"/>
      <c r="AB756" s="18"/>
      <c r="AC756" s="18"/>
      <c r="AD756" s="18"/>
      <c r="AE756" s="18"/>
      <c r="AF756" s="18"/>
      <c r="AG756" s="18"/>
    </row>
    <row r="757" spans="1:33" x14ac:dyDescent="0.2">
      <c r="A757" s="18"/>
      <c r="B757" s="18"/>
      <c r="C757" s="18"/>
      <c r="D757" s="18"/>
      <c r="E757" s="18"/>
      <c r="F757" s="18"/>
      <c r="G757" s="18"/>
      <c r="H757" s="18"/>
      <c r="I757" s="18"/>
      <c r="J757" s="18"/>
      <c r="K757" s="18"/>
      <c r="L757" s="18"/>
      <c r="M757" s="18"/>
      <c r="N757" s="18"/>
      <c r="O757" s="1316"/>
      <c r="P757" s="18"/>
      <c r="Q757" s="18"/>
      <c r="R757" s="18"/>
      <c r="S757" s="18"/>
      <c r="T757" s="18"/>
      <c r="U757" s="18"/>
      <c r="V757" s="18"/>
      <c r="W757" s="18"/>
      <c r="X757" s="18"/>
      <c r="Y757" s="18"/>
      <c r="Z757" s="18"/>
      <c r="AA757" s="18"/>
      <c r="AB757" s="18"/>
      <c r="AC757" s="18"/>
      <c r="AD757" s="18"/>
      <c r="AE757" s="18"/>
      <c r="AF757" s="18"/>
      <c r="AG757" s="18"/>
    </row>
    <row r="758" spans="1:33" x14ac:dyDescent="0.2">
      <c r="A758" s="18"/>
      <c r="B758" s="18"/>
      <c r="C758" s="18"/>
      <c r="D758" s="18"/>
      <c r="E758" s="18"/>
      <c r="F758" s="18"/>
      <c r="G758" s="18"/>
      <c r="H758" s="18"/>
      <c r="I758" s="18"/>
      <c r="J758" s="18"/>
      <c r="K758" s="18"/>
      <c r="L758" s="18"/>
      <c r="M758" s="18"/>
      <c r="N758" s="18"/>
      <c r="O758" s="1316"/>
      <c r="P758" s="18"/>
      <c r="Q758" s="18"/>
      <c r="R758" s="18"/>
      <c r="S758" s="18"/>
      <c r="T758" s="18"/>
      <c r="U758" s="18"/>
      <c r="V758" s="18"/>
      <c r="W758" s="18"/>
      <c r="X758" s="18"/>
      <c r="Y758" s="18"/>
      <c r="Z758" s="18"/>
      <c r="AA758" s="18"/>
      <c r="AB758" s="18"/>
      <c r="AC758" s="18"/>
      <c r="AD758" s="18"/>
      <c r="AE758" s="18"/>
      <c r="AF758" s="18"/>
      <c r="AG758" s="18"/>
    </row>
    <row r="759" spans="1:33" x14ac:dyDescent="0.2">
      <c r="A759" s="18"/>
      <c r="B759" s="18"/>
      <c r="C759" s="18"/>
      <c r="D759" s="18"/>
      <c r="E759" s="18"/>
      <c r="F759" s="18"/>
      <c r="G759" s="18"/>
      <c r="H759" s="18"/>
      <c r="I759" s="18"/>
      <c r="J759" s="18"/>
      <c r="K759" s="18"/>
      <c r="L759" s="18"/>
      <c r="M759" s="18"/>
      <c r="N759" s="18"/>
      <c r="O759" s="1316"/>
      <c r="P759" s="18"/>
      <c r="Q759" s="18"/>
      <c r="R759" s="18"/>
      <c r="S759" s="18"/>
      <c r="T759" s="18"/>
      <c r="U759" s="18"/>
      <c r="V759" s="18"/>
      <c r="W759" s="18"/>
      <c r="X759" s="18"/>
      <c r="Y759" s="18"/>
      <c r="Z759" s="18"/>
      <c r="AA759" s="18"/>
      <c r="AB759" s="18"/>
      <c r="AC759" s="18"/>
      <c r="AD759" s="18"/>
      <c r="AE759" s="18"/>
      <c r="AF759" s="18"/>
      <c r="AG759" s="18"/>
    </row>
    <row r="760" spans="1:33" x14ac:dyDescent="0.2">
      <c r="A760" s="18"/>
      <c r="B760" s="18"/>
      <c r="C760" s="18"/>
      <c r="D760" s="18"/>
      <c r="E760" s="18"/>
      <c r="F760" s="18"/>
      <c r="G760" s="18"/>
      <c r="H760" s="18"/>
      <c r="I760" s="18"/>
      <c r="J760" s="18"/>
      <c r="K760" s="18"/>
      <c r="L760" s="18"/>
      <c r="M760" s="18"/>
      <c r="N760" s="18"/>
      <c r="O760" s="1316"/>
      <c r="P760" s="18"/>
      <c r="Q760" s="18"/>
      <c r="R760" s="18"/>
      <c r="S760" s="18"/>
      <c r="T760" s="18"/>
      <c r="U760" s="18"/>
      <c r="V760" s="18"/>
      <c r="W760" s="18"/>
      <c r="X760" s="18"/>
      <c r="Y760" s="18"/>
      <c r="Z760" s="18"/>
      <c r="AA760" s="18"/>
      <c r="AB760" s="18"/>
      <c r="AC760" s="18"/>
      <c r="AD760" s="18"/>
      <c r="AE760" s="18"/>
      <c r="AF760" s="18"/>
      <c r="AG760" s="18"/>
    </row>
    <row r="761" spans="1:33" x14ac:dyDescent="0.2">
      <c r="A761" s="18"/>
      <c r="B761" s="18"/>
      <c r="C761" s="18"/>
      <c r="D761" s="18"/>
      <c r="E761" s="18"/>
      <c r="F761" s="18"/>
      <c r="G761" s="18"/>
      <c r="H761" s="18"/>
      <c r="I761" s="18"/>
      <c r="J761" s="18"/>
      <c r="K761" s="18"/>
      <c r="L761" s="18"/>
      <c r="M761" s="18"/>
      <c r="N761" s="18"/>
      <c r="O761" s="1316"/>
      <c r="P761" s="18"/>
      <c r="Q761" s="18"/>
      <c r="R761" s="18"/>
      <c r="S761" s="18"/>
      <c r="T761" s="18"/>
      <c r="U761" s="18"/>
      <c r="V761" s="18"/>
      <c r="W761" s="18"/>
      <c r="X761" s="18"/>
      <c r="Y761" s="18"/>
      <c r="Z761" s="18"/>
      <c r="AA761" s="18"/>
      <c r="AB761" s="18"/>
      <c r="AC761" s="18"/>
      <c r="AD761" s="18"/>
      <c r="AE761" s="18"/>
      <c r="AF761" s="18"/>
      <c r="AG761" s="18"/>
    </row>
    <row r="762" spans="1:33" x14ac:dyDescent="0.2">
      <c r="A762" s="18"/>
      <c r="B762" s="18"/>
      <c r="C762" s="18"/>
      <c r="D762" s="18"/>
      <c r="E762" s="18"/>
      <c r="F762" s="18"/>
      <c r="G762" s="18"/>
      <c r="H762" s="18"/>
      <c r="I762" s="18"/>
      <c r="J762" s="18"/>
      <c r="K762" s="18"/>
      <c r="L762" s="18"/>
      <c r="M762" s="18"/>
      <c r="N762" s="18"/>
      <c r="O762" s="1316"/>
      <c r="P762" s="18"/>
      <c r="Q762" s="18"/>
      <c r="R762" s="18"/>
      <c r="S762" s="18"/>
      <c r="T762" s="18"/>
      <c r="U762" s="18"/>
      <c r="V762" s="18"/>
      <c r="W762" s="18"/>
      <c r="X762" s="18"/>
      <c r="Y762" s="18"/>
      <c r="Z762" s="18"/>
      <c r="AA762" s="18"/>
      <c r="AB762" s="18"/>
      <c r="AC762" s="18"/>
      <c r="AD762" s="18"/>
      <c r="AE762" s="18"/>
      <c r="AF762" s="18"/>
      <c r="AG762" s="18"/>
    </row>
    <row r="763" spans="1:33" x14ac:dyDescent="0.2">
      <c r="A763" s="18"/>
      <c r="B763" s="18"/>
      <c r="C763" s="18"/>
      <c r="D763" s="18"/>
      <c r="E763" s="18"/>
      <c r="F763" s="18"/>
      <c r="G763" s="18"/>
      <c r="H763" s="18"/>
      <c r="I763" s="18"/>
      <c r="J763" s="18"/>
      <c r="K763" s="18"/>
      <c r="L763" s="18"/>
      <c r="M763" s="18"/>
      <c r="N763" s="18"/>
      <c r="O763" s="1316"/>
      <c r="P763" s="18"/>
      <c r="Q763" s="18"/>
      <c r="R763" s="18"/>
      <c r="S763" s="18"/>
      <c r="T763" s="18"/>
      <c r="U763" s="18"/>
      <c r="V763" s="18"/>
      <c r="W763" s="18"/>
      <c r="X763" s="18"/>
      <c r="Y763" s="18"/>
      <c r="Z763" s="18"/>
      <c r="AA763" s="18"/>
      <c r="AB763" s="18"/>
      <c r="AC763" s="18"/>
      <c r="AD763" s="18"/>
      <c r="AE763" s="18"/>
      <c r="AF763" s="18"/>
      <c r="AG763" s="18"/>
    </row>
    <row r="764" spans="1:33" x14ac:dyDescent="0.2">
      <c r="A764" s="18"/>
      <c r="B764" s="18"/>
      <c r="C764" s="18"/>
      <c r="D764" s="18"/>
      <c r="E764" s="18"/>
      <c r="F764" s="18"/>
      <c r="G764" s="18"/>
      <c r="H764" s="18"/>
      <c r="I764" s="18"/>
      <c r="J764" s="18"/>
      <c r="K764" s="18"/>
      <c r="L764" s="18"/>
      <c r="M764" s="18"/>
      <c r="N764" s="18"/>
      <c r="O764" s="1316"/>
      <c r="P764" s="18"/>
      <c r="Q764" s="18"/>
      <c r="R764" s="18"/>
      <c r="S764" s="18"/>
      <c r="T764" s="18"/>
      <c r="U764" s="18"/>
      <c r="V764" s="18"/>
      <c r="W764" s="18"/>
      <c r="X764" s="18"/>
      <c r="Y764" s="18"/>
      <c r="Z764" s="18"/>
      <c r="AA764" s="18"/>
      <c r="AB764" s="18"/>
      <c r="AC764" s="18"/>
      <c r="AD764" s="18"/>
      <c r="AE764" s="18"/>
      <c r="AF764" s="18"/>
      <c r="AG764" s="18"/>
    </row>
    <row r="765" spans="1:33" x14ac:dyDescent="0.2">
      <c r="A765" s="18"/>
      <c r="B765" s="18"/>
      <c r="C765" s="18"/>
      <c r="D765" s="18"/>
      <c r="E765" s="18"/>
      <c r="F765" s="18"/>
      <c r="G765" s="18"/>
      <c r="H765" s="18"/>
      <c r="I765" s="18"/>
      <c r="J765" s="18"/>
      <c r="K765" s="18"/>
      <c r="L765" s="18"/>
      <c r="M765" s="18"/>
      <c r="N765" s="18"/>
      <c r="O765" s="1316"/>
      <c r="P765" s="18"/>
      <c r="Q765" s="18"/>
      <c r="R765" s="18"/>
      <c r="S765" s="18"/>
      <c r="T765" s="18"/>
      <c r="U765" s="18"/>
      <c r="V765" s="18"/>
      <c r="W765" s="18"/>
      <c r="X765" s="18"/>
      <c r="Y765" s="18"/>
      <c r="Z765" s="18"/>
      <c r="AA765" s="18"/>
      <c r="AB765" s="18"/>
      <c r="AC765" s="18"/>
      <c r="AD765" s="18"/>
      <c r="AE765" s="18"/>
      <c r="AF765" s="18"/>
      <c r="AG765" s="18"/>
    </row>
    <row r="766" spans="1:33" x14ac:dyDescent="0.2">
      <c r="A766" s="18"/>
      <c r="B766" s="18"/>
      <c r="C766" s="18"/>
      <c r="D766" s="18"/>
      <c r="E766" s="18"/>
      <c r="F766" s="18"/>
      <c r="G766" s="18"/>
      <c r="H766" s="18"/>
      <c r="I766" s="18"/>
      <c r="J766" s="18"/>
      <c r="K766" s="18"/>
      <c r="L766" s="18"/>
      <c r="M766" s="18"/>
      <c r="N766" s="18"/>
      <c r="O766" s="1316"/>
      <c r="P766" s="18"/>
      <c r="Q766" s="18"/>
      <c r="R766" s="18"/>
      <c r="S766" s="18"/>
      <c r="T766" s="18"/>
      <c r="U766" s="18"/>
      <c r="V766" s="18"/>
      <c r="W766" s="18"/>
      <c r="X766" s="18"/>
      <c r="Y766" s="18"/>
      <c r="Z766" s="18"/>
      <c r="AA766" s="18"/>
      <c r="AB766" s="18"/>
      <c r="AC766" s="18"/>
      <c r="AD766" s="18"/>
      <c r="AE766" s="18"/>
      <c r="AF766" s="18"/>
      <c r="AG766" s="18"/>
    </row>
    <row r="767" spans="1:33" x14ac:dyDescent="0.2">
      <c r="A767" s="18"/>
      <c r="B767" s="18"/>
      <c r="C767" s="18"/>
      <c r="D767" s="18"/>
      <c r="E767" s="18"/>
      <c r="F767" s="18"/>
      <c r="G767" s="18"/>
      <c r="H767" s="18"/>
      <c r="I767" s="18"/>
      <c r="J767" s="18"/>
      <c r="K767" s="18"/>
      <c r="L767" s="18"/>
      <c r="M767" s="18"/>
      <c r="N767" s="18"/>
      <c r="O767" s="1316"/>
      <c r="P767" s="18"/>
      <c r="Q767" s="18"/>
      <c r="R767" s="18"/>
      <c r="S767" s="18"/>
      <c r="T767" s="18"/>
      <c r="U767" s="18"/>
      <c r="V767" s="18"/>
      <c r="W767" s="18"/>
      <c r="X767" s="18"/>
      <c r="Y767" s="18"/>
      <c r="Z767" s="18"/>
      <c r="AA767" s="18"/>
      <c r="AB767" s="18"/>
      <c r="AC767" s="18"/>
      <c r="AD767" s="18"/>
      <c r="AE767" s="18"/>
      <c r="AF767" s="18"/>
      <c r="AG767" s="18"/>
    </row>
    <row r="768" spans="1:33" x14ac:dyDescent="0.2">
      <c r="A768" s="18"/>
      <c r="B768" s="18"/>
      <c r="C768" s="18"/>
      <c r="D768" s="18"/>
      <c r="E768" s="18"/>
      <c r="F768" s="18"/>
      <c r="G768" s="18"/>
      <c r="H768" s="18"/>
      <c r="I768" s="18"/>
      <c r="J768" s="18"/>
      <c r="K768" s="18"/>
      <c r="L768" s="18"/>
      <c r="M768" s="18"/>
      <c r="N768" s="18"/>
      <c r="O768" s="1316"/>
      <c r="P768" s="18"/>
      <c r="Q768" s="18"/>
      <c r="R768" s="18"/>
      <c r="S768" s="18"/>
      <c r="T768" s="18"/>
      <c r="U768" s="18"/>
      <c r="V768" s="18"/>
      <c r="W768" s="18"/>
      <c r="X768" s="18"/>
      <c r="Y768" s="18"/>
      <c r="Z768" s="18"/>
      <c r="AA768" s="18"/>
      <c r="AB768" s="18"/>
      <c r="AC768" s="18"/>
      <c r="AD768" s="18"/>
      <c r="AE768" s="18"/>
      <c r="AF768" s="18"/>
      <c r="AG768" s="18"/>
    </row>
    <row r="769" spans="1:33" x14ac:dyDescent="0.2">
      <c r="A769" s="18"/>
      <c r="B769" s="18"/>
      <c r="C769" s="18"/>
      <c r="D769" s="18"/>
      <c r="E769" s="18"/>
      <c r="F769" s="18"/>
      <c r="G769" s="18"/>
      <c r="H769" s="18"/>
      <c r="I769" s="18"/>
      <c r="J769" s="18"/>
      <c r="K769" s="18"/>
      <c r="L769" s="18"/>
      <c r="M769" s="18"/>
      <c r="N769" s="18"/>
      <c r="O769" s="1316"/>
      <c r="P769" s="18"/>
      <c r="Q769" s="18"/>
      <c r="R769" s="18"/>
      <c r="S769" s="18"/>
      <c r="T769" s="18"/>
      <c r="U769" s="18"/>
      <c r="V769" s="18"/>
      <c r="W769" s="18"/>
      <c r="X769" s="18"/>
      <c r="Y769" s="18"/>
      <c r="Z769" s="18"/>
      <c r="AA769" s="18"/>
      <c r="AB769" s="18"/>
      <c r="AC769" s="18"/>
      <c r="AD769" s="18"/>
      <c r="AE769" s="18"/>
      <c r="AF769" s="18"/>
      <c r="AG769" s="18"/>
    </row>
    <row r="770" spans="1:33" x14ac:dyDescent="0.2">
      <c r="A770" s="18"/>
      <c r="B770" s="18"/>
      <c r="C770" s="18"/>
      <c r="D770" s="18"/>
      <c r="E770" s="18"/>
      <c r="F770" s="18"/>
      <c r="G770" s="18"/>
      <c r="H770" s="18"/>
      <c r="I770" s="18"/>
      <c r="J770" s="18"/>
      <c r="K770" s="18"/>
      <c r="L770" s="18"/>
      <c r="M770" s="18"/>
      <c r="N770" s="18"/>
      <c r="O770" s="1316"/>
      <c r="P770" s="18"/>
      <c r="Q770" s="18"/>
      <c r="R770" s="18"/>
      <c r="S770" s="18"/>
      <c r="T770" s="18"/>
      <c r="U770" s="18"/>
      <c r="V770" s="18"/>
      <c r="W770" s="18"/>
      <c r="X770" s="18"/>
      <c r="Y770" s="18"/>
      <c r="Z770" s="18"/>
      <c r="AA770" s="18"/>
      <c r="AB770" s="18"/>
      <c r="AC770" s="18"/>
      <c r="AD770" s="18"/>
      <c r="AE770" s="18"/>
      <c r="AF770" s="18"/>
      <c r="AG770" s="18"/>
    </row>
    <row r="771" spans="1:33" x14ac:dyDescent="0.2">
      <c r="A771" s="18"/>
      <c r="B771" s="18"/>
      <c r="C771" s="18"/>
      <c r="D771" s="18"/>
      <c r="E771" s="18"/>
      <c r="F771" s="18"/>
      <c r="G771" s="18"/>
      <c r="H771" s="18"/>
      <c r="I771" s="18"/>
      <c r="J771" s="18"/>
      <c r="K771" s="18"/>
      <c r="L771" s="18"/>
      <c r="M771" s="18"/>
      <c r="N771" s="18"/>
      <c r="O771" s="1316"/>
      <c r="P771" s="18"/>
      <c r="Q771" s="18"/>
      <c r="R771" s="18"/>
      <c r="S771" s="18"/>
      <c r="T771" s="18"/>
      <c r="U771" s="18"/>
      <c r="V771" s="18"/>
      <c r="W771" s="18"/>
      <c r="X771" s="18"/>
      <c r="Y771" s="18"/>
      <c r="Z771" s="18"/>
      <c r="AA771" s="18"/>
      <c r="AB771" s="18"/>
      <c r="AC771" s="18"/>
      <c r="AD771" s="18"/>
      <c r="AE771" s="18"/>
      <c r="AF771" s="18"/>
      <c r="AG771" s="18"/>
    </row>
    <row r="772" spans="1:33" x14ac:dyDescent="0.2">
      <c r="A772" s="18"/>
      <c r="B772" s="18"/>
      <c r="C772" s="18"/>
      <c r="D772" s="18"/>
      <c r="E772" s="18"/>
      <c r="F772" s="18"/>
      <c r="G772" s="18"/>
      <c r="H772" s="18"/>
      <c r="I772" s="18"/>
      <c r="J772" s="18"/>
      <c r="K772" s="18"/>
      <c r="L772" s="18"/>
      <c r="M772" s="18"/>
      <c r="N772" s="18"/>
      <c r="O772" s="1316"/>
      <c r="P772" s="18"/>
      <c r="Q772" s="18"/>
      <c r="R772" s="18"/>
      <c r="S772" s="18"/>
      <c r="T772" s="18"/>
      <c r="U772" s="18"/>
      <c r="V772" s="18"/>
      <c r="W772" s="18"/>
      <c r="X772" s="18"/>
      <c r="Y772" s="18"/>
      <c r="Z772" s="18"/>
      <c r="AA772" s="18"/>
      <c r="AB772" s="18"/>
      <c r="AC772" s="18"/>
      <c r="AD772" s="18"/>
      <c r="AE772" s="18"/>
      <c r="AF772" s="18"/>
      <c r="AG772" s="18"/>
    </row>
    <row r="773" spans="1:33" x14ac:dyDescent="0.2">
      <c r="A773" s="18"/>
      <c r="B773" s="18"/>
      <c r="C773" s="18"/>
      <c r="D773" s="18"/>
      <c r="E773" s="18"/>
      <c r="F773" s="18"/>
      <c r="G773" s="18"/>
      <c r="H773" s="18"/>
      <c r="I773" s="18"/>
      <c r="J773" s="18"/>
      <c r="K773" s="18"/>
      <c r="L773" s="18"/>
      <c r="M773" s="18"/>
      <c r="N773" s="18"/>
      <c r="O773" s="1316"/>
      <c r="P773" s="18"/>
      <c r="Q773" s="18"/>
      <c r="R773" s="18"/>
      <c r="S773" s="18"/>
      <c r="T773" s="18"/>
      <c r="U773" s="18"/>
      <c r="V773" s="18"/>
      <c r="W773" s="18"/>
      <c r="X773" s="18"/>
      <c r="Y773" s="18"/>
      <c r="Z773" s="18"/>
      <c r="AA773" s="18"/>
      <c r="AB773" s="18"/>
      <c r="AC773" s="18"/>
      <c r="AD773" s="18"/>
      <c r="AE773" s="18"/>
      <c r="AF773" s="18"/>
      <c r="AG773" s="18"/>
    </row>
    <row r="774" spans="1:33" x14ac:dyDescent="0.2">
      <c r="A774" s="18"/>
      <c r="B774" s="18"/>
      <c r="C774" s="18"/>
      <c r="D774" s="18"/>
      <c r="E774" s="18"/>
      <c r="F774" s="18"/>
      <c r="G774" s="18"/>
      <c r="H774" s="18"/>
      <c r="I774" s="18"/>
      <c r="J774" s="18"/>
      <c r="K774" s="18"/>
      <c r="L774" s="18"/>
      <c r="M774" s="18"/>
      <c r="N774" s="18"/>
      <c r="O774" s="1316"/>
      <c r="P774" s="18"/>
      <c r="Q774" s="18"/>
      <c r="R774" s="18"/>
      <c r="S774" s="18"/>
      <c r="T774" s="18"/>
      <c r="U774" s="18"/>
      <c r="V774" s="18"/>
      <c r="W774" s="18"/>
      <c r="X774" s="18"/>
      <c r="Y774" s="18"/>
      <c r="Z774" s="18"/>
      <c r="AA774" s="18"/>
      <c r="AB774" s="18"/>
      <c r="AC774" s="18"/>
      <c r="AD774" s="18"/>
      <c r="AE774" s="18"/>
      <c r="AF774" s="18"/>
      <c r="AG774" s="18"/>
    </row>
    <row r="775" spans="1:33" x14ac:dyDescent="0.2">
      <c r="A775" s="18"/>
      <c r="B775" s="18"/>
      <c r="C775" s="18"/>
      <c r="D775" s="18"/>
      <c r="E775" s="18"/>
      <c r="F775" s="18"/>
      <c r="G775" s="18"/>
      <c r="H775" s="18"/>
      <c r="I775" s="18"/>
      <c r="J775" s="18"/>
      <c r="K775" s="18"/>
      <c r="L775" s="18"/>
      <c r="M775" s="18"/>
      <c r="N775" s="18"/>
      <c r="O775" s="1316"/>
      <c r="P775" s="18"/>
      <c r="Q775" s="18"/>
      <c r="R775" s="18"/>
      <c r="S775" s="18"/>
      <c r="T775" s="18"/>
      <c r="U775" s="18"/>
      <c r="V775" s="18"/>
      <c r="W775" s="18"/>
      <c r="X775" s="18"/>
      <c r="Y775" s="18"/>
      <c r="Z775" s="18"/>
      <c r="AA775" s="18"/>
      <c r="AB775" s="18"/>
      <c r="AC775" s="18"/>
      <c r="AD775" s="18"/>
      <c r="AE775" s="18"/>
      <c r="AF775" s="18"/>
      <c r="AG775" s="18"/>
    </row>
    <row r="776" spans="1:33" x14ac:dyDescent="0.2">
      <c r="A776" s="18"/>
      <c r="B776" s="18"/>
      <c r="C776" s="18"/>
      <c r="D776" s="18"/>
      <c r="E776" s="18"/>
      <c r="F776" s="18"/>
      <c r="G776" s="18"/>
      <c r="H776" s="18"/>
      <c r="I776" s="18"/>
      <c r="J776" s="18"/>
      <c r="K776" s="18"/>
      <c r="L776" s="18"/>
      <c r="M776" s="18"/>
      <c r="N776" s="18"/>
      <c r="O776" s="1316"/>
      <c r="P776" s="18"/>
      <c r="Q776" s="18"/>
      <c r="R776" s="18"/>
      <c r="S776" s="18"/>
      <c r="T776" s="18"/>
      <c r="U776" s="18"/>
      <c r="V776" s="18"/>
      <c r="W776" s="18"/>
      <c r="X776" s="18"/>
      <c r="Y776" s="18"/>
      <c r="Z776" s="18"/>
      <c r="AA776" s="18"/>
      <c r="AB776" s="18"/>
      <c r="AC776" s="18"/>
      <c r="AD776" s="18"/>
      <c r="AE776" s="18"/>
      <c r="AF776" s="18"/>
      <c r="AG776" s="18"/>
    </row>
    <row r="777" spans="1:33" x14ac:dyDescent="0.2">
      <c r="A777" s="18"/>
      <c r="B777" s="18"/>
      <c r="C777" s="18"/>
      <c r="D777" s="18"/>
      <c r="E777" s="18"/>
      <c r="F777" s="18"/>
      <c r="G777" s="18"/>
      <c r="H777" s="18"/>
      <c r="I777" s="18"/>
      <c r="J777" s="18"/>
      <c r="K777" s="18"/>
      <c r="L777" s="18"/>
      <c r="M777" s="18"/>
      <c r="N777" s="18"/>
      <c r="O777" s="1316"/>
      <c r="P777" s="18"/>
      <c r="Q777" s="18"/>
      <c r="R777" s="18"/>
      <c r="S777" s="18"/>
      <c r="T777" s="18"/>
      <c r="U777" s="18"/>
      <c r="V777" s="18"/>
      <c r="W777" s="18"/>
      <c r="X777" s="18"/>
      <c r="Y777" s="18"/>
      <c r="Z777" s="18"/>
      <c r="AA777" s="18"/>
      <c r="AB777" s="18"/>
      <c r="AC777" s="18"/>
      <c r="AD777" s="18"/>
      <c r="AE777" s="18"/>
      <c r="AF777" s="18"/>
      <c r="AG777" s="18"/>
    </row>
    <row r="778" spans="1:33" x14ac:dyDescent="0.2">
      <c r="A778" s="18"/>
      <c r="B778" s="18"/>
      <c r="C778" s="18"/>
      <c r="D778" s="18"/>
      <c r="E778" s="18"/>
      <c r="F778" s="18"/>
      <c r="G778" s="18"/>
      <c r="H778" s="18"/>
      <c r="I778" s="18"/>
      <c r="J778" s="18"/>
      <c r="K778" s="18"/>
      <c r="L778" s="18"/>
      <c r="M778" s="18"/>
      <c r="N778" s="18"/>
      <c r="O778" s="1316"/>
      <c r="P778" s="18"/>
      <c r="Q778" s="18"/>
      <c r="R778" s="18"/>
      <c r="S778" s="18"/>
      <c r="T778" s="18"/>
      <c r="U778" s="18"/>
      <c r="V778" s="18"/>
      <c r="W778" s="18"/>
      <c r="X778" s="18"/>
      <c r="Y778" s="18"/>
      <c r="Z778" s="18"/>
      <c r="AA778" s="18"/>
      <c r="AB778" s="18"/>
      <c r="AC778" s="18"/>
      <c r="AD778" s="18"/>
      <c r="AE778" s="18"/>
      <c r="AF778" s="18"/>
      <c r="AG778" s="18"/>
    </row>
    <row r="779" spans="1:33" x14ac:dyDescent="0.2">
      <c r="A779" s="18"/>
      <c r="B779" s="18"/>
      <c r="C779" s="18"/>
      <c r="D779" s="18"/>
      <c r="E779" s="18"/>
      <c r="F779" s="18"/>
      <c r="G779" s="18"/>
      <c r="H779" s="18"/>
      <c r="I779" s="18"/>
      <c r="J779" s="18"/>
      <c r="K779" s="18"/>
      <c r="L779" s="18"/>
      <c r="M779" s="18"/>
      <c r="N779" s="18"/>
      <c r="O779" s="1316"/>
      <c r="P779" s="18"/>
      <c r="Q779" s="18"/>
      <c r="R779" s="18"/>
      <c r="S779" s="18"/>
      <c r="T779" s="18"/>
      <c r="U779" s="18"/>
      <c r="V779" s="18"/>
      <c r="W779" s="18"/>
      <c r="X779" s="18"/>
      <c r="Y779" s="18"/>
      <c r="Z779" s="18"/>
      <c r="AA779" s="18"/>
      <c r="AB779" s="18"/>
      <c r="AC779" s="18"/>
      <c r="AD779" s="18"/>
      <c r="AE779" s="18"/>
      <c r="AF779" s="18"/>
      <c r="AG779" s="18"/>
    </row>
    <row r="780" spans="1:33" x14ac:dyDescent="0.2">
      <c r="A780" s="18"/>
      <c r="B780" s="18"/>
      <c r="C780" s="18"/>
      <c r="D780" s="18"/>
      <c r="E780" s="18"/>
      <c r="F780" s="18"/>
      <c r="G780" s="18"/>
      <c r="H780" s="18"/>
      <c r="I780" s="18"/>
      <c r="J780" s="18"/>
      <c r="K780" s="18"/>
      <c r="L780" s="18"/>
      <c r="M780" s="18"/>
      <c r="N780" s="18"/>
      <c r="O780" s="1316"/>
      <c r="P780" s="18"/>
      <c r="Q780" s="18"/>
      <c r="R780" s="18"/>
      <c r="S780" s="18"/>
      <c r="T780" s="18"/>
      <c r="U780" s="18"/>
      <c r="V780" s="18"/>
      <c r="W780" s="18"/>
      <c r="X780" s="18"/>
      <c r="Y780" s="18"/>
      <c r="Z780" s="18"/>
      <c r="AA780" s="18"/>
      <c r="AB780" s="18"/>
      <c r="AC780" s="18"/>
      <c r="AD780" s="18"/>
      <c r="AE780" s="18"/>
      <c r="AF780" s="18"/>
      <c r="AG780" s="18"/>
    </row>
    <row r="781" spans="1:33" x14ac:dyDescent="0.2">
      <c r="A781" s="18"/>
      <c r="B781" s="18"/>
      <c r="C781" s="18"/>
      <c r="D781" s="18"/>
      <c r="E781" s="18"/>
      <c r="F781" s="18"/>
      <c r="G781" s="18"/>
      <c r="H781" s="18"/>
      <c r="I781" s="18"/>
      <c r="J781" s="18"/>
      <c r="K781" s="18"/>
      <c r="L781" s="18"/>
      <c r="M781" s="18"/>
      <c r="N781" s="18"/>
      <c r="O781" s="1316"/>
      <c r="P781" s="18"/>
      <c r="Q781" s="18"/>
      <c r="R781" s="18"/>
      <c r="S781" s="18"/>
      <c r="T781" s="18"/>
      <c r="U781" s="18"/>
      <c r="V781" s="18"/>
      <c r="W781" s="18"/>
      <c r="X781" s="18"/>
      <c r="Y781" s="18"/>
      <c r="Z781" s="18"/>
      <c r="AA781" s="18"/>
      <c r="AB781" s="18"/>
      <c r="AC781" s="18"/>
      <c r="AD781" s="18"/>
      <c r="AE781" s="18"/>
      <c r="AF781" s="18"/>
      <c r="AG781" s="18"/>
    </row>
    <row r="782" spans="1:33" x14ac:dyDescent="0.2">
      <c r="A782" s="18"/>
      <c r="B782" s="18"/>
      <c r="C782" s="18"/>
      <c r="D782" s="18"/>
      <c r="E782" s="18"/>
      <c r="F782" s="18"/>
      <c r="G782" s="18"/>
      <c r="H782" s="18"/>
      <c r="I782" s="18"/>
      <c r="J782" s="18"/>
      <c r="K782" s="18"/>
      <c r="L782" s="18"/>
      <c r="M782" s="18"/>
      <c r="N782" s="18"/>
      <c r="O782" s="1316"/>
      <c r="P782" s="18"/>
      <c r="Q782" s="18"/>
      <c r="R782" s="18"/>
      <c r="S782" s="18"/>
      <c r="T782" s="18"/>
      <c r="U782" s="18"/>
      <c r="V782" s="18"/>
      <c r="W782" s="18"/>
      <c r="X782" s="18"/>
      <c r="Y782" s="18"/>
      <c r="Z782" s="18"/>
      <c r="AA782" s="18"/>
      <c r="AB782" s="18"/>
      <c r="AC782" s="18"/>
      <c r="AD782" s="18"/>
      <c r="AE782" s="18"/>
      <c r="AF782" s="18"/>
      <c r="AG782" s="18"/>
    </row>
    <row r="783" spans="1:33" x14ac:dyDescent="0.2">
      <c r="A783" s="18"/>
      <c r="B783" s="18"/>
      <c r="C783" s="18"/>
      <c r="D783" s="18"/>
      <c r="E783" s="18"/>
      <c r="F783" s="18"/>
      <c r="G783" s="18"/>
      <c r="H783" s="18"/>
      <c r="I783" s="18"/>
      <c r="J783" s="18"/>
      <c r="K783" s="18"/>
      <c r="L783" s="18"/>
      <c r="M783" s="18"/>
      <c r="N783" s="18"/>
      <c r="O783" s="1316"/>
      <c r="P783" s="18"/>
      <c r="Q783" s="18"/>
      <c r="R783" s="18"/>
      <c r="S783" s="18"/>
      <c r="T783" s="18"/>
      <c r="U783" s="18"/>
      <c r="V783" s="18"/>
      <c r="W783" s="18"/>
      <c r="X783" s="18"/>
      <c r="Y783" s="18"/>
      <c r="Z783" s="18"/>
      <c r="AA783" s="18"/>
      <c r="AB783" s="18"/>
      <c r="AC783" s="18"/>
      <c r="AD783" s="18"/>
      <c r="AE783" s="18"/>
      <c r="AF783" s="18"/>
      <c r="AG783" s="18"/>
    </row>
    <row r="784" spans="1:33" x14ac:dyDescent="0.2">
      <c r="A784" s="18"/>
      <c r="B784" s="18"/>
      <c r="C784" s="18"/>
      <c r="D784" s="18"/>
      <c r="E784" s="18"/>
      <c r="F784" s="18"/>
      <c r="G784" s="18"/>
      <c r="H784" s="18"/>
      <c r="I784" s="18"/>
      <c r="J784" s="18"/>
      <c r="K784" s="18"/>
      <c r="L784" s="18"/>
      <c r="M784" s="18"/>
      <c r="N784" s="18"/>
      <c r="O784" s="1316"/>
      <c r="P784" s="18"/>
      <c r="Q784" s="18"/>
      <c r="R784" s="18"/>
      <c r="S784" s="18"/>
      <c r="T784" s="18"/>
      <c r="U784" s="18"/>
      <c r="V784" s="18"/>
      <c r="W784" s="18"/>
      <c r="X784" s="18"/>
      <c r="Y784" s="18"/>
      <c r="Z784" s="18"/>
      <c r="AA784" s="18"/>
      <c r="AB784" s="18"/>
      <c r="AC784" s="18"/>
      <c r="AD784" s="18"/>
      <c r="AE784" s="18"/>
      <c r="AF784" s="18"/>
      <c r="AG784" s="18"/>
    </row>
    <row r="785" spans="1:33" x14ac:dyDescent="0.2">
      <c r="A785" s="18"/>
      <c r="B785" s="18"/>
      <c r="C785" s="18"/>
      <c r="D785" s="18"/>
      <c r="E785" s="18"/>
      <c r="F785" s="18"/>
      <c r="G785" s="18"/>
      <c r="H785" s="18"/>
      <c r="I785" s="18"/>
      <c r="J785" s="18"/>
      <c r="K785" s="18"/>
      <c r="L785" s="18"/>
      <c r="M785" s="18"/>
      <c r="N785" s="18"/>
      <c r="O785" s="1316"/>
      <c r="P785" s="18"/>
      <c r="Q785" s="18"/>
      <c r="R785" s="18"/>
      <c r="S785" s="18"/>
      <c r="T785" s="18"/>
      <c r="U785" s="18"/>
      <c r="V785" s="18"/>
      <c r="W785" s="18"/>
      <c r="X785" s="18"/>
      <c r="Y785" s="18"/>
      <c r="Z785" s="18"/>
      <c r="AA785" s="18"/>
      <c r="AB785" s="18"/>
      <c r="AC785" s="18"/>
      <c r="AD785" s="18"/>
      <c r="AE785" s="18"/>
      <c r="AF785" s="18"/>
      <c r="AG785" s="18"/>
    </row>
    <row r="786" spans="1:33" x14ac:dyDescent="0.2">
      <c r="A786" s="18"/>
      <c r="B786" s="18"/>
      <c r="C786" s="18"/>
      <c r="D786" s="18"/>
      <c r="E786" s="18"/>
      <c r="F786" s="18"/>
      <c r="G786" s="18"/>
      <c r="H786" s="18"/>
      <c r="I786" s="18"/>
      <c r="J786" s="18"/>
      <c r="K786" s="18"/>
      <c r="L786" s="18"/>
      <c r="M786" s="18"/>
      <c r="N786" s="18"/>
      <c r="O786" s="1316"/>
      <c r="P786" s="18"/>
      <c r="Q786" s="18"/>
      <c r="R786" s="18"/>
      <c r="S786" s="18"/>
      <c r="T786" s="18"/>
      <c r="U786" s="18"/>
      <c r="V786" s="18"/>
      <c r="W786" s="18"/>
      <c r="X786" s="18"/>
      <c r="Y786" s="18"/>
      <c r="Z786" s="18"/>
      <c r="AA786" s="18"/>
      <c r="AB786" s="18"/>
      <c r="AC786" s="18"/>
      <c r="AD786" s="18"/>
      <c r="AE786" s="18"/>
      <c r="AF786" s="18"/>
      <c r="AG786" s="18"/>
    </row>
    <row r="787" spans="1:33" x14ac:dyDescent="0.2">
      <c r="A787" s="18"/>
      <c r="B787" s="18"/>
      <c r="C787" s="18"/>
      <c r="D787" s="18"/>
      <c r="E787" s="18"/>
      <c r="F787" s="18"/>
      <c r="G787" s="18"/>
      <c r="H787" s="18"/>
      <c r="I787" s="18"/>
      <c r="J787" s="18"/>
      <c r="K787" s="18"/>
      <c r="L787" s="18"/>
      <c r="M787" s="18"/>
      <c r="N787" s="18"/>
      <c r="O787" s="1316"/>
      <c r="P787" s="18"/>
      <c r="Q787" s="18"/>
      <c r="R787" s="18"/>
      <c r="S787" s="18"/>
      <c r="T787" s="18"/>
      <c r="U787" s="18"/>
      <c r="V787" s="18"/>
      <c r="W787" s="18"/>
      <c r="X787" s="18"/>
      <c r="Y787" s="18"/>
      <c r="Z787" s="18"/>
      <c r="AA787" s="18"/>
      <c r="AB787" s="18"/>
      <c r="AC787" s="18"/>
      <c r="AD787" s="18"/>
      <c r="AE787" s="18"/>
      <c r="AF787" s="18"/>
      <c r="AG787" s="18"/>
    </row>
    <row r="788" spans="1:33" x14ac:dyDescent="0.2">
      <c r="A788" s="18"/>
      <c r="B788" s="18"/>
      <c r="C788" s="18"/>
      <c r="D788" s="18"/>
      <c r="E788" s="18"/>
      <c r="F788" s="18"/>
      <c r="G788" s="18"/>
      <c r="H788" s="18"/>
      <c r="I788" s="18"/>
      <c r="J788" s="18"/>
      <c r="K788" s="18"/>
      <c r="L788" s="18"/>
      <c r="M788" s="18"/>
      <c r="N788" s="18"/>
      <c r="O788" s="1316"/>
      <c r="P788" s="18"/>
      <c r="Q788" s="18"/>
      <c r="R788" s="18"/>
      <c r="S788" s="18"/>
      <c r="T788" s="18"/>
      <c r="U788" s="18"/>
      <c r="V788" s="18"/>
      <c r="W788" s="18"/>
      <c r="X788" s="18"/>
      <c r="Y788" s="18"/>
      <c r="Z788" s="18"/>
      <c r="AA788" s="18"/>
      <c r="AB788" s="18"/>
      <c r="AC788" s="18"/>
      <c r="AD788" s="18"/>
      <c r="AE788" s="18"/>
      <c r="AF788" s="18"/>
      <c r="AG788" s="18"/>
    </row>
    <row r="789" spans="1:33" x14ac:dyDescent="0.2">
      <c r="A789" s="18"/>
      <c r="B789" s="18"/>
      <c r="C789" s="18"/>
      <c r="D789" s="18"/>
      <c r="E789" s="18"/>
      <c r="F789" s="18"/>
      <c r="G789" s="18"/>
      <c r="H789" s="18"/>
      <c r="I789" s="18"/>
      <c r="J789" s="18"/>
      <c r="K789" s="18"/>
      <c r="L789" s="18"/>
      <c r="M789" s="18"/>
      <c r="N789" s="18"/>
      <c r="O789" s="1316"/>
      <c r="P789" s="18"/>
      <c r="Q789" s="18"/>
      <c r="R789" s="18"/>
      <c r="S789" s="18"/>
      <c r="T789" s="18"/>
      <c r="U789" s="18"/>
      <c r="V789" s="18"/>
      <c r="W789" s="18"/>
      <c r="X789" s="18"/>
      <c r="Y789" s="18"/>
      <c r="Z789" s="18"/>
      <c r="AA789" s="18"/>
      <c r="AB789" s="18"/>
      <c r="AC789" s="18"/>
      <c r="AD789" s="18"/>
      <c r="AE789" s="18"/>
      <c r="AF789" s="18"/>
      <c r="AG789" s="18"/>
    </row>
    <row r="790" spans="1:33" x14ac:dyDescent="0.2">
      <c r="A790" s="18"/>
      <c r="B790" s="18"/>
      <c r="C790" s="18"/>
      <c r="D790" s="18"/>
      <c r="E790" s="18"/>
      <c r="F790" s="18"/>
      <c r="G790" s="18"/>
      <c r="H790" s="18"/>
      <c r="I790" s="18"/>
      <c r="J790" s="18"/>
      <c r="K790" s="18"/>
      <c r="L790" s="18"/>
      <c r="M790" s="18"/>
      <c r="N790" s="18"/>
      <c r="O790" s="1316"/>
      <c r="P790" s="18"/>
      <c r="Q790" s="18"/>
      <c r="R790" s="18"/>
      <c r="S790" s="18"/>
      <c r="T790" s="18"/>
      <c r="U790" s="18"/>
      <c r="V790" s="18"/>
      <c r="W790" s="18"/>
      <c r="X790" s="18"/>
      <c r="Y790" s="18"/>
      <c r="Z790" s="18"/>
      <c r="AA790" s="18"/>
      <c r="AB790" s="18"/>
      <c r="AC790" s="18"/>
      <c r="AD790" s="18"/>
      <c r="AE790" s="18"/>
      <c r="AF790" s="18"/>
      <c r="AG790" s="18"/>
    </row>
    <row r="791" spans="1:33" x14ac:dyDescent="0.2">
      <c r="A791" s="18"/>
      <c r="B791" s="18"/>
      <c r="C791" s="18"/>
      <c r="D791" s="18"/>
      <c r="E791" s="18"/>
      <c r="F791" s="18"/>
      <c r="G791" s="18"/>
      <c r="H791" s="18"/>
      <c r="I791" s="18"/>
      <c r="J791" s="18"/>
      <c r="K791" s="18"/>
      <c r="L791" s="18"/>
      <c r="M791" s="18"/>
      <c r="N791" s="18"/>
      <c r="O791" s="1316"/>
      <c r="P791" s="18"/>
      <c r="Q791" s="18"/>
      <c r="R791" s="18"/>
      <c r="S791" s="18"/>
      <c r="T791" s="18"/>
      <c r="U791" s="18"/>
      <c r="V791" s="18"/>
      <c r="W791" s="18"/>
      <c r="X791" s="18"/>
      <c r="Y791" s="18"/>
      <c r="Z791" s="18"/>
      <c r="AA791" s="18"/>
      <c r="AB791" s="18"/>
      <c r="AC791" s="18"/>
      <c r="AD791" s="18"/>
      <c r="AE791" s="18"/>
      <c r="AF791" s="18"/>
      <c r="AG791" s="18"/>
    </row>
    <row r="792" spans="1:33" x14ac:dyDescent="0.2">
      <c r="A792" s="18"/>
      <c r="B792" s="18"/>
      <c r="C792" s="18"/>
      <c r="D792" s="18"/>
      <c r="E792" s="18"/>
      <c r="F792" s="18"/>
      <c r="G792" s="18"/>
      <c r="H792" s="18"/>
      <c r="I792" s="18"/>
      <c r="J792" s="18"/>
      <c r="K792" s="18"/>
      <c r="L792" s="18"/>
      <c r="M792" s="18"/>
      <c r="N792" s="18"/>
      <c r="O792" s="1316"/>
      <c r="P792" s="18"/>
      <c r="Q792" s="18"/>
      <c r="R792" s="18"/>
      <c r="S792" s="18"/>
      <c r="T792" s="18"/>
      <c r="U792" s="18"/>
      <c r="V792" s="18"/>
      <c r="W792" s="18"/>
      <c r="X792" s="18"/>
      <c r="Y792" s="18"/>
      <c r="Z792" s="18"/>
      <c r="AA792" s="18"/>
      <c r="AB792" s="18"/>
      <c r="AC792" s="18"/>
      <c r="AD792" s="18"/>
      <c r="AE792" s="18"/>
      <c r="AF792" s="18"/>
      <c r="AG792" s="18"/>
    </row>
    <row r="793" spans="1:33" x14ac:dyDescent="0.2">
      <c r="A793" s="18"/>
      <c r="B793" s="18"/>
      <c r="C793" s="18"/>
      <c r="D793" s="18"/>
      <c r="E793" s="18"/>
      <c r="F793" s="18"/>
      <c r="G793" s="18"/>
      <c r="H793" s="18"/>
      <c r="I793" s="18"/>
      <c r="J793" s="18"/>
      <c r="K793" s="18"/>
      <c r="L793" s="18"/>
      <c r="M793" s="18"/>
      <c r="N793" s="18"/>
      <c r="O793" s="1316"/>
      <c r="P793" s="18"/>
      <c r="Q793" s="18"/>
      <c r="R793" s="18"/>
      <c r="S793" s="18"/>
      <c r="T793" s="18"/>
      <c r="U793" s="18"/>
      <c r="V793" s="18"/>
      <c r="W793" s="18"/>
      <c r="X793" s="18"/>
      <c r="Y793" s="18"/>
      <c r="Z793" s="18"/>
      <c r="AA793" s="18"/>
      <c r="AB793" s="18"/>
      <c r="AC793" s="18"/>
      <c r="AD793" s="18"/>
      <c r="AE793" s="18"/>
      <c r="AF793" s="18"/>
      <c r="AG793" s="18"/>
    </row>
    <row r="794" spans="1:33" x14ac:dyDescent="0.2">
      <c r="A794" s="18"/>
      <c r="B794" s="18"/>
      <c r="C794" s="18"/>
      <c r="D794" s="18"/>
      <c r="E794" s="18"/>
      <c r="F794" s="18"/>
      <c r="G794" s="18"/>
      <c r="H794" s="18"/>
      <c r="I794" s="18"/>
      <c r="J794" s="18"/>
      <c r="K794" s="18"/>
      <c r="L794" s="18"/>
      <c r="M794" s="18"/>
      <c r="N794" s="18"/>
      <c r="O794" s="1316"/>
      <c r="P794" s="18"/>
      <c r="Q794" s="18"/>
      <c r="R794" s="18"/>
      <c r="S794" s="18"/>
      <c r="T794" s="18"/>
      <c r="U794" s="18"/>
      <c r="V794" s="18"/>
      <c r="W794" s="18"/>
      <c r="X794" s="18"/>
      <c r="Y794" s="18"/>
      <c r="Z794" s="18"/>
      <c r="AA794" s="18"/>
      <c r="AB794" s="18"/>
      <c r="AC794" s="18"/>
      <c r="AD794" s="18"/>
      <c r="AE794" s="18"/>
      <c r="AF794" s="18"/>
      <c r="AG794" s="18"/>
    </row>
    <row r="795" spans="1:33" x14ac:dyDescent="0.2">
      <c r="A795" s="18"/>
      <c r="B795" s="18"/>
      <c r="C795" s="18"/>
      <c r="D795" s="18"/>
      <c r="E795" s="18"/>
      <c r="F795" s="18"/>
      <c r="G795" s="18"/>
      <c r="H795" s="18"/>
      <c r="I795" s="18"/>
      <c r="J795" s="18"/>
      <c r="K795" s="18"/>
      <c r="L795" s="18"/>
      <c r="M795" s="18"/>
      <c r="N795" s="18"/>
      <c r="O795" s="1316"/>
      <c r="P795" s="18"/>
      <c r="Q795" s="18"/>
      <c r="R795" s="18"/>
      <c r="S795" s="18"/>
      <c r="T795" s="18"/>
      <c r="U795" s="18"/>
      <c r="V795" s="18"/>
      <c r="W795" s="18"/>
      <c r="X795" s="18"/>
      <c r="Y795" s="18"/>
      <c r="Z795" s="18"/>
      <c r="AA795" s="18"/>
      <c r="AB795" s="18"/>
      <c r="AC795" s="18"/>
      <c r="AD795" s="18"/>
      <c r="AE795" s="18"/>
      <c r="AF795" s="18"/>
      <c r="AG795" s="18"/>
    </row>
    <row r="796" spans="1:33" x14ac:dyDescent="0.2">
      <c r="A796" s="18"/>
      <c r="B796" s="18"/>
      <c r="C796" s="18"/>
      <c r="D796" s="18"/>
      <c r="E796" s="18"/>
      <c r="F796" s="18"/>
      <c r="G796" s="18"/>
      <c r="H796" s="18"/>
      <c r="I796" s="18"/>
      <c r="J796" s="18"/>
      <c r="K796" s="18"/>
      <c r="L796" s="18"/>
      <c r="M796" s="18"/>
      <c r="N796" s="18"/>
      <c r="O796" s="1316"/>
      <c r="P796" s="18"/>
      <c r="Q796" s="18"/>
      <c r="R796" s="18"/>
      <c r="S796" s="18"/>
      <c r="T796" s="18"/>
      <c r="U796" s="18"/>
      <c r="V796" s="18"/>
      <c r="W796" s="18"/>
      <c r="X796" s="18"/>
      <c r="Y796" s="18"/>
      <c r="Z796" s="18"/>
      <c r="AA796" s="18"/>
      <c r="AB796" s="18"/>
      <c r="AC796" s="18"/>
      <c r="AD796" s="18"/>
      <c r="AE796" s="18"/>
      <c r="AF796" s="18"/>
      <c r="AG796" s="18"/>
    </row>
    <row r="797" spans="1:33" x14ac:dyDescent="0.2">
      <c r="A797" s="18"/>
      <c r="B797" s="18"/>
      <c r="C797" s="18"/>
      <c r="D797" s="18"/>
      <c r="E797" s="18"/>
      <c r="F797" s="18"/>
      <c r="G797" s="18"/>
      <c r="H797" s="18"/>
      <c r="I797" s="18"/>
      <c r="J797" s="18"/>
      <c r="K797" s="18"/>
      <c r="L797" s="18"/>
      <c r="M797" s="18"/>
      <c r="N797" s="18"/>
      <c r="O797" s="1316"/>
      <c r="P797" s="18"/>
      <c r="Q797" s="18"/>
      <c r="R797" s="18"/>
      <c r="S797" s="18"/>
      <c r="T797" s="18"/>
      <c r="U797" s="18"/>
      <c r="V797" s="18"/>
      <c r="W797" s="18"/>
      <c r="X797" s="18"/>
      <c r="Y797" s="18"/>
      <c r="Z797" s="18"/>
      <c r="AA797" s="18"/>
      <c r="AB797" s="18"/>
      <c r="AC797" s="18"/>
      <c r="AD797" s="18"/>
      <c r="AE797" s="18"/>
      <c r="AF797" s="18"/>
      <c r="AG797" s="18"/>
    </row>
    <row r="798" spans="1:33" x14ac:dyDescent="0.2">
      <c r="A798" s="18"/>
      <c r="B798" s="18"/>
      <c r="C798" s="18"/>
      <c r="D798" s="18"/>
      <c r="E798" s="18"/>
      <c r="F798" s="18"/>
      <c r="G798" s="18"/>
      <c r="H798" s="18"/>
      <c r="I798" s="18"/>
      <c r="J798" s="18"/>
      <c r="K798" s="18"/>
      <c r="L798" s="18"/>
      <c r="M798" s="18"/>
      <c r="N798" s="18"/>
      <c r="O798" s="1316"/>
      <c r="P798" s="18"/>
      <c r="Q798" s="18"/>
      <c r="R798" s="18"/>
      <c r="S798" s="18"/>
      <c r="T798" s="18"/>
      <c r="U798" s="18"/>
      <c r="V798" s="18"/>
      <c r="W798" s="18"/>
      <c r="X798" s="18"/>
      <c r="Y798" s="18"/>
      <c r="Z798" s="18"/>
      <c r="AA798" s="18"/>
      <c r="AB798" s="18"/>
      <c r="AC798" s="18"/>
      <c r="AD798" s="18"/>
      <c r="AE798" s="18"/>
      <c r="AF798" s="18"/>
      <c r="AG798" s="18"/>
    </row>
    <row r="799" spans="1:33" x14ac:dyDescent="0.2">
      <c r="A799" s="18"/>
      <c r="B799" s="18"/>
      <c r="C799" s="18"/>
      <c r="D799" s="18"/>
      <c r="E799" s="18"/>
      <c r="F799" s="18"/>
      <c r="G799" s="18"/>
      <c r="H799" s="18"/>
      <c r="I799" s="18"/>
      <c r="J799" s="18"/>
      <c r="K799" s="18"/>
      <c r="L799" s="18"/>
      <c r="M799" s="18"/>
      <c r="N799" s="18"/>
      <c r="O799" s="1316"/>
      <c r="P799" s="18"/>
      <c r="Q799" s="18"/>
      <c r="R799" s="18"/>
      <c r="S799" s="18"/>
      <c r="T799" s="18"/>
      <c r="U799" s="18"/>
      <c r="V799" s="18"/>
      <c r="W799" s="18"/>
      <c r="X799" s="18"/>
      <c r="Y799" s="18"/>
      <c r="Z799" s="18"/>
      <c r="AA799" s="18"/>
      <c r="AB799" s="18"/>
      <c r="AC799" s="18"/>
      <c r="AD799" s="18"/>
      <c r="AE799" s="18"/>
      <c r="AF799" s="18"/>
      <c r="AG799" s="18"/>
    </row>
    <row r="800" spans="1:33" x14ac:dyDescent="0.2">
      <c r="A800" s="18"/>
      <c r="B800" s="18"/>
      <c r="C800" s="18"/>
      <c r="D800" s="18"/>
      <c r="E800" s="18"/>
      <c r="F800" s="18"/>
      <c r="G800" s="18"/>
      <c r="H800" s="18"/>
      <c r="I800" s="18"/>
      <c r="J800" s="18"/>
      <c r="K800" s="18"/>
      <c r="L800" s="18"/>
      <c r="M800" s="18"/>
      <c r="N800" s="18"/>
      <c r="O800" s="1316"/>
      <c r="P800" s="18"/>
      <c r="Q800" s="18"/>
      <c r="R800" s="18"/>
      <c r="S800" s="18"/>
      <c r="T800" s="18"/>
      <c r="U800" s="18"/>
      <c r="V800" s="18"/>
      <c r="W800" s="18"/>
      <c r="X800" s="18"/>
      <c r="Y800" s="18"/>
      <c r="Z800" s="18"/>
      <c r="AA800" s="18"/>
      <c r="AB800" s="18"/>
      <c r="AC800" s="18"/>
      <c r="AD800" s="18"/>
      <c r="AE800" s="18"/>
      <c r="AF800" s="18"/>
      <c r="AG800" s="18"/>
    </row>
    <row r="801" spans="1:33" x14ac:dyDescent="0.2">
      <c r="A801" s="18"/>
      <c r="B801" s="18"/>
      <c r="C801" s="18"/>
      <c r="D801" s="18"/>
      <c r="E801" s="18"/>
      <c r="F801" s="18"/>
      <c r="G801" s="18"/>
      <c r="H801" s="18"/>
      <c r="I801" s="18"/>
      <c r="J801" s="18"/>
      <c r="K801" s="18"/>
      <c r="L801" s="18"/>
      <c r="M801" s="18"/>
      <c r="N801" s="18"/>
      <c r="O801" s="1316"/>
      <c r="P801" s="18"/>
      <c r="Q801" s="18"/>
      <c r="R801" s="18"/>
      <c r="S801" s="18"/>
      <c r="T801" s="18"/>
      <c r="U801" s="18"/>
      <c r="V801" s="18"/>
      <c r="W801" s="18"/>
      <c r="X801" s="18"/>
      <c r="Y801" s="18"/>
      <c r="Z801" s="18"/>
      <c r="AA801" s="18"/>
      <c r="AB801" s="18"/>
      <c r="AC801" s="18"/>
      <c r="AD801" s="18"/>
      <c r="AE801" s="18"/>
      <c r="AF801" s="18"/>
      <c r="AG801" s="18"/>
    </row>
    <row r="802" spans="1:33" x14ac:dyDescent="0.2">
      <c r="A802" s="18"/>
      <c r="B802" s="18"/>
      <c r="C802" s="18"/>
      <c r="D802" s="18"/>
      <c r="E802" s="18"/>
      <c r="F802" s="18"/>
      <c r="G802" s="18"/>
      <c r="H802" s="18"/>
      <c r="I802" s="18"/>
      <c r="J802" s="18"/>
      <c r="K802" s="18"/>
      <c r="L802" s="18"/>
      <c r="M802" s="18"/>
      <c r="N802" s="18"/>
      <c r="O802" s="1316"/>
      <c r="P802" s="18"/>
      <c r="Q802" s="18"/>
      <c r="R802" s="18"/>
      <c r="S802" s="18"/>
      <c r="T802" s="18"/>
      <c r="U802" s="18"/>
      <c r="V802" s="18"/>
      <c r="W802" s="18"/>
      <c r="X802" s="18"/>
      <c r="Y802" s="18"/>
      <c r="Z802" s="18"/>
      <c r="AA802" s="18"/>
      <c r="AB802" s="18"/>
      <c r="AC802" s="18"/>
      <c r="AD802" s="18"/>
      <c r="AE802" s="18"/>
      <c r="AF802" s="18"/>
      <c r="AG802" s="18"/>
    </row>
    <row r="803" spans="1:33" x14ac:dyDescent="0.2">
      <c r="A803" s="18"/>
      <c r="B803" s="18"/>
      <c r="C803" s="18"/>
      <c r="D803" s="18"/>
      <c r="E803" s="18"/>
      <c r="F803" s="18"/>
      <c r="G803" s="18"/>
      <c r="H803" s="18"/>
      <c r="I803" s="18"/>
      <c r="J803" s="18"/>
      <c r="K803" s="18"/>
      <c r="L803" s="18"/>
      <c r="M803" s="18"/>
      <c r="N803" s="18"/>
      <c r="O803" s="1316"/>
      <c r="P803" s="18"/>
      <c r="Q803" s="18"/>
      <c r="R803" s="18"/>
      <c r="S803" s="18"/>
      <c r="T803" s="18"/>
      <c r="U803" s="18"/>
      <c r="V803" s="18"/>
      <c r="W803" s="18"/>
      <c r="X803" s="18"/>
      <c r="Y803" s="18"/>
      <c r="Z803" s="18"/>
      <c r="AA803" s="18"/>
      <c r="AB803" s="18"/>
      <c r="AC803" s="18"/>
      <c r="AD803" s="18"/>
      <c r="AE803" s="18"/>
      <c r="AF803" s="18"/>
      <c r="AG803" s="18"/>
    </row>
    <row r="804" spans="1:33" x14ac:dyDescent="0.2">
      <c r="A804" s="18"/>
      <c r="B804" s="18"/>
      <c r="C804" s="18"/>
      <c r="D804" s="18"/>
      <c r="E804" s="18"/>
      <c r="F804" s="18"/>
      <c r="G804" s="18"/>
      <c r="H804" s="18"/>
      <c r="I804" s="18"/>
      <c r="J804" s="18"/>
      <c r="K804" s="18"/>
      <c r="L804" s="18"/>
      <c r="M804" s="18"/>
      <c r="N804" s="18"/>
      <c r="O804" s="1316"/>
      <c r="P804" s="18"/>
      <c r="Q804" s="18"/>
      <c r="R804" s="18"/>
      <c r="S804" s="18"/>
      <c r="T804" s="18"/>
      <c r="U804" s="18"/>
      <c r="V804" s="18"/>
      <c r="W804" s="18"/>
      <c r="X804" s="18"/>
      <c r="Y804" s="18"/>
      <c r="Z804" s="18"/>
      <c r="AA804" s="18"/>
      <c r="AB804" s="18"/>
      <c r="AC804" s="18"/>
      <c r="AD804" s="18"/>
      <c r="AE804" s="18"/>
      <c r="AF804" s="18"/>
      <c r="AG804" s="18"/>
    </row>
    <row r="805" spans="1:33" x14ac:dyDescent="0.2">
      <c r="A805" s="18"/>
      <c r="B805" s="18"/>
      <c r="C805" s="18"/>
      <c r="D805" s="18"/>
      <c r="E805" s="18"/>
      <c r="F805" s="18"/>
      <c r="G805" s="18"/>
      <c r="H805" s="18"/>
      <c r="I805" s="18"/>
      <c r="J805" s="18"/>
      <c r="K805" s="18"/>
      <c r="L805" s="18"/>
      <c r="M805" s="18"/>
      <c r="N805" s="18"/>
      <c r="O805" s="1316"/>
      <c r="P805" s="18"/>
      <c r="Q805" s="18"/>
      <c r="R805" s="18"/>
      <c r="S805" s="18"/>
      <c r="T805" s="18"/>
      <c r="U805" s="18"/>
      <c r="V805" s="18"/>
      <c r="W805" s="18"/>
      <c r="X805" s="18"/>
      <c r="Y805" s="18"/>
      <c r="Z805" s="18"/>
      <c r="AA805" s="18"/>
      <c r="AB805" s="18"/>
      <c r="AC805" s="18"/>
      <c r="AD805" s="18"/>
      <c r="AE805" s="18"/>
      <c r="AF805" s="18"/>
      <c r="AG805" s="18"/>
    </row>
    <row r="806" spans="1:33" x14ac:dyDescent="0.2">
      <c r="A806" s="18"/>
      <c r="B806" s="18"/>
      <c r="C806" s="18"/>
      <c r="D806" s="18"/>
      <c r="E806" s="18"/>
      <c r="F806" s="18"/>
      <c r="G806" s="18"/>
      <c r="H806" s="18"/>
      <c r="I806" s="18"/>
      <c r="J806" s="18"/>
      <c r="K806" s="18"/>
      <c r="L806" s="18"/>
      <c r="M806" s="18"/>
      <c r="N806" s="18"/>
      <c r="O806" s="1316"/>
      <c r="P806" s="18"/>
      <c r="Q806" s="18"/>
      <c r="R806" s="18"/>
      <c r="S806" s="18"/>
      <c r="T806" s="18"/>
      <c r="U806" s="18"/>
      <c r="V806" s="18"/>
      <c r="W806" s="18"/>
      <c r="X806" s="18"/>
      <c r="Y806" s="18"/>
      <c r="Z806" s="18"/>
      <c r="AA806" s="18"/>
      <c r="AB806" s="18"/>
      <c r="AC806" s="18"/>
      <c r="AD806" s="18"/>
      <c r="AE806" s="18"/>
      <c r="AF806" s="18"/>
      <c r="AG806" s="18"/>
    </row>
    <row r="807" spans="1:33" x14ac:dyDescent="0.2">
      <c r="A807" s="18"/>
      <c r="B807" s="18"/>
      <c r="C807" s="18"/>
      <c r="D807" s="18"/>
      <c r="E807" s="18"/>
      <c r="F807" s="18"/>
      <c r="G807" s="18"/>
      <c r="H807" s="18"/>
      <c r="I807" s="18"/>
      <c r="J807" s="18"/>
      <c r="K807" s="18"/>
      <c r="L807" s="18"/>
      <c r="M807" s="18"/>
      <c r="N807" s="18"/>
      <c r="O807" s="1316"/>
      <c r="P807" s="18"/>
      <c r="Q807" s="18"/>
      <c r="R807" s="18"/>
      <c r="S807" s="18"/>
      <c r="T807" s="18"/>
      <c r="U807" s="18"/>
      <c r="V807" s="18"/>
      <c r="W807" s="18"/>
      <c r="X807" s="18"/>
      <c r="Y807" s="18"/>
      <c r="Z807" s="18"/>
      <c r="AA807" s="18"/>
      <c r="AB807" s="18"/>
      <c r="AC807" s="18"/>
      <c r="AD807" s="18"/>
      <c r="AE807" s="18"/>
      <c r="AF807" s="18"/>
      <c r="AG807" s="18"/>
    </row>
    <row r="808" spans="1:33" x14ac:dyDescent="0.2">
      <c r="A808" s="18"/>
      <c r="B808" s="18"/>
      <c r="C808" s="18"/>
      <c r="D808" s="18"/>
      <c r="E808" s="18"/>
      <c r="F808" s="18"/>
      <c r="G808" s="18"/>
      <c r="H808" s="18"/>
      <c r="I808" s="18"/>
      <c r="J808" s="18"/>
      <c r="K808" s="18"/>
      <c r="L808" s="18"/>
      <c r="M808" s="18"/>
      <c r="N808" s="18"/>
      <c r="O808" s="1316"/>
      <c r="P808" s="18"/>
      <c r="Q808" s="18"/>
      <c r="R808" s="18"/>
      <c r="S808" s="18"/>
      <c r="T808" s="18"/>
      <c r="U808" s="18"/>
      <c r="V808" s="18"/>
      <c r="W808" s="18"/>
      <c r="X808" s="18"/>
      <c r="Y808" s="18"/>
      <c r="Z808" s="18"/>
      <c r="AA808" s="18"/>
      <c r="AB808" s="18"/>
      <c r="AC808" s="18"/>
      <c r="AD808" s="18"/>
      <c r="AE808" s="18"/>
      <c r="AF808" s="18"/>
      <c r="AG808" s="18"/>
    </row>
    <row r="809" spans="1:33" x14ac:dyDescent="0.2">
      <c r="A809" s="18"/>
      <c r="B809" s="18"/>
      <c r="C809" s="18"/>
      <c r="D809" s="18"/>
      <c r="E809" s="18"/>
      <c r="F809" s="18"/>
      <c r="G809" s="18"/>
      <c r="H809" s="18"/>
      <c r="I809" s="18"/>
      <c r="J809" s="18"/>
      <c r="K809" s="18"/>
      <c r="L809" s="18"/>
      <c r="M809" s="18"/>
      <c r="N809" s="18"/>
      <c r="O809" s="1316"/>
      <c r="P809" s="18"/>
      <c r="Q809" s="18"/>
      <c r="R809" s="18"/>
      <c r="S809" s="18"/>
      <c r="T809" s="18"/>
      <c r="U809" s="18"/>
      <c r="V809" s="18"/>
      <c r="W809" s="18"/>
      <c r="X809" s="18"/>
      <c r="Y809" s="18"/>
      <c r="Z809" s="18"/>
      <c r="AA809" s="18"/>
      <c r="AB809" s="18"/>
      <c r="AC809" s="18"/>
      <c r="AD809" s="18"/>
      <c r="AE809" s="18"/>
      <c r="AF809" s="18"/>
      <c r="AG809" s="18"/>
    </row>
    <row r="810" spans="1:33" x14ac:dyDescent="0.2">
      <c r="A810" s="18"/>
      <c r="B810" s="18"/>
      <c r="C810" s="18"/>
      <c r="D810" s="18"/>
      <c r="E810" s="18"/>
      <c r="F810" s="18"/>
      <c r="G810" s="18"/>
      <c r="H810" s="18"/>
      <c r="I810" s="18"/>
      <c r="J810" s="18"/>
      <c r="K810" s="18"/>
      <c r="L810" s="18"/>
      <c r="M810" s="18"/>
      <c r="N810" s="18"/>
      <c r="O810" s="1316"/>
      <c r="P810" s="18"/>
      <c r="Q810" s="18"/>
      <c r="R810" s="18"/>
      <c r="S810" s="18"/>
      <c r="T810" s="18"/>
      <c r="U810" s="18"/>
      <c r="V810" s="18"/>
      <c r="W810" s="18"/>
      <c r="X810" s="18"/>
      <c r="Y810" s="18"/>
      <c r="Z810" s="18"/>
      <c r="AA810" s="18"/>
      <c r="AB810" s="18"/>
      <c r="AC810" s="18"/>
      <c r="AD810" s="18"/>
      <c r="AE810" s="18"/>
      <c r="AF810" s="18"/>
      <c r="AG810" s="18"/>
    </row>
    <row r="811" spans="1:33" x14ac:dyDescent="0.2">
      <c r="A811" s="18"/>
      <c r="B811" s="18"/>
      <c r="C811" s="18"/>
      <c r="D811" s="18"/>
      <c r="E811" s="18"/>
      <c r="F811" s="18"/>
      <c r="G811" s="18"/>
      <c r="H811" s="18"/>
      <c r="I811" s="18"/>
      <c r="J811" s="18"/>
      <c r="K811" s="18"/>
      <c r="L811" s="18"/>
      <c r="M811" s="18"/>
      <c r="N811" s="18"/>
      <c r="O811" s="1316"/>
      <c r="P811" s="18"/>
      <c r="Q811" s="18"/>
      <c r="R811" s="18"/>
      <c r="S811" s="18"/>
      <c r="T811" s="18"/>
      <c r="U811" s="18"/>
      <c r="V811" s="18"/>
      <c r="W811" s="18"/>
      <c r="X811" s="18"/>
      <c r="Y811" s="18"/>
      <c r="Z811" s="18"/>
      <c r="AA811" s="18"/>
      <c r="AB811" s="18"/>
      <c r="AC811" s="18"/>
      <c r="AD811" s="18"/>
      <c r="AE811" s="18"/>
      <c r="AF811" s="18"/>
      <c r="AG811" s="18"/>
    </row>
    <row r="812" spans="1:33" x14ac:dyDescent="0.2">
      <c r="A812" s="18"/>
      <c r="B812" s="18"/>
      <c r="C812" s="18"/>
      <c r="D812" s="18"/>
      <c r="E812" s="18"/>
      <c r="F812" s="18"/>
      <c r="G812" s="18"/>
      <c r="H812" s="18"/>
      <c r="I812" s="18"/>
      <c r="J812" s="18"/>
      <c r="K812" s="18"/>
      <c r="L812" s="18"/>
      <c r="M812" s="18"/>
      <c r="N812" s="18"/>
      <c r="O812" s="1316"/>
      <c r="P812" s="18"/>
      <c r="Q812" s="18"/>
      <c r="R812" s="18"/>
      <c r="S812" s="18"/>
      <c r="T812" s="18"/>
      <c r="U812" s="18"/>
      <c r="V812" s="18"/>
      <c r="W812" s="18"/>
      <c r="X812" s="18"/>
      <c r="Y812" s="18"/>
      <c r="Z812" s="18"/>
      <c r="AA812" s="18"/>
      <c r="AB812" s="18"/>
      <c r="AC812" s="18"/>
      <c r="AD812" s="18"/>
      <c r="AE812" s="18"/>
      <c r="AF812" s="18"/>
      <c r="AG812" s="18"/>
    </row>
    <row r="813" spans="1:33" x14ac:dyDescent="0.2">
      <c r="A813" s="18"/>
      <c r="B813" s="18"/>
      <c r="C813" s="18"/>
      <c r="D813" s="18"/>
      <c r="E813" s="18"/>
      <c r="F813" s="18"/>
      <c r="G813" s="18"/>
      <c r="H813" s="18"/>
      <c r="I813" s="18"/>
      <c r="J813" s="18"/>
      <c r="K813" s="18"/>
      <c r="L813" s="18"/>
      <c r="M813" s="18"/>
      <c r="N813" s="18"/>
      <c r="O813" s="1316"/>
      <c r="P813" s="18"/>
      <c r="Q813" s="18"/>
      <c r="R813" s="18"/>
      <c r="S813" s="18"/>
      <c r="T813" s="18"/>
      <c r="U813" s="18"/>
      <c r="V813" s="18"/>
      <c r="W813" s="18"/>
      <c r="X813" s="18"/>
      <c r="Y813" s="18"/>
      <c r="Z813" s="18"/>
      <c r="AA813" s="18"/>
      <c r="AB813" s="18"/>
      <c r="AC813" s="18"/>
      <c r="AD813" s="18"/>
      <c r="AE813" s="18"/>
      <c r="AF813" s="18"/>
      <c r="AG813" s="18"/>
    </row>
    <row r="814" spans="1:33" x14ac:dyDescent="0.2">
      <c r="A814" s="18"/>
      <c r="B814" s="18"/>
      <c r="C814" s="18"/>
      <c r="D814" s="18"/>
      <c r="E814" s="18"/>
      <c r="F814" s="18"/>
      <c r="G814" s="18"/>
      <c r="H814" s="18"/>
      <c r="I814" s="18"/>
      <c r="J814" s="18"/>
      <c r="K814" s="18"/>
      <c r="L814" s="18"/>
      <c r="M814" s="18"/>
      <c r="N814" s="18"/>
      <c r="O814" s="1316"/>
      <c r="P814" s="18"/>
      <c r="Q814" s="18"/>
      <c r="R814" s="18"/>
      <c r="S814" s="18"/>
      <c r="T814" s="18"/>
      <c r="U814" s="18"/>
      <c r="V814" s="18"/>
      <c r="W814" s="18"/>
      <c r="X814" s="18"/>
      <c r="Y814" s="18"/>
      <c r="Z814" s="18"/>
      <c r="AA814" s="18"/>
      <c r="AB814" s="18"/>
      <c r="AC814" s="18"/>
      <c r="AD814" s="18"/>
      <c r="AE814" s="18"/>
      <c r="AF814" s="18"/>
      <c r="AG814" s="18"/>
    </row>
    <row r="815" spans="1:33" x14ac:dyDescent="0.2">
      <c r="A815" s="18"/>
      <c r="B815" s="18"/>
      <c r="C815" s="18"/>
      <c r="D815" s="18"/>
      <c r="E815" s="18"/>
      <c r="F815" s="18"/>
      <c r="G815" s="18"/>
      <c r="H815" s="18"/>
      <c r="I815" s="18"/>
      <c r="J815" s="18"/>
      <c r="K815" s="18"/>
      <c r="L815" s="18"/>
      <c r="M815" s="18"/>
      <c r="N815" s="18"/>
      <c r="O815" s="1316"/>
      <c r="P815" s="18"/>
      <c r="Q815" s="18"/>
      <c r="R815" s="18"/>
      <c r="S815" s="18"/>
      <c r="T815" s="18"/>
      <c r="U815" s="18"/>
      <c r="V815" s="18"/>
      <c r="W815" s="18"/>
      <c r="X815" s="18"/>
      <c r="Y815" s="18"/>
      <c r="Z815" s="18"/>
      <c r="AA815" s="18"/>
      <c r="AB815" s="18"/>
      <c r="AC815" s="18"/>
      <c r="AD815" s="18"/>
      <c r="AE815" s="18"/>
      <c r="AF815" s="18"/>
      <c r="AG815" s="18"/>
    </row>
    <row r="816" spans="1:33" x14ac:dyDescent="0.2">
      <c r="A816" s="18"/>
      <c r="B816" s="18"/>
      <c r="C816" s="18"/>
      <c r="D816" s="18"/>
      <c r="E816" s="18"/>
      <c r="F816" s="18"/>
      <c r="G816" s="18"/>
      <c r="H816" s="18"/>
      <c r="I816" s="18"/>
      <c r="J816" s="18"/>
      <c r="K816" s="18"/>
      <c r="L816" s="18"/>
      <c r="M816" s="18"/>
      <c r="N816" s="18"/>
      <c r="O816" s="1316"/>
      <c r="P816" s="18"/>
      <c r="Q816" s="18"/>
      <c r="R816" s="18"/>
      <c r="S816" s="18"/>
      <c r="T816" s="18"/>
      <c r="U816" s="18"/>
      <c r="V816" s="18"/>
      <c r="W816" s="18"/>
      <c r="X816" s="18"/>
      <c r="Y816" s="18"/>
      <c r="Z816" s="18"/>
      <c r="AA816" s="18"/>
      <c r="AB816" s="18"/>
      <c r="AC816" s="18"/>
      <c r="AD816" s="18"/>
      <c r="AE816" s="18"/>
      <c r="AF816" s="18"/>
      <c r="AG816" s="18"/>
    </row>
    <row r="817" spans="1:33" x14ac:dyDescent="0.2">
      <c r="A817" s="18"/>
      <c r="B817" s="18"/>
      <c r="C817" s="18"/>
      <c r="D817" s="18"/>
      <c r="E817" s="18"/>
      <c r="F817" s="18"/>
      <c r="G817" s="18"/>
      <c r="H817" s="18"/>
      <c r="I817" s="18"/>
      <c r="J817" s="18"/>
      <c r="K817" s="18"/>
      <c r="L817" s="18"/>
      <c r="M817" s="18"/>
      <c r="N817" s="18"/>
      <c r="O817" s="1316"/>
      <c r="P817" s="18"/>
      <c r="Q817" s="18"/>
      <c r="R817" s="18"/>
      <c r="S817" s="18"/>
      <c r="T817" s="18"/>
      <c r="U817" s="18"/>
      <c r="V817" s="18"/>
      <c r="W817" s="18"/>
      <c r="X817" s="18"/>
      <c r="Y817" s="18"/>
      <c r="Z817" s="18"/>
      <c r="AA817" s="18"/>
      <c r="AB817" s="18"/>
      <c r="AC817" s="18"/>
      <c r="AD817" s="18"/>
      <c r="AE817" s="18"/>
      <c r="AF817" s="18"/>
      <c r="AG817" s="18"/>
    </row>
    <row r="818" spans="1:33" x14ac:dyDescent="0.2">
      <c r="A818" s="18"/>
      <c r="B818" s="18"/>
      <c r="C818" s="18"/>
      <c r="D818" s="18"/>
      <c r="E818" s="18"/>
      <c r="F818" s="18"/>
      <c r="G818" s="18"/>
      <c r="H818" s="18"/>
      <c r="I818" s="18"/>
      <c r="J818" s="18"/>
      <c r="K818" s="18"/>
      <c r="L818" s="18"/>
      <c r="M818" s="18"/>
      <c r="N818" s="18"/>
      <c r="O818" s="1316"/>
      <c r="P818" s="18"/>
      <c r="Q818" s="18"/>
      <c r="R818" s="18"/>
      <c r="S818" s="18"/>
      <c r="T818" s="18"/>
      <c r="U818" s="18"/>
      <c r="V818" s="18"/>
      <c r="W818" s="18"/>
      <c r="X818" s="18"/>
      <c r="Y818" s="18"/>
      <c r="Z818" s="18"/>
      <c r="AA818" s="18"/>
      <c r="AB818" s="18"/>
      <c r="AC818" s="18"/>
      <c r="AD818" s="18"/>
      <c r="AE818" s="18"/>
      <c r="AF818" s="18"/>
      <c r="AG818" s="18"/>
    </row>
    <row r="819" spans="1:33" x14ac:dyDescent="0.2">
      <c r="A819" s="18"/>
      <c r="B819" s="18"/>
      <c r="C819" s="18"/>
      <c r="D819" s="18"/>
      <c r="E819" s="18"/>
      <c r="F819" s="18"/>
      <c r="G819" s="18"/>
      <c r="H819" s="18"/>
      <c r="I819" s="18"/>
      <c r="J819" s="18"/>
      <c r="K819" s="18"/>
      <c r="L819" s="18"/>
      <c r="M819" s="18"/>
      <c r="N819" s="18"/>
      <c r="O819" s="1316"/>
      <c r="P819" s="18"/>
      <c r="Q819" s="18"/>
      <c r="R819" s="18"/>
      <c r="S819" s="18"/>
      <c r="T819" s="18"/>
      <c r="U819" s="18"/>
      <c r="V819" s="18"/>
      <c r="W819" s="18"/>
      <c r="X819" s="18"/>
      <c r="Y819" s="18"/>
      <c r="Z819" s="18"/>
      <c r="AA819" s="18"/>
      <c r="AB819" s="18"/>
      <c r="AC819" s="18"/>
      <c r="AD819" s="18"/>
      <c r="AE819" s="18"/>
      <c r="AF819" s="18"/>
      <c r="AG819" s="18"/>
    </row>
    <row r="820" spans="1:33" x14ac:dyDescent="0.2">
      <c r="A820" s="18"/>
      <c r="B820" s="18"/>
      <c r="C820" s="18"/>
      <c r="D820" s="18"/>
      <c r="E820" s="18"/>
      <c r="F820" s="18"/>
      <c r="G820" s="18"/>
      <c r="H820" s="18"/>
      <c r="I820" s="18"/>
      <c r="J820" s="18"/>
      <c r="K820" s="18"/>
      <c r="L820" s="18"/>
      <c r="M820" s="18"/>
      <c r="N820" s="18"/>
      <c r="O820" s="1316"/>
      <c r="P820" s="18"/>
      <c r="Q820" s="18"/>
      <c r="R820" s="18"/>
      <c r="S820" s="18"/>
      <c r="T820" s="18"/>
      <c r="U820" s="18"/>
      <c r="V820" s="18"/>
      <c r="W820" s="18"/>
      <c r="X820" s="18"/>
      <c r="Y820" s="18"/>
      <c r="Z820" s="18"/>
      <c r="AA820" s="18"/>
      <c r="AB820" s="18"/>
      <c r="AC820" s="18"/>
      <c r="AD820" s="18"/>
      <c r="AE820" s="18"/>
      <c r="AF820" s="18"/>
      <c r="AG820" s="18"/>
    </row>
    <row r="821" spans="1:33" x14ac:dyDescent="0.2">
      <c r="A821" s="18"/>
      <c r="B821" s="18"/>
      <c r="C821" s="18"/>
      <c r="D821" s="18"/>
      <c r="E821" s="18"/>
      <c r="F821" s="18"/>
      <c r="G821" s="18"/>
      <c r="H821" s="18"/>
      <c r="I821" s="18"/>
      <c r="J821" s="18"/>
      <c r="K821" s="18"/>
      <c r="L821" s="18"/>
      <c r="M821" s="18"/>
      <c r="N821" s="18"/>
      <c r="O821" s="1316"/>
      <c r="P821" s="18"/>
      <c r="Q821" s="18"/>
      <c r="R821" s="18"/>
      <c r="S821" s="18"/>
      <c r="T821" s="18"/>
      <c r="U821" s="18"/>
      <c r="V821" s="18"/>
      <c r="W821" s="18"/>
      <c r="X821" s="18"/>
      <c r="Y821" s="18"/>
      <c r="Z821" s="18"/>
      <c r="AA821" s="18"/>
      <c r="AB821" s="18"/>
      <c r="AC821" s="18"/>
      <c r="AD821" s="18"/>
      <c r="AE821" s="18"/>
      <c r="AF821" s="18"/>
      <c r="AG821" s="18"/>
    </row>
    <row r="822" spans="1:33" x14ac:dyDescent="0.2">
      <c r="A822" s="18"/>
      <c r="B822" s="18"/>
      <c r="C822" s="18"/>
      <c r="D822" s="18"/>
      <c r="E822" s="18"/>
      <c r="F822" s="18"/>
      <c r="G822" s="18"/>
      <c r="H822" s="18"/>
      <c r="I822" s="18"/>
      <c r="J822" s="18"/>
      <c r="K822" s="18"/>
      <c r="L822" s="18"/>
      <c r="M822" s="18"/>
      <c r="N822" s="18"/>
      <c r="O822" s="1316"/>
      <c r="P822" s="18"/>
      <c r="Q822" s="18"/>
      <c r="R822" s="18"/>
      <c r="S822" s="18"/>
      <c r="T822" s="18"/>
      <c r="U822" s="18"/>
      <c r="V822" s="18"/>
      <c r="W822" s="18"/>
      <c r="X822" s="18"/>
      <c r="Y822" s="18"/>
      <c r="Z822" s="18"/>
      <c r="AA822" s="18"/>
      <c r="AB822" s="18"/>
      <c r="AC822" s="18"/>
      <c r="AD822" s="18"/>
      <c r="AE822" s="18"/>
      <c r="AF822" s="18"/>
      <c r="AG822" s="18"/>
    </row>
    <row r="823" spans="1:33" x14ac:dyDescent="0.2">
      <c r="A823" s="18"/>
      <c r="B823" s="18"/>
      <c r="C823" s="18"/>
      <c r="D823" s="18"/>
      <c r="E823" s="18"/>
      <c r="F823" s="18"/>
      <c r="G823" s="18"/>
      <c r="H823" s="18"/>
      <c r="I823" s="18"/>
      <c r="J823" s="18"/>
      <c r="K823" s="18"/>
      <c r="L823" s="18"/>
      <c r="M823" s="18"/>
      <c r="N823" s="18"/>
      <c r="O823" s="1316"/>
      <c r="P823" s="18"/>
      <c r="Q823" s="18"/>
      <c r="R823" s="18"/>
      <c r="S823" s="18"/>
      <c r="T823" s="18"/>
      <c r="U823" s="18"/>
      <c r="V823" s="18"/>
      <c r="W823" s="18"/>
      <c r="X823" s="18"/>
      <c r="Y823" s="18"/>
      <c r="Z823" s="18"/>
      <c r="AA823" s="18"/>
      <c r="AB823" s="18"/>
      <c r="AC823" s="18"/>
      <c r="AD823" s="18"/>
      <c r="AE823" s="18"/>
      <c r="AF823" s="18"/>
      <c r="AG823" s="18"/>
    </row>
    <row r="824" spans="1:33" x14ac:dyDescent="0.2">
      <c r="A824" s="18"/>
      <c r="B824" s="18"/>
      <c r="C824" s="18"/>
      <c r="D824" s="18"/>
      <c r="E824" s="18"/>
      <c r="F824" s="18"/>
      <c r="G824" s="18"/>
      <c r="H824" s="18"/>
      <c r="I824" s="18"/>
      <c r="J824" s="18"/>
      <c r="K824" s="18"/>
      <c r="L824" s="18"/>
      <c r="M824" s="18"/>
      <c r="N824" s="18"/>
      <c r="O824" s="1316"/>
      <c r="P824" s="18"/>
      <c r="Q824" s="18"/>
      <c r="R824" s="18"/>
      <c r="S824" s="18"/>
      <c r="T824" s="18"/>
      <c r="U824" s="18"/>
      <c r="V824" s="18"/>
      <c r="W824" s="18"/>
      <c r="X824" s="18"/>
      <c r="Y824" s="18"/>
      <c r="Z824" s="18"/>
      <c r="AA824" s="18"/>
      <c r="AB824" s="18"/>
      <c r="AC824" s="18"/>
      <c r="AD824" s="18"/>
      <c r="AE824" s="18"/>
      <c r="AF824" s="18"/>
      <c r="AG824" s="18"/>
    </row>
    <row r="825" spans="1:33" x14ac:dyDescent="0.2">
      <c r="A825" s="18"/>
      <c r="B825" s="18"/>
      <c r="C825" s="18"/>
      <c r="D825" s="18"/>
      <c r="E825" s="18"/>
      <c r="F825" s="18"/>
      <c r="G825" s="18"/>
      <c r="H825" s="18"/>
      <c r="I825" s="18"/>
      <c r="J825" s="18"/>
      <c r="K825" s="18"/>
      <c r="L825" s="18"/>
      <c r="M825" s="18"/>
      <c r="N825" s="18"/>
      <c r="O825" s="1316"/>
      <c r="P825" s="18"/>
      <c r="Q825" s="18"/>
      <c r="R825" s="18"/>
      <c r="S825" s="18"/>
      <c r="T825" s="18"/>
      <c r="U825" s="18"/>
      <c r="V825" s="18"/>
      <c r="W825" s="18"/>
      <c r="X825" s="18"/>
      <c r="Y825" s="18"/>
      <c r="Z825" s="18"/>
      <c r="AA825" s="18"/>
      <c r="AB825" s="18"/>
      <c r="AC825" s="18"/>
      <c r="AD825" s="18"/>
      <c r="AE825" s="18"/>
      <c r="AF825" s="18"/>
      <c r="AG825" s="18"/>
    </row>
    <row r="826" spans="1:33" x14ac:dyDescent="0.2">
      <c r="A826" s="18"/>
      <c r="B826" s="18"/>
      <c r="C826" s="18"/>
      <c r="D826" s="18"/>
      <c r="E826" s="18"/>
      <c r="F826" s="18"/>
      <c r="G826" s="18"/>
      <c r="H826" s="18"/>
      <c r="I826" s="18"/>
      <c r="J826" s="18"/>
      <c r="K826" s="18"/>
      <c r="L826" s="18"/>
      <c r="M826" s="18"/>
      <c r="N826" s="18"/>
      <c r="O826" s="1316"/>
      <c r="P826" s="18"/>
      <c r="Q826" s="18"/>
      <c r="R826" s="18"/>
      <c r="S826" s="18"/>
      <c r="T826" s="18"/>
      <c r="U826" s="18"/>
      <c r="V826" s="18"/>
      <c r="W826" s="18"/>
      <c r="X826" s="18"/>
      <c r="Y826" s="18"/>
      <c r="Z826" s="18"/>
      <c r="AA826" s="18"/>
      <c r="AB826" s="18"/>
      <c r="AC826" s="18"/>
      <c r="AD826" s="18"/>
      <c r="AE826" s="18"/>
      <c r="AF826" s="18"/>
      <c r="AG826" s="18"/>
    </row>
    <row r="827" spans="1:33" x14ac:dyDescent="0.2">
      <c r="A827" s="18"/>
      <c r="B827" s="18"/>
      <c r="C827" s="18"/>
      <c r="D827" s="18"/>
      <c r="E827" s="18"/>
      <c r="F827" s="18"/>
      <c r="G827" s="18"/>
      <c r="H827" s="18"/>
      <c r="I827" s="18"/>
      <c r="J827" s="18"/>
      <c r="K827" s="18"/>
      <c r="L827" s="18"/>
      <c r="M827" s="18"/>
      <c r="N827" s="18"/>
      <c r="O827" s="1316"/>
      <c r="P827" s="18"/>
      <c r="Q827" s="18"/>
      <c r="R827" s="18"/>
      <c r="S827" s="18"/>
      <c r="T827" s="18"/>
      <c r="U827" s="18"/>
      <c r="V827" s="18"/>
      <c r="W827" s="18"/>
      <c r="X827" s="18"/>
      <c r="Y827" s="18"/>
      <c r="Z827" s="18"/>
      <c r="AA827" s="18"/>
      <c r="AB827" s="18"/>
      <c r="AC827" s="18"/>
      <c r="AD827" s="18"/>
      <c r="AE827" s="18"/>
      <c r="AF827" s="18"/>
      <c r="AG827" s="18"/>
    </row>
    <row r="828" spans="1:33" x14ac:dyDescent="0.2">
      <c r="A828" s="18"/>
      <c r="B828" s="18"/>
      <c r="C828" s="18"/>
      <c r="D828" s="18"/>
      <c r="E828" s="18"/>
      <c r="F828" s="18"/>
      <c r="G828" s="18"/>
      <c r="H828" s="18"/>
      <c r="I828" s="18"/>
      <c r="J828" s="18"/>
      <c r="K828" s="18"/>
      <c r="L828" s="18"/>
      <c r="M828" s="18"/>
      <c r="N828" s="18"/>
      <c r="O828" s="1316"/>
      <c r="P828" s="18"/>
      <c r="Q828" s="18"/>
      <c r="R828" s="18"/>
      <c r="S828" s="18"/>
      <c r="T828" s="18"/>
      <c r="U828" s="18"/>
      <c r="V828" s="18"/>
      <c r="W828" s="18"/>
      <c r="X828" s="18"/>
      <c r="Y828" s="18"/>
      <c r="Z828" s="18"/>
      <c r="AA828" s="18"/>
      <c r="AB828" s="18"/>
      <c r="AC828" s="18"/>
      <c r="AD828" s="18"/>
      <c r="AE828" s="18"/>
      <c r="AF828" s="18"/>
      <c r="AG828" s="18"/>
    </row>
    <row r="829" spans="1:33" x14ac:dyDescent="0.2">
      <c r="A829" s="18"/>
      <c r="B829" s="18"/>
      <c r="C829" s="18"/>
      <c r="D829" s="18"/>
      <c r="E829" s="18"/>
      <c r="F829" s="18"/>
      <c r="G829" s="18"/>
      <c r="H829" s="18"/>
      <c r="I829" s="18"/>
      <c r="J829" s="18"/>
      <c r="K829" s="18"/>
      <c r="L829" s="18"/>
      <c r="M829" s="18"/>
      <c r="N829" s="18"/>
      <c r="O829" s="1316"/>
      <c r="P829" s="18"/>
      <c r="Q829" s="18"/>
      <c r="R829" s="18"/>
      <c r="S829" s="18"/>
      <c r="T829" s="18"/>
      <c r="U829" s="18"/>
      <c r="V829" s="18"/>
      <c r="W829" s="18"/>
      <c r="X829" s="18"/>
      <c r="Y829" s="18"/>
      <c r="Z829" s="18"/>
      <c r="AA829" s="18"/>
      <c r="AB829" s="18"/>
      <c r="AC829" s="18"/>
      <c r="AD829" s="18"/>
      <c r="AE829" s="18"/>
      <c r="AF829" s="18"/>
      <c r="AG829" s="18"/>
    </row>
    <row r="830" spans="1:33" x14ac:dyDescent="0.2">
      <c r="A830" s="18"/>
      <c r="B830" s="18"/>
      <c r="C830" s="18"/>
      <c r="D830" s="18"/>
      <c r="E830" s="18"/>
      <c r="F830" s="18"/>
      <c r="G830" s="18"/>
      <c r="H830" s="18"/>
      <c r="I830" s="18"/>
      <c r="J830" s="18"/>
      <c r="K830" s="18"/>
      <c r="L830" s="18"/>
      <c r="M830" s="18"/>
      <c r="N830" s="18"/>
      <c r="O830" s="1316"/>
      <c r="P830" s="18"/>
      <c r="Q830" s="18"/>
      <c r="R830" s="18"/>
      <c r="S830" s="18"/>
      <c r="T830" s="18"/>
      <c r="U830" s="18"/>
      <c r="V830" s="18"/>
      <c r="W830" s="18"/>
      <c r="X830" s="18"/>
      <c r="Y830" s="18"/>
      <c r="Z830" s="18"/>
      <c r="AA830" s="18"/>
      <c r="AB830" s="18"/>
      <c r="AC830" s="18"/>
      <c r="AD830" s="18"/>
      <c r="AE830" s="18"/>
      <c r="AF830" s="18"/>
      <c r="AG830" s="18"/>
    </row>
    <row r="831" spans="1:33" x14ac:dyDescent="0.2">
      <c r="A831" s="18"/>
      <c r="B831" s="18"/>
      <c r="C831" s="18"/>
      <c r="D831" s="18"/>
      <c r="E831" s="18"/>
      <c r="F831" s="18"/>
      <c r="G831" s="18"/>
      <c r="H831" s="18"/>
      <c r="I831" s="18"/>
      <c r="J831" s="18"/>
      <c r="K831" s="18"/>
      <c r="L831" s="18"/>
      <c r="M831" s="18"/>
      <c r="N831" s="18"/>
      <c r="O831" s="1316"/>
      <c r="P831" s="18"/>
      <c r="Q831" s="18"/>
      <c r="R831" s="18"/>
      <c r="S831" s="18"/>
      <c r="T831" s="18"/>
      <c r="U831" s="18"/>
      <c r="V831" s="18"/>
      <c r="W831" s="18"/>
      <c r="X831" s="18"/>
      <c r="Y831" s="18"/>
      <c r="Z831" s="18"/>
      <c r="AA831" s="18"/>
      <c r="AB831" s="18"/>
      <c r="AC831" s="18"/>
      <c r="AD831" s="18"/>
      <c r="AE831" s="18"/>
      <c r="AF831" s="18"/>
      <c r="AG831" s="18"/>
    </row>
    <row r="832" spans="1:33" x14ac:dyDescent="0.2">
      <c r="A832" s="18"/>
      <c r="B832" s="18"/>
      <c r="C832" s="18"/>
      <c r="D832" s="18"/>
      <c r="E832" s="18"/>
      <c r="F832" s="18"/>
      <c r="G832" s="18"/>
      <c r="H832" s="18"/>
      <c r="I832" s="18"/>
      <c r="J832" s="18"/>
      <c r="K832" s="18"/>
      <c r="L832" s="18"/>
      <c r="M832" s="18"/>
      <c r="N832" s="18"/>
      <c r="O832" s="1316"/>
      <c r="P832" s="18"/>
      <c r="Q832" s="18"/>
      <c r="R832" s="18"/>
      <c r="S832" s="18"/>
      <c r="T832" s="18"/>
      <c r="U832" s="18"/>
      <c r="V832" s="18"/>
      <c r="W832" s="18"/>
      <c r="X832" s="18"/>
      <c r="Y832" s="18"/>
      <c r="Z832" s="18"/>
      <c r="AA832" s="18"/>
      <c r="AB832" s="18"/>
      <c r="AC832" s="18"/>
      <c r="AD832" s="18"/>
      <c r="AE832" s="18"/>
      <c r="AF832" s="18"/>
      <c r="AG832" s="18"/>
    </row>
    <row r="833" spans="1:33" x14ac:dyDescent="0.2">
      <c r="A833" s="18"/>
      <c r="B833" s="18"/>
      <c r="C833" s="18"/>
      <c r="D833" s="18"/>
      <c r="E833" s="18"/>
      <c r="F833" s="18"/>
      <c r="G833" s="18"/>
      <c r="H833" s="18"/>
      <c r="I833" s="18"/>
      <c r="J833" s="18"/>
      <c r="K833" s="18"/>
      <c r="L833" s="18"/>
      <c r="M833" s="18"/>
      <c r="N833" s="18"/>
      <c r="O833" s="1316"/>
      <c r="P833" s="18"/>
      <c r="Q833" s="18"/>
      <c r="R833" s="18"/>
      <c r="S833" s="18"/>
      <c r="T833" s="18"/>
      <c r="U833" s="18"/>
      <c r="V833" s="18"/>
      <c r="W833" s="18"/>
      <c r="X833" s="18"/>
      <c r="Y833" s="18"/>
      <c r="Z833" s="18"/>
      <c r="AA833" s="18"/>
      <c r="AB833" s="18"/>
      <c r="AC833" s="18"/>
      <c r="AD833" s="18"/>
      <c r="AE833" s="18"/>
      <c r="AF833" s="18"/>
      <c r="AG833" s="18"/>
    </row>
    <row r="834" spans="1:33" x14ac:dyDescent="0.2">
      <c r="A834" s="18"/>
      <c r="B834" s="18"/>
      <c r="C834" s="18"/>
      <c r="D834" s="18"/>
      <c r="E834" s="18"/>
      <c r="F834" s="18"/>
      <c r="G834" s="18"/>
      <c r="H834" s="18"/>
      <c r="I834" s="18"/>
      <c r="J834" s="18"/>
      <c r="K834" s="18"/>
      <c r="L834" s="18"/>
      <c r="M834" s="18"/>
      <c r="N834" s="18"/>
      <c r="O834" s="1316"/>
      <c r="P834" s="18"/>
      <c r="Q834" s="18"/>
      <c r="R834" s="18"/>
      <c r="S834" s="18"/>
      <c r="T834" s="18"/>
      <c r="U834" s="18"/>
      <c r="V834" s="18"/>
      <c r="W834" s="18"/>
      <c r="X834" s="18"/>
      <c r="Y834" s="18"/>
      <c r="Z834" s="18"/>
      <c r="AA834" s="18"/>
      <c r="AB834" s="18"/>
      <c r="AC834" s="18"/>
      <c r="AD834" s="18"/>
      <c r="AE834" s="18"/>
      <c r="AF834" s="18"/>
      <c r="AG834" s="18"/>
    </row>
    <row r="835" spans="1:33" x14ac:dyDescent="0.2">
      <c r="A835" s="18"/>
      <c r="B835" s="18"/>
      <c r="C835" s="18"/>
      <c r="D835" s="18"/>
      <c r="E835" s="18"/>
      <c r="F835" s="18"/>
      <c r="G835" s="18"/>
      <c r="H835" s="18"/>
      <c r="I835" s="18"/>
      <c r="J835" s="18"/>
      <c r="K835" s="18"/>
      <c r="L835" s="18"/>
      <c r="M835" s="18"/>
      <c r="N835" s="18"/>
      <c r="O835" s="1316"/>
      <c r="P835" s="18"/>
      <c r="Q835" s="18"/>
      <c r="R835" s="18"/>
      <c r="S835" s="18"/>
      <c r="T835" s="18"/>
      <c r="U835" s="18"/>
      <c r="V835" s="18"/>
      <c r="W835" s="18"/>
      <c r="X835" s="18"/>
      <c r="Y835" s="18"/>
      <c r="Z835" s="18"/>
      <c r="AA835" s="18"/>
      <c r="AB835" s="18"/>
      <c r="AC835" s="18"/>
      <c r="AD835" s="18"/>
      <c r="AE835" s="18"/>
      <c r="AF835" s="18"/>
      <c r="AG835" s="18"/>
    </row>
    <row r="836" spans="1:33" x14ac:dyDescent="0.2">
      <c r="A836" s="18"/>
      <c r="B836" s="18"/>
      <c r="C836" s="18"/>
      <c r="D836" s="18"/>
      <c r="E836" s="18"/>
      <c r="F836" s="18"/>
      <c r="G836" s="18"/>
      <c r="H836" s="18"/>
      <c r="I836" s="18"/>
      <c r="J836" s="18"/>
      <c r="K836" s="18"/>
      <c r="L836" s="18"/>
      <c r="M836" s="18"/>
      <c r="N836" s="18"/>
      <c r="O836" s="1316"/>
      <c r="P836" s="18"/>
      <c r="Q836" s="18"/>
      <c r="R836" s="18"/>
      <c r="S836" s="18"/>
      <c r="T836" s="18"/>
      <c r="U836" s="18"/>
      <c r="V836" s="18"/>
      <c r="W836" s="18"/>
      <c r="X836" s="18"/>
      <c r="Y836" s="18"/>
      <c r="Z836" s="18"/>
      <c r="AA836" s="18"/>
      <c r="AB836" s="18"/>
      <c r="AC836" s="18"/>
      <c r="AD836" s="18"/>
      <c r="AE836" s="18"/>
      <c r="AF836" s="18"/>
      <c r="AG836" s="18"/>
    </row>
    <row r="837" spans="1:33" x14ac:dyDescent="0.2">
      <c r="A837" s="18"/>
      <c r="B837" s="18"/>
      <c r="C837" s="18"/>
      <c r="D837" s="18"/>
      <c r="E837" s="18"/>
      <c r="F837" s="18"/>
      <c r="G837" s="18"/>
      <c r="H837" s="18"/>
      <c r="I837" s="18"/>
      <c r="J837" s="18"/>
      <c r="K837" s="18"/>
      <c r="L837" s="18"/>
      <c r="M837" s="18"/>
      <c r="N837" s="18"/>
      <c r="O837" s="1316"/>
      <c r="P837" s="18"/>
      <c r="Q837" s="18"/>
      <c r="R837" s="18"/>
      <c r="S837" s="18"/>
      <c r="T837" s="18"/>
      <c r="U837" s="18"/>
      <c r="V837" s="18"/>
      <c r="W837" s="18"/>
      <c r="X837" s="18"/>
      <c r="Y837" s="18"/>
      <c r="Z837" s="18"/>
      <c r="AA837" s="18"/>
      <c r="AB837" s="18"/>
      <c r="AC837" s="18"/>
      <c r="AD837" s="18"/>
      <c r="AE837" s="18"/>
      <c r="AF837" s="18"/>
      <c r="AG837" s="18"/>
    </row>
    <row r="838" spans="1:33" x14ac:dyDescent="0.2">
      <c r="A838" s="18"/>
      <c r="B838" s="18"/>
      <c r="C838" s="18"/>
      <c r="D838" s="18"/>
      <c r="E838" s="18"/>
      <c r="F838" s="18"/>
      <c r="G838" s="18"/>
      <c r="H838" s="18"/>
      <c r="I838" s="18"/>
      <c r="J838" s="18"/>
      <c r="K838" s="18"/>
      <c r="L838" s="18"/>
      <c r="M838" s="18"/>
      <c r="N838" s="18"/>
      <c r="O838" s="1316"/>
      <c r="P838" s="18"/>
      <c r="Q838" s="18"/>
      <c r="R838" s="18"/>
      <c r="S838" s="18"/>
      <c r="T838" s="18"/>
      <c r="U838" s="18"/>
      <c r="V838" s="18"/>
      <c r="W838" s="18"/>
      <c r="X838" s="18"/>
      <c r="Y838" s="18"/>
      <c r="Z838" s="18"/>
      <c r="AA838" s="18"/>
      <c r="AB838" s="18"/>
      <c r="AC838" s="18"/>
      <c r="AD838" s="18"/>
      <c r="AE838" s="18"/>
      <c r="AF838" s="18"/>
      <c r="AG838" s="18"/>
    </row>
    <row r="839" spans="1:33" x14ac:dyDescent="0.2">
      <c r="A839" s="18"/>
      <c r="B839" s="18"/>
      <c r="C839" s="18"/>
      <c r="D839" s="18"/>
      <c r="E839" s="18"/>
      <c r="F839" s="18"/>
      <c r="G839" s="18"/>
      <c r="H839" s="18"/>
      <c r="I839" s="18"/>
      <c r="J839" s="18"/>
      <c r="K839" s="18"/>
      <c r="L839" s="18"/>
      <c r="M839" s="18"/>
      <c r="N839" s="18"/>
      <c r="O839" s="1316"/>
      <c r="P839" s="18"/>
      <c r="Q839" s="18"/>
      <c r="R839" s="18"/>
      <c r="S839" s="18"/>
      <c r="T839" s="18"/>
      <c r="U839" s="18"/>
      <c r="V839" s="18"/>
      <c r="W839" s="18"/>
      <c r="X839" s="18"/>
      <c r="Y839" s="18"/>
      <c r="Z839" s="18"/>
      <c r="AA839" s="18"/>
      <c r="AB839" s="18"/>
      <c r="AC839" s="18"/>
      <c r="AD839" s="18"/>
      <c r="AE839" s="18"/>
      <c r="AF839" s="18"/>
      <c r="AG839" s="18"/>
    </row>
    <row r="840" spans="1:33" x14ac:dyDescent="0.2">
      <c r="A840" s="18"/>
      <c r="B840" s="18"/>
      <c r="C840" s="18"/>
      <c r="D840" s="18"/>
      <c r="E840" s="18"/>
      <c r="F840" s="18"/>
      <c r="G840" s="18"/>
      <c r="H840" s="18"/>
      <c r="I840" s="18"/>
      <c r="J840" s="18"/>
      <c r="K840" s="18"/>
      <c r="L840" s="18"/>
      <c r="M840" s="18"/>
      <c r="N840" s="18"/>
      <c r="O840" s="1316"/>
      <c r="P840" s="18"/>
      <c r="Q840" s="18"/>
      <c r="R840" s="18"/>
      <c r="S840" s="18"/>
      <c r="T840" s="18"/>
      <c r="U840" s="18"/>
      <c r="V840" s="18"/>
      <c r="W840" s="18"/>
      <c r="X840" s="18"/>
      <c r="Y840" s="18"/>
      <c r="Z840" s="18"/>
      <c r="AA840" s="18"/>
      <c r="AB840" s="18"/>
      <c r="AC840" s="18"/>
      <c r="AD840" s="18"/>
      <c r="AE840" s="18"/>
      <c r="AF840" s="18"/>
      <c r="AG840" s="18"/>
    </row>
    <row r="841" spans="1:33" x14ac:dyDescent="0.2">
      <c r="A841" s="18"/>
      <c r="B841" s="18"/>
      <c r="C841" s="18"/>
      <c r="D841" s="18"/>
      <c r="E841" s="18"/>
      <c r="F841" s="18"/>
      <c r="G841" s="18"/>
      <c r="H841" s="18"/>
      <c r="I841" s="18"/>
      <c r="J841" s="18"/>
      <c r="K841" s="18"/>
      <c r="L841" s="18"/>
      <c r="M841" s="18"/>
      <c r="N841" s="18"/>
      <c r="O841" s="1316"/>
      <c r="P841" s="18"/>
      <c r="Q841" s="18"/>
      <c r="R841" s="18"/>
      <c r="S841" s="18"/>
      <c r="T841" s="18"/>
      <c r="U841" s="18"/>
      <c r="V841" s="18"/>
      <c r="W841" s="18"/>
      <c r="X841" s="18"/>
      <c r="Y841" s="18"/>
      <c r="Z841" s="18"/>
      <c r="AA841" s="18"/>
      <c r="AB841" s="18"/>
      <c r="AC841" s="18"/>
      <c r="AD841" s="18"/>
      <c r="AE841" s="18"/>
      <c r="AF841" s="18"/>
      <c r="AG841" s="18"/>
    </row>
    <row r="842" spans="1:33" x14ac:dyDescent="0.2">
      <c r="A842" s="18"/>
      <c r="B842" s="18"/>
      <c r="C842" s="18"/>
      <c r="D842" s="18"/>
      <c r="E842" s="18"/>
      <c r="F842" s="18"/>
      <c r="G842" s="18"/>
      <c r="H842" s="18"/>
      <c r="I842" s="18"/>
      <c r="J842" s="18"/>
      <c r="K842" s="18"/>
      <c r="L842" s="18"/>
      <c r="M842" s="18"/>
      <c r="N842" s="18"/>
      <c r="O842" s="1316"/>
      <c r="P842" s="18"/>
      <c r="Q842" s="18"/>
      <c r="R842" s="18"/>
      <c r="S842" s="18"/>
      <c r="T842" s="18"/>
      <c r="U842" s="18"/>
      <c r="V842" s="18"/>
      <c r="W842" s="18"/>
      <c r="X842" s="18"/>
      <c r="Y842" s="18"/>
      <c r="Z842" s="18"/>
      <c r="AA842" s="18"/>
      <c r="AB842" s="18"/>
      <c r="AC842" s="18"/>
      <c r="AD842" s="18"/>
      <c r="AE842" s="18"/>
      <c r="AF842" s="18"/>
      <c r="AG842" s="18"/>
    </row>
    <row r="843" spans="1:33" x14ac:dyDescent="0.2">
      <c r="A843" s="18"/>
      <c r="B843" s="18"/>
      <c r="C843" s="18"/>
      <c r="D843" s="18"/>
      <c r="E843" s="18"/>
      <c r="F843" s="18"/>
      <c r="G843" s="18"/>
      <c r="H843" s="18"/>
      <c r="I843" s="18"/>
      <c r="J843" s="18"/>
      <c r="K843" s="18"/>
      <c r="L843" s="18"/>
      <c r="M843" s="18"/>
      <c r="N843" s="18"/>
      <c r="O843" s="1316"/>
      <c r="P843" s="18"/>
      <c r="Q843" s="18"/>
      <c r="R843" s="18"/>
      <c r="S843" s="18"/>
      <c r="T843" s="18"/>
      <c r="U843" s="18"/>
      <c r="V843" s="18"/>
      <c r="W843" s="18"/>
      <c r="X843" s="18"/>
      <c r="Y843" s="18"/>
      <c r="Z843" s="18"/>
      <c r="AA843" s="18"/>
      <c r="AB843" s="18"/>
      <c r="AC843" s="18"/>
      <c r="AD843" s="18"/>
      <c r="AE843" s="18"/>
      <c r="AF843" s="18"/>
      <c r="AG843" s="18"/>
    </row>
    <row r="844" spans="1:33" x14ac:dyDescent="0.2">
      <c r="A844" s="18"/>
      <c r="B844" s="18"/>
      <c r="C844" s="18"/>
      <c r="D844" s="18"/>
      <c r="E844" s="18"/>
      <c r="F844" s="18"/>
      <c r="G844" s="18"/>
      <c r="H844" s="18"/>
      <c r="I844" s="18"/>
      <c r="J844" s="18"/>
      <c r="K844" s="18"/>
      <c r="L844" s="18"/>
      <c r="M844" s="18"/>
      <c r="N844" s="18"/>
      <c r="O844" s="1316"/>
      <c r="P844" s="18"/>
      <c r="Q844" s="18"/>
      <c r="R844" s="18"/>
      <c r="S844" s="18"/>
      <c r="T844" s="18"/>
      <c r="U844" s="18"/>
      <c r="V844" s="18"/>
      <c r="W844" s="18"/>
      <c r="X844" s="18"/>
      <c r="Y844" s="18"/>
      <c r="Z844" s="18"/>
      <c r="AA844" s="18"/>
      <c r="AB844" s="18"/>
      <c r="AC844" s="18"/>
      <c r="AD844" s="18"/>
      <c r="AE844" s="18"/>
      <c r="AF844" s="18"/>
      <c r="AG844" s="18"/>
    </row>
    <row r="845" spans="1:33" x14ac:dyDescent="0.2">
      <c r="A845" s="18"/>
      <c r="B845" s="18"/>
      <c r="C845" s="18"/>
      <c r="D845" s="18"/>
      <c r="E845" s="18"/>
      <c r="F845" s="18"/>
      <c r="G845" s="18"/>
      <c r="H845" s="18"/>
      <c r="I845" s="18"/>
      <c r="J845" s="18"/>
      <c r="K845" s="18"/>
      <c r="L845" s="18"/>
      <c r="M845" s="18"/>
      <c r="N845" s="18"/>
      <c r="O845" s="1316"/>
      <c r="P845" s="18"/>
      <c r="Q845" s="18"/>
      <c r="R845" s="18"/>
      <c r="S845" s="18"/>
      <c r="T845" s="18"/>
      <c r="U845" s="18"/>
      <c r="V845" s="18"/>
      <c r="W845" s="18"/>
      <c r="X845" s="18"/>
      <c r="Y845" s="18"/>
      <c r="Z845" s="18"/>
      <c r="AA845" s="18"/>
      <c r="AB845" s="18"/>
      <c r="AC845" s="18"/>
      <c r="AD845" s="18"/>
      <c r="AE845" s="18"/>
      <c r="AF845" s="18"/>
      <c r="AG845" s="18"/>
    </row>
    <row r="846" spans="1:33" x14ac:dyDescent="0.2">
      <c r="A846" s="18"/>
      <c r="B846" s="18"/>
      <c r="C846" s="18"/>
      <c r="D846" s="18"/>
      <c r="E846" s="18"/>
      <c r="F846" s="18"/>
      <c r="G846" s="18"/>
      <c r="H846" s="18"/>
      <c r="I846" s="18"/>
      <c r="J846" s="18"/>
      <c r="K846" s="18"/>
      <c r="L846" s="18"/>
      <c r="M846" s="18"/>
      <c r="N846" s="18"/>
      <c r="O846" s="1316"/>
      <c r="P846" s="18"/>
      <c r="Q846" s="18"/>
      <c r="R846" s="18"/>
      <c r="S846" s="18"/>
      <c r="T846" s="18"/>
      <c r="U846" s="18"/>
      <c r="V846" s="18"/>
      <c r="W846" s="18"/>
      <c r="X846" s="18"/>
      <c r="Y846" s="18"/>
      <c r="Z846" s="18"/>
      <c r="AA846" s="18"/>
      <c r="AB846" s="18"/>
      <c r="AC846" s="18"/>
      <c r="AD846" s="18"/>
      <c r="AE846" s="18"/>
      <c r="AF846" s="18"/>
      <c r="AG846" s="18"/>
    </row>
    <row r="847" spans="1:33" x14ac:dyDescent="0.2">
      <c r="A847" s="18"/>
      <c r="B847" s="18"/>
      <c r="C847" s="18"/>
      <c r="D847" s="18"/>
      <c r="E847" s="18"/>
      <c r="F847" s="18"/>
      <c r="G847" s="18"/>
      <c r="H847" s="18"/>
      <c r="I847" s="18"/>
      <c r="J847" s="18"/>
      <c r="K847" s="18"/>
      <c r="L847" s="18"/>
      <c r="M847" s="18"/>
      <c r="N847" s="18"/>
      <c r="O847" s="1316"/>
      <c r="P847" s="18"/>
      <c r="Q847" s="18"/>
      <c r="R847" s="18"/>
      <c r="S847" s="18"/>
      <c r="T847" s="18"/>
      <c r="U847" s="18"/>
      <c r="V847" s="18"/>
      <c r="W847" s="18"/>
      <c r="X847" s="18"/>
      <c r="Y847" s="18"/>
      <c r="Z847" s="18"/>
      <c r="AA847" s="18"/>
      <c r="AB847" s="18"/>
      <c r="AC847" s="18"/>
      <c r="AD847" s="18"/>
      <c r="AE847" s="18"/>
      <c r="AF847" s="18"/>
      <c r="AG847" s="18"/>
    </row>
    <row r="848" spans="1:33" x14ac:dyDescent="0.2">
      <c r="A848" s="18"/>
      <c r="B848" s="18"/>
      <c r="C848" s="18"/>
      <c r="D848" s="18"/>
      <c r="E848" s="18"/>
      <c r="F848" s="18"/>
      <c r="G848" s="18"/>
      <c r="H848" s="18"/>
      <c r="I848" s="18"/>
      <c r="J848" s="18"/>
      <c r="K848" s="18"/>
      <c r="L848" s="18"/>
      <c r="M848" s="18"/>
      <c r="N848" s="18"/>
      <c r="O848" s="1316"/>
      <c r="P848" s="18"/>
      <c r="Q848" s="18"/>
      <c r="R848" s="18"/>
      <c r="S848" s="18"/>
      <c r="T848" s="18"/>
      <c r="U848" s="18"/>
      <c r="V848" s="18"/>
      <c r="W848" s="18"/>
      <c r="X848" s="18"/>
      <c r="Y848" s="18"/>
      <c r="Z848" s="18"/>
      <c r="AA848" s="18"/>
      <c r="AB848" s="18"/>
      <c r="AC848" s="18"/>
      <c r="AD848" s="18"/>
      <c r="AE848" s="18"/>
      <c r="AF848" s="18"/>
      <c r="AG848" s="18"/>
    </row>
    <row r="849" spans="1:33" x14ac:dyDescent="0.2">
      <c r="A849" s="18"/>
      <c r="B849" s="18"/>
      <c r="C849" s="18"/>
      <c r="D849" s="18"/>
      <c r="E849" s="18"/>
      <c r="F849" s="18"/>
      <c r="G849" s="18"/>
      <c r="H849" s="18"/>
      <c r="I849" s="18"/>
      <c r="J849" s="18"/>
      <c r="K849" s="18"/>
      <c r="L849" s="18"/>
      <c r="M849" s="18"/>
      <c r="N849" s="18"/>
      <c r="O849" s="1316"/>
      <c r="P849" s="18"/>
      <c r="Q849" s="18"/>
      <c r="R849" s="18"/>
      <c r="S849" s="18"/>
      <c r="T849" s="18"/>
      <c r="U849" s="18"/>
      <c r="V849" s="18"/>
      <c r="W849" s="18"/>
      <c r="X849" s="18"/>
      <c r="Y849" s="18"/>
      <c r="Z849" s="18"/>
      <c r="AA849" s="18"/>
      <c r="AB849" s="18"/>
      <c r="AC849" s="18"/>
      <c r="AD849" s="18"/>
      <c r="AE849" s="18"/>
      <c r="AF849" s="18"/>
      <c r="AG849" s="18"/>
    </row>
    <row r="850" spans="1:33" x14ac:dyDescent="0.2">
      <c r="A850" s="18"/>
      <c r="B850" s="18"/>
      <c r="C850" s="18"/>
      <c r="D850" s="18"/>
      <c r="E850" s="18"/>
      <c r="F850" s="18"/>
      <c r="G850" s="18"/>
      <c r="H850" s="18"/>
      <c r="I850" s="18"/>
      <c r="J850" s="18"/>
      <c r="K850" s="18"/>
      <c r="L850" s="18"/>
      <c r="M850" s="18"/>
      <c r="N850" s="18"/>
      <c r="O850" s="1316"/>
      <c r="P850" s="18"/>
      <c r="Q850" s="18"/>
      <c r="R850" s="18"/>
      <c r="S850" s="18"/>
      <c r="T850" s="18"/>
      <c r="U850" s="18"/>
      <c r="V850" s="18"/>
      <c r="W850" s="18"/>
      <c r="X850" s="18"/>
      <c r="Y850" s="18"/>
      <c r="Z850" s="18"/>
      <c r="AA850" s="18"/>
      <c r="AB850" s="18"/>
      <c r="AC850" s="18"/>
      <c r="AD850" s="18"/>
      <c r="AE850" s="18"/>
      <c r="AF850" s="18"/>
      <c r="AG850" s="18"/>
    </row>
    <row r="851" spans="1:33" x14ac:dyDescent="0.2">
      <c r="A851" s="18"/>
      <c r="B851" s="18"/>
      <c r="C851" s="18"/>
      <c r="D851" s="18"/>
      <c r="E851" s="18"/>
      <c r="F851" s="18"/>
      <c r="G851" s="18"/>
      <c r="H851" s="18"/>
      <c r="I851" s="18"/>
      <c r="J851" s="18"/>
      <c r="K851" s="18"/>
      <c r="L851" s="18"/>
      <c r="M851" s="18"/>
      <c r="N851" s="18"/>
      <c r="O851" s="1316"/>
      <c r="P851" s="18"/>
      <c r="Q851" s="18"/>
      <c r="R851" s="18"/>
      <c r="S851" s="18"/>
      <c r="T851" s="18"/>
      <c r="U851" s="18"/>
      <c r="V851" s="18"/>
      <c r="W851" s="18"/>
      <c r="X851" s="18"/>
      <c r="Y851" s="18"/>
      <c r="Z851" s="18"/>
      <c r="AA851" s="18"/>
      <c r="AB851" s="18"/>
      <c r="AC851" s="18"/>
      <c r="AD851" s="18"/>
      <c r="AE851" s="18"/>
      <c r="AF851" s="18"/>
      <c r="AG851" s="18"/>
    </row>
    <row r="852" spans="1:33" x14ac:dyDescent="0.2">
      <c r="A852" s="18"/>
      <c r="B852" s="18"/>
      <c r="C852" s="18"/>
      <c r="D852" s="18"/>
      <c r="E852" s="18"/>
      <c r="F852" s="18"/>
      <c r="G852" s="18"/>
      <c r="H852" s="18"/>
      <c r="I852" s="18"/>
      <c r="J852" s="18"/>
      <c r="K852" s="18"/>
      <c r="L852" s="18"/>
      <c r="M852" s="18"/>
      <c r="N852" s="18"/>
      <c r="O852" s="1316"/>
      <c r="P852" s="18"/>
      <c r="Q852" s="18"/>
      <c r="R852" s="18"/>
      <c r="S852" s="18"/>
      <c r="T852" s="18"/>
      <c r="U852" s="18"/>
      <c r="V852" s="18"/>
      <c r="W852" s="18"/>
      <c r="X852" s="18"/>
      <c r="Y852" s="18"/>
      <c r="Z852" s="18"/>
      <c r="AA852" s="18"/>
      <c r="AB852" s="18"/>
      <c r="AC852" s="18"/>
      <c r="AD852" s="18"/>
      <c r="AE852" s="18"/>
      <c r="AF852" s="18"/>
      <c r="AG852" s="18"/>
    </row>
    <row r="853" spans="1:33" x14ac:dyDescent="0.2">
      <c r="A853" s="18"/>
      <c r="B853" s="18"/>
      <c r="C853" s="18"/>
      <c r="D853" s="18"/>
      <c r="E853" s="18"/>
      <c r="F853" s="18"/>
      <c r="G853" s="18"/>
      <c r="H853" s="18"/>
      <c r="I853" s="18"/>
      <c r="J853" s="18"/>
      <c r="K853" s="18"/>
      <c r="L853" s="18"/>
      <c r="M853" s="18"/>
      <c r="N853" s="18"/>
      <c r="O853" s="1316"/>
      <c r="P853" s="18"/>
      <c r="Q853" s="18"/>
      <c r="R853" s="18"/>
      <c r="S853" s="18"/>
      <c r="T853" s="18"/>
      <c r="U853" s="18"/>
      <c r="V853" s="18"/>
      <c r="W853" s="18"/>
      <c r="X853" s="18"/>
      <c r="Y853" s="18"/>
      <c r="Z853" s="18"/>
      <c r="AA853" s="18"/>
      <c r="AB853" s="18"/>
      <c r="AC853" s="18"/>
      <c r="AD853" s="18"/>
      <c r="AE853" s="18"/>
      <c r="AF853" s="18"/>
      <c r="AG853" s="18"/>
    </row>
    <row r="854" spans="1:33" x14ac:dyDescent="0.2">
      <c r="A854" s="18"/>
      <c r="B854" s="18"/>
      <c r="C854" s="18"/>
      <c r="D854" s="18"/>
      <c r="E854" s="18"/>
      <c r="F854" s="18"/>
      <c r="G854" s="18"/>
      <c r="H854" s="18"/>
      <c r="I854" s="18"/>
      <c r="J854" s="18"/>
      <c r="K854" s="18"/>
      <c r="L854" s="18"/>
      <c r="M854" s="18"/>
      <c r="N854" s="18"/>
      <c r="O854" s="1316"/>
      <c r="P854" s="18"/>
      <c r="Q854" s="18"/>
      <c r="R854" s="18"/>
      <c r="S854" s="18"/>
      <c r="T854" s="18"/>
      <c r="U854" s="18"/>
      <c r="V854" s="18"/>
      <c r="W854" s="18"/>
      <c r="X854" s="18"/>
      <c r="Y854" s="18"/>
      <c r="Z854" s="18"/>
      <c r="AA854" s="18"/>
      <c r="AB854" s="18"/>
      <c r="AC854" s="18"/>
      <c r="AD854" s="18"/>
      <c r="AE854" s="18"/>
      <c r="AF854" s="18"/>
      <c r="AG854" s="18"/>
    </row>
    <row r="855" spans="1:33" x14ac:dyDescent="0.2">
      <c r="A855" s="18"/>
      <c r="B855" s="18"/>
      <c r="C855" s="18"/>
      <c r="D855" s="18"/>
      <c r="E855" s="18"/>
      <c r="F855" s="18"/>
      <c r="G855" s="18"/>
      <c r="H855" s="18"/>
      <c r="I855" s="18"/>
      <c r="J855" s="18"/>
      <c r="K855" s="18"/>
      <c r="L855" s="18"/>
      <c r="M855" s="18"/>
      <c r="N855" s="18"/>
      <c r="O855" s="1316"/>
      <c r="P855" s="18"/>
      <c r="Q855" s="18"/>
      <c r="R855" s="18"/>
      <c r="S855" s="18"/>
      <c r="T855" s="18"/>
      <c r="U855" s="18"/>
      <c r="V855" s="18"/>
      <c r="W855" s="18"/>
      <c r="X855" s="18"/>
      <c r="Y855" s="18"/>
      <c r="Z855" s="18"/>
      <c r="AA855" s="18"/>
      <c r="AB855" s="18"/>
      <c r="AC855" s="18"/>
      <c r="AD855" s="18"/>
      <c r="AE855" s="18"/>
      <c r="AF855" s="18"/>
      <c r="AG855" s="18"/>
    </row>
    <row r="856" spans="1:33" x14ac:dyDescent="0.2">
      <c r="A856" s="18"/>
      <c r="B856" s="18"/>
      <c r="C856" s="18"/>
      <c r="D856" s="18"/>
      <c r="E856" s="18"/>
      <c r="F856" s="18"/>
      <c r="G856" s="18"/>
      <c r="H856" s="18"/>
      <c r="I856" s="18"/>
      <c r="J856" s="18"/>
      <c r="K856" s="18"/>
      <c r="L856" s="18"/>
      <c r="M856" s="18"/>
      <c r="N856" s="18"/>
      <c r="O856" s="1316"/>
      <c r="P856" s="18"/>
      <c r="Q856" s="18"/>
      <c r="R856" s="18"/>
      <c r="S856" s="18"/>
      <c r="T856" s="18"/>
      <c r="U856" s="18"/>
      <c r="V856" s="18"/>
      <c r="W856" s="18"/>
      <c r="X856" s="18"/>
      <c r="Y856" s="18"/>
      <c r="Z856" s="18"/>
      <c r="AA856" s="18"/>
      <c r="AB856" s="18"/>
      <c r="AC856" s="18"/>
      <c r="AD856" s="18"/>
      <c r="AE856" s="18"/>
      <c r="AF856" s="18"/>
      <c r="AG856" s="18"/>
    </row>
    <row r="857" spans="1:33" x14ac:dyDescent="0.2">
      <c r="A857" s="18"/>
      <c r="B857" s="18"/>
      <c r="C857" s="18"/>
      <c r="D857" s="18"/>
      <c r="E857" s="18"/>
      <c r="F857" s="18"/>
      <c r="G857" s="18"/>
      <c r="H857" s="18"/>
      <c r="I857" s="18"/>
      <c r="J857" s="18"/>
      <c r="K857" s="18"/>
      <c r="L857" s="18"/>
      <c r="M857" s="18"/>
      <c r="N857" s="18"/>
      <c r="O857" s="1316"/>
      <c r="P857" s="18"/>
      <c r="Q857" s="18"/>
      <c r="R857" s="18"/>
      <c r="S857" s="18"/>
      <c r="T857" s="18"/>
      <c r="U857" s="18"/>
      <c r="V857" s="18"/>
      <c r="W857" s="18"/>
      <c r="X857" s="18"/>
      <c r="Y857" s="18"/>
      <c r="Z857" s="18"/>
      <c r="AA857" s="18"/>
      <c r="AB857" s="18"/>
      <c r="AC857" s="18"/>
      <c r="AD857" s="18"/>
      <c r="AE857" s="18"/>
      <c r="AF857" s="18"/>
      <c r="AG857" s="18"/>
    </row>
    <row r="858" spans="1:33" x14ac:dyDescent="0.2">
      <c r="A858" s="18"/>
      <c r="B858" s="18"/>
      <c r="C858" s="18"/>
      <c r="D858" s="18"/>
      <c r="E858" s="18"/>
      <c r="F858" s="18"/>
      <c r="G858" s="18"/>
      <c r="H858" s="18"/>
      <c r="I858" s="18"/>
      <c r="J858" s="18"/>
      <c r="K858" s="18"/>
      <c r="L858" s="18"/>
      <c r="M858" s="18"/>
      <c r="N858" s="18"/>
      <c r="O858" s="1316"/>
      <c r="P858" s="18"/>
      <c r="Q858" s="18"/>
      <c r="R858" s="18"/>
      <c r="S858" s="18"/>
      <c r="T858" s="18"/>
      <c r="U858" s="18"/>
      <c r="V858" s="18"/>
      <c r="W858" s="18"/>
      <c r="X858" s="18"/>
      <c r="Y858" s="18"/>
      <c r="Z858" s="18"/>
      <c r="AA858" s="18"/>
      <c r="AB858" s="18"/>
      <c r="AC858" s="18"/>
      <c r="AD858" s="18"/>
      <c r="AE858" s="18"/>
      <c r="AF858" s="18"/>
      <c r="AG858" s="18"/>
    </row>
    <row r="859" spans="1:33" x14ac:dyDescent="0.2">
      <c r="A859" s="18"/>
      <c r="B859" s="18"/>
      <c r="C859" s="18"/>
      <c r="D859" s="18"/>
      <c r="E859" s="18"/>
      <c r="F859" s="18"/>
      <c r="G859" s="18"/>
      <c r="H859" s="18"/>
      <c r="I859" s="18"/>
      <c r="J859" s="18"/>
      <c r="K859" s="18"/>
      <c r="L859" s="18"/>
      <c r="M859" s="18"/>
      <c r="N859" s="18"/>
      <c r="O859" s="1316"/>
      <c r="P859" s="18"/>
      <c r="Q859" s="18"/>
      <c r="R859" s="18"/>
      <c r="S859" s="18"/>
      <c r="T859" s="18"/>
      <c r="U859" s="18"/>
      <c r="V859" s="18"/>
      <c r="W859" s="18"/>
      <c r="X859" s="18"/>
      <c r="Y859" s="18"/>
      <c r="Z859" s="18"/>
      <c r="AA859" s="18"/>
      <c r="AB859" s="18"/>
      <c r="AC859" s="18"/>
      <c r="AD859" s="18"/>
      <c r="AE859" s="18"/>
      <c r="AF859" s="18"/>
      <c r="AG859" s="18"/>
    </row>
    <row r="860" spans="1:33" x14ac:dyDescent="0.2">
      <c r="A860" s="18"/>
      <c r="B860" s="18"/>
      <c r="C860" s="18"/>
      <c r="D860" s="18"/>
      <c r="E860" s="18"/>
      <c r="F860" s="18"/>
      <c r="G860" s="18"/>
      <c r="H860" s="18"/>
      <c r="I860" s="18"/>
      <c r="J860" s="18"/>
      <c r="K860" s="18"/>
      <c r="L860" s="18"/>
      <c r="M860" s="18"/>
      <c r="N860" s="18"/>
      <c r="O860" s="1316"/>
      <c r="P860" s="18"/>
      <c r="Q860" s="18"/>
      <c r="R860" s="18"/>
      <c r="S860" s="18"/>
      <c r="T860" s="18"/>
      <c r="U860" s="18"/>
      <c r="V860" s="18"/>
      <c r="W860" s="18"/>
      <c r="X860" s="18"/>
      <c r="Y860" s="18"/>
      <c r="Z860" s="18"/>
      <c r="AA860" s="18"/>
      <c r="AB860" s="18"/>
      <c r="AC860" s="18"/>
      <c r="AD860" s="18"/>
      <c r="AE860" s="18"/>
      <c r="AF860" s="18"/>
      <c r="AG860" s="18"/>
    </row>
    <row r="861" spans="1:33" x14ac:dyDescent="0.2">
      <c r="A861" s="18"/>
      <c r="B861" s="18"/>
      <c r="C861" s="18"/>
      <c r="D861" s="18"/>
      <c r="E861" s="18"/>
      <c r="F861" s="18"/>
      <c r="G861" s="18"/>
      <c r="H861" s="18"/>
      <c r="I861" s="18"/>
      <c r="J861" s="18"/>
      <c r="K861" s="18"/>
      <c r="L861" s="18"/>
      <c r="M861" s="18"/>
      <c r="N861" s="18"/>
      <c r="O861" s="1316"/>
      <c r="P861" s="18"/>
      <c r="Q861" s="18"/>
      <c r="R861" s="18"/>
      <c r="S861" s="18"/>
      <c r="T861" s="18"/>
      <c r="U861" s="18"/>
      <c r="V861" s="18"/>
      <c r="W861" s="18"/>
      <c r="X861" s="18"/>
      <c r="Y861" s="18"/>
      <c r="Z861" s="18"/>
      <c r="AA861" s="18"/>
      <c r="AB861" s="18"/>
      <c r="AC861" s="18"/>
      <c r="AD861" s="18"/>
      <c r="AE861" s="18"/>
      <c r="AF861" s="18"/>
      <c r="AG861" s="18"/>
    </row>
    <row r="862" spans="1:33" x14ac:dyDescent="0.2">
      <c r="A862" s="18"/>
      <c r="B862" s="18"/>
      <c r="C862" s="18"/>
      <c r="D862" s="18"/>
      <c r="E862" s="18"/>
      <c r="F862" s="18"/>
      <c r="G862" s="18"/>
      <c r="H862" s="18"/>
      <c r="I862" s="18"/>
      <c r="J862" s="18"/>
      <c r="K862" s="18"/>
      <c r="L862" s="18"/>
      <c r="M862" s="18"/>
      <c r="N862" s="18"/>
      <c r="O862" s="1316"/>
      <c r="P862" s="18"/>
      <c r="Q862" s="18"/>
      <c r="R862" s="18"/>
      <c r="S862" s="18"/>
      <c r="T862" s="18"/>
      <c r="U862" s="18"/>
      <c r="V862" s="18"/>
      <c r="W862" s="18"/>
      <c r="X862" s="18"/>
      <c r="Y862" s="18"/>
      <c r="Z862" s="18"/>
      <c r="AA862" s="18"/>
      <c r="AB862" s="18"/>
      <c r="AC862" s="18"/>
      <c r="AD862" s="18"/>
      <c r="AE862" s="18"/>
      <c r="AF862" s="18"/>
      <c r="AG862" s="18"/>
    </row>
    <row r="863" spans="1:33" x14ac:dyDescent="0.2">
      <c r="A863" s="18"/>
      <c r="B863" s="18"/>
      <c r="C863" s="18"/>
      <c r="D863" s="18"/>
      <c r="E863" s="18"/>
      <c r="F863" s="18"/>
      <c r="G863" s="18"/>
      <c r="H863" s="18"/>
      <c r="I863" s="18"/>
      <c r="J863" s="18"/>
      <c r="K863" s="18"/>
      <c r="L863" s="18"/>
      <c r="M863" s="18"/>
      <c r="N863" s="18"/>
      <c r="O863" s="1316"/>
      <c r="P863" s="18"/>
      <c r="Q863" s="18"/>
      <c r="R863" s="18"/>
      <c r="S863" s="18"/>
      <c r="T863" s="18"/>
      <c r="U863" s="18"/>
      <c r="V863" s="18"/>
      <c r="W863" s="18"/>
      <c r="X863" s="18"/>
      <c r="Y863" s="18"/>
      <c r="Z863" s="18"/>
      <c r="AA863" s="18"/>
      <c r="AB863" s="18"/>
      <c r="AC863" s="18"/>
      <c r="AD863" s="18"/>
      <c r="AE863" s="18"/>
      <c r="AF863" s="18"/>
      <c r="AG863" s="18"/>
    </row>
    <row r="864" spans="1:33" x14ac:dyDescent="0.2">
      <c r="A864" s="18"/>
      <c r="B864" s="18"/>
      <c r="C864" s="18"/>
      <c r="D864" s="18"/>
      <c r="E864" s="18"/>
      <c r="F864" s="18"/>
      <c r="G864" s="18"/>
      <c r="H864" s="18"/>
      <c r="I864" s="18"/>
      <c r="J864" s="18"/>
      <c r="K864" s="18"/>
      <c r="L864" s="18"/>
      <c r="M864" s="18"/>
      <c r="N864" s="18"/>
      <c r="O864" s="1316"/>
      <c r="P864" s="18"/>
      <c r="Q864" s="18"/>
      <c r="R864" s="18"/>
      <c r="S864" s="18"/>
      <c r="T864" s="18"/>
      <c r="U864" s="18"/>
      <c r="V864" s="18"/>
      <c r="W864" s="18"/>
      <c r="X864" s="18"/>
      <c r="Y864" s="18"/>
      <c r="Z864" s="18"/>
      <c r="AA864" s="18"/>
      <c r="AB864" s="18"/>
      <c r="AC864" s="18"/>
      <c r="AD864" s="18"/>
      <c r="AE864" s="18"/>
      <c r="AF864" s="18"/>
      <c r="AG864" s="18"/>
    </row>
    <row r="865" spans="1:33" x14ac:dyDescent="0.2">
      <c r="A865" s="18"/>
      <c r="B865" s="18"/>
      <c r="C865" s="18"/>
      <c r="D865" s="18"/>
      <c r="E865" s="18"/>
      <c r="F865" s="18"/>
      <c r="G865" s="18"/>
      <c r="H865" s="18"/>
      <c r="I865" s="18"/>
      <c r="J865" s="18"/>
      <c r="K865" s="18"/>
      <c r="L865" s="18"/>
      <c r="M865" s="18"/>
      <c r="N865" s="18"/>
      <c r="O865" s="1316"/>
      <c r="P865" s="18"/>
      <c r="Q865" s="18"/>
      <c r="R865" s="18"/>
      <c r="S865" s="18"/>
      <c r="T865" s="18"/>
      <c r="U865" s="18"/>
      <c r="V865" s="18"/>
      <c r="W865" s="18"/>
      <c r="X865" s="18"/>
      <c r="Y865" s="18"/>
      <c r="Z865" s="18"/>
      <c r="AA865" s="18"/>
      <c r="AB865" s="18"/>
      <c r="AC865" s="18"/>
      <c r="AD865" s="18"/>
      <c r="AE865" s="18"/>
      <c r="AF865" s="18"/>
      <c r="AG865" s="18"/>
    </row>
    <row r="866" spans="1:33" x14ac:dyDescent="0.2">
      <c r="A866" s="18"/>
      <c r="B866" s="18"/>
      <c r="C866" s="18"/>
      <c r="D866" s="18"/>
      <c r="E866" s="18"/>
      <c r="F866" s="18"/>
      <c r="G866" s="18"/>
      <c r="H866" s="18"/>
      <c r="I866" s="18"/>
      <c r="J866" s="18"/>
      <c r="K866" s="18"/>
      <c r="L866" s="18"/>
      <c r="M866" s="18"/>
      <c r="N866" s="18"/>
      <c r="O866" s="1316"/>
      <c r="P866" s="18"/>
      <c r="Q866" s="18"/>
      <c r="R866" s="18"/>
      <c r="S866" s="18"/>
      <c r="T866" s="18"/>
      <c r="U866" s="18"/>
      <c r="V866" s="18"/>
      <c r="W866" s="18"/>
      <c r="X866" s="18"/>
      <c r="Y866" s="18"/>
      <c r="Z866" s="18"/>
      <c r="AA866" s="18"/>
      <c r="AB866" s="18"/>
      <c r="AC866" s="18"/>
      <c r="AD866" s="18"/>
      <c r="AE866" s="18"/>
      <c r="AF866" s="18"/>
      <c r="AG866" s="18"/>
    </row>
    <row r="867" spans="1:33" x14ac:dyDescent="0.2">
      <c r="A867" s="18"/>
      <c r="B867" s="18"/>
      <c r="C867" s="18"/>
      <c r="D867" s="18"/>
      <c r="E867" s="18"/>
      <c r="F867" s="18"/>
      <c r="G867" s="18"/>
      <c r="H867" s="18"/>
      <c r="I867" s="18"/>
      <c r="J867" s="18"/>
      <c r="K867" s="18"/>
      <c r="L867" s="18"/>
      <c r="M867" s="18"/>
      <c r="N867" s="18"/>
      <c r="O867" s="1316"/>
      <c r="P867" s="18"/>
      <c r="Q867" s="18"/>
      <c r="R867" s="18"/>
      <c r="S867" s="18"/>
      <c r="T867" s="18"/>
      <c r="U867" s="18"/>
      <c r="V867" s="18"/>
      <c r="W867" s="18"/>
      <c r="X867" s="18"/>
      <c r="Y867" s="18"/>
      <c r="Z867" s="18"/>
      <c r="AA867" s="18"/>
      <c r="AB867" s="18"/>
      <c r="AC867" s="18"/>
      <c r="AD867" s="18"/>
      <c r="AE867" s="18"/>
      <c r="AF867" s="18"/>
      <c r="AG867" s="18"/>
    </row>
    <row r="868" spans="1:33" x14ac:dyDescent="0.2">
      <c r="A868" s="18"/>
      <c r="B868" s="18"/>
      <c r="C868" s="18"/>
      <c r="D868" s="18"/>
      <c r="E868" s="18"/>
      <c r="F868" s="18"/>
      <c r="G868" s="18"/>
      <c r="H868" s="18"/>
      <c r="I868" s="18"/>
      <c r="J868" s="18"/>
      <c r="K868" s="18"/>
      <c r="L868" s="18"/>
      <c r="M868" s="18"/>
      <c r="N868" s="18"/>
      <c r="O868" s="1316"/>
      <c r="P868" s="18"/>
      <c r="Q868" s="18"/>
      <c r="R868" s="18"/>
      <c r="S868" s="18"/>
      <c r="T868" s="18"/>
      <c r="U868" s="18"/>
      <c r="V868" s="18"/>
      <c r="W868" s="18"/>
      <c r="X868" s="18"/>
      <c r="Y868" s="18"/>
      <c r="Z868" s="18"/>
      <c r="AA868" s="18"/>
      <c r="AB868" s="18"/>
      <c r="AC868" s="18"/>
      <c r="AD868" s="18"/>
      <c r="AE868" s="18"/>
      <c r="AF868" s="18"/>
      <c r="AG868" s="18"/>
    </row>
    <row r="869" spans="1:33" x14ac:dyDescent="0.2">
      <c r="A869" s="18"/>
      <c r="B869" s="18"/>
      <c r="C869" s="18"/>
      <c r="D869" s="18"/>
      <c r="E869" s="18"/>
      <c r="F869" s="18"/>
      <c r="G869" s="18"/>
      <c r="H869" s="18"/>
      <c r="I869" s="18"/>
      <c r="J869" s="18"/>
      <c r="K869" s="18"/>
      <c r="L869" s="18"/>
      <c r="M869" s="18"/>
      <c r="N869" s="18"/>
      <c r="O869" s="1316"/>
      <c r="P869" s="18"/>
      <c r="Q869" s="18"/>
      <c r="R869" s="18"/>
      <c r="S869" s="18"/>
      <c r="T869" s="18"/>
      <c r="U869" s="18"/>
      <c r="V869" s="18"/>
      <c r="W869" s="18"/>
      <c r="X869" s="18"/>
      <c r="Y869" s="18"/>
      <c r="Z869" s="18"/>
      <c r="AA869" s="18"/>
      <c r="AB869" s="18"/>
      <c r="AC869" s="18"/>
      <c r="AD869" s="18"/>
      <c r="AE869" s="18"/>
      <c r="AF869" s="18"/>
      <c r="AG869" s="18"/>
    </row>
    <row r="870" spans="1:33" x14ac:dyDescent="0.2">
      <c r="A870" s="18"/>
      <c r="B870" s="18"/>
      <c r="C870" s="18"/>
      <c r="D870" s="18"/>
      <c r="E870" s="18"/>
      <c r="F870" s="18"/>
      <c r="G870" s="18"/>
      <c r="H870" s="18"/>
      <c r="I870" s="18"/>
      <c r="J870" s="18"/>
      <c r="K870" s="18"/>
      <c r="L870" s="18"/>
      <c r="M870" s="18"/>
      <c r="N870" s="18"/>
      <c r="O870" s="1316"/>
      <c r="P870" s="18"/>
      <c r="Q870" s="18"/>
      <c r="R870" s="18"/>
      <c r="S870" s="18"/>
      <c r="T870" s="18"/>
      <c r="U870" s="18"/>
      <c r="V870" s="18"/>
      <c r="W870" s="18"/>
      <c r="X870" s="18"/>
      <c r="Y870" s="18"/>
      <c r="Z870" s="18"/>
      <c r="AA870" s="18"/>
      <c r="AB870" s="18"/>
      <c r="AC870" s="18"/>
      <c r="AD870" s="18"/>
      <c r="AE870" s="18"/>
      <c r="AF870" s="18"/>
      <c r="AG870" s="18"/>
    </row>
    <row r="871" spans="1:33" x14ac:dyDescent="0.2">
      <c r="A871" s="18"/>
      <c r="B871" s="18"/>
      <c r="C871" s="18"/>
      <c r="D871" s="18"/>
      <c r="E871" s="18"/>
      <c r="F871" s="18"/>
      <c r="G871" s="18"/>
      <c r="H871" s="18"/>
      <c r="I871" s="18"/>
      <c r="J871" s="18"/>
      <c r="K871" s="18"/>
      <c r="L871" s="18"/>
      <c r="M871" s="18"/>
      <c r="N871" s="18"/>
      <c r="O871" s="1316"/>
      <c r="P871" s="18"/>
      <c r="Q871" s="18"/>
      <c r="R871" s="18"/>
      <c r="S871" s="18"/>
      <c r="T871" s="18"/>
      <c r="U871" s="18"/>
      <c r="V871" s="18"/>
      <c r="W871" s="18"/>
      <c r="X871" s="18"/>
      <c r="Y871" s="18"/>
      <c r="Z871" s="18"/>
      <c r="AA871" s="18"/>
      <c r="AB871" s="18"/>
      <c r="AC871" s="18"/>
      <c r="AD871" s="18"/>
      <c r="AE871" s="18"/>
      <c r="AF871" s="18"/>
      <c r="AG871" s="18"/>
    </row>
    <row r="872" spans="1:33" x14ac:dyDescent="0.2">
      <c r="A872" s="18"/>
      <c r="B872" s="18"/>
      <c r="C872" s="18"/>
      <c r="D872" s="18"/>
      <c r="E872" s="18"/>
      <c r="F872" s="18"/>
      <c r="G872" s="18"/>
      <c r="H872" s="18"/>
      <c r="I872" s="18"/>
      <c r="J872" s="18"/>
      <c r="K872" s="18"/>
      <c r="L872" s="18"/>
      <c r="M872" s="18"/>
      <c r="N872" s="18"/>
      <c r="O872" s="1316"/>
      <c r="P872" s="18"/>
      <c r="Q872" s="18"/>
      <c r="R872" s="18"/>
      <c r="S872" s="18"/>
      <c r="T872" s="18"/>
      <c r="U872" s="18"/>
      <c r="V872" s="18"/>
      <c r="W872" s="18"/>
      <c r="X872" s="18"/>
      <c r="Y872" s="18"/>
      <c r="Z872" s="18"/>
      <c r="AA872" s="18"/>
      <c r="AB872" s="18"/>
      <c r="AC872" s="18"/>
      <c r="AD872" s="18"/>
      <c r="AE872" s="18"/>
      <c r="AF872" s="18"/>
      <c r="AG872" s="18"/>
    </row>
    <row r="873" spans="1:33" x14ac:dyDescent="0.2">
      <c r="A873" s="18"/>
      <c r="B873" s="18"/>
      <c r="C873" s="18"/>
      <c r="D873" s="18"/>
      <c r="E873" s="18"/>
      <c r="F873" s="18"/>
      <c r="G873" s="18"/>
      <c r="H873" s="18"/>
      <c r="I873" s="18"/>
      <c r="J873" s="18"/>
      <c r="K873" s="18"/>
      <c r="L873" s="18"/>
      <c r="M873" s="18"/>
      <c r="N873" s="18"/>
      <c r="O873" s="1316"/>
      <c r="P873" s="18"/>
      <c r="Q873" s="18"/>
      <c r="R873" s="18"/>
      <c r="S873" s="18"/>
      <c r="T873" s="18"/>
      <c r="U873" s="18"/>
      <c r="V873" s="18"/>
      <c r="W873" s="18"/>
      <c r="X873" s="18"/>
      <c r="Y873" s="18"/>
      <c r="Z873" s="18"/>
      <c r="AA873" s="18"/>
      <c r="AB873" s="18"/>
      <c r="AC873" s="18"/>
      <c r="AD873" s="18"/>
      <c r="AE873" s="18"/>
      <c r="AF873" s="18"/>
      <c r="AG873" s="18"/>
    </row>
    <row r="874" spans="1:33" x14ac:dyDescent="0.2">
      <c r="A874" s="18"/>
      <c r="B874" s="18"/>
      <c r="C874" s="18"/>
      <c r="D874" s="18"/>
      <c r="E874" s="18"/>
      <c r="F874" s="18"/>
      <c r="G874" s="18"/>
      <c r="H874" s="18"/>
      <c r="I874" s="18"/>
      <c r="J874" s="18"/>
      <c r="K874" s="18"/>
      <c r="L874" s="18"/>
      <c r="M874" s="18"/>
      <c r="N874" s="18"/>
      <c r="O874" s="1316"/>
      <c r="P874" s="18"/>
      <c r="Q874" s="18"/>
      <c r="R874" s="18"/>
      <c r="S874" s="18"/>
      <c r="T874" s="18"/>
      <c r="U874" s="18"/>
      <c r="V874" s="18"/>
      <c r="W874" s="18"/>
      <c r="X874" s="18"/>
      <c r="Y874" s="18"/>
      <c r="Z874" s="18"/>
      <c r="AA874" s="18"/>
      <c r="AB874" s="18"/>
      <c r="AC874" s="18"/>
      <c r="AD874" s="18"/>
      <c r="AE874" s="18"/>
      <c r="AF874" s="18"/>
      <c r="AG874" s="18"/>
    </row>
    <row r="875" spans="1:33" x14ac:dyDescent="0.2">
      <c r="A875" s="18"/>
      <c r="B875" s="18"/>
      <c r="C875" s="18"/>
      <c r="D875" s="18"/>
      <c r="E875" s="18"/>
      <c r="F875" s="18"/>
      <c r="G875" s="18"/>
      <c r="H875" s="18"/>
      <c r="I875" s="18"/>
      <c r="J875" s="18"/>
      <c r="K875" s="18"/>
      <c r="L875" s="18"/>
      <c r="M875" s="18"/>
      <c r="N875" s="18"/>
      <c r="O875" s="1316"/>
      <c r="P875" s="18"/>
      <c r="Q875" s="18"/>
      <c r="R875" s="18"/>
      <c r="S875" s="18"/>
      <c r="T875" s="18"/>
      <c r="U875" s="18"/>
      <c r="V875" s="18"/>
      <c r="W875" s="18"/>
      <c r="X875" s="18"/>
      <c r="Y875" s="18"/>
      <c r="Z875" s="18"/>
      <c r="AA875" s="18"/>
      <c r="AB875" s="18"/>
      <c r="AC875" s="18"/>
      <c r="AD875" s="18"/>
      <c r="AE875" s="18"/>
      <c r="AF875" s="18"/>
      <c r="AG875" s="18"/>
    </row>
    <row r="876" spans="1:33" x14ac:dyDescent="0.2">
      <c r="A876" s="18"/>
      <c r="B876" s="18"/>
      <c r="C876" s="18"/>
      <c r="D876" s="18"/>
      <c r="E876" s="18"/>
      <c r="F876" s="18"/>
      <c r="G876" s="18"/>
      <c r="H876" s="18"/>
      <c r="I876" s="18"/>
      <c r="J876" s="18"/>
      <c r="K876" s="18"/>
      <c r="L876" s="18"/>
      <c r="M876" s="18"/>
      <c r="N876" s="18"/>
      <c r="O876" s="1316"/>
      <c r="P876" s="18"/>
      <c r="Q876" s="18"/>
      <c r="R876" s="18"/>
      <c r="S876" s="18"/>
      <c r="T876" s="18"/>
      <c r="U876" s="18"/>
      <c r="V876" s="18"/>
      <c r="W876" s="18"/>
      <c r="X876" s="18"/>
      <c r="Y876" s="18"/>
      <c r="Z876" s="18"/>
      <c r="AA876" s="18"/>
      <c r="AB876" s="18"/>
      <c r="AC876" s="18"/>
      <c r="AD876" s="18"/>
      <c r="AE876" s="18"/>
      <c r="AF876" s="18"/>
      <c r="AG876" s="18"/>
    </row>
    <row r="877" spans="1:33" x14ac:dyDescent="0.2">
      <c r="A877" s="18"/>
      <c r="B877" s="18"/>
      <c r="C877" s="18"/>
      <c r="D877" s="18"/>
      <c r="E877" s="18"/>
      <c r="F877" s="18"/>
      <c r="G877" s="18"/>
      <c r="H877" s="18"/>
      <c r="I877" s="18"/>
      <c r="J877" s="18"/>
      <c r="K877" s="18"/>
      <c r="L877" s="18"/>
      <c r="M877" s="18"/>
      <c r="N877" s="18"/>
      <c r="O877" s="1316"/>
      <c r="P877" s="18"/>
      <c r="Q877" s="18"/>
      <c r="R877" s="18"/>
      <c r="S877" s="18"/>
      <c r="T877" s="18"/>
      <c r="U877" s="18"/>
      <c r="V877" s="18"/>
      <c r="W877" s="18"/>
      <c r="X877" s="18"/>
      <c r="Y877" s="18"/>
      <c r="Z877" s="18"/>
      <c r="AA877" s="18"/>
      <c r="AB877" s="18"/>
      <c r="AC877" s="18"/>
      <c r="AD877" s="18"/>
      <c r="AE877" s="18"/>
      <c r="AF877" s="18"/>
      <c r="AG877" s="18"/>
    </row>
    <row r="878" spans="1:33" x14ac:dyDescent="0.2">
      <c r="A878" s="18"/>
      <c r="B878" s="18"/>
      <c r="C878" s="18"/>
      <c r="D878" s="18"/>
      <c r="E878" s="18"/>
      <c r="F878" s="18"/>
      <c r="G878" s="18"/>
      <c r="H878" s="18"/>
      <c r="I878" s="18"/>
      <c r="J878" s="18"/>
      <c r="K878" s="18"/>
      <c r="L878" s="18"/>
      <c r="M878" s="18"/>
      <c r="N878" s="18"/>
      <c r="O878" s="1316"/>
      <c r="P878" s="18"/>
      <c r="Q878" s="18"/>
      <c r="R878" s="18"/>
      <c r="S878" s="18"/>
      <c r="T878" s="18"/>
      <c r="U878" s="18"/>
      <c r="V878" s="18"/>
      <c r="W878" s="18"/>
      <c r="X878" s="18"/>
      <c r="Y878" s="18"/>
      <c r="Z878" s="18"/>
      <c r="AA878" s="18"/>
      <c r="AB878" s="18"/>
      <c r="AC878" s="18"/>
      <c r="AD878" s="18"/>
      <c r="AE878" s="18"/>
      <c r="AF878" s="18"/>
      <c r="AG878" s="18"/>
    </row>
    <row r="879" spans="1:33" x14ac:dyDescent="0.2">
      <c r="A879" s="18"/>
      <c r="B879" s="18"/>
      <c r="C879" s="18"/>
      <c r="D879" s="18"/>
      <c r="E879" s="18"/>
      <c r="F879" s="18"/>
      <c r="G879" s="18"/>
      <c r="H879" s="18"/>
      <c r="I879" s="18"/>
      <c r="J879" s="18"/>
      <c r="K879" s="18"/>
      <c r="L879" s="18"/>
      <c r="M879" s="18"/>
      <c r="N879" s="18"/>
      <c r="O879" s="1316"/>
      <c r="P879" s="18"/>
      <c r="Q879" s="18"/>
      <c r="R879" s="18"/>
      <c r="S879" s="18"/>
      <c r="T879" s="18"/>
      <c r="U879" s="18"/>
      <c r="V879" s="18"/>
      <c r="W879" s="18"/>
      <c r="X879" s="18"/>
      <c r="Y879" s="18"/>
      <c r="Z879" s="18"/>
      <c r="AA879" s="18"/>
      <c r="AB879" s="18"/>
      <c r="AC879" s="18"/>
      <c r="AD879" s="18"/>
      <c r="AE879" s="18"/>
      <c r="AF879" s="18"/>
      <c r="AG879" s="18"/>
    </row>
    <row r="880" spans="1:33" x14ac:dyDescent="0.2">
      <c r="A880" s="18"/>
      <c r="B880" s="18"/>
      <c r="C880" s="18"/>
      <c r="D880" s="18"/>
      <c r="E880" s="18"/>
      <c r="F880" s="18"/>
      <c r="G880" s="18"/>
      <c r="H880" s="18"/>
      <c r="I880" s="18"/>
      <c r="J880" s="18"/>
      <c r="K880" s="18"/>
      <c r="L880" s="18"/>
      <c r="M880" s="18"/>
      <c r="N880" s="18"/>
      <c r="O880" s="1316"/>
      <c r="P880" s="18"/>
      <c r="Q880" s="18"/>
      <c r="R880" s="18"/>
      <c r="S880" s="18"/>
      <c r="T880" s="18"/>
      <c r="U880" s="18"/>
      <c r="V880" s="18"/>
      <c r="W880" s="18"/>
      <c r="X880" s="18"/>
      <c r="Y880" s="18"/>
      <c r="Z880" s="18"/>
      <c r="AA880" s="18"/>
      <c r="AB880" s="18"/>
      <c r="AC880" s="18"/>
      <c r="AD880" s="18"/>
      <c r="AE880" s="18"/>
      <c r="AF880" s="18"/>
      <c r="AG880" s="18"/>
    </row>
    <row r="881" spans="1:33" x14ac:dyDescent="0.2">
      <c r="A881" s="18"/>
      <c r="B881" s="18"/>
      <c r="C881" s="18"/>
      <c r="D881" s="18"/>
      <c r="E881" s="18"/>
      <c r="F881" s="18"/>
      <c r="G881" s="18"/>
      <c r="H881" s="18"/>
      <c r="I881" s="18"/>
      <c r="J881" s="18"/>
      <c r="K881" s="18"/>
      <c r="L881" s="18"/>
      <c r="M881" s="18"/>
      <c r="N881" s="18"/>
      <c r="O881" s="1316"/>
      <c r="P881" s="18"/>
      <c r="Q881" s="18"/>
      <c r="R881" s="18"/>
      <c r="S881" s="18"/>
      <c r="T881" s="18"/>
      <c r="U881" s="18"/>
      <c r="V881" s="18"/>
      <c r="W881" s="18"/>
      <c r="X881" s="18"/>
      <c r="Y881" s="18"/>
      <c r="Z881" s="18"/>
      <c r="AA881" s="18"/>
      <c r="AB881" s="18"/>
      <c r="AC881" s="18"/>
      <c r="AD881" s="18"/>
      <c r="AE881" s="18"/>
      <c r="AF881" s="18"/>
      <c r="AG881" s="18"/>
    </row>
    <row r="882" spans="1:33" x14ac:dyDescent="0.2">
      <c r="A882" s="18"/>
      <c r="B882" s="18"/>
      <c r="C882" s="18"/>
      <c r="D882" s="18"/>
      <c r="E882" s="18"/>
      <c r="F882" s="18"/>
      <c r="G882" s="18"/>
      <c r="H882" s="18"/>
      <c r="I882" s="18"/>
      <c r="J882" s="18"/>
      <c r="K882" s="18"/>
      <c r="L882" s="18"/>
      <c r="M882" s="18"/>
      <c r="N882" s="18"/>
      <c r="O882" s="1316"/>
      <c r="P882" s="18"/>
      <c r="Q882" s="18"/>
      <c r="R882" s="18"/>
      <c r="S882" s="18"/>
      <c r="T882" s="18"/>
      <c r="U882" s="18"/>
      <c r="V882" s="18"/>
      <c r="W882" s="18"/>
      <c r="X882" s="18"/>
      <c r="Y882" s="18"/>
      <c r="Z882" s="18"/>
      <c r="AA882" s="18"/>
      <c r="AB882" s="18"/>
      <c r="AC882" s="18"/>
      <c r="AD882" s="18"/>
      <c r="AE882" s="18"/>
      <c r="AF882" s="18"/>
      <c r="AG882" s="18"/>
    </row>
    <row r="883" spans="1:33" x14ac:dyDescent="0.2">
      <c r="A883" s="18"/>
      <c r="B883" s="18"/>
      <c r="C883" s="18"/>
      <c r="D883" s="18"/>
      <c r="E883" s="18"/>
      <c r="F883" s="18"/>
      <c r="G883" s="18"/>
      <c r="H883" s="18"/>
      <c r="I883" s="18"/>
      <c r="J883" s="18"/>
      <c r="K883" s="18"/>
      <c r="L883" s="18"/>
      <c r="M883" s="18"/>
      <c r="N883" s="18"/>
      <c r="O883" s="1316"/>
      <c r="P883" s="18"/>
      <c r="Q883" s="18"/>
      <c r="R883" s="18"/>
      <c r="S883" s="18"/>
      <c r="T883" s="18"/>
      <c r="U883" s="18"/>
      <c r="V883" s="18"/>
      <c r="W883" s="18"/>
      <c r="X883" s="18"/>
      <c r="Y883" s="18"/>
      <c r="Z883" s="18"/>
      <c r="AA883" s="18"/>
      <c r="AB883" s="18"/>
      <c r="AC883" s="18"/>
      <c r="AD883" s="18"/>
      <c r="AE883" s="18"/>
      <c r="AF883" s="18"/>
      <c r="AG883" s="18"/>
    </row>
    <row r="884" spans="1:33" x14ac:dyDescent="0.2">
      <c r="A884" s="18"/>
      <c r="B884" s="18"/>
      <c r="C884" s="18"/>
      <c r="D884" s="18"/>
      <c r="E884" s="18"/>
      <c r="F884" s="18"/>
      <c r="G884" s="18"/>
      <c r="H884" s="18"/>
      <c r="I884" s="18"/>
      <c r="J884" s="18"/>
      <c r="K884" s="18"/>
      <c r="L884" s="18"/>
      <c r="M884" s="18"/>
      <c r="N884" s="18"/>
      <c r="O884" s="1316"/>
      <c r="P884" s="18"/>
      <c r="Q884" s="18"/>
      <c r="R884" s="18"/>
      <c r="S884" s="18"/>
      <c r="T884" s="18"/>
      <c r="U884" s="18"/>
      <c r="V884" s="18"/>
      <c r="W884" s="18"/>
      <c r="X884" s="18"/>
      <c r="Y884" s="18"/>
      <c r="Z884" s="18"/>
      <c r="AA884" s="18"/>
      <c r="AB884" s="18"/>
      <c r="AC884" s="18"/>
      <c r="AD884" s="18"/>
      <c r="AE884" s="18"/>
      <c r="AF884" s="18"/>
      <c r="AG884" s="18"/>
    </row>
    <row r="885" spans="1:33" x14ac:dyDescent="0.2">
      <c r="A885" s="18"/>
      <c r="B885" s="18"/>
      <c r="C885" s="18"/>
      <c r="D885" s="18"/>
      <c r="E885" s="18"/>
      <c r="F885" s="18"/>
      <c r="G885" s="18"/>
      <c r="H885" s="18"/>
      <c r="I885" s="18"/>
      <c r="J885" s="18"/>
      <c r="K885" s="18"/>
      <c r="L885" s="18"/>
      <c r="M885" s="18"/>
      <c r="N885" s="18"/>
      <c r="O885" s="1316"/>
      <c r="P885" s="18"/>
      <c r="Q885" s="18"/>
      <c r="R885" s="18"/>
      <c r="S885" s="18"/>
      <c r="T885" s="18"/>
      <c r="U885" s="18"/>
      <c r="V885" s="18"/>
      <c r="W885" s="18"/>
      <c r="X885" s="18"/>
      <c r="Y885" s="18"/>
      <c r="Z885" s="18"/>
      <c r="AA885" s="18"/>
      <c r="AB885" s="18"/>
      <c r="AC885" s="18"/>
      <c r="AD885" s="18"/>
      <c r="AE885" s="18"/>
      <c r="AF885" s="18"/>
      <c r="AG885" s="18"/>
    </row>
    <row r="886" spans="1:33" x14ac:dyDescent="0.2">
      <c r="A886" s="18"/>
      <c r="B886" s="18"/>
      <c r="C886" s="18"/>
      <c r="D886" s="18"/>
      <c r="E886" s="18"/>
      <c r="F886" s="18"/>
      <c r="G886" s="18"/>
      <c r="H886" s="18"/>
      <c r="I886" s="18"/>
      <c r="J886" s="18"/>
      <c r="K886" s="18"/>
      <c r="L886" s="18"/>
      <c r="M886" s="18"/>
      <c r="N886" s="18"/>
      <c r="O886" s="1316"/>
      <c r="P886" s="18"/>
      <c r="Q886" s="18"/>
      <c r="R886" s="18"/>
      <c r="S886" s="18"/>
      <c r="T886" s="18"/>
      <c r="U886" s="18"/>
      <c r="V886" s="18"/>
      <c r="W886" s="18"/>
      <c r="X886" s="18"/>
      <c r="Y886" s="18"/>
      <c r="Z886" s="18"/>
      <c r="AA886" s="18"/>
      <c r="AB886" s="18"/>
      <c r="AC886" s="18"/>
      <c r="AD886" s="18"/>
      <c r="AE886" s="18"/>
      <c r="AF886" s="18"/>
      <c r="AG886" s="18"/>
    </row>
    <row r="887" spans="1:33" x14ac:dyDescent="0.2">
      <c r="A887" s="18"/>
      <c r="B887" s="18"/>
      <c r="C887" s="18"/>
      <c r="D887" s="18"/>
      <c r="E887" s="18"/>
      <c r="F887" s="18"/>
      <c r="G887" s="18"/>
      <c r="H887" s="18"/>
      <c r="I887" s="18"/>
      <c r="J887" s="18"/>
      <c r="K887" s="18"/>
      <c r="L887" s="18"/>
      <c r="M887" s="18"/>
      <c r="N887" s="18"/>
      <c r="O887" s="1316"/>
      <c r="P887" s="18"/>
      <c r="Q887" s="18"/>
      <c r="R887" s="18"/>
      <c r="S887" s="18"/>
      <c r="T887" s="18"/>
      <c r="U887" s="18"/>
      <c r="V887" s="18"/>
      <c r="W887" s="18"/>
      <c r="X887" s="18"/>
      <c r="Y887" s="18"/>
      <c r="Z887" s="18"/>
      <c r="AA887" s="18"/>
      <c r="AB887" s="18"/>
      <c r="AC887" s="18"/>
      <c r="AD887" s="18"/>
      <c r="AE887" s="18"/>
      <c r="AF887" s="18"/>
      <c r="AG887" s="18"/>
    </row>
    <row r="888" spans="1:33" x14ac:dyDescent="0.2">
      <c r="A888" s="18"/>
      <c r="B888" s="18"/>
      <c r="C888" s="18"/>
      <c r="D888" s="18"/>
      <c r="E888" s="18"/>
      <c r="F888" s="18"/>
      <c r="G888" s="18"/>
      <c r="H888" s="18"/>
      <c r="I888" s="18"/>
      <c r="J888" s="18"/>
      <c r="K888" s="18"/>
      <c r="L888" s="18"/>
      <c r="M888" s="18"/>
      <c r="N888" s="18"/>
      <c r="O888" s="1316"/>
      <c r="P888" s="18"/>
      <c r="Q888" s="18"/>
      <c r="R888" s="18"/>
      <c r="S888" s="18"/>
      <c r="T888" s="18"/>
      <c r="U888" s="18"/>
      <c r="V888" s="18"/>
      <c r="W888" s="18"/>
      <c r="X888" s="18"/>
      <c r="Y888" s="18"/>
      <c r="Z888" s="18"/>
      <c r="AA888" s="18"/>
      <c r="AB888" s="18"/>
      <c r="AC888" s="18"/>
      <c r="AD888" s="18"/>
      <c r="AE888" s="18"/>
      <c r="AF888" s="18"/>
      <c r="AG888" s="18"/>
    </row>
    <row r="889" spans="1:33" x14ac:dyDescent="0.2">
      <c r="A889" s="18"/>
      <c r="B889" s="18"/>
      <c r="C889" s="18"/>
      <c r="D889" s="18"/>
      <c r="E889" s="18"/>
      <c r="F889" s="18"/>
      <c r="G889" s="18"/>
      <c r="H889" s="18"/>
      <c r="I889" s="18"/>
      <c r="J889" s="18"/>
      <c r="K889" s="18"/>
      <c r="L889" s="18"/>
      <c r="M889" s="18"/>
      <c r="N889" s="18"/>
      <c r="O889" s="1316"/>
      <c r="P889" s="18"/>
      <c r="Q889" s="18"/>
      <c r="R889" s="18"/>
      <c r="S889" s="18"/>
      <c r="T889" s="18"/>
      <c r="U889" s="18"/>
      <c r="V889" s="18"/>
      <c r="W889" s="18"/>
      <c r="X889" s="18"/>
      <c r="Y889" s="18"/>
      <c r="Z889" s="18"/>
      <c r="AA889" s="18"/>
      <c r="AB889" s="18"/>
      <c r="AC889" s="18"/>
      <c r="AD889" s="18"/>
      <c r="AE889" s="18"/>
      <c r="AF889" s="18"/>
      <c r="AG889" s="18"/>
    </row>
    <row r="890" spans="1:33" x14ac:dyDescent="0.2">
      <c r="A890" s="18"/>
      <c r="B890" s="18"/>
      <c r="C890" s="18"/>
      <c r="D890" s="18"/>
      <c r="E890" s="18"/>
      <c r="F890" s="18"/>
      <c r="G890" s="18"/>
      <c r="H890" s="18"/>
      <c r="I890" s="18"/>
      <c r="J890" s="18"/>
      <c r="K890" s="18"/>
      <c r="L890" s="18"/>
      <c r="M890" s="18"/>
      <c r="N890" s="18"/>
      <c r="O890" s="1316"/>
      <c r="P890" s="18"/>
      <c r="Q890" s="18"/>
      <c r="R890" s="18"/>
      <c r="S890" s="18"/>
      <c r="T890" s="18"/>
      <c r="U890" s="18"/>
      <c r="V890" s="18"/>
      <c r="W890" s="18"/>
      <c r="X890" s="18"/>
      <c r="Y890" s="18"/>
      <c r="Z890" s="18"/>
      <c r="AA890" s="18"/>
      <c r="AB890" s="18"/>
      <c r="AC890" s="18"/>
      <c r="AD890" s="18"/>
      <c r="AE890" s="18"/>
      <c r="AF890" s="18"/>
      <c r="AG890" s="18"/>
    </row>
    <row r="891" spans="1:33" x14ac:dyDescent="0.2">
      <c r="A891" s="18"/>
      <c r="B891" s="18"/>
      <c r="C891" s="18"/>
      <c r="D891" s="18"/>
      <c r="E891" s="18"/>
      <c r="F891" s="18"/>
      <c r="G891" s="18"/>
      <c r="H891" s="18"/>
      <c r="I891" s="18"/>
      <c r="J891" s="18"/>
      <c r="K891" s="18"/>
      <c r="L891" s="18"/>
      <c r="M891" s="18"/>
      <c r="N891" s="18"/>
      <c r="O891" s="1316"/>
      <c r="P891" s="18"/>
      <c r="Q891" s="18"/>
      <c r="R891" s="18"/>
      <c r="S891" s="18"/>
      <c r="T891" s="18"/>
      <c r="U891" s="18"/>
      <c r="V891" s="18"/>
      <c r="W891" s="18"/>
      <c r="X891" s="18"/>
      <c r="Y891" s="18"/>
      <c r="Z891" s="18"/>
      <c r="AA891" s="18"/>
      <c r="AB891" s="18"/>
      <c r="AC891" s="18"/>
      <c r="AD891" s="18"/>
      <c r="AE891" s="18"/>
      <c r="AF891" s="18"/>
      <c r="AG891" s="18"/>
    </row>
    <row r="892" spans="1:33" x14ac:dyDescent="0.2">
      <c r="A892" s="18"/>
      <c r="B892" s="18"/>
      <c r="C892" s="18"/>
      <c r="D892" s="18"/>
      <c r="E892" s="18"/>
      <c r="F892" s="18"/>
      <c r="G892" s="18"/>
      <c r="H892" s="18"/>
      <c r="I892" s="18"/>
      <c r="J892" s="18"/>
      <c r="K892" s="18"/>
      <c r="L892" s="18"/>
      <c r="M892" s="18"/>
      <c r="N892" s="18"/>
      <c r="O892" s="1316"/>
      <c r="P892" s="18"/>
      <c r="Q892" s="18"/>
      <c r="R892" s="18"/>
      <c r="S892" s="18"/>
      <c r="T892" s="18"/>
      <c r="U892" s="18"/>
      <c r="V892" s="18"/>
      <c r="W892" s="18"/>
      <c r="X892" s="18"/>
      <c r="Y892" s="18"/>
      <c r="Z892" s="18"/>
      <c r="AA892" s="18"/>
      <c r="AB892" s="18"/>
      <c r="AC892" s="18"/>
      <c r="AD892" s="18"/>
      <c r="AE892" s="18"/>
      <c r="AF892" s="18"/>
      <c r="AG892" s="18"/>
    </row>
    <row r="893" spans="1:33" x14ac:dyDescent="0.2">
      <c r="A893" s="18"/>
      <c r="B893" s="18"/>
      <c r="C893" s="18"/>
      <c r="D893" s="18"/>
      <c r="E893" s="18"/>
      <c r="F893" s="18"/>
      <c r="G893" s="18"/>
      <c r="H893" s="18"/>
      <c r="I893" s="18"/>
      <c r="J893" s="18"/>
      <c r="K893" s="18"/>
      <c r="L893" s="18"/>
      <c r="M893" s="18"/>
      <c r="N893" s="18"/>
      <c r="O893" s="1316"/>
      <c r="P893" s="18"/>
      <c r="Q893" s="18"/>
      <c r="R893" s="18"/>
      <c r="S893" s="18"/>
      <c r="T893" s="18"/>
      <c r="U893" s="18"/>
      <c r="V893" s="18"/>
      <c r="W893" s="18"/>
      <c r="X893" s="18"/>
      <c r="Y893" s="18"/>
      <c r="Z893" s="18"/>
      <c r="AA893" s="18"/>
      <c r="AB893" s="18"/>
      <c r="AC893" s="18"/>
      <c r="AD893" s="18"/>
      <c r="AE893" s="18"/>
      <c r="AF893" s="18"/>
      <c r="AG893" s="18"/>
    </row>
    <row r="894" spans="1:33" x14ac:dyDescent="0.2">
      <c r="A894" s="18"/>
      <c r="B894" s="18"/>
      <c r="C894" s="18"/>
      <c r="D894" s="18"/>
      <c r="E894" s="18"/>
      <c r="F894" s="18"/>
      <c r="G894" s="18"/>
      <c r="H894" s="18"/>
      <c r="I894" s="18"/>
      <c r="J894" s="18"/>
      <c r="K894" s="18"/>
      <c r="L894" s="18"/>
      <c r="M894" s="18"/>
      <c r="N894" s="18"/>
      <c r="O894" s="1316"/>
      <c r="P894" s="18"/>
      <c r="Q894" s="18"/>
      <c r="R894" s="18"/>
      <c r="S894" s="18"/>
      <c r="T894" s="18"/>
      <c r="U894" s="18"/>
      <c r="V894" s="18"/>
      <c r="W894" s="18"/>
      <c r="X894" s="18"/>
      <c r="Y894" s="18"/>
      <c r="Z894" s="18"/>
      <c r="AA894" s="18"/>
      <c r="AB894" s="18"/>
      <c r="AC894" s="18"/>
      <c r="AD894" s="18"/>
      <c r="AE894" s="18"/>
      <c r="AF894" s="18"/>
      <c r="AG894" s="18"/>
    </row>
    <row r="895" spans="1:33" x14ac:dyDescent="0.2">
      <c r="A895" s="18"/>
      <c r="B895" s="18"/>
      <c r="C895" s="18"/>
      <c r="D895" s="18"/>
      <c r="E895" s="18"/>
      <c r="F895" s="18"/>
      <c r="G895" s="18"/>
      <c r="H895" s="18"/>
      <c r="I895" s="18"/>
      <c r="J895" s="18"/>
      <c r="K895" s="18"/>
      <c r="L895" s="18"/>
      <c r="M895" s="18"/>
      <c r="N895" s="18"/>
      <c r="O895" s="1316"/>
      <c r="P895" s="18"/>
      <c r="Q895" s="18"/>
      <c r="R895" s="18"/>
      <c r="S895" s="18"/>
      <c r="T895" s="18"/>
      <c r="U895" s="18"/>
      <c r="V895" s="18"/>
      <c r="W895" s="18"/>
      <c r="X895" s="18"/>
      <c r="Y895" s="18"/>
      <c r="Z895" s="18"/>
      <c r="AA895" s="18"/>
      <c r="AB895" s="18"/>
      <c r="AC895" s="18"/>
      <c r="AD895" s="18"/>
      <c r="AE895" s="18"/>
      <c r="AF895" s="18"/>
      <c r="AG895" s="18"/>
    </row>
    <row r="896" spans="1:33" x14ac:dyDescent="0.2">
      <c r="A896" s="18"/>
      <c r="B896" s="18"/>
      <c r="C896" s="18"/>
      <c r="D896" s="18"/>
      <c r="E896" s="18"/>
      <c r="F896" s="18"/>
      <c r="G896" s="18"/>
      <c r="H896" s="18"/>
      <c r="I896" s="18"/>
      <c r="J896" s="18"/>
      <c r="K896" s="18"/>
      <c r="L896" s="18"/>
      <c r="M896" s="18"/>
      <c r="N896" s="18"/>
      <c r="O896" s="1316"/>
      <c r="P896" s="18"/>
      <c r="Q896" s="18"/>
      <c r="R896" s="18"/>
      <c r="S896" s="18"/>
      <c r="T896" s="18"/>
      <c r="U896" s="18"/>
      <c r="V896" s="18"/>
      <c r="W896" s="18"/>
      <c r="X896" s="18"/>
      <c r="Y896" s="18"/>
      <c r="Z896" s="18"/>
      <c r="AA896" s="18"/>
      <c r="AB896" s="18"/>
      <c r="AC896" s="18"/>
      <c r="AD896" s="18"/>
      <c r="AE896" s="18"/>
      <c r="AF896" s="18"/>
      <c r="AG896" s="18"/>
    </row>
    <row r="897" spans="1:33" x14ac:dyDescent="0.2">
      <c r="A897" s="18"/>
      <c r="B897" s="18"/>
      <c r="C897" s="18"/>
      <c r="D897" s="18"/>
      <c r="E897" s="18"/>
      <c r="F897" s="18"/>
      <c r="G897" s="18"/>
      <c r="H897" s="18"/>
      <c r="I897" s="18"/>
      <c r="J897" s="18"/>
      <c r="K897" s="18"/>
      <c r="L897" s="18"/>
      <c r="M897" s="18"/>
      <c r="N897" s="18"/>
      <c r="O897" s="1316"/>
      <c r="P897" s="18"/>
      <c r="Q897" s="18"/>
      <c r="R897" s="18"/>
      <c r="S897" s="18"/>
      <c r="T897" s="18"/>
      <c r="U897" s="18"/>
      <c r="V897" s="18"/>
      <c r="W897" s="18"/>
      <c r="X897" s="18"/>
      <c r="Y897" s="18"/>
      <c r="Z897" s="18"/>
      <c r="AA897" s="18"/>
      <c r="AB897" s="18"/>
      <c r="AC897" s="18"/>
      <c r="AD897" s="18"/>
      <c r="AE897" s="18"/>
      <c r="AF897" s="18"/>
      <c r="AG897" s="18"/>
    </row>
    <row r="898" spans="1:33" x14ac:dyDescent="0.2">
      <c r="A898" s="18"/>
      <c r="B898" s="18"/>
      <c r="C898" s="18"/>
      <c r="D898" s="18"/>
      <c r="E898" s="18"/>
      <c r="F898" s="18"/>
      <c r="G898" s="18"/>
      <c r="H898" s="18"/>
      <c r="I898" s="18"/>
      <c r="J898" s="18"/>
      <c r="K898" s="18"/>
      <c r="L898" s="18"/>
      <c r="M898" s="18"/>
      <c r="N898" s="18"/>
      <c r="O898" s="1316"/>
      <c r="P898" s="18"/>
      <c r="Q898" s="18"/>
      <c r="R898" s="18"/>
      <c r="S898" s="18"/>
      <c r="T898" s="18"/>
      <c r="U898" s="18"/>
      <c r="V898" s="18"/>
      <c r="W898" s="18"/>
      <c r="X898" s="18"/>
      <c r="Y898" s="18"/>
      <c r="Z898" s="18"/>
      <c r="AA898" s="18"/>
      <c r="AB898" s="18"/>
      <c r="AC898" s="18"/>
      <c r="AD898" s="18"/>
      <c r="AE898" s="18"/>
      <c r="AF898" s="18"/>
      <c r="AG898" s="18"/>
    </row>
    <row r="899" spans="1:33" x14ac:dyDescent="0.2">
      <c r="A899" s="18"/>
      <c r="B899" s="18"/>
      <c r="C899" s="18"/>
      <c r="D899" s="18"/>
      <c r="E899" s="18"/>
      <c r="F899" s="18"/>
      <c r="G899" s="18"/>
      <c r="H899" s="18"/>
      <c r="I899" s="18"/>
      <c r="J899" s="18"/>
      <c r="K899" s="18"/>
      <c r="L899" s="18"/>
      <c r="M899" s="18"/>
      <c r="N899" s="18"/>
      <c r="O899" s="1316"/>
      <c r="P899" s="18"/>
      <c r="Q899" s="18"/>
      <c r="R899" s="18"/>
      <c r="S899" s="18"/>
      <c r="T899" s="18"/>
      <c r="U899" s="18"/>
      <c r="V899" s="18"/>
      <c r="W899" s="18"/>
      <c r="X899" s="18"/>
      <c r="Y899" s="18"/>
      <c r="Z899" s="18"/>
      <c r="AA899" s="18"/>
      <c r="AB899" s="18"/>
      <c r="AC899" s="18"/>
      <c r="AD899" s="18"/>
      <c r="AE899" s="18"/>
      <c r="AF899" s="18"/>
      <c r="AG899" s="18"/>
    </row>
    <row r="900" spans="1:33" x14ac:dyDescent="0.2">
      <c r="A900" s="18"/>
      <c r="B900" s="18"/>
      <c r="C900" s="18"/>
      <c r="D900" s="18"/>
      <c r="E900" s="18"/>
      <c r="F900" s="18"/>
      <c r="G900" s="18"/>
      <c r="H900" s="18"/>
      <c r="I900" s="18"/>
      <c r="J900" s="18"/>
      <c r="K900" s="18"/>
      <c r="L900" s="18"/>
      <c r="M900" s="18"/>
      <c r="N900" s="18"/>
      <c r="O900" s="1316"/>
      <c r="P900" s="18"/>
      <c r="Q900" s="18"/>
      <c r="R900" s="18"/>
      <c r="S900" s="18"/>
      <c r="T900" s="18"/>
      <c r="U900" s="18"/>
      <c r="V900" s="18"/>
      <c r="W900" s="18"/>
      <c r="X900" s="18"/>
      <c r="Y900" s="18"/>
      <c r="Z900" s="18"/>
      <c r="AA900" s="18"/>
      <c r="AB900" s="18"/>
      <c r="AC900" s="18"/>
      <c r="AD900" s="18"/>
      <c r="AE900" s="18"/>
      <c r="AF900" s="18"/>
      <c r="AG900" s="18"/>
    </row>
    <row r="901" spans="1:33" x14ac:dyDescent="0.2">
      <c r="A901" s="18"/>
      <c r="B901" s="18"/>
      <c r="C901" s="18"/>
      <c r="D901" s="18"/>
      <c r="E901" s="18"/>
      <c r="F901" s="18"/>
      <c r="G901" s="18"/>
      <c r="H901" s="18"/>
      <c r="I901" s="18"/>
      <c r="J901" s="18"/>
      <c r="K901" s="18"/>
      <c r="L901" s="18"/>
      <c r="M901" s="18"/>
      <c r="N901" s="18"/>
      <c r="O901" s="1316"/>
      <c r="P901" s="18"/>
      <c r="Q901" s="18"/>
      <c r="R901" s="18"/>
      <c r="S901" s="18"/>
      <c r="T901" s="18"/>
      <c r="U901" s="18"/>
      <c r="V901" s="18"/>
      <c r="W901" s="18"/>
      <c r="X901" s="18"/>
      <c r="Y901" s="18"/>
      <c r="Z901" s="18"/>
      <c r="AA901" s="18"/>
      <c r="AB901" s="18"/>
      <c r="AC901" s="18"/>
      <c r="AD901" s="18"/>
      <c r="AE901" s="18"/>
      <c r="AF901" s="18"/>
      <c r="AG901" s="18"/>
    </row>
    <row r="902" spans="1:33" x14ac:dyDescent="0.2">
      <c r="A902" s="18"/>
      <c r="B902" s="18"/>
      <c r="C902" s="18"/>
      <c r="D902" s="18"/>
      <c r="E902" s="18"/>
      <c r="F902" s="18"/>
      <c r="G902" s="18"/>
      <c r="H902" s="18"/>
      <c r="I902" s="18"/>
      <c r="J902" s="18"/>
      <c r="K902" s="18"/>
      <c r="L902" s="18"/>
      <c r="M902" s="18"/>
      <c r="N902" s="18"/>
      <c r="O902" s="1316"/>
      <c r="P902" s="18"/>
      <c r="Q902" s="18"/>
      <c r="R902" s="18"/>
      <c r="S902" s="18"/>
      <c r="T902" s="18"/>
      <c r="U902" s="18"/>
      <c r="V902" s="18"/>
      <c r="W902" s="18"/>
      <c r="X902" s="18"/>
      <c r="Y902" s="18"/>
      <c r="Z902" s="18"/>
      <c r="AA902" s="18"/>
      <c r="AB902" s="18"/>
      <c r="AC902" s="18"/>
      <c r="AD902" s="18"/>
      <c r="AE902" s="18"/>
      <c r="AF902" s="18"/>
      <c r="AG902" s="18"/>
    </row>
    <row r="903" spans="1:33" x14ac:dyDescent="0.2">
      <c r="A903" s="18"/>
      <c r="B903" s="18"/>
      <c r="C903" s="18"/>
      <c r="D903" s="18"/>
      <c r="E903" s="18"/>
      <c r="F903" s="18"/>
      <c r="G903" s="18"/>
      <c r="H903" s="18"/>
      <c r="I903" s="18"/>
      <c r="J903" s="18"/>
      <c r="K903" s="18"/>
      <c r="L903" s="18"/>
      <c r="M903" s="18"/>
      <c r="N903" s="18"/>
      <c r="O903" s="1316"/>
      <c r="P903" s="18"/>
      <c r="Q903" s="18"/>
      <c r="R903" s="18"/>
      <c r="S903" s="18"/>
      <c r="T903" s="18"/>
      <c r="U903" s="18"/>
      <c r="V903" s="18"/>
      <c r="W903" s="18"/>
      <c r="X903" s="18"/>
      <c r="Y903" s="18"/>
      <c r="Z903" s="18"/>
      <c r="AA903" s="18"/>
      <c r="AB903" s="18"/>
      <c r="AC903" s="18"/>
      <c r="AD903" s="18"/>
      <c r="AE903" s="18"/>
      <c r="AF903" s="18"/>
      <c r="AG903" s="18"/>
    </row>
    <row r="904" spans="1:33" x14ac:dyDescent="0.2">
      <c r="A904" s="18"/>
      <c r="B904" s="18"/>
      <c r="C904" s="18"/>
      <c r="D904" s="18"/>
      <c r="E904" s="18"/>
      <c r="F904" s="18"/>
      <c r="G904" s="18"/>
      <c r="H904" s="18"/>
      <c r="I904" s="18"/>
      <c r="J904" s="18"/>
      <c r="K904" s="18"/>
      <c r="L904" s="18"/>
      <c r="M904" s="18"/>
      <c r="N904" s="18"/>
      <c r="O904" s="1316"/>
      <c r="P904" s="18"/>
      <c r="Q904" s="18"/>
      <c r="R904" s="18"/>
      <c r="S904" s="18"/>
      <c r="T904" s="18"/>
      <c r="U904" s="18"/>
      <c r="V904" s="18"/>
      <c r="W904" s="18"/>
      <c r="X904" s="18"/>
      <c r="Y904" s="18"/>
      <c r="Z904" s="18"/>
      <c r="AA904" s="18"/>
      <c r="AB904" s="18"/>
      <c r="AC904" s="18"/>
      <c r="AD904" s="18"/>
      <c r="AE904" s="18"/>
      <c r="AF904" s="18"/>
      <c r="AG904" s="18"/>
    </row>
    <row r="905" spans="1:33" x14ac:dyDescent="0.2">
      <c r="A905" s="18"/>
      <c r="B905" s="18"/>
      <c r="C905" s="18"/>
      <c r="D905" s="18"/>
      <c r="E905" s="18"/>
      <c r="F905" s="18"/>
      <c r="G905" s="18"/>
      <c r="H905" s="18"/>
      <c r="I905" s="18"/>
      <c r="J905" s="18"/>
      <c r="K905" s="18"/>
      <c r="L905" s="18"/>
      <c r="M905" s="18"/>
      <c r="N905" s="18"/>
      <c r="O905" s="1316"/>
      <c r="P905" s="18"/>
      <c r="Q905" s="18"/>
      <c r="R905" s="18"/>
      <c r="S905" s="18"/>
      <c r="T905" s="18"/>
      <c r="U905" s="18"/>
      <c r="V905" s="18"/>
      <c r="W905" s="18"/>
      <c r="X905" s="18"/>
      <c r="Y905" s="18"/>
      <c r="Z905" s="18"/>
      <c r="AA905" s="18"/>
      <c r="AB905" s="18"/>
      <c r="AC905" s="18"/>
      <c r="AD905" s="18"/>
      <c r="AE905" s="18"/>
      <c r="AF905" s="18"/>
      <c r="AG905" s="18"/>
    </row>
    <row r="906" spans="1:33" x14ac:dyDescent="0.2">
      <c r="A906" s="18"/>
      <c r="B906" s="18"/>
      <c r="C906" s="18"/>
      <c r="D906" s="18"/>
      <c r="E906" s="18"/>
      <c r="F906" s="18"/>
      <c r="G906" s="18"/>
      <c r="H906" s="18"/>
      <c r="I906" s="18"/>
      <c r="J906" s="18"/>
      <c r="K906" s="18"/>
      <c r="L906" s="18"/>
      <c r="M906" s="18"/>
      <c r="N906" s="18"/>
      <c r="O906" s="1316"/>
      <c r="P906" s="18"/>
      <c r="Q906" s="18"/>
      <c r="R906" s="18"/>
      <c r="S906" s="18"/>
      <c r="T906" s="18"/>
      <c r="U906" s="18"/>
      <c r="V906" s="18"/>
      <c r="W906" s="18"/>
      <c r="X906" s="18"/>
      <c r="Y906" s="18"/>
      <c r="Z906" s="18"/>
      <c r="AA906" s="18"/>
      <c r="AB906" s="18"/>
      <c r="AC906" s="18"/>
      <c r="AD906" s="18"/>
      <c r="AE906" s="18"/>
      <c r="AF906" s="18"/>
      <c r="AG906" s="18"/>
    </row>
    <row r="907" spans="1:33" x14ac:dyDescent="0.2">
      <c r="A907" s="18"/>
      <c r="B907" s="18"/>
      <c r="C907" s="18"/>
      <c r="D907" s="18"/>
      <c r="E907" s="18"/>
      <c r="F907" s="18"/>
      <c r="G907" s="18"/>
      <c r="H907" s="18"/>
      <c r="I907" s="18"/>
      <c r="J907" s="18"/>
      <c r="K907" s="18"/>
      <c r="L907" s="18"/>
      <c r="M907" s="18"/>
      <c r="N907" s="18"/>
      <c r="O907" s="1316"/>
      <c r="P907" s="18"/>
      <c r="Q907" s="18"/>
      <c r="R907" s="18"/>
      <c r="S907" s="18"/>
      <c r="T907" s="18"/>
      <c r="U907" s="18"/>
      <c r="V907" s="18"/>
      <c r="W907" s="18"/>
      <c r="X907" s="18"/>
      <c r="Y907" s="18"/>
      <c r="Z907" s="18"/>
      <c r="AA907" s="18"/>
      <c r="AB907" s="18"/>
      <c r="AC907" s="18"/>
      <c r="AD907" s="18"/>
      <c r="AE907" s="18"/>
      <c r="AF907" s="18"/>
      <c r="AG907" s="18"/>
    </row>
    <row r="908" spans="1:33" x14ac:dyDescent="0.2">
      <c r="A908" s="18"/>
      <c r="B908" s="18"/>
      <c r="C908" s="18"/>
      <c r="D908" s="18"/>
      <c r="E908" s="18"/>
      <c r="F908" s="18"/>
      <c r="G908" s="18"/>
      <c r="H908" s="18"/>
      <c r="I908" s="18"/>
      <c r="J908" s="18"/>
      <c r="K908" s="18"/>
      <c r="L908" s="18"/>
      <c r="M908" s="18"/>
      <c r="N908" s="18"/>
      <c r="O908" s="1316"/>
      <c r="P908" s="18"/>
      <c r="Q908" s="18"/>
      <c r="R908" s="18"/>
      <c r="S908" s="18"/>
      <c r="T908" s="18"/>
      <c r="U908" s="18"/>
      <c r="V908" s="18"/>
      <c r="W908" s="18"/>
      <c r="X908" s="18"/>
      <c r="Y908" s="18"/>
      <c r="Z908" s="18"/>
      <c r="AA908" s="18"/>
      <c r="AB908" s="18"/>
      <c r="AC908" s="18"/>
      <c r="AD908" s="18"/>
      <c r="AE908" s="18"/>
      <c r="AF908" s="18"/>
      <c r="AG908" s="18"/>
    </row>
    <row r="909" spans="1:33" x14ac:dyDescent="0.2">
      <c r="A909" s="18"/>
      <c r="B909" s="18"/>
      <c r="C909" s="18"/>
      <c r="D909" s="18"/>
      <c r="E909" s="18"/>
      <c r="F909" s="18"/>
      <c r="G909" s="18"/>
      <c r="H909" s="18"/>
      <c r="I909" s="18"/>
      <c r="J909" s="18"/>
      <c r="K909" s="18"/>
      <c r="L909" s="18"/>
      <c r="M909" s="18"/>
      <c r="N909" s="18"/>
      <c r="O909" s="1316"/>
      <c r="P909" s="18"/>
      <c r="Q909" s="18"/>
      <c r="R909" s="18"/>
      <c r="S909" s="18"/>
      <c r="T909" s="18"/>
      <c r="U909" s="18"/>
      <c r="V909" s="18"/>
      <c r="W909" s="18"/>
      <c r="X909" s="18"/>
      <c r="Y909" s="18"/>
      <c r="Z909" s="18"/>
      <c r="AA909" s="18"/>
      <c r="AB909" s="18"/>
      <c r="AC909" s="18"/>
      <c r="AD909" s="18"/>
      <c r="AE909" s="18"/>
      <c r="AF909" s="18"/>
      <c r="AG909" s="18"/>
    </row>
    <row r="910" spans="1:33" x14ac:dyDescent="0.2">
      <c r="A910" s="18"/>
      <c r="B910" s="18"/>
      <c r="C910" s="18"/>
      <c r="D910" s="18"/>
      <c r="E910" s="18"/>
      <c r="F910" s="18"/>
      <c r="G910" s="18"/>
      <c r="H910" s="18"/>
      <c r="I910" s="18"/>
      <c r="J910" s="18"/>
      <c r="K910" s="18"/>
      <c r="L910" s="18"/>
      <c r="M910" s="18"/>
      <c r="N910" s="18"/>
      <c r="O910" s="1316"/>
      <c r="P910" s="18"/>
      <c r="Q910" s="18"/>
      <c r="R910" s="18"/>
      <c r="S910" s="18"/>
      <c r="T910" s="18"/>
      <c r="U910" s="18"/>
      <c r="V910" s="18"/>
      <c r="W910" s="18"/>
      <c r="X910" s="18"/>
      <c r="Y910" s="18"/>
      <c r="Z910" s="18"/>
      <c r="AA910" s="18"/>
      <c r="AB910" s="18"/>
      <c r="AC910" s="18"/>
      <c r="AD910" s="18"/>
      <c r="AE910" s="18"/>
      <c r="AF910" s="18"/>
      <c r="AG910" s="18"/>
    </row>
    <row r="911" spans="1:33" x14ac:dyDescent="0.2">
      <c r="A911" s="18"/>
      <c r="B911" s="18"/>
      <c r="C911" s="18"/>
      <c r="D911" s="18"/>
      <c r="E911" s="18"/>
      <c r="F911" s="18"/>
      <c r="G911" s="18"/>
      <c r="H911" s="18"/>
      <c r="I911" s="18"/>
      <c r="J911" s="18"/>
      <c r="K911" s="18"/>
      <c r="L911" s="18"/>
      <c r="M911" s="18"/>
      <c r="N911" s="18"/>
      <c r="O911" s="1316"/>
      <c r="P911" s="18"/>
      <c r="Q911" s="18"/>
      <c r="R911" s="18"/>
      <c r="S911" s="18"/>
      <c r="T911" s="18"/>
      <c r="U911" s="18"/>
      <c r="V911" s="18"/>
      <c r="W911" s="18"/>
      <c r="X911" s="18"/>
      <c r="Y911" s="18"/>
      <c r="Z911" s="18"/>
      <c r="AA911" s="18"/>
      <c r="AB911" s="18"/>
      <c r="AC911" s="18"/>
      <c r="AD911" s="18"/>
      <c r="AE911" s="18"/>
      <c r="AF911" s="18"/>
      <c r="AG911" s="18"/>
    </row>
    <row r="912" spans="1:33" x14ac:dyDescent="0.2">
      <c r="A912" s="18"/>
      <c r="B912" s="18"/>
      <c r="C912" s="18"/>
      <c r="D912" s="18"/>
      <c r="E912" s="18"/>
      <c r="F912" s="18"/>
      <c r="G912" s="18"/>
      <c r="H912" s="18"/>
      <c r="I912" s="18"/>
      <c r="J912" s="18"/>
      <c r="K912" s="18"/>
      <c r="L912" s="18"/>
      <c r="M912" s="18"/>
      <c r="N912" s="18"/>
      <c r="O912" s="1316"/>
      <c r="P912" s="18"/>
      <c r="Q912" s="18"/>
      <c r="R912" s="18"/>
      <c r="S912" s="18"/>
      <c r="T912" s="18"/>
      <c r="U912" s="18"/>
      <c r="V912" s="18"/>
      <c r="W912" s="18"/>
      <c r="X912" s="18"/>
      <c r="Y912" s="18"/>
      <c r="Z912" s="18"/>
      <c r="AA912" s="18"/>
      <c r="AB912" s="18"/>
      <c r="AC912" s="18"/>
      <c r="AD912" s="18"/>
      <c r="AE912" s="18"/>
      <c r="AF912" s="18"/>
      <c r="AG912" s="18"/>
    </row>
    <row r="913" spans="1:33" x14ac:dyDescent="0.2">
      <c r="A913" s="18"/>
      <c r="B913" s="18"/>
      <c r="C913" s="18"/>
      <c r="D913" s="18"/>
      <c r="E913" s="18"/>
      <c r="F913" s="18"/>
      <c r="G913" s="18"/>
      <c r="H913" s="18"/>
      <c r="I913" s="18"/>
      <c r="J913" s="18"/>
      <c r="K913" s="18"/>
      <c r="L913" s="18"/>
      <c r="M913" s="18"/>
      <c r="N913" s="18"/>
      <c r="O913" s="1316"/>
      <c r="P913" s="18"/>
      <c r="Q913" s="18"/>
      <c r="R913" s="18"/>
      <c r="S913" s="18"/>
      <c r="T913" s="18"/>
      <c r="U913" s="18"/>
      <c r="V913" s="18"/>
      <c r="W913" s="18"/>
      <c r="X913" s="18"/>
      <c r="Y913" s="18"/>
      <c r="Z913" s="18"/>
      <c r="AA913" s="18"/>
      <c r="AB913" s="18"/>
      <c r="AC913" s="18"/>
      <c r="AD913" s="18"/>
      <c r="AE913" s="18"/>
      <c r="AF913" s="18"/>
      <c r="AG913" s="18"/>
    </row>
    <row r="914" spans="1:33" x14ac:dyDescent="0.2">
      <c r="A914" s="18"/>
      <c r="B914" s="18"/>
      <c r="C914" s="18"/>
      <c r="D914" s="18"/>
      <c r="E914" s="18"/>
      <c r="F914" s="18"/>
      <c r="G914" s="18"/>
      <c r="H914" s="18"/>
      <c r="I914" s="18"/>
      <c r="J914" s="18"/>
      <c r="K914" s="18"/>
      <c r="L914" s="18"/>
      <c r="M914" s="18"/>
      <c r="N914" s="18"/>
      <c r="O914" s="1316"/>
      <c r="P914" s="18"/>
      <c r="Q914" s="18"/>
      <c r="R914" s="18"/>
      <c r="S914" s="18"/>
      <c r="T914" s="18"/>
      <c r="U914" s="18"/>
      <c r="V914" s="18"/>
      <c r="W914" s="18"/>
      <c r="X914" s="18"/>
      <c r="Y914" s="18"/>
      <c r="Z914" s="18"/>
      <c r="AA914" s="18"/>
      <c r="AB914" s="18"/>
      <c r="AC914" s="18"/>
      <c r="AD914" s="18"/>
      <c r="AE914" s="18"/>
      <c r="AF914" s="18"/>
      <c r="AG914" s="18"/>
    </row>
    <row r="915" spans="1:33" x14ac:dyDescent="0.2">
      <c r="A915" s="18"/>
      <c r="B915" s="18"/>
      <c r="C915" s="18"/>
      <c r="D915" s="18"/>
      <c r="E915" s="18"/>
      <c r="F915" s="18"/>
      <c r="G915" s="18"/>
      <c r="H915" s="18"/>
      <c r="I915" s="18"/>
      <c r="J915" s="18"/>
      <c r="K915" s="18"/>
      <c r="L915" s="18"/>
      <c r="M915" s="18"/>
      <c r="N915" s="18"/>
      <c r="O915" s="1316"/>
      <c r="P915" s="18"/>
      <c r="Q915" s="18"/>
      <c r="R915" s="18"/>
      <c r="S915" s="18"/>
      <c r="T915" s="18"/>
      <c r="U915" s="18"/>
      <c r="V915" s="18"/>
      <c r="W915" s="18"/>
      <c r="X915" s="18"/>
      <c r="Y915" s="18"/>
      <c r="Z915" s="18"/>
      <c r="AA915" s="18"/>
      <c r="AB915" s="18"/>
      <c r="AC915" s="18"/>
      <c r="AD915" s="18"/>
      <c r="AE915" s="18"/>
      <c r="AF915" s="18"/>
      <c r="AG915" s="18"/>
    </row>
    <row r="916" spans="1:33" x14ac:dyDescent="0.2">
      <c r="A916" s="18"/>
      <c r="B916" s="18"/>
      <c r="C916" s="18"/>
      <c r="D916" s="18"/>
      <c r="E916" s="18"/>
      <c r="F916" s="18"/>
      <c r="G916" s="18"/>
      <c r="H916" s="18"/>
      <c r="I916" s="18"/>
      <c r="J916" s="18"/>
      <c r="K916" s="18"/>
      <c r="L916" s="18"/>
      <c r="M916" s="18"/>
      <c r="N916" s="18"/>
      <c r="O916" s="1316"/>
      <c r="P916" s="18"/>
      <c r="Q916" s="18"/>
      <c r="R916" s="18"/>
      <c r="S916" s="18"/>
      <c r="T916" s="18"/>
      <c r="U916" s="18"/>
      <c r="V916" s="18"/>
      <c r="W916" s="18"/>
      <c r="X916" s="18"/>
      <c r="Y916" s="18"/>
      <c r="Z916" s="18"/>
      <c r="AA916" s="18"/>
      <c r="AB916" s="18"/>
      <c r="AC916" s="18"/>
      <c r="AD916" s="18"/>
      <c r="AE916" s="18"/>
      <c r="AF916" s="18"/>
      <c r="AG916" s="18"/>
    </row>
    <row r="917" spans="1:33" x14ac:dyDescent="0.2">
      <c r="A917" s="18"/>
      <c r="B917" s="18"/>
      <c r="C917" s="18"/>
      <c r="D917" s="18"/>
      <c r="E917" s="18"/>
      <c r="F917" s="18"/>
      <c r="G917" s="18"/>
      <c r="H917" s="18"/>
      <c r="I917" s="18"/>
      <c r="J917" s="18"/>
      <c r="K917" s="18"/>
      <c r="L917" s="18"/>
      <c r="M917" s="18"/>
      <c r="N917" s="18"/>
      <c r="O917" s="1316"/>
      <c r="P917" s="18"/>
      <c r="Q917" s="18"/>
      <c r="R917" s="18"/>
      <c r="S917" s="18"/>
      <c r="T917" s="18"/>
      <c r="U917" s="18"/>
      <c r="V917" s="18"/>
      <c r="W917" s="18"/>
      <c r="X917" s="18"/>
      <c r="Y917" s="18"/>
      <c r="Z917" s="18"/>
      <c r="AA917" s="18"/>
      <c r="AB917" s="18"/>
      <c r="AC917" s="18"/>
      <c r="AD917" s="18"/>
      <c r="AE917" s="18"/>
      <c r="AF917" s="18"/>
      <c r="AG917" s="18"/>
    </row>
    <row r="918" spans="1:33" x14ac:dyDescent="0.2">
      <c r="A918" s="18"/>
      <c r="B918" s="18"/>
      <c r="C918" s="18"/>
      <c r="D918" s="18"/>
      <c r="E918" s="18"/>
      <c r="F918" s="18"/>
      <c r="G918" s="18"/>
      <c r="H918" s="18"/>
      <c r="I918" s="18"/>
      <c r="J918" s="18"/>
      <c r="K918" s="18"/>
      <c r="L918" s="18"/>
      <c r="M918" s="18"/>
      <c r="N918" s="18"/>
      <c r="O918" s="1316"/>
      <c r="P918" s="18"/>
      <c r="Q918" s="18"/>
      <c r="R918" s="18"/>
      <c r="S918" s="18"/>
      <c r="T918" s="18"/>
      <c r="U918" s="18"/>
      <c r="V918" s="18"/>
      <c r="W918" s="18"/>
      <c r="X918" s="18"/>
      <c r="Y918" s="18"/>
      <c r="Z918" s="18"/>
      <c r="AA918" s="18"/>
      <c r="AB918" s="18"/>
      <c r="AC918" s="18"/>
      <c r="AD918" s="18"/>
      <c r="AE918" s="18"/>
      <c r="AF918" s="18"/>
      <c r="AG918" s="18"/>
    </row>
    <row r="919" spans="1:33" x14ac:dyDescent="0.2">
      <c r="A919" s="18"/>
      <c r="B919" s="18"/>
      <c r="C919" s="18"/>
      <c r="D919" s="18"/>
      <c r="E919" s="18"/>
      <c r="F919" s="18"/>
      <c r="G919" s="18"/>
      <c r="H919" s="18"/>
      <c r="I919" s="18"/>
      <c r="J919" s="18"/>
      <c r="K919" s="18"/>
      <c r="L919" s="18"/>
      <c r="M919" s="18"/>
      <c r="N919" s="18"/>
      <c r="O919" s="1316"/>
      <c r="P919" s="18"/>
      <c r="Q919" s="18"/>
      <c r="R919" s="18"/>
      <c r="S919" s="18"/>
      <c r="T919" s="18"/>
      <c r="U919" s="18"/>
      <c r="V919" s="18"/>
      <c r="W919" s="18"/>
      <c r="X919" s="18"/>
      <c r="Y919" s="18"/>
      <c r="Z919" s="18"/>
      <c r="AA919" s="18"/>
      <c r="AB919" s="18"/>
      <c r="AC919" s="18"/>
      <c r="AD919" s="18"/>
      <c r="AE919" s="18"/>
      <c r="AF919" s="18"/>
      <c r="AG919" s="18"/>
    </row>
    <row r="920" spans="1:33" x14ac:dyDescent="0.2">
      <c r="A920" s="18"/>
      <c r="B920" s="18"/>
      <c r="C920" s="18"/>
      <c r="D920" s="18"/>
      <c r="E920" s="18"/>
      <c r="F920" s="18"/>
      <c r="G920" s="18"/>
      <c r="H920" s="18"/>
      <c r="I920" s="18"/>
      <c r="J920" s="18"/>
      <c r="K920" s="18"/>
      <c r="L920" s="18"/>
      <c r="M920" s="18"/>
      <c r="N920" s="18"/>
      <c r="O920" s="1316"/>
      <c r="P920" s="18"/>
      <c r="Q920" s="18"/>
      <c r="R920" s="18"/>
      <c r="S920" s="18"/>
      <c r="T920" s="18"/>
      <c r="U920" s="18"/>
      <c r="V920" s="18"/>
      <c r="W920" s="18"/>
      <c r="X920" s="18"/>
      <c r="Y920" s="18"/>
      <c r="Z920" s="18"/>
      <c r="AA920" s="18"/>
      <c r="AB920" s="18"/>
      <c r="AC920" s="18"/>
      <c r="AD920" s="18"/>
      <c r="AE920" s="18"/>
      <c r="AF920" s="18"/>
      <c r="AG920" s="18"/>
    </row>
    <row r="921" spans="1:33" x14ac:dyDescent="0.2">
      <c r="A921" s="18"/>
      <c r="B921" s="18"/>
      <c r="C921" s="18"/>
      <c r="D921" s="18"/>
      <c r="E921" s="18"/>
      <c r="F921" s="18"/>
      <c r="G921" s="18"/>
      <c r="H921" s="18"/>
      <c r="I921" s="18"/>
      <c r="J921" s="18"/>
      <c r="K921" s="18"/>
      <c r="L921" s="18"/>
      <c r="M921" s="18"/>
      <c r="N921" s="18"/>
      <c r="O921" s="1316"/>
      <c r="P921" s="18"/>
      <c r="Q921" s="18"/>
      <c r="R921" s="18"/>
      <c r="S921" s="18"/>
      <c r="T921" s="18"/>
      <c r="U921" s="18"/>
      <c r="V921" s="18"/>
      <c r="W921" s="18"/>
      <c r="X921" s="18"/>
      <c r="Y921" s="18"/>
      <c r="Z921" s="18"/>
      <c r="AA921" s="18"/>
      <c r="AB921" s="18"/>
      <c r="AC921" s="18"/>
      <c r="AD921" s="18"/>
      <c r="AE921" s="18"/>
      <c r="AF921" s="18"/>
      <c r="AG921" s="18"/>
    </row>
    <row r="922" spans="1:33" x14ac:dyDescent="0.2">
      <c r="A922" s="18"/>
      <c r="B922" s="18"/>
      <c r="C922" s="18"/>
      <c r="D922" s="18"/>
      <c r="E922" s="18"/>
      <c r="F922" s="18"/>
      <c r="G922" s="18"/>
      <c r="H922" s="18"/>
      <c r="I922" s="18"/>
      <c r="J922" s="18"/>
      <c r="K922" s="18"/>
      <c r="L922" s="18"/>
      <c r="M922" s="18"/>
      <c r="N922" s="18"/>
      <c r="O922" s="1316"/>
      <c r="P922" s="18"/>
      <c r="Q922" s="18"/>
      <c r="R922" s="18"/>
      <c r="S922" s="18"/>
      <c r="T922" s="18"/>
      <c r="U922" s="18"/>
      <c r="V922" s="18"/>
      <c r="W922" s="18"/>
      <c r="X922" s="18"/>
      <c r="Y922" s="18"/>
      <c r="Z922" s="18"/>
      <c r="AA922" s="18"/>
      <c r="AB922" s="18"/>
      <c r="AC922" s="18"/>
      <c r="AD922" s="18"/>
      <c r="AE922" s="18"/>
      <c r="AF922" s="18"/>
      <c r="AG922" s="18"/>
    </row>
    <row r="923" spans="1:33" x14ac:dyDescent="0.2">
      <c r="A923" s="18"/>
      <c r="B923" s="18"/>
      <c r="C923" s="18"/>
      <c r="D923" s="18"/>
      <c r="E923" s="18"/>
      <c r="F923" s="18"/>
      <c r="G923" s="18"/>
      <c r="H923" s="18"/>
      <c r="I923" s="18"/>
      <c r="J923" s="18"/>
      <c r="K923" s="18"/>
      <c r="L923" s="18"/>
      <c r="M923" s="18"/>
      <c r="N923" s="18"/>
      <c r="O923" s="1316"/>
      <c r="P923" s="18"/>
      <c r="Q923" s="18"/>
      <c r="R923" s="18"/>
      <c r="S923" s="18"/>
      <c r="T923" s="18"/>
      <c r="U923" s="18"/>
      <c r="V923" s="18"/>
      <c r="W923" s="18"/>
      <c r="X923" s="18"/>
      <c r="Y923" s="18"/>
      <c r="Z923" s="18"/>
      <c r="AA923" s="18"/>
      <c r="AB923" s="18"/>
      <c r="AC923" s="18"/>
      <c r="AD923" s="18"/>
      <c r="AE923" s="18"/>
      <c r="AF923" s="18"/>
      <c r="AG923" s="18"/>
    </row>
    <row r="924" spans="1:33" x14ac:dyDescent="0.2">
      <c r="A924" s="18"/>
      <c r="B924" s="18"/>
      <c r="C924" s="18"/>
      <c r="D924" s="18"/>
      <c r="E924" s="18"/>
      <c r="F924" s="18"/>
      <c r="G924" s="18"/>
      <c r="H924" s="18"/>
      <c r="I924" s="18"/>
      <c r="J924" s="18"/>
      <c r="K924" s="18"/>
      <c r="L924" s="18"/>
      <c r="M924" s="18"/>
      <c r="N924" s="18"/>
      <c r="O924" s="1316"/>
      <c r="P924" s="18"/>
      <c r="Q924" s="18"/>
      <c r="R924" s="18"/>
      <c r="S924" s="18"/>
      <c r="T924" s="18"/>
      <c r="U924" s="18"/>
      <c r="V924" s="18"/>
      <c r="W924" s="18"/>
      <c r="X924" s="18"/>
      <c r="Y924" s="18"/>
      <c r="Z924" s="18"/>
      <c r="AA924" s="18"/>
      <c r="AB924" s="18"/>
      <c r="AC924" s="18"/>
      <c r="AD924" s="18"/>
      <c r="AE924" s="18"/>
      <c r="AF924" s="18"/>
      <c r="AG924" s="18"/>
    </row>
    <row r="925" spans="1:33" x14ac:dyDescent="0.2">
      <c r="A925" s="18"/>
      <c r="B925" s="18"/>
      <c r="C925" s="18"/>
      <c r="D925" s="18"/>
      <c r="E925" s="18"/>
      <c r="F925" s="18"/>
      <c r="G925" s="18"/>
      <c r="H925" s="18"/>
      <c r="I925" s="18"/>
      <c r="J925" s="18"/>
      <c r="K925" s="18"/>
      <c r="L925" s="18"/>
      <c r="M925" s="18"/>
      <c r="N925" s="18"/>
      <c r="O925" s="1316"/>
      <c r="P925" s="18"/>
      <c r="Q925" s="18"/>
      <c r="R925" s="18"/>
      <c r="S925" s="18"/>
      <c r="T925" s="18"/>
      <c r="U925" s="18"/>
      <c r="V925" s="18"/>
      <c r="W925" s="18"/>
      <c r="X925" s="18"/>
      <c r="Y925" s="18"/>
      <c r="Z925" s="18"/>
      <c r="AA925" s="18"/>
      <c r="AB925" s="18"/>
      <c r="AC925" s="18"/>
      <c r="AD925" s="18"/>
      <c r="AE925" s="18"/>
      <c r="AF925" s="18"/>
      <c r="AG925" s="18"/>
    </row>
    <row r="926" spans="1:33" x14ac:dyDescent="0.2">
      <c r="A926" s="18"/>
      <c r="B926" s="18"/>
      <c r="C926" s="18"/>
      <c r="D926" s="18"/>
      <c r="E926" s="18"/>
      <c r="F926" s="18"/>
      <c r="G926" s="18"/>
      <c r="H926" s="18"/>
      <c r="I926" s="18"/>
      <c r="J926" s="18"/>
      <c r="K926" s="18"/>
      <c r="L926" s="18"/>
      <c r="M926" s="18"/>
      <c r="N926" s="18"/>
      <c r="O926" s="1316"/>
      <c r="P926" s="18"/>
      <c r="Q926" s="18"/>
      <c r="R926" s="18"/>
      <c r="S926" s="18"/>
      <c r="T926" s="18"/>
      <c r="U926" s="18"/>
      <c r="V926" s="18"/>
      <c r="W926" s="18"/>
      <c r="X926" s="18"/>
      <c r="Y926" s="18"/>
      <c r="Z926" s="18"/>
      <c r="AA926" s="18"/>
      <c r="AB926" s="18"/>
      <c r="AC926" s="18"/>
      <c r="AD926" s="18"/>
      <c r="AE926" s="18"/>
      <c r="AF926" s="18"/>
      <c r="AG926" s="18"/>
    </row>
    <row r="927" spans="1:33" x14ac:dyDescent="0.2">
      <c r="A927" s="18"/>
      <c r="B927" s="18"/>
      <c r="C927" s="18"/>
      <c r="D927" s="18"/>
      <c r="E927" s="18"/>
      <c r="F927" s="18"/>
      <c r="G927" s="18"/>
      <c r="H927" s="18"/>
      <c r="I927" s="18"/>
      <c r="J927" s="18"/>
      <c r="K927" s="18"/>
      <c r="L927" s="18"/>
      <c r="M927" s="18"/>
      <c r="N927" s="18"/>
      <c r="O927" s="1316"/>
      <c r="P927" s="18"/>
      <c r="Q927" s="18"/>
      <c r="R927" s="18"/>
      <c r="S927" s="18"/>
      <c r="T927" s="18"/>
      <c r="U927" s="18"/>
      <c r="V927" s="18"/>
      <c r="W927" s="18"/>
      <c r="X927" s="18"/>
      <c r="Y927" s="18"/>
      <c r="Z927" s="18"/>
      <c r="AA927" s="18"/>
      <c r="AB927" s="18"/>
      <c r="AC927" s="18"/>
      <c r="AD927" s="18"/>
      <c r="AE927" s="18"/>
      <c r="AF927" s="18"/>
      <c r="AG927" s="18"/>
    </row>
    <row r="928" spans="1:33" x14ac:dyDescent="0.2">
      <c r="A928" s="18"/>
      <c r="B928" s="18"/>
      <c r="C928" s="18"/>
      <c r="D928" s="18"/>
      <c r="E928" s="18"/>
      <c r="F928" s="18"/>
      <c r="G928" s="18"/>
      <c r="H928" s="18"/>
      <c r="I928" s="18"/>
      <c r="J928" s="18"/>
      <c r="K928" s="18"/>
      <c r="L928" s="18"/>
      <c r="M928" s="18"/>
      <c r="N928" s="18"/>
      <c r="O928" s="1316"/>
      <c r="P928" s="18"/>
      <c r="Q928" s="18"/>
      <c r="R928" s="18"/>
      <c r="S928" s="18"/>
      <c r="T928" s="18"/>
      <c r="U928" s="18"/>
      <c r="V928" s="18"/>
      <c r="W928" s="18"/>
      <c r="X928" s="18"/>
      <c r="Y928" s="18"/>
      <c r="Z928" s="18"/>
      <c r="AA928" s="18"/>
      <c r="AB928" s="18"/>
      <c r="AC928" s="18"/>
      <c r="AD928" s="18"/>
      <c r="AE928" s="18"/>
      <c r="AF928" s="18"/>
      <c r="AG928" s="18"/>
    </row>
    <row r="929" spans="1:33" x14ac:dyDescent="0.2">
      <c r="A929" s="18"/>
      <c r="B929" s="18"/>
      <c r="C929" s="18"/>
      <c r="D929" s="18"/>
      <c r="E929" s="18"/>
      <c r="F929" s="18"/>
      <c r="G929" s="18"/>
      <c r="H929" s="18"/>
      <c r="I929" s="18"/>
      <c r="J929" s="18"/>
      <c r="K929" s="18"/>
      <c r="L929" s="18"/>
      <c r="M929" s="18"/>
      <c r="N929" s="18"/>
      <c r="O929" s="1316"/>
      <c r="P929" s="18"/>
      <c r="Q929" s="18"/>
      <c r="R929" s="18"/>
      <c r="S929" s="18"/>
      <c r="T929" s="18"/>
      <c r="U929" s="18"/>
      <c r="V929" s="18"/>
      <c r="W929" s="18"/>
      <c r="X929" s="18"/>
      <c r="Y929" s="18"/>
      <c r="Z929" s="18"/>
      <c r="AA929" s="18"/>
      <c r="AB929" s="18"/>
      <c r="AC929" s="18"/>
      <c r="AD929" s="18"/>
      <c r="AE929" s="18"/>
      <c r="AF929" s="18"/>
      <c r="AG929" s="18"/>
    </row>
    <row r="930" spans="1:33" x14ac:dyDescent="0.2">
      <c r="A930" s="18"/>
      <c r="B930" s="18"/>
      <c r="C930" s="18"/>
      <c r="D930" s="18"/>
      <c r="E930" s="18"/>
      <c r="F930" s="18"/>
      <c r="G930" s="18"/>
      <c r="H930" s="18"/>
      <c r="I930" s="18"/>
      <c r="J930" s="18"/>
      <c r="K930" s="18"/>
      <c r="L930" s="18"/>
      <c r="M930" s="18"/>
      <c r="N930" s="18"/>
      <c r="O930" s="1316"/>
      <c r="P930" s="18"/>
      <c r="Q930" s="18"/>
      <c r="R930" s="18"/>
      <c r="S930" s="18"/>
      <c r="T930" s="18"/>
      <c r="U930" s="18"/>
      <c r="V930" s="18"/>
      <c r="W930" s="18"/>
      <c r="X930" s="18"/>
      <c r="Y930" s="18"/>
      <c r="Z930" s="18"/>
      <c r="AA930" s="18"/>
      <c r="AB930" s="18"/>
      <c r="AC930" s="18"/>
      <c r="AD930" s="18"/>
      <c r="AE930" s="18"/>
      <c r="AF930" s="18"/>
      <c r="AG930" s="18"/>
    </row>
    <row r="931" spans="1:33" x14ac:dyDescent="0.2">
      <c r="A931" s="18"/>
      <c r="B931" s="18"/>
      <c r="C931" s="18"/>
      <c r="D931" s="18"/>
      <c r="E931" s="18"/>
      <c r="F931" s="18"/>
      <c r="G931" s="18"/>
      <c r="H931" s="18"/>
      <c r="I931" s="18"/>
      <c r="J931" s="18"/>
      <c r="K931" s="18"/>
      <c r="L931" s="18"/>
      <c r="M931" s="18"/>
      <c r="N931" s="18"/>
      <c r="O931" s="1316"/>
      <c r="P931" s="18"/>
      <c r="Q931" s="18"/>
      <c r="R931" s="18"/>
      <c r="S931" s="18"/>
      <c r="T931" s="18"/>
      <c r="U931" s="18"/>
      <c r="V931" s="18"/>
      <c r="W931" s="18"/>
      <c r="X931" s="18"/>
      <c r="Y931" s="18"/>
      <c r="Z931" s="18"/>
      <c r="AA931" s="18"/>
      <c r="AB931" s="18"/>
      <c r="AC931" s="18"/>
      <c r="AD931" s="18"/>
      <c r="AE931" s="18"/>
      <c r="AF931" s="18"/>
      <c r="AG931" s="18"/>
    </row>
    <row r="932" spans="1:33" x14ac:dyDescent="0.2">
      <c r="A932" s="18"/>
      <c r="B932" s="18"/>
      <c r="C932" s="18"/>
      <c r="D932" s="18"/>
      <c r="E932" s="18"/>
      <c r="F932" s="18"/>
      <c r="G932" s="18"/>
      <c r="H932" s="18"/>
      <c r="I932" s="18"/>
      <c r="J932" s="18"/>
      <c r="K932" s="18"/>
      <c r="L932" s="18"/>
      <c r="M932" s="18"/>
      <c r="N932" s="18"/>
      <c r="O932" s="1316"/>
      <c r="P932" s="18"/>
      <c r="Q932" s="18"/>
      <c r="R932" s="18"/>
      <c r="S932" s="18"/>
      <c r="T932" s="18"/>
      <c r="U932" s="18"/>
      <c r="V932" s="18"/>
      <c r="W932" s="18"/>
      <c r="X932" s="18"/>
      <c r="Y932" s="18"/>
      <c r="Z932" s="18"/>
      <c r="AA932" s="18"/>
      <c r="AB932" s="18"/>
      <c r="AC932" s="18"/>
      <c r="AD932" s="18"/>
      <c r="AE932" s="18"/>
      <c r="AF932" s="18"/>
      <c r="AG932" s="18"/>
    </row>
    <row r="933" spans="1:33" x14ac:dyDescent="0.2">
      <c r="A933" s="18"/>
      <c r="B933" s="18"/>
      <c r="C933" s="18"/>
      <c r="D933" s="18"/>
      <c r="E933" s="18"/>
      <c r="F933" s="18"/>
      <c r="G933" s="18"/>
      <c r="H933" s="18"/>
      <c r="I933" s="18"/>
      <c r="J933" s="18"/>
      <c r="K933" s="18"/>
      <c r="L933" s="18"/>
      <c r="M933" s="18"/>
      <c r="N933" s="18"/>
      <c r="O933" s="1316"/>
      <c r="P933" s="18"/>
      <c r="Q933" s="18"/>
      <c r="R933" s="18"/>
      <c r="S933" s="18"/>
      <c r="T933" s="18"/>
      <c r="U933" s="18"/>
      <c r="V933" s="18"/>
      <c r="W933" s="18"/>
      <c r="X933" s="18"/>
      <c r="Y933" s="18"/>
      <c r="Z933" s="18"/>
      <c r="AA933" s="18"/>
      <c r="AB933" s="18"/>
      <c r="AC933" s="18"/>
      <c r="AD933" s="18"/>
      <c r="AE933" s="18"/>
      <c r="AF933" s="18"/>
      <c r="AG933" s="18"/>
    </row>
    <row r="934" spans="1:33" x14ac:dyDescent="0.2">
      <c r="A934" s="18"/>
      <c r="B934" s="18"/>
      <c r="C934" s="18"/>
      <c r="D934" s="18"/>
      <c r="E934" s="18"/>
      <c r="F934" s="18"/>
      <c r="G934" s="18"/>
      <c r="H934" s="18"/>
      <c r="I934" s="18"/>
      <c r="J934" s="18"/>
      <c r="K934" s="18"/>
      <c r="L934" s="18"/>
      <c r="M934" s="18"/>
      <c r="N934" s="18"/>
      <c r="O934" s="1316"/>
      <c r="P934" s="18"/>
      <c r="Q934" s="18"/>
      <c r="R934" s="18"/>
      <c r="S934" s="18"/>
      <c r="T934" s="18"/>
      <c r="U934" s="18"/>
      <c r="V934" s="18"/>
      <c r="W934" s="18"/>
      <c r="X934" s="18"/>
      <c r="Y934" s="18"/>
      <c r="Z934" s="18"/>
      <c r="AA934" s="18"/>
      <c r="AB934" s="18"/>
      <c r="AC934" s="18"/>
      <c r="AD934" s="18"/>
      <c r="AE934" s="18"/>
      <c r="AF934" s="18"/>
      <c r="AG934" s="18"/>
    </row>
    <row r="935" spans="1:33" x14ac:dyDescent="0.2">
      <c r="A935" s="18"/>
      <c r="B935" s="18"/>
      <c r="C935" s="18"/>
      <c r="D935" s="18"/>
      <c r="E935" s="18"/>
      <c r="F935" s="18"/>
      <c r="G935" s="18"/>
      <c r="H935" s="18"/>
      <c r="I935" s="18"/>
      <c r="J935" s="18"/>
      <c r="K935" s="18"/>
      <c r="L935" s="18"/>
      <c r="M935" s="18"/>
      <c r="N935" s="18"/>
      <c r="O935" s="1316"/>
      <c r="P935" s="18"/>
      <c r="Q935" s="18"/>
      <c r="R935" s="18"/>
      <c r="S935" s="18"/>
      <c r="T935" s="18"/>
      <c r="U935" s="18"/>
      <c r="V935" s="18"/>
      <c r="W935" s="18"/>
      <c r="X935" s="18"/>
      <c r="Y935" s="18"/>
      <c r="Z935" s="18"/>
      <c r="AA935" s="18"/>
      <c r="AB935" s="18"/>
      <c r="AC935" s="18"/>
      <c r="AD935" s="18"/>
      <c r="AE935" s="18"/>
      <c r="AF935" s="18"/>
      <c r="AG935" s="18"/>
    </row>
    <row r="936" spans="1:33" x14ac:dyDescent="0.2">
      <c r="A936" s="18"/>
      <c r="B936" s="18"/>
      <c r="C936" s="18"/>
      <c r="D936" s="18"/>
      <c r="E936" s="18"/>
      <c r="F936" s="18"/>
      <c r="G936" s="18"/>
      <c r="H936" s="18"/>
      <c r="I936" s="18"/>
      <c r="J936" s="18"/>
      <c r="K936" s="18"/>
      <c r="L936" s="18"/>
      <c r="M936" s="18"/>
      <c r="N936" s="18"/>
      <c r="O936" s="1316"/>
      <c r="P936" s="18"/>
      <c r="Q936" s="18"/>
      <c r="R936" s="18"/>
      <c r="S936" s="18"/>
      <c r="T936" s="18"/>
      <c r="U936" s="18"/>
      <c r="V936" s="18"/>
      <c r="W936" s="18"/>
      <c r="X936" s="18"/>
      <c r="Y936" s="18"/>
      <c r="Z936" s="18"/>
      <c r="AA936" s="18"/>
      <c r="AB936" s="18"/>
      <c r="AC936" s="18"/>
      <c r="AD936" s="18"/>
      <c r="AE936" s="18"/>
      <c r="AF936" s="18"/>
      <c r="AG936" s="18"/>
    </row>
    <row r="937" spans="1:33" x14ac:dyDescent="0.2">
      <c r="A937" s="18"/>
      <c r="B937" s="18"/>
      <c r="C937" s="18"/>
      <c r="D937" s="18"/>
      <c r="E937" s="18"/>
      <c r="F937" s="18"/>
      <c r="G937" s="18"/>
      <c r="H937" s="18"/>
      <c r="I937" s="18"/>
      <c r="J937" s="18"/>
      <c r="K937" s="18"/>
      <c r="L937" s="18"/>
      <c r="M937" s="18"/>
      <c r="N937" s="18"/>
      <c r="O937" s="1316"/>
      <c r="P937" s="18"/>
      <c r="Q937" s="18"/>
      <c r="R937" s="18"/>
      <c r="S937" s="18"/>
      <c r="T937" s="18"/>
      <c r="U937" s="18"/>
      <c r="V937" s="18"/>
      <c r="W937" s="18"/>
      <c r="X937" s="18"/>
      <c r="Y937" s="18"/>
      <c r="Z937" s="18"/>
      <c r="AA937" s="18"/>
      <c r="AB937" s="18"/>
      <c r="AC937" s="18"/>
      <c r="AD937" s="18"/>
      <c r="AE937" s="18"/>
      <c r="AF937" s="18"/>
      <c r="AG937" s="18"/>
    </row>
    <row r="938" spans="1:33" x14ac:dyDescent="0.2">
      <c r="A938" s="18"/>
      <c r="B938" s="18"/>
      <c r="C938" s="18"/>
      <c r="D938" s="18"/>
      <c r="E938" s="18"/>
      <c r="F938" s="18"/>
      <c r="G938" s="18"/>
      <c r="H938" s="18"/>
      <c r="I938" s="18"/>
      <c r="J938" s="18"/>
      <c r="K938" s="18"/>
      <c r="L938" s="18"/>
      <c r="M938" s="18"/>
      <c r="N938" s="18"/>
      <c r="O938" s="1316"/>
      <c r="P938" s="18"/>
      <c r="Q938" s="18"/>
      <c r="R938" s="18"/>
      <c r="S938" s="18"/>
      <c r="T938" s="18"/>
      <c r="U938" s="18"/>
      <c r="V938" s="18"/>
      <c r="W938" s="18"/>
      <c r="X938" s="18"/>
      <c r="Y938" s="18"/>
      <c r="Z938" s="18"/>
      <c r="AA938" s="18"/>
      <c r="AB938" s="18"/>
      <c r="AC938" s="18"/>
      <c r="AD938" s="18"/>
      <c r="AE938" s="18"/>
      <c r="AF938" s="18"/>
      <c r="AG938" s="18"/>
    </row>
    <row r="939" spans="1:33" x14ac:dyDescent="0.2">
      <c r="A939" s="18"/>
      <c r="B939" s="18"/>
      <c r="C939" s="18"/>
      <c r="D939" s="18"/>
      <c r="E939" s="18"/>
      <c r="F939" s="18"/>
      <c r="G939" s="18"/>
      <c r="H939" s="18"/>
      <c r="I939" s="18"/>
      <c r="J939" s="18"/>
      <c r="K939" s="18"/>
      <c r="L939" s="18"/>
      <c r="M939" s="18"/>
      <c r="N939" s="18"/>
      <c r="O939" s="1316"/>
      <c r="P939" s="18"/>
      <c r="Q939" s="18"/>
      <c r="R939" s="18"/>
      <c r="S939" s="18"/>
      <c r="T939" s="18"/>
      <c r="U939" s="18"/>
      <c r="V939" s="18"/>
      <c r="W939" s="18"/>
      <c r="X939" s="18"/>
      <c r="Y939" s="18"/>
      <c r="Z939" s="18"/>
      <c r="AA939" s="18"/>
      <c r="AB939" s="18"/>
      <c r="AC939" s="18"/>
      <c r="AD939" s="18"/>
      <c r="AE939" s="18"/>
      <c r="AF939" s="18"/>
      <c r="AG939" s="18"/>
    </row>
    <row r="940" spans="1:33" x14ac:dyDescent="0.2">
      <c r="A940" s="18"/>
      <c r="B940" s="18"/>
      <c r="C940" s="18"/>
      <c r="D940" s="18"/>
      <c r="E940" s="18"/>
      <c r="F940" s="18"/>
      <c r="G940" s="18"/>
      <c r="H940" s="18"/>
      <c r="I940" s="18"/>
      <c r="J940" s="18"/>
      <c r="K940" s="18"/>
      <c r="L940" s="18"/>
      <c r="M940" s="18"/>
      <c r="N940" s="18"/>
      <c r="O940" s="1316"/>
      <c r="P940" s="18"/>
      <c r="Q940" s="18"/>
      <c r="R940" s="18"/>
      <c r="S940" s="18"/>
      <c r="T940" s="18"/>
      <c r="U940" s="18"/>
      <c r="V940" s="18"/>
      <c r="W940" s="18"/>
      <c r="X940" s="18"/>
      <c r="Y940" s="18"/>
      <c r="Z940" s="18"/>
      <c r="AA940" s="18"/>
      <c r="AB940" s="18"/>
      <c r="AC940" s="18"/>
      <c r="AD940" s="18"/>
      <c r="AE940" s="18"/>
      <c r="AF940" s="18"/>
      <c r="AG940" s="18"/>
    </row>
    <row r="941" spans="1:33" x14ac:dyDescent="0.2">
      <c r="A941" s="18"/>
      <c r="B941" s="18"/>
      <c r="C941" s="18"/>
      <c r="D941" s="18"/>
      <c r="E941" s="18"/>
      <c r="F941" s="18"/>
      <c r="G941" s="18"/>
      <c r="H941" s="18"/>
      <c r="I941" s="18"/>
      <c r="J941" s="18"/>
      <c r="K941" s="18"/>
      <c r="L941" s="18"/>
      <c r="M941" s="18"/>
      <c r="N941" s="18"/>
      <c r="O941" s="1316"/>
      <c r="P941" s="18"/>
      <c r="Q941" s="18"/>
      <c r="R941" s="18"/>
      <c r="S941" s="18"/>
      <c r="T941" s="18"/>
      <c r="U941" s="18"/>
      <c r="V941" s="18"/>
      <c r="W941" s="18"/>
      <c r="X941" s="18"/>
      <c r="Y941" s="18"/>
      <c r="Z941" s="18"/>
      <c r="AA941" s="18"/>
      <c r="AB941" s="18"/>
      <c r="AC941" s="18"/>
      <c r="AD941" s="18"/>
      <c r="AE941" s="18"/>
      <c r="AF941" s="18"/>
      <c r="AG941" s="18"/>
    </row>
    <row r="942" spans="1:33" x14ac:dyDescent="0.2">
      <c r="A942" s="18"/>
      <c r="B942" s="18"/>
      <c r="C942" s="18"/>
      <c r="D942" s="18"/>
      <c r="E942" s="18"/>
      <c r="F942" s="18"/>
      <c r="G942" s="18"/>
      <c r="H942" s="18"/>
      <c r="I942" s="18"/>
      <c r="J942" s="18"/>
      <c r="K942" s="18"/>
      <c r="L942" s="18"/>
      <c r="M942" s="18"/>
      <c r="N942" s="18"/>
      <c r="O942" s="1316"/>
      <c r="P942" s="18"/>
      <c r="Q942" s="18"/>
      <c r="R942" s="18"/>
      <c r="S942" s="18"/>
      <c r="T942" s="18"/>
      <c r="U942" s="18"/>
      <c r="V942" s="18"/>
      <c r="W942" s="18"/>
      <c r="X942" s="18"/>
      <c r="Y942" s="18"/>
      <c r="Z942" s="18"/>
      <c r="AA942" s="18"/>
      <c r="AB942" s="18"/>
      <c r="AC942" s="18"/>
      <c r="AD942" s="18"/>
      <c r="AE942" s="18"/>
      <c r="AF942" s="18"/>
      <c r="AG942" s="18"/>
    </row>
    <row r="943" spans="1:33" x14ac:dyDescent="0.2">
      <c r="A943" s="18"/>
      <c r="B943" s="18"/>
      <c r="C943" s="18"/>
      <c r="D943" s="18"/>
      <c r="E943" s="18"/>
      <c r="F943" s="18"/>
      <c r="G943" s="18"/>
      <c r="H943" s="18"/>
      <c r="I943" s="18"/>
      <c r="J943" s="18"/>
      <c r="K943" s="18"/>
      <c r="L943" s="18"/>
      <c r="M943" s="18"/>
      <c r="N943" s="18"/>
      <c r="O943" s="1316"/>
      <c r="P943" s="18"/>
      <c r="Q943" s="18"/>
      <c r="R943" s="18"/>
      <c r="S943" s="18"/>
      <c r="T943" s="18"/>
      <c r="U943" s="18"/>
      <c r="V943" s="18"/>
      <c r="W943" s="18"/>
      <c r="X943" s="18"/>
      <c r="Y943" s="18"/>
      <c r="Z943" s="18"/>
      <c r="AA943" s="18"/>
      <c r="AB943" s="18"/>
      <c r="AC943" s="18"/>
      <c r="AD943" s="18"/>
      <c r="AE943" s="18"/>
      <c r="AF943" s="18"/>
      <c r="AG943" s="18"/>
    </row>
    <row r="944" spans="1:33" x14ac:dyDescent="0.2">
      <c r="A944" s="18"/>
      <c r="B944" s="18"/>
      <c r="C944" s="18"/>
      <c r="D944" s="18"/>
      <c r="E944" s="18"/>
      <c r="F944" s="18"/>
      <c r="G944" s="18"/>
      <c r="H944" s="18"/>
      <c r="I944" s="18"/>
      <c r="J944" s="18"/>
      <c r="K944" s="18"/>
      <c r="L944" s="18"/>
      <c r="M944" s="18"/>
      <c r="N944" s="18"/>
      <c r="O944" s="1316"/>
      <c r="P944" s="18"/>
      <c r="Q944" s="18"/>
      <c r="R944" s="18"/>
      <c r="S944" s="18"/>
      <c r="T944" s="18"/>
      <c r="U944" s="18"/>
      <c r="V944" s="18"/>
      <c r="W944" s="18"/>
      <c r="X944" s="18"/>
      <c r="Y944" s="18"/>
      <c r="Z944" s="18"/>
      <c r="AA944" s="18"/>
      <c r="AB944" s="18"/>
      <c r="AC944" s="18"/>
      <c r="AD944" s="18"/>
      <c r="AE944" s="18"/>
      <c r="AF944" s="18"/>
      <c r="AG944" s="18"/>
    </row>
    <row r="945" spans="1:33" x14ac:dyDescent="0.2">
      <c r="A945" s="18"/>
      <c r="B945" s="18"/>
      <c r="C945" s="18"/>
      <c r="D945" s="18"/>
      <c r="E945" s="18"/>
      <c r="F945" s="18"/>
      <c r="G945" s="18"/>
      <c r="H945" s="18"/>
      <c r="I945" s="18"/>
      <c r="J945" s="18"/>
      <c r="K945" s="18"/>
      <c r="L945" s="18"/>
      <c r="M945" s="18"/>
      <c r="N945" s="18"/>
      <c r="O945" s="1316"/>
      <c r="P945" s="18"/>
      <c r="Q945" s="18"/>
      <c r="R945" s="18"/>
      <c r="S945" s="18"/>
      <c r="T945" s="18"/>
      <c r="U945" s="18"/>
      <c r="V945" s="18"/>
      <c r="W945" s="18"/>
      <c r="X945" s="18"/>
      <c r="Y945" s="18"/>
      <c r="Z945" s="18"/>
      <c r="AA945" s="18"/>
      <c r="AB945" s="18"/>
      <c r="AC945" s="18"/>
      <c r="AD945" s="18"/>
      <c r="AE945" s="18"/>
      <c r="AF945" s="18"/>
      <c r="AG945" s="18"/>
    </row>
    <row r="946" spans="1:33" x14ac:dyDescent="0.2">
      <c r="A946" s="18"/>
      <c r="B946" s="18"/>
      <c r="C946" s="18"/>
      <c r="D946" s="18"/>
      <c r="E946" s="18"/>
      <c r="F946" s="18"/>
      <c r="G946" s="18"/>
      <c r="H946" s="18"/>
      <c r="I946" s="18"/>
      <c r="J946" s="18"/>
      <c r="K946" s="18"/>
      <c r="L946" s="18"/>
      <c r="M946" s="18"/>
      <c r="N946" s="18"/>
      <c r="O946" s="1316"/>
      <c r="P946" s="18"/>
      <c r="Q946" s="18"/>
      <c r="R946" s="18"/>
      <c r="S946" s="18"/>
      <c r="T946" s="18"/>
      <c r="U946" s="18"/>
      <c r="V946" s="18"/>
      <c r="W946" s="18"/>
      <c r="X946" s="18"/>
      <c r="Y946" s="18"/>
      <c r="Z946" s="18"/>
      <c r="AA946" s="18"/>
      <c r="AB946" s="18"/>
      <c r="AC946" s="18"/>
      <c r="AD946" s="18"/>
      <c r="AE946" s="18"/>
      <c r="AF946" s="18"/>
      <c r="AG946" s="18"/>
    </row>
    <row r="947" spans="1:33" x14ac:dyDescent="0.2">
      <c r="A947" s="18"/>
      <c r="B947" s="18"/>
      <c r="C947" s="18"/>
      <c r="D947" s="18"/>
      <c r="E947" s="18"/>
      <c r="F947" s="18"/>
      <c r="G947" s="18"/>
      <c r="H947" s="18"/>
      <c r="I947" s="18"/>
      <c r="J947" s="18"/>
      <c r="K947" s="18"/>
      <c r="L947" s="18"/>
      <c r="M947" s="18"/>
      <c r="N947" s="18"/>
      <c r="O947" s="1316"/>
      <c r="P947" s="18"/>
      <c r="Q947" s="18"/>
      <c r="R947" s="18"/>
      <c r="S947" s="18"/>
      <c r="T947" s="18"/>
      <c r="U947" s="18"/>
      <c r="V947" s="18"/>
      <c r="W947" s="18"/>
      <c r="X947" s="18"/>
      <c r="Y947" s="18"/>
      <c r="Z947" s="18"/>
      <c r="AA947" s="18"/>
      <c r="AB947" s="18"/>
      <c r="AC947" s="18"/>
      <c r="AD947" s="18"/>
      <c r="AE947" s="18"/>
      <c r="AF947" s="18"/>
      <c r="AG947" s="18"/>
    </row>
    <row r="948" spans="1:33" x14ac:dyDescent="0.2">
      <c r="A948" s="18"/>
      <c r="B948" s="18"/>
      <c r="C948" s="18"/>
      <c r="D948" s="18"/>
      <c r="E948" s="18"/>
      <c r="F948" s="18"/>
      <c r="G948" s="18"/>
      <c r="H948" s="18"/>
      <c r="I948" s="18"/>
      <c r="J948" s="18"/>
      <c r="K948" s="18"/>
      <c r="L948" s="18"/>
      <c r="M948" s="18"/>
      <c r="N948" s="18"/>
      <c r="O948" s="1316"/>
      <c r="P948" s="18"/>
      <c r="Q948" s="18"/>
      <c r="R948" s="18"/>
      <c r="S948" s="18"/>
      <c r="T948" s="18"/>
      <c r="U948" s="18"/>
      <c r="V948" s="18"/>
      <c r="W948" s="18"/>
      <c r="X948" s="18"/>
      <c r="Y948" s="18"/>
      <c r="Z948" s="18"/>
      <c r="AA948" s="18"/>
      <c r="AB948" s="18"/>
      <c r="AC948" s="18"/>
      <c r="AD948" s="18"/>
      <c r="AE948" s="18"/>
      <c r="AF948" s="18"/>
      <c r="AG948" s="18"/>
    </row>
    <row r="949" spans="1:33" x14ac:dyDescent="0.2">
      <c r="A949" s="18"/>
      <c r="B949" s="18"/>
      <c r="C949" s="18"/>
      <c r="D949" s="18"/>
      <c r="E949" s="18"/>
      <c r="F949" s="18"/>
      <c r="G949" s="18"/>
      <c r="H949" s="18"/>
      <c r="I949" s="18"/>
      <c r="J949" s="18"/>
      <c r="K949" s="18"/>
      <c r="L949" s="18"/>
      <c r="M949" s="18"/>
      <c r="N949" s="18"/>
      <c r="O949" s="1316"/>
      <c r="P949" s="18"/>
      <c r="Q949" s="18"/>
      <c r="R949" s="18"/>
      <c r="S949" s="18"/>
      <c r="T949" s="18"/>
      <c r="U949" s="18"/>
      <c r="V949" s="18"/>
      <c r="W949" s="18"/>
      <c r="X949" s="18"/>
      <c r="Y949" s="18"/>
      <c r="Z949" s="18"/>
      <c r="AA949" s="18"/>
      <c r="AB949" s="18"/>
      <c r="AC949" s="18"/>
      <c r="AD949" s="18"/>
      <c r="AE949" s="18"/>
      <c r="AF949" s="18"/>
      <c r="AG949" s="18"/>
    </row>
    <row r="950" spans="1:33" x14ac:dyDescent="0.2">
      <c r="A950" s="18"/>
      <c r="B950" s="18"/>
      <c r="C950" s="18"/>
      <c r="D950" s="18"/>
      <c r="E950" s="18"/>
      <c r="F950" s="18"/>
      <c r="G950" s="18"/>
      <c r="H950" s="18"/>
      <c r="I950" s="18"/>
      <c r="J950" s="18"/>
      <c r="K950" s="18"/>
      <c r="L950" s="18"/>
      <c r="M950" s="18"/>
      <c r="N950" s="18"/>
      <c r="O950" s="1316"/>
      <c r="P950" s="18"/>
      <c r="Q950" s="18"/>
      <c r="R950" s="18"/>
      <c r="S950" s="18"/>
      <c r="T950" s="18"/>
      <c r="U950" s="18"/>
      <c r="V950" s="18"/>
      <c r="W950" s="18"/>
      <c r="X950" s="18"/>
      <c r="Y950" s="18"/>
      <c r="Z950" s="18"/>
      <c r="AA950" s="18"/>
      <c r="AB950" s="18"/>
      <c r="AC950" s="18"/>
      <c r="AD950" s="18"/>
      <c r="AE950" s="18"/>
      <c r="AF950" s="18"/>
      <c r="AG950" s="18"/>
    </row>
    <row r="951" spans="1:33" x14ac:dyDescent="0.2">
      <c r="A951" s="18"/>
      <c r="B951" s="18"/>
      <c r="C951" s="18"/>
      <c r="D951" s="18"/>
      <c r="E951" s="18"/>
      <c r="F951" s="18"/>
      <c r="G951" s="18"/>
      <c r="H951" s="18"/>
      <c r="I951" s="18"/>
      <c r="J951" s="18"/>
      <c r="K951" s="18"/>
      <c r="L951" s="18"/>
      <c r="M951" s="18"/>
      <c r="N951" s="18"/>
      <c r="O951" s="1316"/>
      <c r="P951" s="18"/>
      <c r="Q951" s="18"/>
      <c r="R951" s="18"/>
      <c r="S951" s="18"/>
      <c r="T951" s="18"/>
      <c r="U951" s="18"/>
      <c r="V951" s="18"/>
      <c r="W951" s="18"/>
      <c r="X951" s="18"/>
      <c r="Y951" s="18"/>
      <c r="Z951" s="18"/>
      <c r="AA951" s="18"/>
      <c r="AB951" s="18"/>
      <c r="AC951" s="18"/>
      <c r="AD951" s="18"/>
      <c r="AE951" s="18"/>
      <c r="AF951" s="18"/>
      <c r="AG951" s="18"/>
    </row>
    <row r="952" spans="1:33" x14ac:dyDescent="0.2">
      <c r="A952" s="18"/>
      <c r="B952" s="18"/>
      <c r="C952" s="18"/>
      <c r="D952" s="18"/>
      <c r="E952" s="18"/>
      <c r="F952" s="18"/>
      <c r="G952" s="18"/>
      <c r="H952" s="18"/>
      <c r="I952" s="18"/>
      <c r="J952" s="18"/>
      <c r="K952" s="18"/>
      <c r="L952" s="18"/>
      <c r="M952" s="18"/>
      <c r="N952" s="18"/>
      <c r="O952" s="1316"/>
      <c r="P952" s="18"/>
      <c r="Q952" s="18"/>
      <c r="R952" s="18"/>
      <c r="S952" s="18"/>
      <c r="T952" s="18"/>
      <c r="U952" s="18"/>
      <c r="V952" s="18"/>
      <c r="W952" s="18"/>
      <c r="X952" s="18"/>
      <c r="Y952" s="18"/>
      <c r="Z952" s="18"/>
      <c r="AA952" s="18"/>
      <c r="AB952" s="18"/>
      <c r="AC952" s="18"/>
      <c r="AD952" s="18"/>
      <c r="AE952" s="18"/>
      <c r="AF952" s="18"/>
      <c r="AG952" s="18"/>
    </row>
    <row r="953" spans="1:33" x14ac:dyDescent="0.2">
      <c r="A953" s="18"/>
      <c r="B953" s="18"/>
      <c r="C953" s="18"/>
      <c r="D953" s="18"/>
      <c r="E953" s="18"/>
      <c r="F953" s="18"/>
      <c r="G953" s="18"/>
      <c r="H953" s="18"/>
      <c r="I953" s="18"/>
      <c r="J953" s="18"/>
      <c r="K953" s="18"/>
      <c r="L953" s="18"/>
      <c r="M953" s="18"/>
      <c r="N953" s="18"/>
      <c r="O953" s="1316"/>
      <c r="P953" s="18"/>
      <c r="Q953" s="18"/>
      <c r="R953" s="18"/>
      <c r="S953" s="18"/>
      <c r="T953" s="18"/>
      <c r="U953" s="18"/>
      <c r="V953" s="18"/>
      <c r="W953" s="18"/>
      <c r="X953" s="18"/>
      <c r="Y953" s="18"/>
      <c r="Z953" s="18"/>
      <c r="AA953" s="18"/>
      <c r="AB953" s="18"/>
      <c r="AC953" s="18"/>
      <c r="AD953" s="18"/>
      <c r="AE953" s="18"/>
      <c r="AF953" s="18"/>
      <c r="AG953" s="18"/>
    </row>
    <row r="954" spans="1:33" x14ac:dyDescent="0.2">
      <c r="A954" s="18"/>
      <c r="B954" s="18"/>
      <c r="C954" s="18"/>
      <c r="D954" s="18"/>
      <c r="E954" s="18"/>
      <c r="F954" s="18"/>
      <c r="G954" s="18"/>
      <c r="H954" s="18"/>
      <c r="I954" s="18"/>
      <c r="J954" s="18"/>
      <c r="K954" s="18"/>
      <c r="L954" s="18"/>
      <c r="M954" s="18"/>
      <c r="N954" s="18"/>
      <c r="O954" s="1316"/>
      <c r="P954" s="18"/>
      <c r="Q954" s="18"/>
      <c r="R954" s="18"/>
      <c r="S954" s="18"/>
      <c r="T954" s="18"/>
      <c r="U954" s="18"/>
      <c r="V954" s="18"/>
      <c r="W954" s="18"/>
      <c r="X954" s="18"/>
      <c r="Y954" s="18"/>
      <c r="Z954" s="18"/>
      <c r="AA954" s="18"/>
      <c r="AB954" s="18"/>
      <c r="AC954" s="18"/>
      <c r="AD954" s="18"/>
      <c r="AE954" s="18"/>
      <c r="AF954" s="18"/>
      <c r="AG954" s="18"/>
    </row>
    <row r="955" spans="1:33" x14ac:dyDescent="0.2">
      <c r="A955" s="18"/>
      <c r="B955" s="18"/>
      <c r="C955" s="18"/>
      <c r="D955" s="18"/>
      <c r="E955" s="18"/>
      <c r="F955" s="18"/>
      <c r="G955" s="18"/>
      <c r="H955" s="18"/>
      <c r="I955" s="18"/>
      <c r="J955" s="18"/>
      <c r="K955" s="18"/>
      <c r="L955" s="18"/>
      <c r="M955" s="18"/>
      <c r="N955" s="18"/>
      <c r="O955" s="1316"/>
      <c r="P955" s="18"/>
      <c r="Q955" s="18"/>
      <c r="R955" s="18"/>
      <c r="S955" s="18"/>
      <c r="T955" s="18"/>
      <c r="U955" s="18"/>
      <c r="V955" s="18"/>
      <c r="W955" s="18"/>
      <c r="X955" s="18"/>
      <c r="Y955" s="18"/>
      <c r="Z955" s="18"/>
      <c r="AA955" s="18"/>
      <c r="AB955" s="18"/>
      <c r="AC955" s="18"/>
      <c r="AD955" s="18"/>
      <c r="AE955" s="18"/>
      <c r="AF955" s="18"/>
      <c r="AG955" s="18"/>
    </row>
    <row r="956" spans="1:33" x14ac:dyDescent="0.2">
      <c r="A956" s="18"/>
      <c r="B956" s="18"/>
      <c r="C956" s="18"/>
      <c r="D956" s="18"/>
      <c r="E956" s="18"/>
      <c r="F956" s="18"/>
      <c r="G956" s="18"/>
      <c r="H956" s="18"/>
      <c r="I956" s="18"/>
      <c r="J956" s="18"/>
      <c r="K956" s="18"/>
      <c r="L956" s="18"/>
      <c r="M956" s="18"/>
      <c r="N956" s="18"/>
      <c r="O956" s="1316"/>
      <c r="P956" s="18"/>
      <c r="Q956" s="18"/>
      <c r="R956" s="18"/>
      <c r="S956" s="18"/>
      <c r="T956" s="18"/>
      <c r="U956" s="18"/>
      <c r="V956" s="18"/>
      <c r="W956" s="18"/>
      <c r="X956" s="18"/>
      <c r="Y956" s="18"/>
      <c r="Z956" s="18"/>
      <c r="AA956" s="18"/>
      <c r="AB956" s="18"/>
      <c r="AC956" s="18"/>
      <c r="AD956" s="18"/>
      <c r="AE956" s="18"/>
      <c r="AF956" s="18"/>
      <c r="AG956" s="18"/>
    </row>
    <row r="957" spans="1:33" x14ac:dyDescent="0.2">
      <c r="A957" s="18"/>
      <c r="B957" s="18"/>
      <c r="C957" s="18"/>
      <c r="D957" s="18"/>
      <c r="E957" s="18"/>
      <c r="F957" s="18"/>
      <c r="G957" s="18"/>
      <c r="H957" s="18"/>
      <c r="I957" s="18"/>
      <c r="J957" s="18"/>
      <c r="K957" s="18"/>
      <c r="L957" s="18"/>
      <c r="M957" s="18"/>
      <c r="N957" s="18"/>
      <c r="O957" s="1316"/>
      <c r="P957" s="18"/>
      <c r="Q957" s="18"/>
      <c r="R957" s="18"/>
      <c r="S957" s="18"/>
      <c r="T957" s="18"/>
      <c r="U957" s="18"/>
      <c r="V957" s="18"/>
      <c r="W957" s="18"/>
      <c r="X957" s="18"/>
      <c r="Y957" s="18"/>
      <c r="Z957" s="18"/>
      <c r="AA957" s="18"/>
      <c r="AB957" s="18"/>
      <c r="AC957" s="18"/>
      <c r="AD957" s="18"/>
      <c r="AE957" s="18"/>
      <c r="AF957" s="18"/>
      <c r="AG957" s="18"/>
    </row>
    <row r="958" spans="1:33" x14ac:dyDescent="0.2">
      <c r="A958" s="18"/>
      <c r="B958" s="18"/>
      <c r="C958" s="18"/>
      <c r="D958" s="18"/>
      <c r="E958" s="18"/>
      <c r="F958" s="18"/>
      <c r="G958" s="18"/>
      <c r="H958" s="18"/>
      <c r="I958" s="18"/>
      <c r="J958" s="18"/>
      <c r="K958" s="18"/>
      <c r="L958" s="18"/>
      <c r="M958" s="18"/>
      <c r="N958" s="18"/>
      <c r="O958" s="1316"/>
      <c r="P958" s="18"/>
      <c r="Q958" s="18"/>
      <c r="R958" s="18"/>
      <c r="S958" s="18"/>
      <c r="T958" s="18"/>
      <c r="U958" s="18"/>
      <c r="V958" s="18"/>
      <c r="W958" s="18"/>
      <c r="X958" s="18"/>
      <c r="Y958" s="18"/>
      <c r="Z958" s="18"/>
      <c r="AA958" s="18"/>
      <c r="AB958" s="18"/>
      <c r="AC958" s="18"/>
      <c r="AD958" s="18"/>
      <c r="AE958" s="18"/>
      <c r="AF958" s="18"/>
      <c r="AG958" s="18"/>
    </row>
    <row r="959" spans="1:33" x14ac:dyDescent="0.2">
      <c r="A959" s="18"/>
      <c r="B959" s="18"/>
      <c r="C959" s="18"/>
      <c r="D959" s="18"/>
      <c r="E959" s="18"/>
      <c r="F959" s="18"/>
      <c r="G959" s="18"/>
      <c r="H959" s="18"/>
      <c r="I959" s="18"/>
      <c r="J959" s="18"/>
      <c r="K959" s="18"/>
      <c r="L959" s="18"/>
      <c r="M959" s="18"/>
      <c r="N959" s="18"/>
      <c r="O959" s="1316"/>
      <c r="P959" s="18"/>
      <c r="Q959" s="18"/>
      <c r="R959" s="18"/>
      <c r="S959" s="18"/>
      <c r="T959" s="18"/>
      <c r="U959" s="18"/>
      <c r="V959" s="18"/>
      <c r="W959" s="18"/>
      <c r="X959" s="18"/>
      <c r="Y959" s="18"/>
      <c r="Z959" s="18"/>
      <c r="AA959" s="18"/>
      <c r="AB959" s="18"/>
      <c r="AC959" s="18"/>
      <c r="AD959" s="18"/>
      <c r="AE959" s="18"/>
      <c r="AF959" s="18"/>
      <c r="AG959" s="18"/>
    </row>
    <row r="960" spans="1:33" x14ac:dyDescent="0.2">
      <c r="A960" s="18"/>
      <c r="B960" s="18"/>
      <c r="C960" s="18"/>
      <c r="D960" s="18"/>
      <c r="E960" s="18"/>
      <c r="F960" s="18"/>
      <c r="G960" s="18"/>
      <c r="H960" s="18"/>
      <c r="I960" s="18"/>
      <c r="J960" s="18"/>
      <c r="K960" s="18"/>
      <c r="L960" s="18"/>
      <c r="M960" s="18"/>
      <c r="N960" s="18"/>
      <c r="O960" s="1316"/>
      <c r="P960" s="18"/>
      <c r="Q960" s="18"/>
      <c r="R960" s="18"/>
      <c r="S960" s="18"/>
      <c r="T960" s="18"/>
      <c r="U960" s="18"/>
      <c r="V960" s="18"/>
      <c r="W960" s="18"/>
      <c r="X960" s="18"/>
      <c r="Y960" s="18"/>
      <c r="Z960" s="18"/>
      <c r="AA960" s="18"/>
      <c r="AB960" s="18"/>
      <c r="AC960" s="18"/>
      <c r="AD960" s="18"/>
      <c r="AE960" s="18"/>
      <c r="AF960" s="18"/>
      <c r="AG960" s="18"/>
    </row>
    <row r="961" spans="1:33" x14ac:dyDescent="0.2">
      <c r="A961" s="18"/>
      <c r="B961" s="18"/>
      <c r="C961" s="18"/>
      <c r="D961" s="18"/>
      <c r="E961" s="18"/>
      <c r="F961" s="18"/>
      <c r="G961" s="18"/>
      <c r="H961" s="18"/>
      <c r="I961" s="18"/>
      <c r="J961" s="18"/>
      <c r="K961" s="18"/>
      <c r="L961" s="18"/>
      <c r="M961" s="18"/>
      <c r="N961" s="18"/>
      <c r="O961" s="1316"/>
      <c r="P961" s="18"/>
      <c r="Q961" s="18"/>
      <c r="R961" s="18"/>
      <c r="S961" s="18"/>
      <c r="T961" s="18"/>
      <c r="U961" s="18"/>
      <c r="V961" s="18"/>
      <c r="W961" s="18"/>
      <c r="X961" s="18"/>
      <c r="Y961" s="18"/>
      <c r="Z961" s="18"/>
      <c r="AA961" s="18"/>
      <c r="AB961" s="18"/>
      <c r="AC961" s="18"/>
      <c r="AD961" s="18"/>
      <c r="AE961" s="18"/>
      <c r="AF961" s="18"/>
      <c r="AG961" s="18"/>
    </row>
    <row r="962" spans="1:33" x14ac:dyDescent="0.2">
      <c r="A962" s="18"/>
      <c r="B962" s="18"/>
      <c r="C962" s="18"/>
      <c r="D962" s="18"/>
      <c r="E962" s="18"/>
      <c r="F962" s="18"/>
      <c r="G962" s="18"/>
      <c r="H962" s="18"/>
      <c r="I962" s="18"/>
      <c r="J962" s="18"/>
      <c r="K962" s="18"/>
      <c r="L962" s="18"/>
      <c r="M962" s="18"/>
      <c r="N962" s="18"/>
      <c r="O962" s="1316"/>
      <c r="P962" s="18"/>
      <c r="Q962" s="18"/>
      <c r="R962" s="18"/>
      <c r="S962" s="18"/>
      <c r="T962" s="18"/>
      <c r="U962" s="18"/>
      <c r="V962" s="18"/>
      <c r="W962" s="18"/>
      <c r="X962" s="18"/>
      <c r="Y962" s="18"/>
      <c r="Z962" s="18"/>
      <c r="AA962" s="18"/>
      <c r="AB962" s="18"/>
      <c r="AC962" s="18"/>
      <c r="AD962" s="18"/>
      <c r="AE962" s="18"/>
      <c r="AF962" s="18"/>
      <c r="AG962" s="18"/>
    </row>
    <row r="963" spans="1:33" x14ac:dyDescent="0.2">
      <c r="A963" s="18"/>
      <c r="B963" s="18"/>
      <c r="C963" s="18"/>
      <c r="D963" s="18"/>
      <c r="E963" s="18"/>
      <c r="F963" s="18"/>
      <c r="G963" s="18"/>
      <c r="H963" s="18"/>
      <c r="I963" s="18"/>
      <c r="J963" s="18"/>
      <c r="K963" s="18"/>
      <c r="L963" s="18"/>
      <c r="M963" s="18"/>
      <c r="N963" s="18"/>
      <c r="O963" s="1316"/>
      <c r="P963" s="18"/>
      <c r="Q963" s="18"/>
      <c r="R963" s="18"/>
      <c r="S963" s="18"/>
      <c r="T963" s="18"/>
      <c r="U963" s="18"/>
      <c r="V963" s="18"/>
      <c r="W963" s="18"/>
      <c r="X963" s="18"/>
      <c r="Y963" s="18"/>
      <c r="Z963" s="18"/>
      <c r="AA963" s="18"/>
      <c r="AB963" s="18"/>
      <c r="AC963" s="18"/>
      <c r="AD963" s="18"/>
      <c r="AE963" s="18"/>
      <c r="AF963" s="18"/>
      <c r="AG963" s="18"/>
    </row>
    <row r="964" spans="1:33" x14ac:dyDescent="0.2">
      <c r="A964" s="18"/>
      <c r="B964" s="18"/>
      <c r="C964" s="18"/>
      <c r="D964" s="18"/>
      <c r="E964" s="18"/>
      <c r="F964" s="18"/>
      <c r="G964" s="18"/>
      <c r="H964" s="18"/>
      <c r="I964" s="18"/>
      <c r="J964" s="18"/>
      <c r="K964" s="18"/>
      <c r="L964" s="18"/>
      <c r="M964" s="18"/>
      <c r="N964" s="18"/>
      <c r="O964" s="1316"/>
      <c r="P964" s="18"/>
      <c r="Q964" s="18"/>
      <c r="R964" s="18"/>
      <c r="S964" s="18"/>
      <c r="T964" s="18"/>
      <c r="U964" s="18"/>
      <c r="V964" s="18"/>
      <c r="W964" s="18"/>
      <c r="X964" s="18"/>
      <c r="Y964" s="18"/>
      <c r="Z964" s="18"/>
      <c r="AA964" s="18"/>
      <c r="AB964" s="18"/>
      <c r="AC964" s="18"/>
      <c r="AD964" s="18"/>
      <c r="AE964" s="18"/>
      <c r="AF964" s="18"/>
      <c r="AG964" s="18"/>
    </row>
    <row r="965" spans="1:33" x14ac:dyDescent="0.2">
      <c r="A965" s="18"/>
      <c r="B965" s="18"/>
      <c r="C965" s="18"/>
      <c r="D965" s="18"/>
      <c r="E965" s="18"/>
      <c r="F965" s="18"/>
      <c r="G965" s="18"/>
      <c r="H965" s="18"/>
      <c r="I965" s="18"/>
      <c r="J965" s="18"/>
      <c r="K965" s="18"/>
      <c r="L965" s="18"/>
      <c r="M965" s="18"/>
      <c r="N965" s="18"/>
      <c r="O965" s="1316"/>
      <c r="P965" s="18"/>
      <c r="Q965" s="18"/>
      <c r="R965" s="18"/>
      <c r="S965" s="18"/>
      <c r="T965" s="18"/>
      <c r="U965" s="18"/>
      <c r="V965" s="18"/>
      <c r="W965" s="18"/>
      <c r="X965" s="18"/>
      <c r="Y965" s="18"/>
      <c r="Z965" s="18"/>
      <c r="AA965" s="18"/>
      <c r="AB965" s="18"/>
      <c r="AC965" s="18"/>
      <c r="AD965" s="18"/>
      <c r="AE965" s="18"/>
      <c r="AF965" s="18"/>
      <c r="AG965" s="18"/>
    </row>
    <row r="966" spans="1:33" x14ac:dyDescent="0.2">
      <c r="A966" s="18"/>
      <c r="B966" s="18"/>
      <c r="C966" s="18"/>
      <c r="D966" s="18"/>
      <c r="E966" s="18"/>
      <c r="F966" s="18"/>
      <c r="G966" s="18"/>
      <c r="H966" s="18"/>
      <c r="I966" s="18"/>
      <c r="J966" s="18"/>
      <c r="K966" s="18"/>
      <c r="L966" s="18"/>
      <c r="M966" s="18"/>
      <c r="N966" s="18"/>
      <c r="O966" s="1316"/>
      <c r="P966" s="18"/>
      <c r="Q966" s="18"/>
      <c r="R966" s="18"/>
      <c r="S966" s="18"/>
      <c r="T966" s="18"/>
      <c r="U966" s="18"/>
      <c r="V966" s="18"/>
      <c r="W966" s="18"/>
      <c r="X966" s="18"/>
      <c r="Y966" s="18"/>
      <c r="Z966" s="18"/>
      <c r="AA966" s="18"/>
      <c r="AB966" s="18"/>
      <c r="AC966" s="18"/>
      <c r="AD966" s="18"/>
      <c r="AE966" s="18"/>
      <c r="AF966" s="18"/>
      <c r="AG966" s="18"/>
    </row>
    <row r="967" spans="1:33" x14ac:dyDescent="0.2">
      <c r="A967" s="18"/>
      <c r="B967" s="18"/>
      <c r="C967" s="18"/>
      <c r="D967" s="18"/>
      <c r="E967" s="18"/>
      <c r="F967" s="18"/>
      <c r="G967" s="18"/>
      <c r="H967" s="18"/>
      <c r="I967" s="18"/>
      <c r="J967" s="18"/>
      <c r="K967" s="18"/>
      <c r="L967" s="18"/>
      <c r="M967" s="18"/>
      <c r="N967" s="18"/>
      <c r="O967" s="1316"/>
      <c r="P967" s="18"/>
      <c r="Q967" s="18"/>
      <c r="R967" s="18"/>
      <c r="S967" s="18"/>
      <c r="T967" s="18"/>
      <c r="U967" s="18"/>
      <c r="V967" s="18"/>
      <c r="W967" s="18"/>
      <c r="X967" s="18"/>
      <c r="Y967" s="18"/>
      <c r="Z967" s="18"/>
      <c r="AA967" s="18"/>
      <c r="AB967" s="18"/>
      <c r="AC967" s="18"/>
      <c r="AD967" s="18"/>
      <c r="AE967" s="18"/>
      <c r="AF967" s="18"/>
      <c r="AG967" s="18"/>
    </row>
    <row r="968" spans="1:33" x14ac:dyDescent="0.2">
      <c r="A968" s="18"/>
      <c r="B968" s="18"/>
      <c r="C968" s="18"/>
      <c r="D968" s="18"/>
      <c r="E968" s="18"/>
      <c r="F968" s="18"/>
      <c r="G968" s="18"/>
      <c r="H968" s="18"/>
      <c r="I968" s="18"/>
      <c r="J968" s="18"/>
      <c r="K968" s="18"/>
      <c r="L968" s="18"/>
      <c r="M968" s="18"/>
      <c r="N968" s="18"/>
      <c r="O968" s="1316"/>
      <c r="P968" s="18"/>
      <c r="Q968" s="18"/>
      <c r="R968" s="18"/>
      <c r="S968" s="18"/>
      <c r="T968" s="18"/>
      <c r="U968" s="18"/>
      <c r="V968" s="18"/>
      <c r="W968" s="18"/>
      <c r="X968" s="18"/>
      <c r="Y968" s="18"/>
      <c r="Z968" s="18"/>
      <c r="AA968" s="18"/>
      <c r="AB968" s="18"/>
      <c r="AC968" s="18"/>
      <c r="AD968" s="18"/>
      <c r="AE968" s="18"/>
      <c r="AF968" s="18"/>
      <c r="AG968" s="18"/>
    </row>
    <row r="969" spans="1:33" x14ac:dyDescent="0.2">
      <c r="A969" s="18"/>
      <c r="B969" s="18"/>
      <c r="C969" s="18"/>
      <c r="D969" s="18"/>
      <c r="E969" s="18"/>
      <c r="F969" s="18"/>
      <c r="G969" s="18"/>
      <c r="H969" s="18"/>
      <c r="I969" s="18"/>
      <c r="J969" s="18"/>
      <c r="K969" s="18"/>
      <c r="L969" s="18"/>
      <c r="M969" s="18"/>
      <c r="N969" s="18"/>
      <c r="O969" s="1316"/>
      <c r="P969" s="18"/>
      <c r="Q969" s="18"/>
      <c r="R969" s="18"/>
      <c r="S969" s="18"/>
      <c r="T969" s="18"/>
      <c r="U969" s="18"/>
      <c r="V969" s="18"/>
      <c r="W969" s="18"/>
      <c r="X969" s="18"/>
      <c r="Y969" s="18"/>
      <c r="Z969" s="18"/>
      <c r="AA969" s="18"/>
      <c r="AB969" s="18"/>
      <c r="AC969" s="18"/>
      <c r="AD969" s="18"/>
      <c r="AE969" s="18"/>
      <c r="AF969" s="18"/>
      <c r="AG969" s="18"/>
    </row>
    <row r="970" spans="1:33" x14ac:dyDescent="0.2">
      <c r="A970" s="18"/>
      <c r="B970" s="18"/>
      <c r="C970" s="18"/>
      <c r="D970" s="18"/>
      <c r="E970" s="18"/>
      <c r="F970" s="18"/>
      <c r="G970" s="18"/>
      <c r="H970" s="18"/>
      <c r="I970" s="18"/>
      <c r="J970" s="18"/>
      <c r="K970" s="18"/>
      <c r="L970" s="18"/>
      <c r="M970" s="18"/>
      <c r="N970" s="18"/>
      <c r="O970" s="1316"/>
      <c r="P970" s="18"/>
      <c r="Q970" s="18"/>
      <c r="R970" s="18"/>
      <c r="S970" s="18"/>
      <c r="T970" s="18"/>
      <c r="U970" s="18"/>
      <c r="V970" s="18"/>
      <c r="W970" s="18"/>
      <c r="X970" s="18"/>
      <c r="Y970" s="18"/>
      <c r="Z970" s="18"/>
      <c r="AA970" s="18"/>
      <c r="AB970" s="18"/>
      <c r="AC970" s="18"/>
      <c r="AD970" s="18"/>
      <c r="AE970" s="18"/>
      <c r="AF970" s="18"/>
      <c r="AG970" s="18"/>
    </row>
    <row r="971" spans="1:33" x14ac:dyDescent="0.2">
      <c r="A971" s="18"/>
      <c r="B971" s="18"/>
      <c r="C971" s="18"/>
      <c r="D971" s="18"/>
      <c r="E971" s="18"/>
      <c r="F971" s="18"/>
      <c r="G971" s="18"/>
      <c r="H971" s="18"/>
      <c r="I971" s="18"/>
      <c r="J971" s="18"/>
      <c r="K971" s="18"/>
      <c r="L971" s="18"/>
      <c r="M971" s="18"/>
      <c r="N971" s="18"/>
      <c r="O971" s="1316"/>
      <c r="P971" s="18"/>
      <c r="Q971" s="18"/>
      <c r="R971" s="18"/>
      <c r="S971" s="18"/>
      <c r="T971" s="18"/>
      <c r="U971" s="18"/>
      <c r="V971" s="18"/>
      <c r="W971" s="18"/>
      <c r="X971" s="18"/>
      <c r="Y971" s="18"/>
      <c r="Z971" s="18"/>
      <c r="AA971" s="18"/>
      <c r="AB971" s="18"/>
      <c r="AC971" s="18"/>
      <c r="AD971" s="18"/>
      <c r="AE971" s="18"/>
      <c r="AF971" s="18"/>
      <c r="AG971" s="18"/>
    </row>
    <row r="972" spans="1:33" x14ac:dyDescent="0.2">
      <c r="A972" s="18"/>
      <c r="B972" s="18"/>
      <c r="C972" s="18"/>
      <c r="D972" s="18"/>
      <c r="E972" s="18"/>
      <c r="F972" s="18"/>
      <c r="G972" s="18"/>
      <c r="H972" s="18"/>
      <c r="I972" s="18"/>
      <c r="J972" s="18"/>
      <c r="K972" s="18"/>
      <c r="L972" s="18"/>
      <c r="M972" s="18"/>
      <c r="N972" s="18"/>
      <c r="O972" s="1316"/>
      <c r="P972" s="18"/>
      <c r="Q972" s="18"/>
      <c r="R972" s="18"/>
      <c r="S972" s="18"/>
      <c r="T972" s="18"/>
      <c r="U972" s="18"/>
      <c r="V972" s="18"/>
      <c r="W972" s="18"/>
      <c r="X972" s="18"/>
      <c r="Y972" s="18"/>
      <c r="Z972" s="18"/>
      <c r="AA972" s="18"/>
      <c r="AB972" s="18"/>
      <c r="AC972" s="18"/>
      <c r="AD972" s="18"/>
      <c r="AE972" s="18"/>
      <c r="AF972" s="18"/>
      <c r="AG972" s="18"/>
    </row>
    <row r="973" spans="1:33" x14ac:dyDescent="0.2">
      <c r="A973" s="18"/>
      <c r="B973" s="18"/>
      <c r="C973" s="18"/>
      <c r="D973" s="18"/>
      <c r="E973" s="18"/>
      <c r="F973" s="18"/>
      <c r="G973" s="18"/>
      <c r="H973" s="18"/>
      <c r="I973" s="18"/>
      <c r="J973" s="18"/>
      <c r="K973" s="18"/>
      <c r="L973" s="18"/>
      <c r="M973" s="18"/>
      <c r="N973" s="18"/>
      <c r="O973" s="1316"/>
      <c r="P973" s="18"/>
      <c r="Q973" s="18"/>
      <c r="R973" s="18"/>
      <c r="S973" s="18"/>
      <c r="T973" s="18"/>
      <c r="U973" s="18"/>
      <c r="V973" s="18"/>
      <c r="W973" s="18"/>
      <c r="X973" s="18"/>
      <c r="Y973" s="18"/>
      <c r="Z973" s="18"/>
      <c r="AA973" s="18"/>
      <c r="AB973" s="18"/>
      <c r="AC973" s="18"/>
      <c r="AD973" s="18"/>
      <c r="AE973" s="18"/>
      <c r="AF973" s="18"/>
      <c r="AG973" s="18"/>
    </row>
    <row r="974" spans="1:33" x14ac:dyDescent="0.2">
      <c r="A974" s="18"/>
      <c r="B974" s="18"/>
      <c r="C974" s="18"/>
      <c r="D974" s="18"/>
      <c r="E974" s="18"/>
      <c r="F974" s="18"/>
      <c r="G974" s="18"/>
      <c r="H974" s="18"/>
      <c r="I974" s="18"/>
      <c r="J974" s="18"/>
      <c r="K974" s="18"/>
      <c r="L974" s="18"/>
      <c r="M974" s="18"/>
      <c r="N974" s="18"/>
      <c r="O974" s="1316"/>
      <c r="P974" s="18"/>
      <c r="Q974" s="18"/>
      <c r="R974" s="18"/>
      <c r="S974" s="18"/>
      <c r="T974" s="18"/>
      <c r="U974" s="18"/>
      <c r="V974" s="18"/>
      <c r="W974" s="18"/>
      <c r="X974" s="18"/>
      <c r="Y974" s="18"/>
      <c r="Z974" s="18"/>
      <c r="AA974" s="18"/>
      <c r="AB974" s="18"/>
      <c r="AC974" s="18"/>
      <c r="AD974" s="18"/>
      <c r="AE974" s="18"/>
      <c r="AF974" s="18"/>
      <c r="AG974" s="18"/>
    </row>
    <row r="975" spans="1:33" x14ac:dyDescent="0.2">
      <c r="A975" s="18"/>
      <c r="B975" s="18"/>
      <c r="C975" s="18"/>
      <c r="D975" s="18"/>
      <c r="E975" s="18"/>
      <c r="F975" s="18"/>
      <c r="G975" s="18"/>
      <c r="H975" s="18"/>
      <c r="I975" s="18"/>
      <c r="J975" s="18"/>
      <c r="K975" s="18"/>
      <c r="L975" s="18"/>
      <c r="M975" s="18"/>
      <c r="N975" s="18"/>
      <c r="O975" s="1316"/>
      <c r="P975" s="18"/>
      <c r="Q975" s="18"/>
      <c r="R975" s="18"/>
      <c r="S975" s="18"/>
      <c r="T975" s="18"/>
      <c r="U975" s="18"/>
      <c r="V975" s="18"/>
      <c r="W975" s="18"/>
      <c r="X975" s="18"/>
      <c r="Y975" s="18"/>
      <c r="Z975" s="18"/>
      <c r="AA975" s="18"/>
      <c r="AB975" s="18"/>
      <c r="AC975" s="18"/>
      <c r="AD975" s="18"/>
      <c r="AE975" s="18"/>
      <c r="AF975" s="18"/>
      <c r="AG975" s="18"/>
    </row>
    <row r="976" spans="1:33" x14ac:dyDescent="0.2">
      <c r="A976" s="18"/>
      <c r="B976" s="18"/>
      <c r="C976" s="18"/>
      <c r="D976" s="18"/>
      <c r="E976" s="18"/>
      <c r="F976" s="18"/>
      <c r="G976" s="18"/>
      <c r="H976" s="18"/>
      <c r="I976" s="18"/>
      <c r="J976" s="18"/>
      <c r="K976" s="18"/>
      <c r="L976" s="18"/>
      <c r="M976" s="18"/>
      <c r="N976" s="18"/>
      <c r="O976" s="1316"/>
      <c r="P976" s="18"/>
      <c r="Q976" s="18"/>
      <c r="R976" s="18"/>
      <c r="S976" s="18"/>
      <c r="T976" s="18"/>
      <c r="U976" s="18"/>
      <c r="V976" s="18"/>
      <c r="W976" s="18"/>
      <c r="X976" s="18"/>
      <c r="Y976" s="18"/>
      <c r="Z976" s="18"/>
      <c r="AA976" s="18"/>
      <c r="AB976" s="18"/>
      <c r="AC976" s="18"/>
      <c r="AD976" s="18"/>
      <c r="AE976" s="18"/>
      <c r="AF976" s="18"/>
      <c r="AG976" s="18"/>
    </row>
    <row r="977" spans="1:33" x14ac:dyDescent="0.2">
      <c r="A977" s="18"/>
      <c r="B977" s="18"/>
      <c r="C977" s="18"/>
      <c r="D977" s="18"/>
      <c r="E977" s="18"/>
      <c r="F977" s="18"/>
      <c r="G977" s="18"/>
      <c r="H977" s="18"/>
      <c r="I977" s="18"/>
      <c r="J977" s="18"/>
      <c r="K977" s="18"/>
      <c r="L977" s="18"/>
      <c r="M977" s="18"/>
      <c r="N977" s="18"/>
      <c r="O977" s="1316"/>
      <c r="P977" s="18"/>
      <c r="Q977" s="18"/>
      <c r="R977" s="18"/>
      <c r="S977" s="18"/>
      <c r="T977" s="18"/>
      <c r="U977" s="18"/>
      <c r="V977" s="18"/>
      <c r="W977" s="18"/>
      <c r="X977" s="18"/>
      <c r="Y977" s="18"/>
      <c r="Z977" s="18"/>
      <c r="AA977" s="18"/>
      <c r="AB977" s="18"/>
      <c r="AC977" s="18"/>
      <c r="AD977" s="18"/>
      <c r="AE977" s="18"/>
      <c r="AF977" s="18"/>
      <c r="AG977" s="18"/>
    </row>
    <row r="978" spans="1:33" x14ac:dyDescent="0.2">
      <c r="A978" s="18"/>
      <c r="B978" s="18"/>
      <c r="C978" s="18"/>
      <c r="D978" s="18"/>
      <c r="E978" s="18"/>
      <c r="F978" s="18"/>
      <c r="G978" s="18"/>
      <c r="H978" s="18"/>
      <c r="I978" s="18"/>
      <c r="J978" s="18"/>
      <c r="K978" s="18"/>
      <c r="L978" s="18"/>
      <c r="M978" s="18"/>
      <c r="N978" s="18"/>
      <c r="O978" s="1316"/>
      <c r="P978" s="18"/>
      <c r="Q978" s="18"/>
      <c r="R978" s="18"/>
      <c r="S978" s="18"/>
      <c r="T978" s="18"/>
      <c r="U978" s="18"/>
      <c r="V978" s="18"/>
      <c r="W978" s="18"/>
      <c r="X978" s="18"/>
      <c r="Y978" s="18"/>
      <c r="Z978" s="18"/>
      <c r="AA978" s="18"/>
      <c r="AB978" s="18"/>
      <c r="AC978" s="18"/>
      <c r="AD978" s="18"/>
      <c r="AE978" s="18"/>
      <c r="AF978" s="18"/>
      <c r="AG978" s="18"/>
    </row>
    <row r="979" spans="1:33" x14ac:dyDescent="0.2">
      <c r="A979" s="18"/>
      <c r="B979" s="18"/>
      <c r="C979" s="18"/>
      <c r="D979" s="18"/>
      <c r="E979" s="18"/>
      <c r="F979" s="18"/>
      <c r="G979" s="18"/>
      <c r="H979" s="18"/>
      <c r="I979" s="18"/>
      <c r="J979" s="18"/>
      <c r="K979" s="18"/>
      <c r="L979" s="18"/>
      <c r="M979" s="18"/>
      <c r="N979" s="18"/>
      <c r="O979" s="1316"/>
      <c r="P979" s="18"/>
      <c r="Q979" s="18"/>
      <c r="R979" s="18"/>
      <c r="S979" s="18"/>
      <c r="T979" s="18"/>
      <c r="U979" s="18"/>
      <c r="V979" s="18"/>
      <c r="W979" s="18"/>
      <c r="X979" s="18"/>
      <c r="Y979" s="18"/>
      <c r="Z979" s="18"/>
      <c r="AA979" s="18"/>
      <c r="AB979" s="18"/>
      <c r="AC979" s="18"/>
      <c r="AD979" s="18"/>
      <c r="AE979" s="18"/>
      <c r="AF979" s="18"/>
      <c r="AG979" s="18"/>
    </row>
    <row r="980" spans="1:33" x14ac:dyDescent="0.2">
      <c r="A980" s="18"/>
      <c r="B980" s="18"/>
      <c r="C980" s="18"/>
      <c r="D980" s="18"/>
      <c r="E980" s="18"/>
      <c r="F980" s="18"/>
      <c r="G980" s="18"/>
      <c r="H980" s="18"/>
      <c r="I980" s="18"/>
      <c r="J980" s="18"/>
      <c r="K980" s="18"/>
      <c r="L980" s="18"/>
      <c r="M980" s="18"/>
      <c r="N980" s="18"/>
      <c r="O980" s="1316"/>
      <c r="P980" s="18"/>
      <c r="Q980" s="18"/>
      <c r="R980" s="18"/>
      <c r="S980" s="18"/>
      <c r="T980" s="18"/>
      <c r="U980" s="18"/>
      <c r="V980" s="18"/>
      <c r="W980" s="18"/>
      <c r="X980" s="18"/>
      <c r="Y980" s="18"/>
      <c r="Z980" s="18"/>
      <c r="AA980" s="18"/>
      <c r="AB980" s="18"/>
      <c r="AC980" s="18"/>
      <c r="AD980" s="18"/>
      <c r="AE980" s="18"/>
      <c r="AF980" s="18"/>
      <c r="AG980" s="18"/>
    </row>
    <row r="981" spans="1:33" x14ac:dyDescent="0.2">
      <c r="A981" s="18"/>
      <c r="B981" s="18"/>
      <c r="C981" s="18"/>
      <c r="D981" s="18"/>
      <c r="E981" s="18"/>
      <c r="F981" s="18"/>
      <c r="G981" s="18"/>
      <c r="H981" s="18"/>
      <c r="I981" s="18"/>
      <c r="J981" s="18"/>
      <c r="K981" s="18"/>
      <c r="L981" s="18"/>
      <c r="M981" s="18"/>
      <c r="N981" s="18"/>
      <c r="O981" s="1316"/>
      <c r="P981" s="18"/>
      <c r="Q981" s="18"/>
      <c r="R981" s="18"/>
      <c r="S981" s="18"/>
      <c r="T981" s="18"/>
      <c r="U981" s="18"/>
      <c r="V981" s="18"/>
      <c r="W981" s="18"/>
      <c r="X981" s="18"/>
      <c r="Y981" s="18"/>
      <c r="Z981" s="18"/>
      <c r="AA981" s="18"/>
      <c r="AB981" s="18"/>
      <c r="AC981" s="18"/>
      <c r="AD981" s="18"/>
      <c r="AE981" s="18"/>
      <c r="AF981" s="18"/>
      <c r="AG981" s="18"/>
    </row>
    <row r="982" spans="1:33" x14ac:dyDescent="0.2">
      <c r="A982" s="18"/>
      <c r="B982" s="18"/>
      <c r="C982" s="18"/>
      <c r="D982" s="18"/>
      <c r="E982" s="18"/>
      <c r="F982" s="18"/>
      <c r="G982" s="18"/>
      <c r="H982" s="18"/>
      <c r="I982" s="18"/>
      <c r="J982" s="18"/>
      <c r="K982" s="18"/>
      <c r="L982" s="18"/>
      <c r="M982" s="18"/>
      <c r="N982" s="18"/>
      <c r="O982" s="1316"/>
      <c r="P982" s="18"/>
      <c r="Q982" s="18"/>
      <c r="R982" s="18"/>
      <c r="S982" s="18"/>
      <c r="T982" s="18"/>
      <c r="U982" s="18"/>
      <c r="V982" s="18"/>
      <c r="W982" s="18"/>
      <c r="X982" s="18"/>
      <c r="Y982" s="18"/>
      <c r="Z982" s="18"/>
      <c r="AA982" s="18"/>
      <c r="AB982" s="18"/>
      <c r="AC982" s="18"/>
      <c r="AD982" s="18"/>
      <c r="AE982" s="18"/>
      <c r="AF982" s="18"/>
      <c r="AG982" s="18"/>
    </row>
    <row r="983" spans="1:33" x14ac:dyDescent="0.2">
      <c r="A983" s="18"/>
      <c r="B983" s="18"/>
      <c r="C983" s="18"/>
      <c r="D983" s="18"/>
      <c r="E983" s="18"/>
      <c r="F983" s="18"/>
      <c r="G983" s="18"/>
      <c r="H983" s="18"/>
      <c r="I983" s="18"/>
      <c r="J983" s="18"/>
      <c r="K983" s="18"/>
      <c r="L983" s="18"/>
      <c r="M983" s="18"/>
      <c r="N983" s="18"/>
      <c r="O983" s="1316"/>
      <c r="P983" s="18"/>
      <c r="Q983" s="18"/>
      <c r="R983" s="18"/>
      <c r="S983" s="18"/>
      <c r="T983" s="18"/>
      <c r="U983" s="18"/>
      <c r="V983" s="18"/>
      <c r="W983" s="18"/>
      <c r="X983" s="18"/>
      <c r="Y983" s="18"/>
      <c r="Z983" s="18"/>
      <c r="AA983" s="18"/>
      <c r="AB983" s="18"/>
      <c r="AC983" s="18"/>
      <c r="AD983" s="18"/>
      <c r="AE983" s="18"/>
      <c r="AF983" s="18"/>
      <c r="AG983" s="18"/>
    </row>
    <row r="984" spans="1:33" x14ac:dyDescent="0.2">
      <c r="A984" s="18"/>
      <c r="B984" s="18"/>
      <c r="C984" s="18"/>
      <c r="D984" s="18"/>
      <c r="E984" s="18"/>
      <c r="F984" s="18"/>
      <c r="G984" s="18"/>
      <c r="H984" s="18"/>
      <c r="I984" s="18"/>
      <c r="J984" s="18"/>
      <c r="K984" s="18"/>
      <c r="L984" s="18"/>
      <c r="M984" s="18"/>
      <c r="N984" s="18"/>
      <c r="O984" s="1316"/>
      <c r="P984" s="18"/>
      <c r="Q984" s="18"/>
      <c r="R984" s="18"/>
      <c r="S984" s="18"/>
      <c r="T984" s="18"/>
      <c r="U984" s="18"/>
      <c r="V984" s="18"/>
      <c r="W984" s="18"/>
      <c r="X984" s="18"/>
      <c r="Y984" s="18"/>
      <c r="Z984" s="18"/>
      <c r="AA984" s="18"/>
      <c r="AB984" s="18"/>
      <c r="AC984" s="18"/>
      <c r="AD984" s="18"/>
      <c r="AE984" s="18"/>
      <c r="AF984" s="18"/>
      <c r="AG984" s="18"/>
    </row>
    <row r="985" spans="1:33" x14ac:dyDescent="0.2">
      <c r="A985" s="18"/>
      <c r="B985" s="18"/>
      <c r="C985" s="18"/>
      <c r="D985" s="18"/>
      <c r="E985" s="18"/>
      <c r="F985" s="18"/>
      <c r="G985" s="18"/>
      <c r="H985" s="18"/>
      <c r="I985" s="18"/>
      <c r="J985" s="18"/>
      <c r="K985" s="18"/>
      <c r="L985" s="18"/>
      <c r="M985" s="18"/>
      <c r="N985" s="18"/>
      <c r="O985" s="1316"/>
      <c r="P985" s="18"/>
      <c r="Q985" s="18"/>
      <c r="R985" s="18"/>
      <c r="S985" s="18"/>
      <c r="T985" s="18"/>
      <c r="U985" s="18"/>
      <c r="V985" s="18"/>
      <c r="W985" s="18"/>
      <c r="X985" s="18"/>
      <c r="Y985" s="18"/>
      <c r="Z985" s="18"/>
      <c r="AA985" s="18"/>
      <c r="AB985" s="18"/>
      <c r="AC985" s="18"/>
      <c r="AD985" s="18"/>
      <c r="AE985" s="18"/>
      <c r="AF985" s="18"/>
      <c r="AG985" s="18"/>
    </row>
    <row r="986" spans="1:33" x14ac:dyDescent="0.2">
      <c r="A986" s="18"/>
      <c r="B986" s="18"/>
      <c r="C986" s="18"/>
      <c r="D986" s="18"/>
      <c r="E986" s="18"/>
      <c r="F986" s="18"/>
      <c r="G986" s="18"/>
      <c r="H986" s="18"/>
      <c r="I986" s="18"/>
      <c r="J986" s="18"/>
      <c r="K986" s="18"/>
      <c r="L986" s="18"/>
      <c r="M986" s="18"/>
      <c r="N986" s="18"/>
      <c r="O986" s="1316"/>
      <c r="P986" s="18"/>
      <c r="Q986" s="18"/>
      <c r="R986" s="18"/>
      <c r="S986" s="18"/>
      <c r="T986" s="18"/>
      <c r="U986" s="18"/>
      <c r="V986" s="18"/>
      <c r="W986" s="18"/>
      <c r="X986" s="18"/>
      <c r="Y986" s="18"/>
      <c r="Z986" s="18"/>
      <c r="AA986" s="18"/>
      <c r="AB986" s="18"/>
      <c r="AC986" s="18"/>
      <c r="AD986" s="18"/>
      <c r="AE986" s="18"/>
      <c r="AF986" s="18"/>
      <c r="AG986" s="18"/>
    </row>
    <row r="987" spans="1:33" x14ac:dyDescent="0.2">
      <c r="A987" s="18"/>
      <c r="B987" s="18"/>
      <c r="C987" s="18"/>
      <c r="D987" s="18"/>
      <c r="E987" s="18"/>
      <c r="F987" s="18"/>
      <c r="G987" s="18"/>
      <c r="H987" s="18"/>
      <c r="I987" s="18"/>
      <c r="J987" s="18"/>
      <c r="K987" s="18"/>
      <c r="L987" s="18"/>
      <c r="M987" s="18"/>
      <c r="N987" s="18"/>
      <c r="O987" s="1316"/>
      <c r="P987" s="18"/>
      <c r="Q987" s="18"/>
      <c r="R987" s="18"/>
      <c r="S987" s="18"/>
      <c r="T987" s="18"/>
      <c r="U987" s="18"/>
      <c r="V987" s="18"/>
      <c r="W987" s="18"/>
      <c r="X987" s="18"/>
      <c r="Y987" s="18"/>
      <c r="Z987" s="18"/>
      <c r="AA987" s="18"/>
      <c r="AB987" s="18"/>
      <c r="AC987" s="18"/>
      <c r="AD987" s="18"/>
      <c r="AE987" s="18"/>
      <c r="AF987" s="18"/>
      <c r="AG987" s="18"/>
    </row>
    <row r="988" spans="1:33" x14ac:dyDescent="0.2">
      <c r="A988" s="18"/>
      <c r="B988" s="18"/>
      <c r="C988" s="18"/>
      <c r="D988" s="18"/>
      <c r="E988" s="18"/>
      <c r="F988" s="18"/>
      <c r="G988" s="18"/>
      <c r="H988" s="18"/>
      <c r="I988" s="18"/>
      <c r="J988" s="18"/>
      <c r="K988" s="18"/>
      <c r="L988" s="18"/>
      <c r="M988" s="18"/>
      <c r="N988" s="18"/>
      <c r="O988" s="1316"/>
      <c r="P988" s="18"/>
      <c r="Q988" s="18"/>
      <c r="R988" s="18"/>
      <c r="S988" s="18"/>
      <c r="T988" s="18"/>
      <c r="U988" s="18"/>
      <c r="V988" s="18"/>
      <c r="W988" s="18"/>
      <c r="X988" s="18"/>
      <c r="Y988" s="18"/>
      <c r="Z988" s="18"/>
      <c r="AA988" s="18"/>
      <c r="AB988" s="18"/>
      <c r="AC988" s="18"/>
      <c r="AD988" s="18"/>
      <c r="AE988" s="18"/>
      <c r="AF988" s="18"/>
      <c r="AG988" s="18"/>
    </row>
    <row r="989" spans="1:33" x14ac:dyDescent="0.2">
      <c r="A989" s="18"/>
      <c r="B989" s="18"/>
      <c r="C989" s="18"/>
      <c r="D989" s="18"/>
      <c r="E989" s="18"/>
      <c r="F989" s="18"/>
      <c r="G989" s="18"/>
      <c r="H989" s="18"/>
      <c r="I989" s="18"/>
      <c r="J989" s="18"/>
      <c r="K989" s="18"/>
      <c r="L989" s="18"/>
      <c r="M989" s="18"/>
      <c r="N989" s="18"/>
      <c r="O989" s="1316"/>
      <c r="P989" s="18"/>
      <c r="Q989" s="18"/>
      <c r="R989" s="18"/>
      <c r="S989" s="18"/>
      <c r="T989" s="18"/>
      <c r="U989" s="18"/>
      <c r="V989" s="18"/>
      <c r="W989" s="18"/>
      <c r="X989" s="18"/>
      <c r="Y989" s="18"/>
      <c r="Z989" s="18"/>
      <c r="AA989" s="18"/>
      <c r="AB989" s="18"/>
      <c r="AC989" s="18"/>
      <c r="AD989" s="18"/>
      <c r="AE989" s="18"/>
      <c r="AF989" s="18"/>
      <c r="AG989" s="18"/>
    </row>
    <row r="990" spans="1:33" x14ac:dyDescent="0.2">
      <c r="A990" s="18"/>
      <c r="B990" s="18"/>
      <c r="C990" s="18"/>
      <c r="D990" s="18"/>
      <c r="E990" s="18"/>
      <c r="F990" s="18"/>
      <c r="G990" s="18"/>
      <c r="H990" s="18"/>
      <c r="I990" s="18"/>
      <c r="J990" s="18"/>
      <c r="K990" s="18"/>
      <c r="L990" s="18"/>
      <c r="M990" s="18"/>
      <c r="N990" s="18"/>
      <c r="O990" s="1316"/>
      <c r="P990" s="18"/>
      <c r="Q990" s="18"/>
      <c r="R990" s="18"/>
      <c r="S990" s="18"/>
      <c r="T990" s="18"/>
      <c r="U990" s="18"/>
      <c r="V990" s="18"/>
      <c r="W990" s="18"/>
      <c r="X990" s="18"/>
      <c r="Y990" s="18"/>
      <c r="Z990" s="18"/>
      <c r="AA990" s="18"/>
      <c r="AB990" s="18"/>
      <c r="AC990" s="18"/>
      <c r="AD990" s="18"/>
      <c r="AE990" s="18"/>
      <c r="AF990" s="18"/>
      <c r="AG990" s="18"/>
    </row>
    <row r="991" spans="1:33" x14ac:dyDescent="0.2">
      <c r="A991" s="18"/>
      <c r="B991" s="18"/>
      <c r="C991" s="18"/>
      <c r="D991" s="18"/>
      <c r="E991" s="18"/>
      <c r="F991" s="18"/>
      <c r="G991" s="18"/>
      <c r="H991" s="18"/>
      <c r="I991" s="18"/>
      <c r="J991" s="18"/>
      <c r="K991" s="18"/>
      <c r="L991" s="18"/>
      <c r="M991" s="18"/>
      <c r="N991" s="18"/>
      <c r="O991" s="1316"/>
      <c r="P991" s="18"/>
      <c r="Q991" s="18"/>
      <c r="R991" s="18"/>
      <c r="S991" s="18"/>
      <c r="T991" s="18"/>
      <c r="U991" s="18"/>
      <c r="V991" s="18"/>
      <c r="W991" s="18"/>
      <c r="X991" s="18"/>
      <c r="Y991" s="18"/>
      <c r="Z991" s="18"/>
      <c r="AA991" s="18"/>
      <c r="AB991" s="18"/>
      <c r="AC991" s="18"/>
      <c r="AD991" s="18"/>
      <c r="AE991" s="18"/>
      <c r="AF991" s="18"/>
      <c r="AG991" s="18"/>
    </row>
    <row r="992" spans="1:33" x14ac:dyDescent="0.2">
      <c r="A992" s="18"/>
      <c r="B992" s="18"/>
      <c r="C992" s="18"/>
      <c r="D992" s="18"/>
      <c r="E992" s="18"/>
      <c r="F992" s="18"/>
      <c r="G992" s="18"/>
      <c r="H992" s="18"/>
      <c r="I992" s="18"/>
      <c r="J992" s="18"/>
      <c r="K992" s="18"/>
      <c r="L992" s="18"/>
      <c r="M992" s="18"/>
      <c r="N992" s="18"/>
      <c r="O992" s="1316"/>
      <c r="P992" s="18"/>
      <c r="Q992" s="18"/>
      <c r="R992" s="18"/>
      <c r="S992" s="18"/>
      <c r="T992" s="18"/>
      <c r="U992" s="18"/>
      <c r="V992" s="18"/>
      <c r="W992" s="18"/>
      <c r="X992" s="18"/>
      <c r="Y992" s="18"/>
      <c r="Z992" s="18"/>
      <c r="AA992" s="18"/>
      <c r="AB992" s="18"/>
      <c r="AC992" s="18"/>
      <c r="AD992" s="18"/>
      <c r="AE992" s="18"/>
      <c r="AF992" s="18"/>
      <c r="AG992" s="18"/>
    </row>
    <row r="993" spans="1:33" x14ac:dyDescent="0.2">
      <c r="A993" s="18"/>
      <c r="B993" s="18"/>
      <c r="C993" s="18"/>
      <c r="D993" s="18"/>
      <c r="E993" s="18"/>
      <c r="F993" s="18"/>
      <c r="G993" s="18"/>
      <c r="H993" s="18"/>
      <c r="I993" s="18"/>
      <c r="J993" s="18"/>
      <c r="K993" s="18"/>
      <c r="L993" s="18"/>
      <c r="M993" s="18"/>
      <c r="N993" s="18"/>
      <c r="O993" s="1316"/>
      <c r="P993" s="18"/>
      <c r="Q993" s="18"/>
      <c r="R993" s="18"/>
      <c r="S993" s="18"/>
      <c r="T993" s="18"/>
      <c r="U993" s="18"/>
      <c r="V993" s="18"/>
      <c r="W993" s="18"/>
      <c r="X993" s="18"/>
      <c r="Y993" s="18"/>
      <c r="Z993" s="18"/>
      <c r="AA993" s="18"/>
      <c r="AB993" s="18"/>
      <c r="AC993" s="18"/>
      <c r="AD993" s="18"/>
      <c r="AE993" s="18"/>
      <c r="AF993" s="18"/>
      <c r="AG993" s="18"/>
    </row>
    <row r="994" spans="1:33" x14ac:dyDescent="0.2">
      <c r="A994" s="18"/>
      <c r="B994" s="18"/>
      <c r="C994" s="18"/>
      <c r="D994" s="18"/>
      <c r="E994" s="18"/>
      <c r="F994" s="18"/>
      <c r="G994" s="18"/>
      <c r="H994" s="18"/>
      <c r="I994" s="18"/>
      <c r="J994" s="18"/>
      <c r="K994" s="18"/>
      <c r="L994" s="18"/>
      <c r="M994" s="18"/>
      <c r="N994" s="18"/>
      <c r="O994" s="1316"/>
      <c r="P994" s="18"/>
      <c r="Q994" s="18"/>
      <c r="R994" s="18"/>
      <c r="S994" s="18"/>
      <c r="T994" s="18"/>
      <c r="U994" s="18"/>
      <c r="V994" s="18"/>
      <c r="W994" s="18"/>
      <c r="X994" s="18"/>
      <c r="Y994" s="18"/>
      <c r="Z994" s="18"/>
      <c r="AA994" s="18"/>
      <c r="AB994" s="18"/>
      <c r="AC994" s="18"/>
      <c r="AD994" s="18"/>
      <c r="AE994" s="18"/>
      <c r="AF994" s="18"/>
      <c r="AG994" s="18"/>
    </row>
    <row r="995" spans="1:33" x14ac:dyDescent="0.2">
      <c r="A995" s="18"/>
      <c r="B995" s="18"/>
      <c r="C995" s="18"/>
      <c r="D995" s="18"/>
      <c r="E995" s="18"/>
      <c r="F995" s="18"/>
      <c r="G995" s="18"/>
      <c r="H995" s="18"/>
      <c r="I995" s="18"/>
      <c r="J995" s="18"/>
      <c r="K995" s="18"/>
      <c r="L995" s="18"/>
      <c r="M995" s="18"/>
      <c r="N995" s="18"/>
      <c r="O995" s="1316"/>
      <c r="P995" s="18"/>
      <c r="Q995" s="18"/>
      <c r="R995" s="18"/>
      <c r="S995" s="18"/>
      <c r="T995" s="18"/>
      <c r="U995" s="18"/>
      <c r="V995" s="18"/>
      <c r="W995" s="18"/>
      <c r="X995" s="18"/>
      <c r="Y995" s="18"/>
      <c r="Z995" s="18"/>
      <c r="AA995" s="18"/>
      <c r="AB995" s="18"/>
      <c r="AC995" s="18"/>
      <c r="AD995" s="18"/>
      <c r="AE995" s="18"/>
      <c r="AF995" s="18"/>
      <c r="AG995" s="18"/>
    </row>
    <row r="996" spans="1:33" x14ac:dyDescent="0.2">
      <c r="A996" s="18"/>
      <c r="B996" s="18"/>
      <c r="C996" s="18"/>
      <c r="D996" s="18"/>
      <c r="E996" s="18"/>
      <c r="F996" s="18"/>
      <c r="G996" s="18"/>
      <c r="H996" s="18"/>
      <c r="I996" s="18"/>
      <c r="J996" s="18"/>
      <c r="K996" s="18"/>
      <c r="L996" s="18"/>
      <c r="M996" s="18"/>
      <c r="N996" s="18"/>
      <c r="O996" s="1316"/>
      <c r="P996" s="18"/>
      <c r="Q996" s="18"/>
      <c r="R996" s="18"/>
      <c r="S996" s="18"/>
      <c r="T996" s="18"/>
      <c r="U996" s="18"/>
      <c r="V996" s="18"/>
      <c r="W996" s="18"/>
      <c r="X996" s="18"/>
      <c r="Y996" s="18"/>
      <c r="Z996" s="18"/>
      <c r="AA996" s="18"/>
      <c r="AB996" s="18"/>
      <c r="AC996" s="18"/>
      <c r="AD996" s="18"/>
      <c r="AE996" s="18"/>
      <c r="AF996" s="18"/>
      <c r="AG996" s="18"/>
    </row>
    <row r="997" spans="1:33" x14ac:dyDescent="0.2">
      <c r="A997" s="18"/>
      <c r="B997" s="18"/>
      <c r="C997" s="18"/>
      <c r="D997" s="18"/>
      <c r="E997" s="18"/>
      <c r="F997" s="18"/>
      <c r="G997" s="18"/>
      <c r="H997" s="18"/>
      <c r="I997" s="18"/>
      <c r="J997" s="18"/>
      <c r="K997" s="18"/>
      <c r="L997" s="18"/>
      <c r="M997" s="18"/>
      <c r="N997" s="18"/>
      <c r="O997" s="1316"/>
      <c r="P997" s="18"/>
      <c r="Q997" s="18"/>
      <c r="R997" s="18"/>
      <c r="S997" s="18"/>
      <c r="T997" s="18"/>
      <c r="U997" s="18"/>
      <c r="V997" s="18"/>
      <c r="W997" s="18"/>
      <c r="X997" s="18"/>
      <c r="Y997" s="18"/>
      <c r="Z997" s="18"/>
      <c r="AA997" s="18"/>
      <c r="AB997" s="18"/>
      <c r="AC997" s="18"/>
      <c r="AD997" s="18"/>
      <c r="AE997" s="18"/>
      <c r="AF997" s="18"/>
      <c r="AG997" s="18"/>
    </row>
    <row r="998" spans="1:33" x14ac:dyDescent="0.2">
      <c r="A998" s="18"/>
      <c r="B998" s="18"/>
      <c r="C998" s="18"/>
      <c r="D998" s="18"/>
      <c r="E998" s="18"/>
      <c r="F998" s="18"/>
      <c r="G998" s="18"/>
      <c r="H998" s="18"/>
      <c r="I998" s="18"/>
      <c r="J998" s="18"/>
      <c r="K998" s="18"/>
      <c r="L998" s="18"/>
      <c r="M998" s="18"/>
      <c r="N998" s="18"/>
      <c r="O998" s="1316"/>
      <c r="P998" s="18"/>
      <c r="Q998" s="18"/>
      <c r="R998" s="18"/>
      <c r="S998" s="18"/>
      <c r="T998" s="18"/>
      <c r="U998" s="18"/>
      <c r="V998" s="18"/>
      <c r="W998" s="18"/>
      <c r="X998" s="18"/>
      <c r="Y998" s="18"/>
      <c r="Z998" s="18"/>
      <c r="AA998" s="18"/>
      <c r="AB998" s="18"/>
      <c r="AC998" s="18"/>
      <c r="AD998" s="18"/>
      <c r="AE998" s="18"/>
      <c r="AF998" s="18"/>
      <c r="AG998" s="18"/>
    </row>
    <row r="999" spans="1:33" x14ac:dyDescent="0.2">
      <c r="A999" s="18"/>
      <c r="B999" s="18"/>
      <c r="C999" s="18"/>
      <c r="D999" s="18"/>
      <c r="E999" s="18"/>
      <c r="F999" s="18"/>
      <c r="G999" s="18"/>
      <c r="H999" s="18"/>
      <c r="I999" s="18"/>
      <c r="J999" s="18"/>
      <c r="K999" s="18"/>
      <c r="L999" s="18"/>
      <c r="M999" s="18"/>
      <c r="N999" s="18"/>
      <c r="O999" s="1316"/>
      <c r="P999" s="18"/>
      <c r="Q999" s="18"/>
      <c r="R999" s="18"/>
      <c r="S999" s="18"/>
      <c r="T999" s="18"/>
      <c r="U999" s="18"/>
      <c r="V999" s="18"/>
      <c r="W999" s="18"/>
      <c r="X999" s="18"/>
      <c r="Y999" s="18"/>
      <c r="Z999" s="18"/>
      <c r="AA999" s="18"/>
      <c r="AB999" s="18"/>
      <c r="AC999" s="18"/>
      <c r="AD999" s="18"/>
      <c r="AE999" s="18"/>
      <c r="AF999" s="18"/>
      <c r="AG999" s="18"/>
    </row>
    <row r="1000" spans="1:33" x14ac:dyDescent="0.2">
      <c r="A1000" s="18"/>
      <c r="B1000" s="18"/>
      <c r="C1000" s="18"/>
      <c r="D1000" s="18"/>
      <c r="E1000" s="18"/>
      <c r="F1000" s="18"/>
      <c r="G1000" s="18"/>
      <c r="H1000" s="18"/>
      <c r="I1000" s="18"/>
      <c r="J1000" s="18"/>
      <c r="K1000" s="18"/>
      <c r="L1000" s="18"/>
      <c r="M1000" s="18"/>
      <c r="N1000" s="18"/>
      <c r="O1000" s="1316"/>
      <c r="P1000" s="18"/>
      <c r="Q1000" s="18"/>
      <c r="R1000" s="18"/>
      <c r="S1000" s="18"/>
      <c r="T1000" s="18"/>
      <c r="U1000" s="18"/>
      <c r="V1000" s="18"/>
      <c r="W1000" s="18"/>
      <c r="X1000" s="18"/>
      <c r="Y1000" s="18"/>
      <c r="Z1000" s="18"/>
      <c r="AA1000" s="18"/>
      <c r="AB1000" s="18"/>
      <c r="AC1000" s="18"/>
      <c r="AD1000" s="18"/>
      <c r="AE1000" s="18"/>
      <c r="AF1000" s="18"/>
      <c r="AG1000" s="18"/>
    </row>
    <row r="1001" spans="1:33" x14ac:dyDescent="0.2">
      <c r="A1001" s="18"/>
      <c r="B1001" s="18"/>
      <c r="C1001" s="18"/>
      <c r="D1001" s="18"/>
      <c r="E1001" s="18"/>
      <c r="F1001" s="18"/>
      <c r="G1001" s="18"/>
      <c r="H1001" s="18"/>
      <c r="I1001" s="18"/>
      <c r="J1001" s="18"/>
      <c r="K1001" s="18"/>
      <c r="L1001" s="18"/>
      <c r="M1001" s="18"/>
      <c r="N1001" s="18"/>
      <c r="O1001" s="1316"/>
      <c r="P1001" s="18"/>
      <c r="Q1001" s="18"/>
      <c r="R1001" s="18"/>
      <c r="S1001" s="18"/>
      <c r="T1001" s="18"/>
      <c r="U1001" s="18"/>
      <c r="V1001" s="18"/>
      <c r="W1001" s="18"/>
      <c r="X1001" s="18"/>
      <c r="Y1001" s="18"/>
      <c r="Z1001" s="18"/>
      <c r="AA1001" s="18"/>
      <c r="AB1001" s="18"/>
      <c r="AC1001" s="18"/>
      <c r="AD1001" s="18"/>
      <c r="AE1001" s="18"/>
      <c r="AF1001" s="18"/>
      <c r="AG1001" s="18"/>
    </row>
    <row r="1002" spans="1:33" x14ac:dyDescent="0.2">
      <c r="A1002" s="18"/>
      <c r="B1002" s="18"/>
      <c r="C1002" s="18"/>
      <c r="D1002" s="18"/>
      <c r="E1002" s="18"/>
      <c r="F1002" s="18"/>
      <c r="G1002" s="18"/>
      <c r="H1002" s="18"/>
      <c r="I1002" s="18"/>
      <c r="J1002" s="18"/>
      <c r="K1002" s="18"/>
      <c r="L1002" s="18"/>
      <c r="M1002" s="18"/>
      <c r="N1002" s="18"/>
      <c r="O1002" s="1316"/>
      <c r="P1002" s="18"/>
      <c r="Q1002" s="18"/>
      <c r="R1002" s="18"/>
      <c r="S1002" s="18"/>
      <c r="T1002" s="18"/>
      <c r="U1002" s="18"/>
      <c r="V1002" s="18"/>
      <c r="W1002" s="18"/>
      <c r="X1002" s="18"/>
      <c r="Y1002" s="18"/>
      <c r="Z1002" s="18"/>
      <c r="AA1002" s="18"/>
      <c r="AB1002" s="18"/>
      <c r="AC1002" s="18"/>
      <c r="AD1002" s="18"/>
      <c r="AE1002" s="18"/>
      <c r="AF1002" s="18"/>
      <c r="AG1002" s="18"/>
    </row>
    <row r="1003" spans="1:33" x14ac:dyDescent="0.2">
      <c r="A1003" s="18"/>
      <c r="B1003" s="18"/>
      <c r="C1003" s="18"/>
      <c r="D1003" s="18"/>
      <c r="E1003" s="18"/>
      <c r="F1003" s="18"/>
      <c r="G1003" s="18"/>
      <c r="H1003" s="18"/>
      <c r="I1003" s="18"/>
      <c r="J1003" s="18"/>
      <c r="K1003" s="18"/>
      <c r="L1003" s="18"/>
      <c r="M1003" s="18"/>
      <c r="N1003" s="18"/>
      <c r="O1003" s="1316"/>
      <c r="P1003" s="18"/>
      <c r="Q1003" s="18"/>
      <c r="R1003" s="18"/>
      <c r="S1003" s="18"/>
      <c r="T1003" s="18"/>
      <c r="U1003" s="18"/>
      <c r="V1003" s="18"/>
      <c r="W1003" s="18"/>
      <c r="X1003" s="18"/>
      <c r="Y1003" s="18"/>
      <c r="Z1003" s="18"/>
      <c r="AA1003" s="18"/>
      <c r="AB1003" s="18"/>
      <c r="AC1003" s="18"/>
      <c r="AD1003" s="18"/>
      <c r="AE1003" s="18"/>
      <c r="AF1003" s="18"/>
      <c r="AG1003" s="18"/>
    </row>
    <row r="1004" spans="1:33" x14ac:dyDescent="0.2">
      <c r="A1004" s="18"/>
      <c r="B1004" s="18"/>
      <c r="C1004" s="18"/>
      <c r="D1004" s="18"/>
      <c r="E1004" s="18"/>
      <c r="F1004" s="18"/>
      <c r="G1004" s="18"/>
      <c r="H1004" s="18"/>
      <c r="I1004" s="18"/>
      <c r="J1004" s="18"/>
      <c r="K1004" s="18"/>
      <c r="L1004" s="18"/>
      <c r="M1004" s="18"/>
      <c r="N1004" s="18"/>
      <c r="O1004" s="1316"/>
      <c r="P1004" s="18"/>
      <c r="Q1004" s="18"/>
      <c r="R1004" s="18"/>
      <c r="S1004" s="18"/>
      <c r="T1004" s="18"/>
      <c r="U1004" s="18"/>
      <c r="V1004" s="18"/>
      <c r="W1004" s="18"/>
      <c r="X1004" s="18"/>
      <c r="Y1004" s="18"/>
      <c r="Z1004" s="18"/>
      <c r="AA1004" s="18"/>
      <c r="AB1004" s="18"/>
      <c r="AC1004" s="18"/>
      <c r="AD1004" s="18"/>
      <c r="AE1004" s="18"/>
      <c r="AF1004" s="18"/>
      <c r="AG1004" s="18"/>
    </row>
    <row r="1005" spans="1:33" x14ac:dyDescent="0.2">
      <c r="A1005" s="18"/>
      <c r="B1005" s="18"/>
      <c r="C1005" s="18"/>
      <c r="D1005" s="18"/>
      <c r="E1005" s="18"/>
      <c r="F1005" s="18"/>
      <c r="G1005" s="18"/>
      <c r="H1005" s="18"/>
      <c r="I1005" s="18"/>
      <c r="J1005" s="18"/>
      <c r="K1005" s="18"/>
      <c r="L1005" s="18"/>
      <c r="M1005" s="18"/>
      <c r="N1005" s="18"/>
      <c r="O1005" s="1316"/>
      <c r="P1005" s="18"/>
      <c r="Q1005" s="18"/>
      <c r="R1005" s="18"/>
      <c r="S1005" s="18"/>
      <c r="T1005" s="18"/>
      <c r="U1005" s="18"/>
      <c r="V1005" s="18"/>
      <c r="W1005" s="18"/>
      <c r="X1005" s="18"/>
      <c r="Y1005" s="18"/>
      <c r="Z1005" s="18"/>
      <c r="AA1005" s="18"/>
      <c r="AB1005" s="18"/>
      <c r="AC1005" s="18"/>
      <c r="AD1005" s="18"/>
      <c r="AE1005" s="18"/>
      <c r="AF1005" s="18"/>
      <c r="AG1005" s="18"/>
    </row>
    <row r="1006" spans="1:33" x14ac:dyDescent="0.2">
      <c r="A1006" s="18"/>
      <c r="B1006" s="18"/>
      <c r="C1006" s="18"/>
      <c r="D1006" s="18"/>
      <c r="E1006" s="18"/>
      <c r="F1006" s="18"/>
      <c r="G1006" s="18"/>
      <c r="H1006" s="18"/>
      <c r="I1006" s="18"/>
      <c r="J1006" s="18"/>
      <c r="K1006" s="18"/>
      <c r="L1006" s="18"/>
      <c r="M1006" s="18"/>
      <c r="N1006" s="18"/>
      <c r="O1006" s="1316"/>
      <c r="P1006" s="18"/>
      <c r="Q1006" s="18"/>
      <c r="R1006" s="18"/>
      <c r="S1006" s="18"/>
      <c r="T1006" s="18"/>
      <c r="U1006" s="18"/>
      <c r="V1006" s="18"/>
      <c r="W1006" s="18"/>
      <c r="X1006" s="18"/>
      <c r="Y1006" s="18"/>
      <c r="Z1006" s="18"/>
      <c r="AA1006" s="18"/>
      <c r="AB1006" s="18"/>
      <c r="AC1006" s="18"/>
      <c r="AD1006" s="18"/>
      <c r="AE1006" s="18"/>
      <c r="AF1006" s="18"/>
      <c r="AG1006" s="18"/>
    </row>
    <row r="1007" spans="1:33" x14ac:dyDescent="0.2">
      <c r="A1007" s="18"/>
      <c r="B1007" s="18"/>
      <c r="C1007" s="18"/>
      <c r="D1007" s="18"/>
      <c r="E1007" s="18"/>
      <c r="F1007" s="18"/>
      <c r="G1007" s="18"/>
      <c r="H1007" s="18"/>
      <c r="I1007" s="18"/>
      <c r="J1007" s="18"/>
      <c r="K1007" s="18"/>
      <c r="L1007" s="18"/>
      <c r="M1007" s="18"/>
      <c r="N1007" s="18"/>
      <c r="O1007" s="1316"/>
      <c r="P1007" s="18"/>
      <c r="Q1007" s="18"/>
      <c r="R1007" s="18"/>
      <c r="S1007" s="18"/>
      <c r="T1007" s="18"/>
      <c r="U1007" s="18"/>
      <c r="V1007" s="18"/>
      <c r="W1007" s="18"/>
      <c r="X1007" s="18"/>
      <c r="Y1007" s="18"/>
      <c r="Z1007" s="18"/>
      <c r="AA1007" s="18"/>
      <c r="AB1007" s="18"/>
      <c r="AC1007" s="18"/>
      <c r="AD1007" s="18"/>
      <c r="AE1007" s="18"/>
      <c r="AF1007" s="18"/>
      <c r="AG1007" s="18"/>
    </row>
    <row r="1008" spans="1:33" x14ac:dyDescent="0.2">
      <c r="A1008" s="18"/>
      <c r="B1008" s="18"/>
      <c r="C1008" s="18"/>
      <c r="D1008" s="18"/>
      <c r="E1008" s="18"/>
      <c r="F1008" s="18"/>
      <c r="G1008" s="18"/>
      <c r="H1008" s="18"/>
      <c r="I1008" s="18"/>
      <c r="J1008" s="18"/>
      <c r="K1008" s="18"/>
      <c r="L1008" s="18"/>
      <c r="M1008" s="18"/>
      <c r="N1008" s="18"/>
      <c r="O1008" s="1316"/>
      <c r="P1008" s="18"/>
      <c r="Q1008" s="18"/>
      <c r="R1008" s="18"/>
      <c r="S1008" s="18"/>
      <c r="T1008" s="18"/>
      <c r="U1008" s="18"/>
      <c r="V1008" s="18"/>
      <c r="W1008" s="18"/>
      <c r="X1008" s="18"/>
      <c r="Y1008" s="18"/>
      <c r="Z1008" s="18"/>
      <c r="AA1008" s="18"/>
      <c r="AB1008" s="18"/>
      <c r="AC1008" s="18"/>
      <c r="AD1008" s="18"/>
      <c r="AE1008" s="18"/>
      <c r="AF1008" s="18"/>
      <c r="AG1008" s="18"/>
    </row>
    <row r="1009" spans="1:33" x14ac:dyDescent="0.2">
      <c r="A1009" s="18"/>
      <c r="B1009" s="18"/>
      <c r="C1009" s="18"/>
      <c r="D1009" s="18"/>
      <c r="E1009" s="18"/>
      <c r="F1009" s="18"/>
      <c r="G1009" s="18"/>
      <c r="H1009" s="18"/>
      <c r="I1009" s="18"/>
      <c r="J1009" s="18"/>
      <c r="K1009" s="18"/>
      <c r="L1009" s="18"/>
      <c r="M1009" s="18"/>
      <c r="N1009" s="18"/>
      <c r="O1009" s="1316"/>
      <c r="P1009" s="18"/>
      <c r="Q1009" s="18"/>
      <c r="R1009" s="18"/>
      <c r="S1009" s="18"/>
      <c r="T1009" s="18"/>
      <c r="U1009" s="18"/>
      <c r="V1009" s="18"/>
      <c r="W1009" s="18"/>
      <c r="X1009" s="18"/>
      <c r="Y1009" s="18"/>
      <c r="Z1009" s="18"/>
      <c r="AA1009" s="18"/>
      <c r="AB1009" s="18"/>
      <c r="AC1009" s="18"/>
      <c r="AD1009" s="18"/>
      <c r="AE1009" s="18"/>
      <c r="AF1009" s="18"/>
      <c r="AG1009" s="18"/>
    </row>
    <row r="1010" spans="1:33" x14ac:dyDescent="0.2">
      <c r="A1010" s="18"/>
      <c r="B1010" s="18"/>
      <c r="C1010" s="18"/>
      <c r="D1010" s="18"/>
      <c r="E1010" s="18"/>
      <c r="F1010" s="18"/>
      <c r="G1010" s="18"/>
      <c r="H1010" s="18"/>
      <c r="I1010" s="18"/>
      <c r="J1010" s="18"/>
      <c r="K1010" s="18"/>
      <c r="L1010" s="18"/>
      <c r="M1010" s="18"/>
      <c r="N1010" s="18"/>
      <c r="O1010" s="1316"/>
      <c r="P1010" s="18"/>
      <c r="Q1010" s="18"/>
      <c r="R1010" s="18"/>
      <c r="S1010" s="18"/>
      <c r="T1010" s="18"/>
      <c r="U1010" s="18"/>
      <c r="V1010" s="18"/>
      <c r="W1010" s="18"/>
      <c r="X1010" s="18"/>
      <c r="Y1010" s="18"/>
      <c r="Z1010" s="18"/>
      <c r="AA1010" s="18"/>
      <c r="AB1010" s="18"/>
      <c r="AC1010" s="18"/>
      <c r="AD1010" s="18"/>
      <c r="AE1010" s="18"/>
      <c r="AF1010" s="18"/>
      <c r="AG1010" s="18"/>
    </row>
    <row r="1011" spans="1:33" x14ac:dyDescent="0.2">
      <c r="A1011" s="18"/>
      <c r="B1011" s="18"/>
      <c r="C1011" s="18"/>
      <c r="D1011" s="18"/>
      <c r="E1011" s="18"/>
      <c r="F1011" s="18"/>
      <c r="G1011" s="18"/>
      <c r="H1011" s="18"/>
      <c r="I1011" s="18"/>
      <c r="J1011" s="18"/>
      <c r="K1011" s="18"/>
      <c r="L1011" s="18"/>
      <c r="M1011" s="18"/>
      <c r="N1011" s="18"/>
      <c r="O1011" s="1316"/>
      <c r="P1011" s="18"/>
      <c r="Q1011" s="18"/>
      <c r="R1011" s="18"/>
      <c r="S1011" s="18"/>
      <c r="T1011" s="18"/>
      <c r="U1011" s="18"/>
      <c r="V1011" s="18"/>
      <c r="W1011" s="18"/>
      <c r="X1011" s="18"/>
      <c r="Y1011" s="18"/>
      <c r="Z1011" s="18"/>
      <c r="AA1011" s="18"/>
      <c r="AB1011" s="18"/>
      <c r="AC1011" s="18"/>
      <c r="AD1011" s="18"/>
      <c r="AE1011" s="18"/>
      <c r="AF1011" s="18"/>
      <c r="AG1011" s="18"/>
    </row>
    <row r="1012" spans="1:33" x14ac:dyDescent="0.2">
      <c r="A1012" s="18"/>
      <c r="B1012" s="18"/>
      <c r="C1012" s="18"/>
      <c r="D1012" s="18"/>
      <c r="E1012" s="18"/>
      <c r="F1012" s="18"/>
      <c r="G1012" s="18"/>
      <c r="H1012" s="18"/>
      <c r="I1012" s="18"/>
      <c r="J1012" s="18"/>
      <c r="K1012" s="18"/>
      <c r="L1012" s="18"/>
      <c r="M1012" s="18"/>
      <c r="N1012" s="18"/>
      <c r="O1012" s="1316"/>
      <c r="P1012" s="18"/>
      <c r="Q1012" s="18"/>
      <c r="R1012" s="18"/>
      <c r="S1012" s="18"/>
      <c r="T1012" s="18"/>
      <c r="U1012" s="18"/>
      <c r="V1012" s="18"/>
      <c r="W1012" s="18"/>
      <c r="X1012" s="18"/>
      <c r="Y1012" s="18"/>
      <c r="Z1012" s="18"/>
      <c r="AA1012" s="18"/>
      <c r="AB1012" s="18"/>
      <c r="AC1012" s="18"/>
      <c r="AD1012" s="18"/>
      <c r="AE1012" s="18"/>
      <c r="AF1012" s="18"/>
      <c r="AG1012" s="18"/>
    </row>
    <row r="1013" spans="1:33" x14ac:dyDescent="0.2">
      <c r="A1013" s="18"/>
      <c r="B1013" s="18"/>
      <c r="C1013" s="18"/>
      <c r="D1013" s="18"/>
      <c r="E1013" s="18"/>
      <c r="F1013" s="18"/>
      <c r="G1013" s="18"/>
      <c r="H1013" s="18"/>
      <c r="I1013" s="18"/>
      <c r="J1013" s="18"/>
      <c r="K1013" s="18"/>
      <c r="L1013" s="18"/>
      <c r="M1013" s="18"/>
      <c r="N1013" s="18"/>
      <c r="O1013" s="1316"/>
      <c r="P1013" s="18"/>
      <c r="Q1013" s="18"/>
      <c r="R1013" s="18"/>
      <c r="S1013" s="18"/>
      <c r="T1013" s="18"/>
      <c r="U1013" s="18"/>
      <c r="V1013" s="18"/>
      <c r="W1013" s="18"/>
      <c r="X1013" s="18"/>
      <c r="Y1013" s="18"/>
      <c r="Z1013" s="18"/>
      <c r="AA1013" s="18"/>
      <c r="AB1013" s="18"/>
      <c r="AC1013" s="18"/>
      <c r="AD1013" s="18"/>
      <c r="AE1013" s="18"/>
      <c r="AF1013" s="18"/>
      <c r="AG1013" s="18"/>
    </row>
    <row r="1014" spans="1:33" x14ac:dyDescent="0.2">
      <c r="A1014" s="18"/>
      <c r="B1014" s="18"/>
      <c r="C1014" s="18"/>
      <c r="D1014" s="18"/>
      <c r="E1014" s="18"/>
      <c r="F1014" s="18"/>
      <c r="G1014" s="18"/>
      <c r="H1014" s="18"/>
      <c r="I1014" s="18"/>
      <c r="J1014" s="18"/>
      <c r="K1014" s="18"/>
      <c r="L1014" s="18"/>
      <c r="M1014" s="18"/>
      <c r="N1014" s="18"/>
      <c r="O1014" s="1316"/>
      <c r="P1014" s="18"/>
      <c r="Q1014" s="18"/>
      <c r="R1014" s="18"/>
      <c r="S1014" s="18"/>
      <c r="T1014" s="18"/>
      <c r="U1014" s="18"/>
      <c r="V1014" s="18"/>
      <c r="W1014" s="18"/>
      <c r="X1014" s="18"/>
      <c r="Y1014" s="18"/>
      <c r="Z1014" s="18"/>
      <c r="AA1014" s="18"/>
      <c r="AB1014" s="18"/>
      <c r="AC1014" s="18"/>
      <c r="AD1014" s="18"/>
      <c r="AE1014" s="18"/>
      <c r="AF1014" s="18"/>
      <c r="AG1014" s="18"/>
    </row>
    <row r="1015" spans="1:33" x14ac:dyDescent="0.2">
      <c r="A1015" s="18"/>
      <c r="B1015" s="18"/>
      <c r="C1015" s="18"/>
      <c r="D1015" s="18"/>
      <c r="E1015" s="18"/>
      <c r="F1015" s="18"/>
      <c r="G1015" s="18"/>
      <c r="H1015" s="18"/>
      <c r="I1015" s="18"/>
      <c r="J1015" s="18"/>
      <c r="K1015" s="18"/>
      <c r="L1015" s="18"/>
      <c r="M1015" s="18"/>
      <c r="N1015" s="18"/>
      <c r="O1015" s="1316"/>
      <c r="P1015" s="18"/>
      <c r="Q1015" s="18"/>
      <c r="R1015" s="18"/>
      <c r="S1015" s="18"/>
      <c r="T1015" s="18"/>
      <c r="U1015" s="18"/>
      <c r="V1015" s="18"/>
      <c r="W1015" s="18"/>
      <c r="X1015" s="18"/>
      <c r="Y1015" s="18"/>
      <c r="Z1015" s="18"/>
      <c r="AA1015" s="18"/>
      <c r="AB1015" s="18"/>
      <c r="AC1015" s="18"/>
      <c r="AD1015" s="18"/>
      <c r="AE1015" s="18"/>
      <c r="AF1015" s="18"/>
      <c r="AG1015" s="18"/>
    </row>
    <row r="1016" spans="1:33" x14ac:dyDescent="0.2">
      <c r="A1016" s="18"/>
      <c r="B1016" s="18"/>
      <c r="C1016" s="18"/>
      <c r="D1016" s="18"/>
      <c r="E1016" s="18"/>
      <c r="F1016" s="18"/>
      <c r="G1016" s="18"/>
      <c r="H1016" s="18"/>
      <c r="I1016" s="18"/>
      <c r="J1016" s="18"/>
      <c r="K1016" s="18"/>
      <c r="L1016" s="18"/>
      <c r="M1016" s="18"/>
      <c r="N1016" s="18"/>
      <c r="O1016" s="1316"/>
      <c r="P1016" s="18"/>
      <c r="Q1016" s="18"/>
      <c r="R1016" s="18"/>
      <c r="S1016" s="18"/>
      <c r="T1016" s="18"/>
      <c r="U1016" s="18"/>
      <c r="V1016" s="18"/>
      <c r="W1016" s="18"/>
      <c r="X1016" s="18"/>
      <c r="Y1016" s="18"/>
      <c r="Z1016" s="18"/>
      <c r="AA1016" s="18"/>
      <c r="AB1016" s="18"/>
      <c r="AC1016" s="18"/>
      <c r="AD1016" s="18"/>
      <c r="AE1016" s="18"/>
      <c r="AF1016" s="18"/>
      <c r="AG1016" s="18"/>
    </row>
    <row r="1017" spans="1:33" x14ac:dyDescent="0.2">
      <c r="A1017" s="18"/>
      <c r="B1017" s="18"/>
      <c r="C1017" s="18"/>
      <c r="D1017" s="18"/>
      <c r="E1017" s="18"/>
      <c r="F1017" s="18"/>
      <c r="G1017" s="18"/>
      <c r="H1017" s="18"/>
      <c r="I1017" s="18"/>
      <c r="J1017" s="18"/>
      <c r="K1017" s="18"/>
      <c r="L1017" s="18"/>
      <c r="M1017" s="18"/>
      <c r="N1017" s="18"/>
      <c r="O1017" s="1316"/>
      <c r="P1017" s="18"/>
      <c r="Q1017" s="18"/>
      <c r="R1017" s="18"/>
      <c r="S1017" s="18"/>
      <c r="T1017" s="18"/>
      <c r="U1017" s="18"/>
      <c r="V1017" s="18"/>
      <c r="W1017" s="18"/>
      <c r="X1017" s="18"/>
      <c r="Y1017" s="18"/>
      <c r="Z1017" s="18"/>
      <c r="AA1017" s="18"/>
      <c r="AB1017" s="18"/>
      <c r="AC1017" s="18"/>
      <c r="AD1017" s="18"/>
      <c r="AE1017" s="18"/>
      <c r="AF1017" s="18"/>
      <c r="AG1017" s="18"/>
    </row>
    <row r="1018" spans="1:33" x14ac:dyDescent="0.2">
      <c r="A1018" s="18"/>
      <c r="B1018" s="18"/>
      <c r="C1018" s="18"/>
      <c r="D1018" s="18"/>
      <c r="E1018" s="18"/>
      <c r="F1018" s="18"/>
      <c r="G1018" s="18"/>
      <c r="H1018" s="18"/>
      <c r="I1018" s="18"/>
      <c r="J1018" s="18"/>
      <c r="K1018" s="18"/>
      <c r="L1018" s="18"/>
      <c r="M1018" s="18"/>
      <c r="N1018" s="18"/>
      <c r="O1018" s="1316"/>
      <c r="P1018" s="18"/>
      <c r="Q1018" s="18"/>
      <c r="R1018" s="18"/>
      <c r="S1018" s="18"/>
      <c r="T1018" s="18"/>
      <c r="U1018" s="18"/>
      <c r="V1018" s="18"/>
      <c r="W1018" s="18"/>
      <c r="X1018" s="18"/>
      <c r="Y1018" s="18"/>
      <c r="Z1018" s="18"/>
      <c r="AA1018" s="18"/>
      <c r="AB1018" s="18"/>
      <c r="AC1018" s="18"/>
      <c r="AD1018" s="18"/>
      <c r="AE1018" s="18"/>
      <c r="AF1018" s="18"/>
      <c r="AG1018" s="18"/>
    </row>
    <row r="1019" spans="1:33" x14ac:dyDescent="0.2">
      <c r="A1019" s="18"/>
      <c r="B1019" s="18"/>
      <c r="C1019" s="18"/>
      <c r="D1019" s="18"/>
      <c r="E1019" s="18"/>
      <c r="F1019" s="18"/>
      <c r="G1019" s="18"/>
      <c r="H1019" s="18"/>
      <c r="I1019" s="18"/>
      <c r="J1019" s="18"/>
      <c r="K1019" s="18"/>
      <c r="L1019" s="18"/>
      <c r="M1019" s="18"/>
      <c r="N1019" s="18"/>
      <c r="O1019" s="1316"/>
      <c r="P1019" s="18"/>
      <c r="Q1019" s="18"/>
      <c r="R1019" s="18"/>
      <c r="S1019" s="18"/>
      <c r="T1019" s="18"/>
      <c r="U1019" s="18"/>
      <c r="V1019" s="18"/>
      <c r="W1019" s="18"/>
      <c r="X1019" s="18"/>
      <c r="Y1019" s="18"/>
      <c r="Z1019" s="18"/>
      <c r="AA1019" s="18"/>
      <c r="AB1019" s="18"/>
      <c r="AC1019" s="18"/>
      <c r="AD1019" s="18"/>
      <c r="AE1019" s="18"/>
      <c r="AF1019" s="18"/>
      <c r="AG1019" s="18"/>
    </row>
    <row r="1020" spans="1:33" x14ac:dyDescent="0.2">
      <c r="A1020" s="18"/>
      <c r="B1020" s="18"/>
      <c r="C1020" s="18"/>
      <c r="D1020" s="18"/>
      <c r="E1020" s="18"/>
      <c r="F1020" s="18"/>
      <c r="G1020" s="18"/>
      <c r="H1020" s="18"/>
      <c r="I1020" s="18"/>
      <c r="J1020" s="18"/>
      <c r="K1020" s="18"/>
      <c r="L1020" s="18"/>
      <c r="M1020" s="18"/>
      <c r="N1020" s="18"/>
      <c r="O1020" s="1316"/>
      <c r="P1020" s="18"/>
      <c r="Q1020" s="18"/>
      <c r="R1020" s="18"/>
      <c r="S1020" s="18"/>
      <c r="T1020" s="18"/>
      <c r="U1020" s="18"/>
      <c r="V1020" s="18"/>
      <c r="W1020" s="18"/>
      <c r="X1020" s="18"/>
      <c r="Y1020" s="18"/>
      <c r="Z1020" s="18"/>
      <c r="AA1020" s="18"/>
      <c r="AB1020" s="18"/>
      <c r="AC1020" s="18"/>
      <c r="AD1020" s="18"/>
      <c r="AE1020" s="18"/>
      <c r="AF1020" s="18"/>
      <c r="AG1020" s="18"/>
    </row>
    <row r="1021" spans="1:33" x14ac:dyDescent="0.2">
      <c r="A1021" s="18"/>
      <c r="B1021" s="18"/>
      <c r="C1021" s="18"/>
      <c r="D1021" s="18"/>
      <c r="E1021" s="18"/>
      <c r="F1021" s="18"/>
      <c r="G1021" s="18"/>
      <c r="H1021" s="18"/>
      <c r="I1021" s="18"/>
      <c r="J1021" s="18"/>
      <c r="K1021" s="18"/>
      <c r="L1021" s="18"/>
      <c r="M1021" s="18"/>
      <c r="N1021" s="18"/>
      <c r="O1021" s="1316"/>
      <c r="P1021" s="18"/>
      <c r="Q1021" s="18"/>
      <c r="R1021" s="18"/>
      <c r="S1021" s="18"/>
      <c r="T1021" s="18"/>
      <c r="U1021" s="18"/>
      <c r="V1021" s="18"/>
      <c r="W1021" s="18"/>
      <c r="X1021" s="18"/>
      <c r="Y1021" s="18"/>
      <c r="Z1021" s="18"/>
      <c r="AA1021" s="18"/>
      <c r="AB1021" s="18"/>
      <c r="AC1021" s="18"/>
      <c r="AD1021" s="18"/>
      <c r="AE1021" s="18"/>
      <c r="AF1021" s="18"/>
      <c r="AG1021" s="18"/>
    </row>
    <row r="1022" spans="1:33" x14ac:dyDescent="0.2">
      <c r="A1022" s="18"/>
      <c r="B1022" s="18"/>
      <c r="C1022" s="18"/>
      <c r="D1022" s="18"/>
      <c r="E1022" s="18"/>
      <c r="F1022" s="18"/>
      <c r="G1022" s="18"/>
      <c r="H1022" s="18"/>
      <c r="I1022" s="18"/>
      <c r="J1022" s="18"/>
      <c r="K1022" s="18"/>
      <c r="L1022" s="18"/>
      <c r="M1022" s="18"/>
      <c r="N1022" s="18"/>
      <c r="O1022" s="1316"/>
      <c r="P1022" s="18"/>
      <c r="Q1022" s="18"/>
      <c r="R1022" s="18"/>
      <c r="S1022" s="18"/>
      <c r="T1022" s="18"/>
      <c r="U1022" s="18"/>
      <c r="V1022" s="18"/>
      <c r="W1022" s="18"/>
      <c r="X1022" s="18"/>
      <c r="Y1022" s="18"/>
      <c r="Z1022" s="18"/>
      <c r="AA1022" s="18"/>
      <c r="AB1022" s="18"/>
      <c r="AC1022" s="18"/>
      <c r="AD1022" s="18"/>
      <c r="AE1022" s="18"/>
      <c r="AF1022" s="18"/>
      <c r="AG1022" s="18"/>
    </row>
    <row r="1023" spans="1:33" x14ac:dyDescent="0.2">
      <c r="A1023" s="18"/>
      <c r="B1023" s="18"/>
      <c r="C1023" s="18"/>
      <c r="D1023" s="18"/>
      <c r="E1023" s="18"/>
      <c r="F1023" s="18"/>
      <c r="G1023" s="18"/>
      <c r="H1023" s="18"/>
      <c r="I1023" s="18"/>
      <c r="J1023" s="18"/>
      <c r="K1023" s="18"/>
      <c r="L1023" s="18"/>
      <c r="M1023" s="18"/>
      <c r="N1023" s="18"/>
      <c r="O1023" s="1316"/>
      <c r="P1023" s="18"/>
      <c r="Q1023" s="18"/>
      <c r="R1023" s="18"/>
      <c r="S1023" s="18"/>
      <c r="T1023" s="18"/>
      <c r="U1023" s="18"/>
      <c r="V1023" s="18"/>
      <c r="W1023" s="18"/>
      <c r="X1023" s="18"/>
      <c r="Y1023" s="18"/>
      <c r="Z1023" s="18"/>
      <c r="AA1023" s="18"/>
      <c r="AB1023" s="18"/>
      <c r="AC1023" s="18"/>
      <c r="AD1023" s="18"/>
      <c r="AE1023" s="18"/>
      <c r="AF1023" s="18"/>
      <c r="AG1023" s="18"/>
    </row>
    <row r="1024" spans="1:33" x14ac:dyDescent="0.2">
      <c r="A1024" s="18"/>
      <c r="B1024" s="18"/>
      <c r="C1024" s="18"/>
      <c r="D1024" s="18"/>
      <c r="E1024" s="18"/>
      <c r="F1024" s="18"/>
      <c r="G1024" s="18"/>
      <c r="H1024" s="18"/>
      <c r="I1024" s="18"/>
      <c r="J1024" s="18"/>
      <c r="K1024" s="18"/>
      <c r="L1024" s="18"/>
      <c r="M1024" s="18"/>
      <c r="N1024" s="18"/>
      <c r="O1024" s="1316"/>
      <c r="P1024" s="18"/>
      <c r="Q1024" s="18"/>
      <c r="R1024" s="18"/>
      <c r="S1024" s="18"/>
      <c r="T1024" s="18"/>
      <c r="U1024" s="18"/>
      <c r="V1024" s="18"/>
      <c r="W1024" s="18"/>
      <c r="X1024" s="18"/>
      <c r="Y1024" s="18"/>
      <c r="Z1024" s="18"/>
      <c r="AA1024" s="18"/>
      <c r="AB1024" s="18"/>
      <c r="AC1024" s="18"/>
      <c r="AD1024" s="18"/>
      <c r="AE1024" s="18"/>
      <c r="AF1024" s="18"/>
      <c r="AG1024" s="18"/>
    </row>
    <row r="1025" spans="1:33" x14ac:dyDescent="0.2">
      <c r="A1025" s="18"/>
      <c r="B1025" s="18"/>
      <c r="C1025" s="18"/>
      <c r="D1025" s="18"/>
      <c r="E1025" s="18"/>
      <c r="F1025" s="18"/>
      <c r="G1025" s="18"/>
      <c r="H1025" s="18"/>
      <c r="I1025" s="18"/>
      <c r="J1025" s="18"/>
      <c r="K1025" s="18"/>
      <c r="L1025" s="18"/>
      <c r="M1025" s="18"/>
      <c r="N1025" s="18"/>
      <c r="O1025" s="1316"/>
      <c r="P1025" s="18"/>
      <c r="Q1025" s="18"/>
      <c r="R1025" s="18"/>
      <c r="S1025" s="18"/>
      <c r="T1025" s="18"/>
      <c r="U1025" s="18"/>
      <c r="V1025" s="18"/>
      <c r="W1025" s="18"/>
      <c r="X1025" s="18"/>
      <c r="Y1025" s="18"/>
      <c r="Z1025" s="18"/>
      <c r="AA1025" s="18"/>
      <c r="AB1025" s="18"/>
      <c r="AC1025" s="18"/>
      <c r="AD1025" s="18"/>
      <c r="AE1025" s="18"/>
      <c r="AF1025" s="18"/>
      <c r="AG1025" s="18"/>
    </row>
    <row r="1026" spans="1:33" x14ac:dyDescent="0.2">
      <c r="A1026" s="18"/>
      <c r="B1026" s="18"/>
      <c r="C1026" s="18"/>
      <c r="D1026" s="18"/>
      <c r="E1026" s="18"/>
      <c r="F1026" s="18"/>
      <c r="G1026" s="18"/>
      <c r="H1026" s="18"/>
      <c r="I1026" s="18"/>
      <c r="J1026" s="18"/>
      <c r="K1026" s="18"/>
      <c r="L1026" s="18"/>
      <c r="M1026" s="18"/>
      <c r="N1026" s="18"/>
      <c r="O1026" s="1316"/>
      <c r="P1026" s="18"/>
      <c r="Q1026" s="18"/>
      <c r="R1026" s="18"/>
      <c r="S1026" s="18"/>
      <c r="T1026" s="18"/>
      <c r="U1026" s="18"/>
      <c r="V1026" s="18"/>
      <c r="W1026" s="18"/>
      <c r="X1026" s="18"/>
      <c r="Y1026" s="18"/>
      <c r="Z1026" s="18"/>
      <c r="AA1026" s="18"/>
      <c r="AB1026" s="18"/>
      <c r="AC1026" s="18"/>
      <c r="AD1026" s="18"/>
      <c r="AE1026" s="18"/>
      <c r="AF1026" s="18"/>
      <c r="AG1026" s="18"/>
    </row>
    <row r="1027" spans="1:33" x14ac:dyDescent="0.2">
      <c r="A1027" s="18"/>
      <c r="B1027" s="18"/>
      <c r="C1027" s="18"/>
      <c r="D1027" s="18"/>
      <c r="E1027" s="18"/>
      <c r="F1027" s="18"/>
      <c r="G1027" s="18"/>
      <c r="H1027" s="18"/>
      <c r="I1027" s="18"/>
      <c r="J1027" s="18"/>
      <c r="K1027" s="18"/>
      <c r="L1027" s="18"/>
      <c r="M1027" s="18"/>
      <c r="N1027" s="18"/>
      <c r="O1027" s="1316"/>
      <c r="P1027" s="18"/>
      <c r="Q1027" s="18"/>
      <c r="R1027" s="18"/>
      <c r="S1027" s="18"/>
      <c r="T1027" s="18"/>
      <c r="U1027" s="18"/>
      <c r="V1027" s="18"/>
      <c r="W1027" s="18"/>
      <c r="X1027" s="18"/>
      <c r="Y1027" s="18"/>
      <c r="Z1027" s="18"/>
      <c r="AA1027" s="18"/>
      <c r="AB1027" s="18"/>
      <c r="AC1027" s="18"/>
      <c r="AD1027" s="18"/>
      <c r="AE1027" s="18"/>
      <c r="AF1027" s="18"/>
      <c r="AG1027" s="18"/>
    </row>
    <row r="1028" spans="1:33" x14ac:dyDescent="0.2">
      <c r="A1028" s="18"/>
      <c r="B1028" s="18"/>
      <c r="C1028" s="18"/>
      <c r="D1028" s="18"/>
      <c r="E1028" s="18"/>
      <c r="F1028" s="18"/>
      <c r="G1028" s="18"/>
      <c r="H1028" s="18"/>
      <c r="I1028" s="18"/>
      <c r="J1028" s="18"/>
      <c r="K1028" s="18"/>
      <c r="L1028" s="18"/>
      <c r="M1028" s="18"/>
      <c r="N1028" s="18"/>
      <c r="O1028" s="1316"/>
      <c r="P1028" s="18"/>
      <c r="Q1028" s="18"/>
      <c r="R1028" s="18"/>
      <c r="S1028" s="18"/>
      <c r="T1028" s="18"/>
      <c r="U1028" s="18"/>
      <c r="V1028" s="18"/>
      <c r="W1028" s="18"/>
      <c r="X1028" s="18"/>
      <c r="Y1028" s="18"/>
      <c r="Z1028" s="18"/>
      <c r="AA1028" s="18"/>
      <c r="AB1028" s="18"/>
      <c r="AC1028" s="18"/>
      <c r="AD1028" s="18"/>
      <c r="AE1028" s="18"/>
      <c r="AF1028" s="18"/>
      <c r="AG1028" s="18"/>
    </row>
    <row r="1029" spans="1:33" x14ac:dyDescent="0.2">
      <c r="A1029" s="18"/>
      <c r="B1029" s="18"/>
      <c r="C1029" s="18"/>
      <c r="D1029" s="18"/>
      <c r="E1029" s="18"/>
      <c r="F1029" s="18"/>
      <c r="G1029" s="18"/>
      <c r="H1029" s="18"/>
      <c r="I1029" s="18"/>
      <c r="J1029" s="18"/>
      <c r="K1029" s="18"/>
      <c r="L1029" s="18"/>
      <c r="M1029" s="18"/>
      <c r="N1029" s="18"/>
      <c r="O1029" s="1316"/>
      <c r="P1029" s="18"/>
      <c r="Q1029" s="18"/>
      <c r="R1029" s="18"/>
      <c r="S1029" s="18"/>
      <c r="T1029" s="18"/>
      <c r="U1029" s="18"/>
      <c r="V1029" s="18"/>
      <c r="W1029" s="18"/>
      <c r="X1029" s="18"/>
      <c r="Y1029" s="18"/>
      <c r="Z1029" s="18"/>
      <c r="AA1029" s="18"/>
      <c r="AB1029" s="18"/>
      <c r="AC1029" s="18"/>
      <c r="AD1029" s="18"/>
      <c r="AE1029" s="18"/>
      <c r="AF1029" s="18"/>
      <c r="AG1029" s="18"/>
    </row>
    <row r="1030" spans="1:33" x14ac:dyDescent="0.2">
      <c r="A1030" s="18"/>
      <c r="B1030" s="18"/>
      <c r="C1030" s="18"/>
      <c r="D1030" s="18"/>
      <c r="E1030" s="18"/>
      <c r="F1030" s="18"/>
      <c r="G1030" s="18"/>
      <c r="H1030" s="18"/>
      <c r="I1030" s="18"/>
      <c r="J1030" s="18"/>
      <c r="K1030" s="18"/>
      <c r="L1030" s="18"/>
      <c r="M1030" s="18"/>
      <c r="N1030" s="18"/>
      <c r="O1030" s="1316"/>
      <c r="P1030" s="18"/>
      <c r="Q1030" s="18"/>
      <c r="R1030" s="18"/>
      <c r="S1030" s="18"/>
      <c r="T1030" s="18"/>
      <c r="U1030" s="18"/>
      <c r="V1030" s="18"/>
      <c r="W1030" s="18"/>
      <c r="X1030" s="18"/>
      <c r="Y1030" s="18"/>
      <c r="Z1030" s="18"/>
      <c r="AA1030" s="18"/>
      <c r="AB1030" s="18"/>
      <c r="AC1030" s="18"/>
      <c r="AD1030" s="18"/>
      <c r="AE1030" s="18"/>
      <c r="AF1030" s="18"/>
      <c r="AG1030" s="18"/>
    </row>
    <row r="1031" spans="1:33" x14ac:dyDescent="0.2">
      <c r="A1031" s="18"/>
      <c r="B1031" s="18"/>
      <c r="C1031" s="18"/>
      <c r="D1031" s="18"/>
      <c r="E1031" s="18"/>
      <c r="F1031" s="18"/>
      <c r="G1031" s="18"/>
      <c r="H1031" s="18"/>
      <c r="I1031" s="18"/>
      <c r="J1031" s="18"/>
      <c r="K1031" s="18"/>
      <c r="L1031" s="18"/>
      <c r="M1031" s="18"/>
      <c r="N1031" s="18"/>
      <c r="O1031" s="1316"/>
      <c r="P1031" s="18"/>
      <c r="Q1031" s="18"/>
      <c r="R1031" s="18"/>
      <c r="S1031" s="18"/>
      <c r="T1031" s="18"/>
      <c r="U1031" s="18"/>
      <c r="V1031" s="18"/>
      <c r="W1031" s="18"/>
      <c r="X1031" s="18"/>
      <c r="Y1031" s="18"/>
      <c r="Z1031" s="18"/>
      <c r="AA1031" s="18"/>
      <c r="AB1031" s="18"/>
      <c r="AC1031" s="18"/>
      <c r="AD1031" s="18"/>
      <c r="AE1031" s="18"/>
      <c r="AF1031" s="18"/>
      <c r="AG1031" s="18"/>
    </row>
    <row r="1032" spans="1:33" x14ac:dyDescent="0.2">
      <c r="A1032" s="18"/>
      <c r="B1032" s="18"/>
      <c r="C1032" s="18"/>
      <c r="D1032" s="18"/>
      <c r="E1032" s="18"/>
      <c r="F1032" s="18"/>
      <c r="G1032" s="18"/>
      <c r="H1032" s="18"/>
      <c r="I1032" s="18"/>
      <c r="J1032" s="18"/>
      <c r="K1032" s="18"/>
      <c r="L1032" s="18"/>
      <c r="M1032" s="18"/>
      <c r="N1032" s="18"/>
      <c r="O1032" s="1316"/>
      <c r="P1032" s="18"/>
      <c r="Q1032" s="18"/>
      <c r="R1032" s="18"/>
      <c r="S1032" s="18"/>
      <c r="T1032" s="18"/>
      <c r="U1032" s="18"/>
      <c r="V1032" s="18"/>
      <c r="W1032" s="18"/>
      <c r="X1032" s="18"/>
      <c r="Y1032" s="18"/>
      <c r="Z1032" s="18"/>
      <c r="AA1032" s="18"/>
      <c r="AB1032" s="18"/>
      <c r="AC1032" s="18"/>
      <c r="AD1032" s="18"/>
      <c r="AE1032" s="18"/>
      <c r="AF1032" s="18"/>
      <c r="AG1032" s="18"/>
    </row>
    <row r="1033" spans="1:33" x14ac:dyDescent="0.2">
      <c r="A1033" s="18"/>
      <c r="B1033" s="18"/>
      <c r="C1033" s="18"/>
      <c r="D1033" s="18"/>
      <c r="E1033" s="18"/>
      <c r="F1033" s="18"/>
      <c r="G1033" s="18"/>
      <c r="H1033" s="18"/>
      <c r="I1033" s="18"/>
      <c r="J1033" s="18"/>
      <c r="K1033" s="18"/>
      <c r="L1033" s="18"/>
      <c r="M1033" s="18"/>
      <c r="N1033" s="18"/>
      <c r="O1033" s="1316"/>
      <c r="P1033" s="18"/>
      <c r="Q1033" s="18"/>
      <c r="R1033" s="18"/>
      <c r="S1033" s="18"/>
      <c r="T1033" s="18"/>
      <c r="U1033" s="18"/>
      <c r="V1033" s="18"/>
      <c r="W1033" s="18"/>
      <c r="X1033" s="18"/>
      <c r="Y1033" s="18"/>
      <c r="Z1033" s="18"/>
      <c r="AA1033" s="18"/>
      <c r="AB1033" s="18"/>
      <c r="AC1033" s="18"/>
      <c r="AD1033" s="18"/>
      <c r="AE1033" s="18"/>
      <c r="AF1033" s="18"/>
      <c r="AG1033" s="18"/>
    </row>
    <row r="1034" spans="1:33" x14ac:dyDescent="0.2">
      <c r="A1034" s="18"/>
      <c r="B1034" s="18"/>
      <c r="C1034" s="18"/>
      <c r="D1034" s="18"/>
      <c r="E1034" s="18"/>
      <c r="F1034" s="18"/>
      <c r="G1034" s="18"/>
      <c r="H1034" s="18"/>
      <c r="I1034" s="18"/>
      <c r="J1034" s="18"/>
      <c r="K1034" s="18"/>
      <c r="L1034" s="18"/>
      <c r="M1034" s="18"/>
      <c r="N1034" s="18"/>
      <c r="O1034" s="1316"/>
      <c r="P1034" s="18"/>
      <c r="Q1034" s="18"/>
      <c r="R1034" s="18"/>
      <c r="S1034" s="18"/>
      <c r="T1034" s="18"/>
      <c r="U1034" s="18"/>
      <c r="V1034" s="18"/>
      <c r="W1034" s="18"/>
      <c r="X1034" s="18"/>
      <c r="Y1034" s="18"/>
      <c r="Z1034" s="18"/>
      <c r="AA1034" s="18"/>
      <c r="AB1034" s="18"/>
      <c r="AC1034" s="18"/>
      <c r="AD1034" s="18"/>
      <c r="AE1034" s="18"/>
      <c r="AF1034" s="18"/>
      <c r="AG1034" s="18"/>
    </row>
    <row r="1035" spans="1:33" x14ac:dyDescent="0.2">
      <c r="A1035" s="18"/>
      <c r="B1035" s="18"/>
      <c r="C1035" s="18"/>
      <c r="D1035" s="18"/>
      <c r="E1035" s="18"/>
      <c r="F1035" s="18"/>
      <c r="G1035" s="18"/>
      <c r="H1035" s="18"/>
      <c r="I1035" s="18"/>
      <c r="J1035" s="18"/>
      <c r="K1035" s="18"/>
      <c r="L1035" s="18"/>
      <c r="M1035" s="18"/>
      <c r="N1035" s="18"/>
      <c r="O1035" s="1316"/>
      <c r="P1035" s="18"/>
      <c r="Q1035" s="18"/>
      <c r="R1035" s="18"/>
      <c r="S1035" s="18"/>
      <c r="T1035" s="18"/>
      <c r="U1035" s="18"/>
      <c r="V1035" s="18"/>
      <c r="W1035" s="18"/>
      <c r="X1035" s="18"/>
      <c r="Y1035" s="18"/>
      <c r="Z1035" s="18"/>
      <c r="AA1035" s="18"/>
      <c r="AB1035" s="18"/>
      <c r="AC1035" s="18"/>
      <c r="AD1035" s="18"/>
      <c r="AE1035" s="18"/>
      <c r="AF1035" s="18"/>
      <c r="AG1035" s="18"/>
    </row>
    <row r="1036" spans="1:33" x14ac:dyDescent="0.2">
      <c r="A1036" s="18"/>
      <c r="B1036" s="18"/>
      <c r="C1036" s="18"/>
      <c r="D1036" s="18"/>
      <c r="E1036" s="18"/>
      <c r="F1036" s="18"/>
      <c r="G1036" s="18"/>
      <c r="H1036" s="18"/>
      <c r="I1036" s="18"/>
      <c r="J1036" s="18"/>
      <c r="K1036" s="18"/>
      <c r="L1036" s="18"/>
      <c r="M1036" s="18"/>
      <c r="N1036" s="18"/>
      <c r="O1036" s="1316"/>
      <c r="P1036" s="18"/>
      <c r="Q1036" s="18"/>
      <c r="R1036" s="18"/>
      <c r="S1036" s="18"/>
      <c r="T1036" s="18"/>
      <c r="U1036" s="18"/>
      <c r="V1036" s="18"/>
      <c r="W1036" s="18"/>
      <c r="X1036" s="18"/>
      <c r="Y1036" s="18"/>
      <c r="Z1036" s="18"/>
      <c r="AA1036" s="18"/>
      <c r="AB1036" s="18"/>
      <c r="AC1036" s="18"/>
      <c r="AD1036" s="18"/>
      <c r="AE1036" s="18"/>
      <c r="AF1036" s="18"/>
      <c r="AG1036" s="18"/>
    </row>
    <row r="1037" spans="1:33" x14ac:dyDescent="0.2">
      <c r="A1037" s="18"/>
      <c r="B1037" s="18"/>
      <c r="C1037" s="18"/>
      <c r="D1037" s="18"/>
      <c r="E1037" s="18"/>
      <c r="F1037" s="18"/>
      <c r="G1037" s="18"/>
      <c r="H1037" s="18"/>
      <c r="I1037" s="18"/>
      <c r="J1037" s="18"/>
      <c r="K1037" s="18"/>
      <c r="L1037" s="18"/>
      <c r="M1037" s="18"/>
      <c r="N1037" s="18"/>
      <c r="O1037" s="1316"/>
      <c r="P1037" s="18"/>
      <c r="Q1037" s="18"/>
      <c r="R1037" s="18"/>
      <c r="S1037" s="18"/>
      <c r="T1037" s="18"/>
      <c r="U1037" s="18"/>
      <c r="V1037" s="18"/>
      <c r="W1037" s="18"/>
      <c r="X1037" s="18"/>
      <c r="Y1037" s="18"/>
      <c r="Z1037" s="18"/>
      <c r="AA1037" s="18"/>
      <c r="AB1037" s="18"/>
      <c r="AC1037" s="18"/>
      <c r="AD1037" s="18"/>
      <c r="AE1037" s="18"/>
      <c r="AF1037" s="18"/>
      <c r="AG1037" s="18"/>
    </row>
    <row r="1038" spans="1:33" x14ac:dyDescent="0.2">
      <c r="A1038" s="18"/>
      <c r="B1038" s="18"/>
      <c r="C1038" s="18"/>
      <c r="D1038" s="18"/>
      <c r="E1038" s="18"/>
      <c r="F1038" s="18"/>
      <c r="G1038" s="18"/>
      <c r="H1038" s="18"/>
      <c r="I1038" s="18"/>
      <c r="J1038" s="18"/>
      <c r="K1038" s="18"/>
      <c r="L1038" s="18"/>
      <c r="M1038" s="18"/>
      <c r="N1038" s="18"/>
      <c r="O1038" s="1316"/>
      <c r="P1038" s="18"/>
      <c r="Q1038" s="18"/>
      <c r="R1038" s="18"/>
      <c r="S1038" s="18"/>
      <c r="T1038" s="18"/>
      <c r="U1038" s="18"/>
      <c r="V1038" s="18"/>
      <c r="W1038" s="18"/>
      <c r="X1038" s="18"/>
      <c r="Y1038" s="18"/>
      <c r="Z1038" s="18"/>
      <c r="AA1038" s="18"/>
      <c r="AB1038" s="18"/>
      <c r="AC1038" s="18"/>
      <c r="AD1038" s="18"/>
      <c r="AE1038" s="18"/>
      <c r="AF1038" s="18"/>
      <c r="AG1038" s="18"/>
    </row>
    <row r="1039" spans="1:33" x14ac:dyDescent="0.2">
      <c r="A1039" s="18"/>
      <c r="B1039" s="18"/>
      <c r="C1039" s="18"/>
      <c r="D1039" s="18"/>
      <c r="E1039" s="18"/>
      <c r="F1039" s="18"/>
      <c r="G1039" s="18"/>
      <c r="H1039" s="18"/>
      <c r="I1039" s="18"/>
      <c r="J1039" s="18"/>
      <c r="K1039" s="18"/>
      <c r="L1039" s="18"/>
      <c r="M1039" s="18"/>
      <c r="N1039" s="18"/>
      <c r="O1039" s="1316"/>
      <c r="P1039" s="18"/>
      <c r="Q1039" s="18"/>
      <c r="R1039" s="18"/>
      <c r="S1039" s="18"/>
      <c r="T1039" s="18"/>
      <c r="U1039" s="18"/>
      <c r="V1039" s="18"/>
      <c r="W1039" s="18"/>
      <c r="X1039" s="18"/>
      <c r="Y1039" s="18"/>
      <c r="Z1039" s="18"/>
      <c r="AA1039" s="18"/>
      <c r="AB1039" s="18"/>
      <c r="AC1039" s="18"/>
      <c r="AD1039" s="18"/>
      <c r="AE1039" s="18"/>
      <c r="AF1039" s="18"/>
      <c r="AG1039" s="18"/>
    </row>
    <row r="1040" spans="1:33" x14ac:dyDescent="0.2">
      <c r="A1040" s="18"/>
      <c r="B1040" s="18"/>
      <c r="C1040" s="18"/>
      <c r="D1040" s="18"/>
      <c r="E1040" s="18"/>
      <c r="F1040" s="18"/>
      <c r="G1040" s="18"/>
      <c r="H1040" s="18"/>
      <c r="I1040" s="18"/>
      <c r="J1040" s="18"/>
      <c r="K1040" s="18"/>
      <c r="L1040" s="18"/>
      <c r="M1040" s="18"/>
      <c r="N1040" s="18"/>
      <c r="O1040" s="1316"/>
      <c r="P1040" s="18"/>
      <c r="Q1040" s="18"/>
      <c r="R1040" s="18"/>
      <c r="S1040" s="18"/>
      <c r="T1040" s="18"/>
      <c r="U1040" s="18"/>
      <c r="V1040" s="18"/>
      <c r="W1040" s="18"/>
      <c r="X1040" s="18"/>
      <c r="Y1040" s="18"/>
      <c r="Z1040" s="18"/>
      <c r="AA1040" s="18"/>
      <c r="AB1040" s="18"/>
      <c r="AC1040" s="18"/>
      <c r="AD1040" s="18"/>
      <c r="AE1040" s="18"/>
      <c r="AF1040" s="18"/>
      <c r="AG1040" s="18"/>
    </row>
    <row r="1041" spans="1:33" x14ac:dyDescent="0.2">
      <c r="A1041" s="18"/>
      <c r="B1041" s="18"/>
      <c r="C1041" s="18"/>
      <c r="D1041" s="18"/>
      <c r="E1041" s="18"/>
      <c r="F1041" s="18"/>
      <c r="G1041" s="18"/>
      <c r="H1041" s="18"/>
      <c r="I1041" s="18"/>
      <c r="J1041" s="18"/>
      <c r="K1041" s="18"/>
      <c r="L1041" s="18"/>
      <c r="M1041" s="18"/>
      <c r="N1041" s="18"/>
      <c r="O1041" s="1316"/>
      <c r="P1041" s="18"/>
      <c r="Q1041" s="18"/>
      <c r="R1041" s="18"/>
      <c r="S1041" s="18"/>
      <c r="T1041" s="18"/>
      <c r="U1041" s="18"/>
      <c r="V1041" s="18"/>
      <c r="W1041" s="18"/>
      <c r="X1041" s="18"/>
      <c r="Y1041" s="18"/>
      <c r="Z1041" s="18"/>
      <c r="AA1041" s="18"/>
      <c r="AB1041" s="18"/>
      <c r="AC1041" s="18"/>
      <c r="AD1041" s="18"/>
      <c r="AE1041" s="18"/>
      <c r="AF1041" s="18"/>
      <c r="AG1041" s="18"/>
    </row>
    <row r="1042" spans="1:33" x14ac:dyDescent="0.2">
      <c r="A1042" s="18"/>
      <c r="B1042" s="18"/>
      <c r="C1042" s="18"/>
      <c r="D1042" s="18"/>
      <c r="E1042" s="18"/>
      <c r="F1042" s="18"/>
      <c r="G1042" s="18"/>
      <c r="H1042" s="18"/>
      <c r="I1042" s="18"/>
      <c r="J1042" s="18"/>
      <c r="K1042" s="18"/>
      <c r="L1042" s="18"/>
      <c r="M1042" s="18"/>
      <c r="N1042" s="18"/>
      <c r="O1042" s="1316"/>
      <c r="P1042" s="18"/>
      <c r="Q1042" s="18"/>
      <c r="R1042" s="18"/>
      <c r="S1042" s="18"/>
      <c r="T1042" s="18"/>
      <c r="U1042" s="18"/>
      <c r="V1042" s="18"/>
      <c r="W1042" s="18"/>
      <c r="X1042" s="18"/>
      <c r="Y1042" s="18"/>
      <c r="Z1042" s="18"/>
      <c r="AA1042" s="18"/>
      <c r="AB1042" s="18"/>
      <c r="AC1042" s="18"/>
      <c r="AD1042" s="18"/>
      <c r="AE1042" s="18"/>
      <c r="AF1042" s="18"/>
      <c r="AG1042" s="18"/>
    </row>
    <row r="1043" spans="1:33" x14ac:dyDescent="0.2">
      <c r="A1043" s="18"/>
      <c r="B1043" s="18"/>
      <c r="C1043" s="18"/>
      <c r="D1043" s="18"/>
      <c r="E1043" s="18"/>
      <c r="F1043" s="18"/>
      <c r="G1043" s="18"/>
      <c r="H1043" s="18"/>
      <c r="I1043" s="18"/>
      <c r="J1043" s="18"/>
      <c r="K1043" s="18"/>
      <c r="L1043" s="18"/>
      <c r="M1043" s="18"/>
      <c r="N1043" s="18"/>
      <c r="O1043" s="1316"/>
      <c r="P1043" s="18"/>
      <c r="Q1043" s="18"/>
      <c r="R1043" s="18"/>
      <c r="S1043" s="18"/>
      <c r="T1043" s="18"/>
      <c r="U1043" s="18"/>
      <c r="V1043" s="18"/>
      <c r="W1043" s="18"/>
      <c r="X1043" s="18"/>
      <c r="Y1043" s="18"/>
      <c r="Z1043" s="18"/>
      <c r="AA1043" s="18"/>
      <c r="AB1043" s="18"/>
      <c r="AC1043" s="18"/>
      <c r="AD1043" s="18"/>
      <c r="AE1043" s="18"/>
      <c r="AF1043" s="18"/>
      <c r="AG1043" s="18"/>
    </row>
    <row r="1044" spans="1:33" x14ac:dyDescent="0.2">
      <c r="A1044" s="18"/>
      <c r="B1044" s="18"/>
      <c r="C1044" s="18"/>
      <c r="D1044" s="18"/>
      <c r="E1044" s="18"/>
      <c r="F1044" s="18"/>
      <c r="G1044" s="18"/>
      <c r="H1044" s="18"/>
      <c r="I1044" s="18"/>
      <c r="J1044" s="18"/>
      <c r="K1044" s="18"/>
      <c r="L1044" s="18"/>
      <c r="M1044" s="18"/>
      <c r="N1044" s="18"/>
      <c r="O1044" s="1316"/>
      <c r="P1044" s="18"/>
      <c r="Q1044" s="18"/>
      <c r="R1044" s="18"/>
      <c r="S1044" s="18"/>
      <c r="T1044" s="18"/>
      <c r="U1044" s="18"/>
      <c r="V1044" s="18"/>
      <c r="W1044" s="18"/>
      <c r="X1044" s="18"/>
      <c r="Y1044" s="18"/>
      <c r="Z1044" s="18"/>
      <c r="AA1044" s="18"/>
      <c r="AB1044" s="18"/>
      <c r="AC1044" s="18"/>
      <c r="AD1044" s="18"/>
      <c r="AE1044" s="18"/>
      <c r="AF1044" s="18"/>
      <c r="AG1044" s="18"/>
    </row>
    <row r="1045" spans="1:33" x14ac:dyDescent="0.2">
      <c r="A1045" s="18"/>
      <c r="B1045" s="18"/>
      <c r="C1045" s="18"/>
      <c r="D1045" s="18"/>
      <c r="E1045" s="18"/>
      <c r="F1045" s="18"/>
      <c r="G1045" s="18"/>
      <c r="H1045" s="18"/>
      <c r="I1045" s="18"/>
      <c r="J1045" s="18"/>
      <c r="K1045" s="18"/>
      <c r="L1045" s="18"/>
      <c r="M1045" s="18"/>
      <c r="N1045" s="18"/>
      <c r="O1045" s="1316"/>
      <c r="P1045" s="18"/>
      <c r="Q1045" s="18"/>
      <c r="R1045" s="18"/>
      <c r="S1045" s="18"/>
      <c r="T1045" s="18"/>
      <c r="U1045" s="18"/>
      <c r="V1045" s="18"/>
      <c r="W1045" s="18"/>
      <c r="X1045" s="18"/>
      <c r="Y1045" s="18"/>
      <c r="Z1045" s="18"/>
      <c r="AA1045" s="18"/>
      <c r="AB1045" s="18"/>
      <c r="AC1045" s="18"/>
      <c r="AD1045" s="18"/>
      <c r="AE1045" s="18"/>
      <c r="AF1045" s="18"/>
      <c r="AG1045" s="18"/>
    </row>
    <row r="1046" spans="1:33" x14ac:dyDescent="0.2">
      <c r="A1046" s="18"/>
      <c r="B1046" s="18"/>
      <c r="C1046" s="18"/>
      <c r="D1046" s="18"/>
      <c r="E1046" s="18"/>
      <c r="F1046" s="18"/>
      <c r="G1046" s="18"/>
      <c r="H1046" s="18"/>
      <c r="I1046" s="18"/>
      <c r="J1046" s="18"/>
      <c r="K1046" s="18"/>
      <c r="L1046" s="18"/>
      <c r="M1046" s="18"/>
      <c r="N1046" s="18"/>
      <c r="O1046" s="1316"/>
      <c r="P1046" s="18"/>
      <c r="Q1046" s="18"/>
      <c r="R1046" s="18"/>
      <c r="S1046" s="18"/>
      <c r="T1046" s="18"/>
      <c r="U1046" s="18"/>
      <c r="V1046" s="18"/>
      <c r="W1046" s="18"/>
      <c r="X1046" s="18"/>
      <c r="Y1046" s="18"/>
      <c r="Z1046" s="18"/>
      <c r="AA1046" s="18"/>
      <c r="AB1046" s="18"/>
      <c r="AC1046" s="18"/>
      <c r="AD1046" s="18"/>
      <c r="AE1046" s="18"/>
      <c r="AF1046" s="18"/>
      <c r="AG1046" s="18"/>
    </row>
    <row r="1047" spans="1:33" x14ac:dyDescent="0.2">
      <c r="A1047" s="18"/>
      <c r="B1047" s="18"/>
      <c r="C1047" s="18"/>
      <c r="D1047" s="18"/>
      <c r="E1047" s="18"/>
      <c r="F1047" s="18"/>
      <c r="G1047" s="18"/>
      <c r="H1047" s="18"/>
      <c r="I1047" s="18"/>
      <c r="J1047" s="18"/>
      <c r="K1047" s="18"/>
      <c r="L1047" s="18"/>
      <c r="M1047" s="18"/>
      <c r="N1047" s="18"/>
      <c r="O1047" s="1316"/>
      <c r="P1047" s="18"/>
      <c r="Q1047" s="18"/>
      <c r="R1047" s="18"/>
      <c r="S1047" s="18"/>
      <c r="T1047" s="18"/>
      <c r="U1047" s="18"/>
      <c r="V1047" s="18"/>
      <c r="W1047" s="18"/>
      <c r="X1047" s="18"/>
      <c r="Y1047" s="18"/>
      <c r="Z1047" s="18"/>
      <c r="AA1047" s="18"/>
      <c r="AB1047" s="18"/>
      <c r="AC1047" s="18"/>
      <c r="AD1047" s="18"/>
      <c r="AE1047" s="18"/>
      <c r="AF1047" s="18"/>
      <c r="AG1047" s="18"/>
    </row>
    <row r="1048" spans="1:33" x14ac:dyDescent="0.2">
      <c r="A1048" s="18"/>
      <c r="B1048" s="18"/>
      <c r="C1048" s="18"/>
      <c r="D1048" s="18"/>
      <c r="E1048" s="18"/>
      <c r="F1048" s="18"/>
      <c r="G1048" s="18"/>
      <c r="H1048" s="18"/>
      <c r="I1048" s="18"/>
      <c r="J1048" s="18"/>
      <c r="K1048" s="18"/>
      <c r="L1048" s="18"/>
      <c r="M1048" s="18"/>
      <c r="N1048" s="18"/>
      <c r="O1048" s="1316"/>
      <c r="P1048" s="18"/>
      <c r="Q1048" s="18"/>
      <c r="R1048" s="18"/>
      <c r="S1048" s="18"/>
      <c r="T1048" s="18"/>
      <c r="U1048" s="18"/>
      <c r="V1048" s="18"/>
      <c r="W1048" s="18"/>
      <c r="X1048" s="18"/>
      <c r="Y1048" s="18"/>
      <c r="Z1048" s="18"/>
      <c r="AA1048" s="18"/>
      <c r="AB1048" s="18"/>
      <c r="AC1048" s="18"/>
      <c r="AD1048" s="18"/>
      <c r="AE1048" s="18"/>
      <c r="AF1048" s="18"/>
      <c r="AG1048" s="18"/>
    </row>
    <row r="1049" spans="1:33" x14ac:dyDescent="0.2">
      <c r="A1049" s="18"/>
      <c r="B1049" s="18"/>
      <c r="C1049" s="18"/>
      <c r="D1049" s="18"/>
      <c r="E1049" s="18"/>
      <c r="F1049" s="18"/>
      <c r="G1049" s="18"/>
      <c r="H1049" s="18"/>
      <c r="I1049" s="18"/>
      <c r="J1049" s="18"/>
      <c r="K1049" s="18"/>
      <c r="L1049" s="18"/>
      <c r="M1049" s="18"/>
      <c r="N1049" s="18"/>
      <c r="O1049" s="1316"/>
      <c r="P1049" s="18"/>
      <c r="Q1049" s="18"/>
      <c r="R1049" s="18"/>
      <c r="S1049" s="18"/>
      <c r="T1049" s="18"/>
      <c r="U1049" s="18"/>
      <c r="V1049" s="18"/>
      <c r="W1049" s="18"/>
      <c r="X1049" s="18"/>
      <c r="Y1049" s="18"/>
      <c r="Z1049" s="18"/>
      <c r="AA1049" s="18"/>
      <c r="AB1049" s="18"/>
      <c r="AC1049" s="18"/>
      <c r="AD1049" s="18"/>
      <c r="AE1049" s="18"/>
      <c r="AF1049" s="18"/>
      <c r="AG1049" s="18"/>
    </row>
    <row r="1050" spans="1:33" x14ac:dyDescent="0.2">
      <c r="A1050" s="18"/>
      <c r="B1050" s="18"/>
      <c r="C1050" s="18"/>
      <c r="D1050" s="18"/>
      <c r="E1050" s="18"/>
      <c r="F1050" s="18"/>
      <c r="G1050" s="18"/>
      <c r="H1050" s="18"/>
      <c r="I1050" s="18"/>
      <c r="J1050" s="18"/>
      <c r="K1050" s="18"/>
      <c r="L1050" s="18"/>
      <c r="M1050" s="18"/>
      <c r="N1050" s="18"/>
      <c r="O1050" s="1316"/>
      <c r="P1050" s="18"/>
      <c r="Q1050" s="18"/>
      <c r="R1050" s="18"/>
      <c r="S1050" s="18"/>
      <c r="T1050" s="18"/>
      <c r="U1050" s="18"/>
      <c r="V1050" s="18"/>
      <c r="W1050" s="18"/>
      <c r="X1050" s="18"/>
      <c r="Y1050" s="18"/>
      <c r="Z1050" s="18"/>
      <c r="AA1050" s="18"/>
      <c r="AB1050" s="18"/>
      <c r="AC1050" s="18"/>
      <c r="AD1050" s="18"/>
      <c r="AE1050" s="18"/>
      <c r="AF1050" s="18"/>
      <c r="AG1050" s="18"/>
    </row>
    <row r="1051" spans="1:33" x14ac:dyDescent="0.2">
      <c r="A1051" s="18"/>
      <c r="B1051" s="18"/>
      <c r="C1051" s="18"/>
      <c r="D1051" s="18"/>
      <c r="E1051" s="18"/>
      <c r="F1051" s="18"/>
      <c r="G1051" s="18"/>
      <c r="H1051" s="18"/>
      <c r="I1051" s="18"/>
      <c r="J1051" s="18"/>
      <c r="K1051" s="18"/>
      <c r="L1051" s="18"/>
      <c r="M1051" s="18"/>
      <c r="N1051" s="18"/>
      <c r="O1051" s="1316"/>
      <c r="P1051" s="18"/>
      <c r="Q1051" s="18"/>
      <c r="R1051" s="18"/>
      <c r="S1051" s="18"/>
      <c r="T1051" s="18"/>
      <c r="U1051" s="18"/>
      <c r="V1051" s="18"/>
      <c r="W1051" s="18"/>
      <c r="X1051" s="18"/>
      <c r="Y1051" s="18"/>
      <c r="Z1051" s="18"/>
      <c r="AA1051" s="18"/>
      <c r="AB1051" s="18"/>
      <c r="AC1051" s="18"/>
      <c r="AD1051" s="18"/>
      <c r="AE1051" s="18"/>
      <c r="AF1051" s="18"/>
      <c r="AG1051" s="18"/>
    </row>
    <row r="1052" spans="1:33" x14ac:dyDescent="0.2">
      <c r="A1052" s="18"/>
      <c r="B1052" s="18"/>
      <c r="C1052" s="18"/>
      <c r="D1052" s="18"/>
      <c r="E1052" s="18"/>
      <c r="F1052" s="18"/>
      <c r="G1052" s="18"/>
      <c r="H1052" s="18"/>
      <c r="I1052" s="18"/>
      <c r="J1052" s="18"/>
      <c r="K1052" s="18"/>
      <c r="L1052" s="18"/>
      <c r="M1052" s="18"/>
      <c r="N1052" s="18"/>
      <c r="O1052" s="1316"/>
      <c r="P1052" s="18"/>
      <c r="Q1052" s="18"/>
      <c r="R1052" s="18"/>
      <c r="S1052" s="18"/>
      <c r="T1052" s="18"/>
      <c r="U1052" s="18"/>
      <c r="V1052" s="18"/>
      <c r="W1052" s="18"/>
      <c r="X1052" s="18"/>
      <c r="Y1052" s="18"/>
      <c r="Z1052" s="18"/>
      <c r="AA1052" s="18"/>
      <c r="AB1052" s="18"/>
      <c r="AC1052" s="18"/>
      <c r="AD1052" s="18"/>
      <c r="AE1052" s="18"/>
      <c r="AF1052" s="18"/>
      <c r="AG1052" s="18"/>
    </row>
    <row r="1053" spans="1:33" x14ac:dyDescent="0.2">
      <c r="A1053" s="18"/>
      <c r="B1053" s="18"/>
      <c r="C1053" s="18"/>
      <c r="D1053" s="18"/>
      <c r="E1053" s="18"/>
      <c r="F1053" s="18"/>
      <c r="G1053" s="18"/>
      <c r="H1053" s="18"/>
      <c r="I1053" s="18"/>
      <c r="J1053" s="18"/>
      <c r="K1053" s="18"/>
      <c r="L1053" s="18"/>
      <c r="M1053" s="18"/>
      <c r="N1053" s="18"/>
      <c r="O1053" s="1316"/>
      <c r="P1053" s="18"/>
      <c r="Q1053" s="18"/>
      <c r="R1053" s="18"/>
      <c r="S1053" s="18"/>
      <c r="T1053" s="18"/>
      <c r="U1053" s="18"/>
      <c r="V1053" s="18"/>
      <c r="W1053" s="18"/>
      <c r="X1053" s="18"/>
      <c r="Y1053" s="18"/>
      <c r="Z1053" s="18"/>
      <c r="AA1053" s="18"/>
      <c r="AB1053" s="18"/>
      <c r="AC1053" s="18"/>
      <c r="AD1053" s="18"/>
      <c r="AE1053" s="18"/>
      <c r="AF1053" s="18"/>
      <c r="AG1053" s="18"/>
    </row>
    <row r="1054" spans="1:33" x14ac:dyDescent="0.2">
      <c r="A1054" s="18"/>
      <c r="B1054" s="18"/>
      <c r="C1054" s="18"/>
      <c r="D1054" s="18"/>
      <c r="E1054" s="18"/>
      <c r="F1054" s="18"/>
      <c r="G1054" s="18"/>
      <c r="H1054" s="18"/>
      <c r="I1054" s="18"/>
      <c r="J1054" s="18"/>
      <c r="K1054" s="18"/>
      <c r="L1054" s="18"/>
      <c r="M1054" s="18"/>
      <c r="N1054" s="18"/>
      <c r="O1054" s="1316"/>
      <c r="P1054" s="18"/>
      <c r="Q1054" s="18"/>
      <c r="R1054" s="18"/>
      <c r="S1054" s="18"/>
      <c r="T1054" s="18"/>
      <c r="U1054" s="18"/>
      <c r="V1054" s="18"/>
      <c r="W1054" s="18"/>
      <c r="X1054" s="18"/>
      <c r="Y1054" s="18"/>
      <c r="Z1054" s="18"/>
      <c r="AA1054" s="18"/>
      <c r="AB1054" s="18"/>
      <c r="AC1054" s="18"/>
      <c r="AD1054" s="18"/>
      <c r="AE1054" s="18"/>
      <c r="AF1054" s="18"/>
      <c r="AG1054" s="18"/>
    </row>
    <row r="1055" spans="1:33" x14ac:dyDescent="0.2">
      <c r="A1055" s="18"/>
      <c r="B1055" s="18"/>
      <c r="C1055" s="18"/>
      <c r="D1055" s="18"/>
      <c r="E1055" s="18"/>
      <c r="F1055" s="18"/>
      <c r="G1055" s="18"/>
      <c r="H1055" s="18"/>
      <c r="I1055" s="18"/>
      <c r="J1055" s="18"/>
      <c r="K1055" s="18"/>
      <c r="L1055" s="18"/>
      <c r="M1055" s="18"/>
      <c r="N1055" s="18"/>
      <c r="O1055" s="1316"/>
      <c r="P1055" s="18"/>
      <c r="Q1055" s="18"/>
      <c r="R1055" s="18"/>
      <c r="S1055" s="18"/>
      <c r="T1055" s="18"/>
      <c r="U1055" s="18"/>
      <c r="V1055" s="18"/>
      <c r="W1055" s="18"/>
      <c r="X1055" s="18"/>
      <c r="Y1055" s="18"/>
      <c r="Z1055" s="18"/>
      <c r="AA1055" s="18"/>
      <c r="AB1055" s="18"/>
      <c r="AC1055" s="18"/>
      <c r="AD1055" s="18"/>
      <c r="AE1055" s="18"/>
      <c r="AF1055" s="18"/>
      <c r="AG1055" s="18"/>
    </row>
    <row r="1056" spans="1:33" x14ac:dyDescent="0.2">
      <c r="A1056" s="18"/>
      <c r="B1056" s="18"/>
      <c r="C1056" s="18"/>
      <c r="D1056" s="18"/>
      <c r="E1056" s="18"/>
      <c r="F1056" s="18"/>
      <c r="G1056" s="18"/>
      <c r="H1056" s="18"/>
      <c r="I1056" s="18"/>
      <c r="J1056" s="18"/>
      <c r="K1056" s="18"/>
      <c r="L1056" s="18"/>
      <c r="M1056" s="18"/>
      <c r="N1056" s="18"/>
      <c r="O1056" s="1316"/>
      <c r="P1056" s="18"/>
      <c r="Q1056" s="18"/>
      <c r="R1056" s="18"/>
      <c r="S1056" s="18"/>
      <c r="T1056" s="18"/>
      <c r="U1056" s="18"/>
      <c r="V1056" s="18"/>
      <c r="W1056" s="18"/>
      <c r="X1056" s="18"/>
      <c r="Y1056" s="18"/>
      <c r="Z1056" s="18"/>
      <c r="AA1056" s="18"/>
      <c r="AB1056" s="18"/>
      <c r="AC1056" s="18"/>
      <c r="AD1056" s="18"/>
      <c r="AE1056" s="18"/>
      <c r="AF1056" s="18"/>
      <c r="AG1056" s="18"/>
    </row>
    <row r="1057" spans="1:33" x14ac:dyDescent="0.2">
      <c r="A1057" s="18"/>
      <c r="B1057" s="18"/>
      <c r="C1057" s="18"/>
      <c r="D1057" s="18"/>
      <c r="E1057" s="18"/>
      <c r="F1057" s="18"/>
      <c r="G1057" s="18"/>
      <c r="H1057" s="18"/>
      <c r="I1057" s="18"/>
      <c r="J1057" s="18"/>
      <c r="K1057" s="18"/>
      <c r="L1057" s="18"/>
      <c r="M1057" s="18"/>
      <c r="N1057" s="18"/>
      <c r="O1057" s="1316"/>
      <c r="P1057" s="18"/>
      <c r="Q1057" s="18"/>
      <c r="R1057" s="18"/>
      <c r="S1057" s="18"/>
      <c r="T1057" s="18"/>
      <c r="U1057" s="18"/>
      <c r="V1057" s="18"/>
      <c r="W1057" s="18"/>
      <c r="X1057" s="18"/>
      <c r="Y1057" s="18"/>
      <c r="Z1057" s="18"/>
      <c r="AA1057" s="18"/>
      <c r="AB1057" s="18"/>
      <c r="AC1057" s="18"/>
      <c r="AD1057" s="18"/>
      <c r="AE1057" s="18"/>
      <c r="AF1057" s="18"/>
      <c r="AG1057" s="18"/>
    </row>
    <row r="1058" spans="1:33" x14ac:dyDescent="0.2">
      <c r="A1058" s="18"/>
      <c r="B1058" s="18"/>
      <c r="C1058" s="18"/>
      <c r="D1058" s="18"/>
      <c r="E1058" s="18"/>
      <c r="F1058" s="18"/>
      <c r="G1058" s="18"/>
      <c r="H1058" s="18"/>
      <c r="I1058" s="18"/>
      <c r="J1058" s="18"/>
      <c r="K1058" s="18"/>
      <c r="L1058" s="18"/>
      <c r="M1058" s="18"/>
      <c r="N1058" s="18"/>
      <c r="O1058" s="1316"/>
      <c r="P1058" s="18"/>
      <c r="Q1058" s="18"/>
      <c r="R1058" s="18"/>
      <c r="S1058" s="18"/>
      <c r="T1058" s="18"/>
      <c r="U1058" s="18"/>
      <c r="V1058" s="18"/>
      <c r="W1058" s="18"/>
      <c r="X1058" s="18"/>
      <c r="Y1058" s="18"/>
      <c r="Z1058" s="18"/>
      <c r="AA1058" s="18"/>
      <c r="AB1058" s="18"/>
      <c r="AC1058" s="18"/>
      <c r="AD1058" s="18"/>
      <c r="AE1058" s="18"/>
      <c r="AF1058" s="18"/>
      <c r="AG1058" s="18"/>
    </row>
    <row r="1059" spans="1:33" x14ac:dyDescent="0.2">
      <c r="A1059" s="18"/>
      <c r="B1059" s="18"/>
      <c r="C1059" s="18"/>
      <c r="D1059" s="18"/>
      <c r="E1059" s="18"/>
      <c r="F1059" s="18"/>
      <c r="G1059" s="18"/>
      <c r="H1059" s="18"/>
      <c r="I1059" s="18"/>
      <c r="J1059" s="18"/>
      <c r="K1059" s="18"/>
      <c r="L1059" s="18"/>
      <c r="M1059" s="18"/>
      <c r="N1059" s="18"/>
      <c r="O1059" s="1316"/>
      <c r="P1059" s="18"/>
      <c r="Q1059" s="18"/>
      <c r="R1059" s="18"/>
      <c r="S1059" s="18"/>
      <c r="T1059" s="18"/>
      <c r="U1059" s="18"/>
      <c r="V1059" s="18"/>
      <c r="W1059" s="18"/>
      <c r="X1059" s="18"/>
      <c r="Y1059" s="18"/>
      <c r="Z1059" s="18"/>
      <c r="AA1059" s="18"/>
      <c r="AB1059" s="18"/>
      <c r="AC1059" s="18"/>
      <c r="AD1059" s="18"/>
      <c r="AE1059" s="18"/>
      <c r="AF1059" s="18"/>
      <c r="AG1059" s="18"/>
    </row>
    <row r="1060" spans="1:33" x14ac:dyDescent="0.2">
      <c r="A1060" s="18"/>
      <c r="B1060" s="18"/>
      <c r="C1060" s="18"/>
      <c r="D1060" s="18"/>
      <c r="E1060" s="18"/>
      <c r="F1060" s="18"/>
      <c r="G1060" s="18"/>
      <c r="H1060" s="18"/>
      <c r="I1060" s="18"/>
      <c r="J1060" s="18"/>
      <c r="K1060" s="18"/>
      <c r="L1060" s="18"/>
      <c r="M1060" s="18"/>
      <c r="N1060" s="18"/>
      <c r="O1060" s="1316"/>
      <c r="P1060" s="18"/>
      <c r="Q1060" s="18"/>
      <c r="R1060" s="18"/>
      <c r="S1060" s="18"/>
      <c r="T1060" s="18"/>
      <c r="U1060" s="18"/>
      <c r="V1060" s="18"/>
      <c r="W1060" s="18"/>
      <c r="X1060" s="18"/>
      <c r="Y1060" s="18"/>
      <c r="Z1060" s="18"/>
      <c r="AA1060" s="18"/>
      <c r="AB1060" s="18"/>
      <c r="AC1060" s="18"/>
      <c r="AD1060" s="18"/>
      <c r="AE1060" s="18"/>
      <c r="AF1060" s="18"/>
      <c r="AG1060" s="18"/>
    </row>
    <row r="1061" spans="1:33" x14ac:dyDescent="0.2">
      <c r="A1061" s="18"/>
      <c r="B1061" s="18"/>
      <c r="C1061" s="18"/>
      <c r="D1061" s="18"/>
      <c r="E1061" s="18"/>
      <c r="F1061" s="18"/>
      <c r="G1061" s="18"/>
      <c r="H1061" s="18"/>
      <c r="I1061" s="18"/>
      <c r="J1061" s="18"/>
      <c r="K1061" s="18"/>
      <c r="L1061" s="18"/>
      <c r="M1061" s="18"/>
      <c r="N1061" s="18"/>
      <c r="O1061" s="1316"/>
      <c r="P1061" s="18"/>
      <c r="Q1061" s="18"/>
      <c r="R1061" s="18"/>
      <c r="S1061" s="18"/>
      <c r="T1061" s="18"/>
      <c r="U1061" s="18"/>
      <c r="V1061" s="18"/>
      <c r="W1061" s="18"/>
      <c r="X1061" s="18"/>
      <c r="Y1061" s="18"/>
      <c r="Z1061" s="18"/>
      <c r="AA1061" s="18"/>
      <c r="AB1061" s="18"/>
      <c r="AC1061" s="18"/>
      <c r="AD1061" s="18"/>
      <c r="AE1061" s="18"/>
      <c r="AF1061" s="18"/>
      <c r="AG1061" s="18"/>
    </row>
    <row r="1062" spans="1:33" x14ac:dyDescent="0.2">
      <c r="A1062" s="18"/>
      <c r="B1062" s="18"/>
      <c r="C1062" s="18"/>
      <c r="D1062" s="18"/>
      <c r="E1062" s="18"/>
      <c r="F1062" s="18"/>
      <c r="G1062" s="18"/>
      <c r="H1062" s="18"/>
      <c r="I1062" s="18"/>
      <c r="J1062" s="18"/>
      <c r="K1062" s="18"/>
      <c r="L1062" s="18"/>
      <c r="M1062" s="18"/>
      <c r="N1062" s="18"/>
      <c r="O1062" s="1316"/>
      <c r="P1062" s="18"/>
      <c r="Q1062" s="18"/>
      <c r="R1062" s="18"/>
      <c r="S1062" s="18"/>
      <c r="T1062" s="18"/>
      <c r="U1062" s="18"/>
      <c r="V1062" s="18"/>
      <c r="W1062" s="18"/>
      <c r="X1062" s="18"/>
      <c r="Y1062" s="18"/>
      <c r="Z1062" s="18"/>
      <c r="AA1062" s="18"/>
      <c r="AB1062" s="18"/>
      <c r="AC1062" s="18"/>
      <c r="AD1062" s="18"/>
      <c r="AE1062" s="18"/>
      <c r="AF1062" s="18"/>
      <c r="AG1062" s="18"/>
    </row>
    <row r="1063" spans="1:33" x14ac:dyDescent="0.2">
      <c r="A1063" s="18"/>
      <c r="B1063" s="18"/>
      <c r="C1063" s="18"/>
      <c r="D1063" s="18"/>
      <c r="E1063" s="18"/>
      <c r="F1063" s="18"/>
      <c r="G1063" s="18"/>
      <c r="H1063" s="18"/>
      <c r="I1063" s="18"/>
      <c r="J1063" s="18"/>
      <c r="K1063" s="18"/>
      <c r="L1063" s="18"/>
      <c r="M1063" s="18"/>
      <c r="N1063" s="18"/>
      <c r="O1063" s="1316"/>
      <c r="P1063" s="18"/>
      <c r="Q1063" s="18"/>
      <c r="R1063" s="18"/>
      <c r="S1063" s="18"/>
      <c r="T1063" s="18"/>
      <c r="U1063" s="18"/>
      <c r="V1063" s="18"/>
      <c r="W1063" s="18"/>
      <c r="X1063" s="18"/>
      <c r="Y1063" s="18"/>
      <c r="Z1063" s="18"/>
      <c r="AA1063" s="18"/>
      <c r="AB1063" s="18"/>
      <c r="AC1063" s="18"/>
      <c r="AD1063" s="18"/>
      <c r="AE1063" s="18"/>
      <c r="AF1063" s="18"/>
      <c r="AG1063" s="18"/>
    </row>
    <row r="1064" spans="1:33" x14ac:dyDescent="0.2">
      <c r="A1064" s="18"/>
      <c r="B1064" s="18"/>
      <c r="C1064" s="18"/>
      <c r="D1064" s="18"/>
      <c r="E1064" s="18"/>
      <c r="F1064" s="18"/>
      <c r="G1064" s="18"/>
      <c r="H1064" s="18"/>
      <c r="I1064" s="18"/>
      <c r="J1064" s="18"/>
      <c r="K1064" s="18"/>
      <c r="L1064" s="18"/>
      <c r="M1064" s="18"/>
      <c r="N1064" s="18"/>
      <c r="O1064" s="1316"/>
      <c r="P1064" s="18"/>
      <c r="Q1064" s="18"/>
      <c r="R1064" s="18"/>
      <c r="S1064" s="18"/>
      <c r="T1064" s="18"/>
      <c r="U1064" s="18"/>
      <c r="V1064" s="18"/>
      <c r="W1064" s="18"/>
      <c r="X1064" s="18"/>
      <c r="Y1064" s="18"/>
      <c r="Z1064" s="18"/>
      <c r="AA1064" s="18"/>
      <c r="AB1064" s="18"/>
      <c r="AC1064" s="18"/>
      <c r="AD1064" s="18"/>
      <c r="AE1064" s="18"/>
      <c r="AF1064" s="18"/>
      <c r="AG1064" s="18"/>
    </row>
    <row r="1065" spans="1:33" x14ac:dyDescent="0.2">
      <c r="A1065" s="18"/>
      <c r="B1065" s="18"/>
      <c r="C1065" s="18"/>
      <c r="D1065" s="18"/>
      <c r="E1065" s="18"/>
      <c r="F1065" s="18"/>
      <c r="G1065" s="18"/>
      <c r="H1065" s="18"/>
      <c r="I1065" s="18"/>
      <c r="J1065" s="18"/>
      <c r="K1065" s="18"/>
      <c r="L1065" s="18"/>
      <c r="M1065" s="18"/>
      <c r="N1065" s="18"/>
      <c r="O1065" s="1316"/>
      <c r="P1065" s="18"/>
      <c r="Q1065" s="18"/>
      <c r="R1065" s="18"/>
      <c r="S1065" s="18"/>
      <c r="T1065" s="18"/>
      <c r="U1065" s="18"/>
      <c r="V1065" s="18"/>
      <c r="W1065" s="18"/>
      <c r="X1065" s="18"/>
      <c r="Y1065" s="18"/>
      <c r="Z1065" s="18"/>
      <c r="AA1065" s="18"/>
      <c r="AB1065" s="18"/>
      <c r="AC1065" s="18"/>
      <c r="AD1065" s="18"/>
      <c r="AE1065" s="18"/>
      <c r="AF1065" s="18"/>
      <c r="AG1065" s="18"/>
    </row>
    <row r="1066" spans="1:33" x14ac:dyDescent="0.2">
      <c r="A1066" s="18"/>
      <c r="B1066" s="18"/>
      <c r="C1066" s="18"/>
      <c r="D1066" s="18"/>
      <c r="E1066" s="18"/>
      <c r="F1066" s="18"/>
      <c r="G1066" s="18"/>
      <c r="H1066" s="18"/>
      <c r="I1066" s="18"/>
      <c r="J1066" s="18"/>
      <c r="K1066" s="18"/>
      <c r="L1066" s="18"/>
      <c r="M1066" s="18"/>
      <c r="N1066" s="18"/>
      <c r="O1066" s="1316"/>
      <c r="P1066" s="18"/>
      <c r="Q1066" s="18"/>
      <c r="R1066" s="18"/>
      <c r="S1066" s="18"/>
      <c r="T1066" s="18"/>
      <c r="U1066" s="18"/>
      <c r="V1066" s="18"/>
      <c r="W1066" s="18"/>
      <c r="X1066" s="18"/>
      <c r="Y1066" s="18"/>
      <c r="Z1066" s="18"/>
      <c r="AA1066" s="18"/>
      <c r="AB1066" s="18"/>
      <c r="AC1066" s="18"/>
      <c r="AD1066" s="18"/>
      <c r="AE1066" s="18"/>
      <c r="AF1066" s="18"/>
      <c r="AG1066" s="18"/>
    </row>
    <row r="1067" spans="1:33" x14ac:dyDescent="0.2">
      <c r="A1067" s="18"/>
      <c r="B1067" s="18"/>
      <c r="C1067" s="18"/>
      <c r="D1067" s="18"/>
      <c r="E1067" s="18"/>
      <c r="F1067" s="18"/>
      <c r="G1067" s="18"/>
      <c r="H1067" s="18"/>
      <c r="I1067" s="18"/>
      <c r="J1067" s="18"/>
      <c r="K1067" s="18"/>
      <c r="L1067" s="18"/>
      <c r="M1067" s="18"/>
      <c r="N1067" s="18"/>
      <c r="O1067" s="1316"/>
      <c r="P1067" s="18"/>
      <c r="Q1067" s="18"/>
      <c r="R1067" s="18"/>
      <c r="S1067" s="18"/>
      <c r="T1067" s="18"/>
      <c r="U1067" s="18"/>
      <c r="V1067" s="18"/>
      <c r="W1067" s="18"/>
      <c r="X1067" s="18"/>
      <c r="Y1067" s="18"/>
      <c r="Z1067" s="18"/>
      <c r="AA1067" s="18"/>
      <c r="AB1067" s="18"/>
      <c r="AC1067" s="18"/>
      <c r="AD1067" s="18"/>
      <c r="AE1067" s="18"/>
      <c r="AF1067" s="18"/>
      <c r="AG1067" s="18"/>
    </row>
    <row r="1068" spans="1:33" x14ac:dyDescent="0.2">
      <c r="A1068" s="18"/>
      <c r="B1068" s="18"/>
      <c r="C1068" s="18"/>
      <c r="D1068" s="18"/>
      <c r="E1068" s="18"/>
      <c r="F1068" s="18"/>
      <c r="G1068" s="18"/>
      <c r="H1068" s="18"/>
      <c r="I1068" s="18"/>
      <c r="J1068" s="18"/>
      <c r="K1068" s="18"/>
      <c r="L1068" s="18"/>
      <c r="M1068" s="18"/>
      <c r="N1068" s="18"/>
      <c r="O1068" s="1316"/>
      <c r="P1068" s="18"/>
      <c r="Q1068" s="18"/>
      <c r="R1068" s="18"/>
      <c r="S1068" s="18"/>
      <c r="T1068" s="18"/>
      <c r="U1068" s="18"/>
      <c r="V1068" s="18"/>
      <c r="W1068" s="18"/>
      <c r="X1068" s="18"/>
      <c r="Y1068" s="18"/>
      <c r="Z1068" s="18"/>
      <c r="AA1068" s="18"/>
      <c r="AB1068" s="18"/>
      <c r="AC1068" s="18"/>
      <c r="AD1068" s="18"/>
      <c r="AE1068" s="18"/>
      <c r="AF1068" s="18"/>
      <c r="AG1068" s="18"/>
    </row>
    <row r="1069" spans="1:33" x14ac:dyDescent="0.2">
      <c r="A1069" s="18"/>
      <c r="B1069" s="18"/>
      <c r="C1069" s="18"/>
      <c r="D1069" s="18"/>
      <c r="E1069" s="18"/>
      <c r="F1069" s="18"/>
      <c r="G1069" s="18"/>
      <c r="H1069" s="18"/>
      <c r="I1069" s="18"/>
      <c r="J1069" s="18"/>
      <c r="K1069" s="18"/>
      <c r="L1069" s="18"/>
      <c r="M1069" s="18"/>
      <c r="N1069" s="18"/>
      <c r="O1069" s="1316"/>
      <c r="P1069" s="18"/>
      <c r="Q1069" s="18"/>
      <c r="R1069" s="18"/>
      <c r="S1069" s="18"/>
      <c r="T1069" s="18"/>
      <c r="U1069" s="18"/>
      <c r="V1069" s="18"/>
      <c r="W1069" s="18"/>
      <c r="X1069" s="18"/>
      <c r="Y1069" s="18"/>
      <c r="Z1069" s="18"/>
      <c r="AA1069" s="18"/>
      <c r="AB1069" s="18"/>
      <c r="AC1069" s="18"/>
      <c r="AD1069" s="18"/>
      <c r="AE1069" s="18"/>
      <c r="AF1069" s="18"/>
      <c r="AG1069" s="18"/>
    </row>
    <row r="1070" spans="1:33" x14ac:dyDescent="0.2">
      <c r="A1070" s="18"/>
      <c r="B1070" s="18"/>
      <c r="C1070" s="18"/>
      <c r="D1070" s="18"/>
      <c r="E1070" s="18"/>
      <c r="F1070" s="18"/>
      <c r="G1070" s="18"/>
      <c r="H1070" s="18"/>
      <c r="I1070" s="18"/>
      <c r="J1070" s="18"/>
      <c r="K1070" s="18"/>
      <c r="L1070" s="18"/>
      <c r="M1070" s="18"/>
      <c r="N1070" s="18"/>
      <c r="O1070" s="1316"/>
      <c r="P1070" s="18"/>
      <c r="Q1070" s="18"/>
      <c r="R1070" s="18"/>
      <c r="S1070" s="18"/>
      <c r="T1070" s="18"/>
      <c r="U1070" s="18"/>
      <c r="V1070" s="18"/>
      <c r="W1070" s="18"/>
      <c r="X1070" s="18"/>
      <c r="Y1070" s="18"/>
      <c r="Z1070" s="18"/>
      <c r="AA1070" s="18"/>
      <c r="AB1070" s="18"/>
      <c r="AC1070" s="18"/>
      <c r="AD1070" s="18"/>
      <c r="AE1070" s="18"/>
      <c r="AF1070" s="18"/>
      <c r="AG1070" s="18"/>
    </row>
    <row r="1071" spans="1:33" x14ac:dyDescent="0.2">
      <c r="A1071" s="18"/>
      <c r="B1071" s="18"/>
      <c r="C1071" s="18"/>
      <c r="D1071" s="18"/>
      <c r="E1071" s="18"/>
      <c r="F1071" s="18"/>
      <c r="G1071" s="18"/>
      <c r="H1071" s="18"/>
      <c r="I1071" s="18"/>
      <c r="J1071" s="18"/>
      <c r="K1071" s="18"/>
      <c r="L1071" s="18"/>
      <c r="M1071" s="18"/>
      <c r="N1071" s="18"/>
      <c r="O1071" s="1316"/>
      <c r="P1071" s="18"/>
      <c r="Q1071" s="18"/>
      <c r="R1071" s="18"/>
      <c r="S1071" s="18"/>
      <c r="T1071" s="18"/>
      <c r="U1071" s="18"/>
      <c r="V1071" s="18"/>
      <c r="W1071" s="18"/>
      <c r="X1071" s="18"/>
      <c r="Y1071" s="18"/>
      <c r="Z1071" s="18"/>
      <c r="AA1071" s="18"/>
      <c r="AB1071" s="18"/>
      <c r="AC1071" s="18"/>
      <c r="AD1071" s="18"/>
      <c r="AE1071" s="18"/>
      <c r="AF1071" s="18"/>
      <c r="AG1071" s="18"/>
    </row>
  </sheetData>
  <sheetProtection sort="0" autoFilter="0" pivotTables="0"/>
  <mergeCells count="6">
    <mergeCell ref="A11:A35"/>
    <mergeCell ref="A2:A4"/>
    <mergeCell ref="B2:L2"/>
    <mergeCell ref="M2:O2"/>
    <mergeCell ref="B3:L4"/>
    <mergeCell ref="M3:O4"/>
  </mergeCells>
  <pageMargins left="0.75" right="0.75" top="1" bottom="1" header="0.5" footer="0.5"/>
  <pageSetup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A1:AG30"/>
  <sheetViews>
    <sheetView workbookViewId="0">
      <selection activeCell="C32" sqref="C32"/>
    </sheetView>
  </sheetViews>
  <sheetFormatPr defaultColWidth="35.7109375" defaultRowHeight="15" x14ac:dyDescent="0.25"/>
  <cols>
    <col min="1" max="1" width="75.7109375" style="193" customWidth="1"/>
    <col min="2" max="2" width="5.7109375" style="138" customWidth="1"/>
    <col min="3" max="3" width="50.7109375" style="153" customWidth="1"/>
    <col min="4" max="4" width="55.7109375" style="230" customWidth="1"/>
    <col min="5" max="5" width="15.7109375" style="146" customWidth="1"/>
    <col min="6" max="14" width="15.7109375" style="142" customWidth="1"/>
    <col min="15" max="15" width="35.7109375" style="154" customWidth="1"/>
    <col min="16" max="16" width="35.7109375" style="152" customWidth="1"/>
    <col min="17" max="16384" width="35.7109375" style="142"/>
  </cols>
  <sheetData>
    <row r="1" spans="1:33" s="8" customFormat="1" ht="30" customHeight="1" x14ac:dyDescent="0.2">
      <c r="A1" s="1183" t="s">
        <v>66</v>
      </c>
      <c r="B1" s="155"/>
      <c r="C1" s="1182" t="s">
        <v>475</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c r="Q2" s="1192"/>
      <c r="R2" s="1192"/>
      <c r="S2" s="1192"/>
      <c r="T2" s="1192"/>
      <c r="U2" s="1192"/>
      <c r="V2" s="1192"/>
      <c r="W2" s="1192"/>
      <c r="X2" s="1192"/>
      <c r="Y2" s="1192"/>
      <c r="Z2" s="1192"/>
      <c r="AA2" s="1192"/>
      <c r="AB2" s="1192"/>
      <c r="AC2" s="1192"/>
      <c r="AD2" s="1192"/>
      <c r="AE2" s="1192"/>
      <c r="AF2" s="1192"/>
      <c r="AG2" s="1192"/>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c r="Q3" s="12"/>
      <c r="R3" s="12"/>
      <c r="S3" s="12"/>
      <c r="T3" s="12"/>
      <c r="U3" s="12"/>
      <c r="V3" s="12"/>
      <c r="W3" s="12"/>
      <c r="X3" s="12"/>
      <c r="Y3" s="12"/>
      <c r="Z3" s="12"/>
      <c r="AA3" s="12"/>
      <c r="AB3" s="12"/>
      <c r="AC3" s="12"/>
      <c r="AD3" s="12"/>
      <c r="AE3" s="12"/>
      <c r="AF3" s="12"/>
      <c r="AG3" s="12"/>
    </row>
    <row r="4" spans="1:33"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19"/>
    </row>
    <row r="5" spans="1:33" s="139" customFormat="1" x14ac:dyDescent="0.25">
      <c r="A5" s="1317"/>
      <c r="B5" s="12"/>
      <c r="C5" s="12"/>
      <c r="D5" s="30"/>
      <c r="E5" s="12"/>
      <c r="F5" s="12"/>
      <c r="G5" s="12"/>
      <c r="H5" s="12"/>
      <c r="I5" s="12"/>
      <c r="J5" s="12"/>
      <c r="K5" s="12"/>
      <c r="L5" s="12"/>
      <c r="M5" s="12"/>
      <c r="N5" s="12"/>
      <c r="O5" s="819"/>
      <c r="P5" s="819"/>
      <c r="Q5" s="12"/>
      <c r="R5" s="12"/>
      <c r="S5" s="12"/>
      <c r="T5" s="12"/>
      <c r="U5" s="12"/>
      <c r="V5" s="12"/>
      <c r="W5" s="12"/>
      <c r="X5" s="12"/>
      <c r="Y5" s="12"/>
      <c r="Z5" s="12"/>
      <c r="AA5" s="12"/>
      <c r="AB5" s="12"/>
      <c r="AC5" s="12"/>
      <c r="AD5" s="12"/>
      <c r="AE5" s="12"/>
      <c r="AF5" s="12"/>
      <c r="AG5" s="12"/>
    </row>
    <row r="6" spans="1:33" ht="18.75" customHeight="1" x14ac:dyDescent="0.25">
      <c r="A6" s="38"/>
      <c r="B6" s="38"/>
      <c r="C6" s="1318"/>
      <c r="D6" s="1044" t="s">
        <v>22</v>
      </c>
      <c r="E6" s="156" t="s">
        <v>12</v>
      </c>
      <c r="F6" s="156" t="s">
        <v>11</v>
      </c>
      <c r="G6" s="156" t="s">
        <v>10</v>
      </c>
      <c r="H6" s="156" t="s">
        <v>39</v>
      </c>
      <c r="I6" s="157" t="s">
        <v>40</v>
      </c>
      <c r="J6" s="158" t="s">
        <v>41</v>
      </c>
      <c r="K6" s="158" t="s">
        <v>42</v>
      </c>
      <c r="L6" s="158" t="s">
        <v>43</v>
      </c>
      <c r="M6" s="158" t="s">
        <v>44</v>
      </c>
      <c r="N6" s="158" t="s">
        <v>45</v>
      </c>
      <c r="O6" s="819"/>
      <c r="P6" s="819"/>
      <c r="Q6" s="18"/>
      <c r="R6" s="18"/>
      <c r="S6" s="18"/>
      <c r="T6" s="18"/>
      <c r="U6" s="18"/>
      <c r="V6" s="18"/>
      <c r="W6" s="18"/>
      <c r="X6" s="18"/>
      <c r="Y6" s="18"/>
      <c r="Z6" s="18"/>
      <c r="AA6" s="18"/>
      <c r="AB6" s="18"/>
      <c r="AC6" s="18"/>
      <c r="AD6" s="18"/>
      <c r="AE6" s="18"/>
      <c r="AF6" s="18"/>
      <c r="AG6" s="18"/>
    </row>
    <row r="7" spans="1:33" x14ac:dyDescent="0.25">
      <c r="A7" s="1317"/>
      <c r="B7" s="18"/>
      <c r="C7" s="18"/>
      <c r="D7" s="30"/>
      <c r="E7" s="43">
        <f>Yr1End</f>
        <v>43830</v>
      </c>
      <c r="F7" s="43">
        <f>Yr2End</f>
        <v>44196</v>
      </c>
      <c r="G7" s="43">
        <f>Yr3End</f>
        <v>44561</v>
      </c>
      <c r="H7" s="43">
        <f>Yr4end</f>
        <v>44926</v>
      </c>
      <c r="I7" s="45">
        <f>Yr5end</f>
        <v>45291</v>
      </c>
      <c r="J7" s="46">
        <f>Yr6end</f>
        <v>45657</v>
      </c>
      <c r="K7" s="46">
        <f>Yr7end</f>
        <v>46022</v>
      </c>
      <c r="L7" s="46">
        <f>Yr8end</f>
        <v>46387</v>
      </c>
      <c r="M7" s="46">
        <f>Yr9end</f>
        <v>46752</v>
      </c>
      <c r="N7" s="46">
        <f>Yr10end</f>
        <v>47118</v>
      </c>
      <c r="O7" s="819"/>
      <c r="P7" s="819"/>
      <c r="Q7" s="18"/>
      <c r="R7" s="18"/>
      <c r="S7" s="18"/>
      <c r="T7" s="18"/>
      <c r="U7" s="18"/>
      <c r="V7" s="18"/>
      <c r="W7" s="18"/>
      <c r="X7" s="18"/>
      <c r="Y7" s="18"/>
      <c r="Z7" s="18"/>
      <c r="AA7" s="18"/>
      <c r="AB7" s="18"/>
      <c r="AC7" s="18"/>
      <c r="AD7" s="18"/>
      <c r="AE7" s="18"/>
      <c r="AF7" s="18"/>
      <c r="AG7" s="18"/>
    </row>
    <row r="8" spans="1:33" s="138" customFormat="1" x14ac:dyDescent="0.25">
      <c r="A8" s="1317"/>
      <c r="B8" s="17"/>
      <c r="C8" s="17"/>
      <c r="D8" s="30"/>
      <c r="E8" s="44">
        <f>Yr1End</f>
        <v>43830</v>
      </c>
      <c r="F8" s="44">
        <f>Yr2End</f>
        <v>44196</v>
      </c>
      <c r="G8" s="44">
        <f>Yr3End</f>
        <v>44561</v>
      </c>
      <c r="H8" s="44">
        <f>Yr4end</f>
        <v>44926</v>
      </c>
      <c r="I8" s="160">
        <f>Yr5end</f>
        <v>45291</v>
      </c>
      <c r="J8" s="161">
        <f>Yr6end</f>
        <v>45657</v>
      </c>
      <c r="K8" s="161">
        <f>Yr7end</f>
        <v>46022</v>
      </c>
      <c r="L8" s="161">
        <f>Yr8end</f>
        <v>46387</v>
      </c>
      <c r="M8" s="161">
        <f>Yr9end</f>
        <v>46752</v>
      </c>
      <c r="N8" s="161">
        <f>Yr10end</f>
        <v>47118</v>
      </c>
      <c r="O8" s="819"/>
      <c r="P8" s="819"/>
      <c r="Q8" s="17"/>
      <c r="R8" s="17"/>
      <c r="S8" s="17"/>
      <c r="T8" s="17"/>
      <c r="U8" s="17"/>
      <c r="V8" s="17"/>
      <c r="W8" s="17"/>
      <c r="X8" s="17"/>
      <c r="Y8" s="17"/>
      <c r="Z8" s="17"/>
      <c r="AA8" s="17"/>
      <c r="AB8" s="17"/>
      <c r="AC8" s="17"/>
      <c r="AD8" s="17"/>
      <c r="AE8" s="17"/>
      <c r="AF8" s="17"/>
      <c r="AG8" s="17"/>
    </row>
    <row r="9" spans="1:33" s="138" customFormat="1" ht="15.75" thickBot="1" x14ac:dyDescent="0.3">
      <c r="A9" s="1108"/>
      <c r="B9" s="17"/>
      <c r="C9" s="17"/>
      <c r="D9" s="30"/>
      <c r="E9" s="30"/>
      <c r="F9" s="30"/>
      <c r="G9" s="30"/>
      <c r="H9" s="30"/>
      <c r="I9" s="30"/>
      <c r="J9" s="30"/>
      <c r="K9" s="30"/>
      <c r="L9" s="30"/>
      <c r="M9" s="30"/>
      <c r="N9" s="30"/>
      <c r="O9" s="819"/>
      <c r="P9" s="819"/>
      <c r="Q9" s="17"/>
      <c r="R9" s="17"/>
      <c r="S9" s="17"/>
      <c r="T9" s="17"/>
      <c r="U9" s="17"/>
      <c r="V9" s="17"/>
      <c r="W9" s="17"/>
      <c r="X9" s="17"/>
      <c r="Y9" s="17"/>
      <c r="Z9" s="17"/>
      <c r="AA9" s="17"/>
      <c r="AB9" s="17"/>
      <c r="AC9" s="17"/>
      <c r="AD9" s="17"/>
      <c r="AE9" s="17"/>
      <c r="AF9" s="17"/>
      <c r="AG9" s="17"/>
    </row>
    <row r="10" spans="1:33" s="708" customFormat="1" ht="20.100000000000001" customHeight="1" x14ac:dyDescent="0.2">
      <c r="A10" s="1380" t="s">
        <v>4315</v>
      </c>
      <c r="B10" s="1319"/>
      <c r="C10" s="1291" t="s">
        <v>681</v>
      </c>
      <c r="D10" s="1320"/>
      <c r="E10" s="1321"/>
      <c r="F10" s="1321"/>
      <c r="G10" s="1321"/>
      <c r="H10" s="1321"/>
      <c r="I10" s="1321"/>
      <c r="J10" s="1321"/>
      <c r="K10" s="1321"/>
      <c r="L10" s="1321"/>
      <c r="M10" s="1321"/>
      <c r="N10" s="1321"/>
      <c r="O10" s="1322"/>
      <c r="P10" s="1323"/>
      <c r="Q10" s="1319"/>
      <c r="R10" s="1319"/>
      <c r="S10" s="1319"/>
      <c r="T10" s="1319"/>
      <c r="U10" s="1319"/>
      <c r="V10" s="1319"/>
      <c r="W10" s="1319"/>
      <c r="X10" s="1319"/>
      <c r="Y10" s="1319"/>
      <c r="Z10" s="1319"/>
      <c r="AA10" s="1319"/>
      <c r="AB10" s="1319"/>
      <c r="AC10" s="1319"/>
      <c r="AD10" s="1319"/>
      <c r="AE10" s="1319"/>
      <c r="AF10" s="1319"/>
      <c r="AG10" s="1319"/>
    </row>
    <row r="11" spans="1:33" s="709" customFormat="1" ht="14.1" customHeight="1" x14ac:dyDescent="0.2">
      <c r="A11" s="1381"/>
      <c r="B11" s="1316"/>
      <c r="C11" s="837"/>
      <c r="D11" s="1324" t="s">
        <v>62</v>
      </c>
      <c r="E11" s="1325"/>
      <c r="F11" s="1325"/>
      <c r="G11" s="1325"/>
      <c r="H11" s="1325"/>
      <c r="I11" s="1325"/>
      <c r="J11" s="1325"/>
      <c r="K11" s="1325"/>
      <c r="L11" s="1325"/>
      <c r="M11" s="1325"/>
      <c r="N11" s="1325"/>
      <c r="O11" s="1326"/>
      <c r="P11" s="1323"/>
      <c r="Q11" s="1327"/>
      <c r="R11" s="1327"/>
      <c r="S11" s="1327"/>
      <c r="T11" s="1327"/>
      <c r="U11" s="1327"/>
      <c r="V11" s="1327"/>
      <c r="W11" s="1327"/>
      <c r="X11" s="1327"/>
      <c r="Y11" s="1327"/>
      <c r="Z11" s="1327"/>
      <c r="AA11" s="1327"/>
      <c r="AB11" s="1327"/>
      <c r="AC11" s="1327"/>
      <c r="AD11" s="1327"/>
      <c r="AE11" s="1327"/>
      <c r="AF11" s="1327"/>
      <c r="AG11" s="1327"/>
    </row>
    <row r="12" spans="1:33" s="710" customFormat="1" ht="14.1" customHeight="1" x14ac:dyDescent="0.2">
      <c r="A12" s="1381"/>
      <c r="B12" s="1316"/>
      <c r="C12" s="963" t="s">
        <v>192</v>
      </c>
      <c r="D12" s="1328" t="s">
        <v>464</v>
      </c>
      <c r="E12" s="1329">
        <v>25</v>
      </c>
      <c r="F12" s="1329">
        <v>25</v>
      </c>
      <c r="G12" s="1329">
        <v>25</v>
      </c>
      <c r="H12" s="1329">
        <v>25</v>
      </c>
      <c r="I12" s="1329">
        <v>25</v>
      </c>
      <c r="J12" s="1329">
        <v>25</v>
      </c>
      <c r="K12" s="1329">
        <v>25</v>
      </c>
      <c r="L12" s="1329">
        <v>25</v>
      </c>
      <c r="M12" s="1329">
        <v>25</v>
      </c>
      <c r="N12" s="1329">
        <v>25</v>
      </c>
      <c r="O12" s="257" t="s">
        <v>95</v>
      </c>
      <c r="P12" s="1323"/>
      <c r="Q12" s="1330"/>
      <c r="R12" s="1330"/>
      <c r="S12" s="1330"/>
      <c r="T12" s="1330"/>
      <c r="U12" s="1330"/>
      <c r="V12" s="1330"/>
      <c r="W12" s="1330"/>
      <c r="X12" s="1330"/>
      <c r="Y12" s="1330"/>
      <c r="Z12" s="1330"/>
      <c r="AA12" s="1330"/>
      <c r="AB12" s="1330"/>
      <c r="AC12" s="1330"/>
      <c r="AD12" s="1330"/>
      <c r="AE12" s="1330"/>
      <c r="AF12" s="1330"/>
      <c r="AG12" s="1330"/>
    </row>
    <row r="13" spans="1:33" s="710" customFormat="1" ht="14.1" customHeight="1" x14ac:dyDescent="0.2">
      <c r="A13" s="1381"/>
      <c r="B13" s="1316"/>
      <c r="C13" s="963" t="s">
        <v>193</v>
      </c>
      <c r="D13" s="1331" t="s">
        <v>465</v>
      </c>
      <c r="E13" s="1332">
        <v>25</v>
      </c>
      <c r="F13" s="1329">
        <v>25</v>
      </c>
      <c r="G13" s="1329">
        <v>25</v>
      </c>
      <c r="H13" s="1329">
        <v>25</v>
      </c>
      <c r="I13" s="1329">
        <v>25</v>
      </c>
      <c r="J13" s="1329">
        <v>25</v>
      </c>
      <c r="K13" s="1329">
        <v>25</v>
      </c>
      <c r="L13" s="1329">
        <v>25</v>
      </c>
      <c r="M13" s="1329">
        <v>25</v>
      </c>
      <c r="N13" s="1329">
        <v>25</v>
      </c>
      <c r="O13" s="257" t="s">
        <v>96</v>
      </c>
      <c r="P13" s="1323"/>
      <c r="Q13" s="1330"/>
      <c r="R13" s="1330"/>
      <c r="S13" s="1330"/>
      <c r="T13" s="1330"/>
      <c r="U13" s="1330"/>
      <c r="V13" s="1330"/>
      <c r="W13" s="1330"/>
      <c r="X13" s="1330"/>
      <c r="Y13" s="1330"/>
      <c r="Z13" s="1330"/>
      <c r="AA13" s="1330"/>
      <c r="AB13" s="1330"/>
      <c r="AC13" s="1330"/>
      <c r="AD13" s="1330"/>
      <c r="AE13" s="1330"/>
      <c r="AF13" s="1330"/>
      <c r="AG13" s="1330"/>
    </row>
    <row r="14" spans="1:33" s="710" customFormat="1" ht="14.1" customHeight="1" x14ac:dyDescent="0.2">
      <c r="A14" s="1381"/>
      <c r="B14" s="1316"/>
      <c r="C14" s="963" t="s">
        <v>194</v>
      </c>
      <c r="D14" s="1331" t="s">
        <v>38</v>
      </c>
      <c r="E14" s="1332">
        <v>10</v>
      </c>
      <c r="F14" s="1329">
        <v>10</v>
      </c>
      <c r="G14" s="1329">
        <v>10</v>
      </c>
      <c r="H14" s="1329">
        <v>10</v>
      </c>
      <c r="I14" s="1329">
        <v>10</v>
      </c>
      <c r="J14" s="1329">
        <v>10</v>
      </c>
      <c r="K14" s="1329">
        <v>10</v>
      </c>
      <c r="L14" s="1329">
        <v>10</v>
      </c>
      <c r="M14" s="1329">
        <v>10</v>
      </c>
      <c r="N14" s="1329">
        <v>10</v>
      </c>
      <c r="O14" s="257" t="s">
        <v>97</v>
      </c>
      <c r="P14" s="1323"/>
      <c r="Q14" s="1330"/>
      <c r="R14" s="1330"/>
      <c r="S14" s="1330"/>
      <c r="T14" s="1330"/>
      <c r="U14" s="1330"/>
      <c r="V14" s="1330"/>
      <c r="W14" s="1330"/>
      <c r="X14" s="1330"/>
      <c r="Y14" s="1330"/>
      <c r="Z14" s="1330"/>
      <c r="AA14" s="1330"/>
      <c r="AB14" s="1330"/>
      <c r="AC14" s="1330"/>
      <c r="AD14" s="1330"/>
      <c r="AE14" s="1330"/>
      <c r="AF14" s="1330"/>
      <c r="AG14" s="1330"/>
    </row>
    <row r="15" spans="1:33" s="710" customFormat="1" ht="14.1" customHeight="1" x14ac:dyDescent="0.2">
      <c r="A15" s="1381"/>
      <c r="B15" s="1316"/>
      <c r="C15" s="963" t="s">
        <v>195</v>
      </c>
      <c r="D15" s="1331" t="s">
        <v>466</v>
      </c>
      <c r="E15" s="1332">
        <v>25</v>
      </c>
      <c r="F15" s="1329">
        <v>25</v>
      </c>
      <c r="G15" s="1329">
        <v>25</v>
      </c>
      <c r="H15" s="1329">
        <v>25</v>
      </c>
      <c r="I15" s="1329">
        <v>25</v>
      </c>
      <c r="J15" s="1329">
        <v>25</v>
      </c>
      <c r="K15" s="1329">
        <v>25</v>
      </c>
      <c r="L15" s="1329">
        <v>25</v>
      </c>
      <c r="M15" s="1329">
        <v>25</v>
      </c>
      <c r="N15" s="1329">
        <v>25</v>
      </c>
      <c r="O15" s="257" t="s">
        <v>98</v>
      </c>
      <c r="P15" s="1323"/>
      <c r="Q15" s="1330"/>
      <c r="R15" s="1330"/>
      <c r="S15" s="1330"/>
      <c r="T15" s="1330"/>
      <c r="U15" s="1330"/>
      <c r="V15" s="1330"/>
      <c r="W15" s="1330"/>
      <c r="X15" s="1330"/>
      <c r="Y15" s="1330"/>
      <c r="Z15" s="1330"/>
      <c r="AA15" s="1330"/>
      <c r="AB15" s="1330"/>
      <c r="AC15" s="1330"/>
      <c r="AD15" s="1330"/>
      <c r="AE15" s="1330"/>
      <c r="AF15" s="1330"/>
      <c r="AG15" s="1330"/>
    </row>
    <row r="16" spans="1:33" s="710" customFormat="1" ht="14.1" customHeight="1" x14ac:dyDescent="0.2">
      <c r="A16" s="1381"/>
      <c r="B16" s="1316"/>
      <c r="C16" s="963" t="s">
        <v>196</v>
      </c>
      <c r="D16" s="1331" t="s">
        <v>467</v>
      </c>
      <c r="E16" s="1332">
        <v>15</v>
      </c>
      <c r="F16" s="1329">
        <v>15</v>
      </c>
      <c r="G16" s="1329">
        <v>15</v>
      </c>
      <c r="H16" s="1329">
        <v>15</v>
      </c>
      <c r="I16" s="1329">
        <v>15</v>
      </c>
      <c r="J16" s="1329">
        <v>15</v>
      </c>
      <c r="K16" s="1329">
        <v>15</v>
      </c>
      <c r="L16" s="1329">
        <v>15</v>
      </c>
      <c r="M16" s="1329">
        <v>15</v>
      </c>
      <c r="N16" s="1329">
        <v>15</v>
      </c>
      <c r="O16" s="257" t="s">
        <v>99</v>
      </c>
      <c r="P16" s="1323"/>
      <c r="Q16" s="1330"/>
      <c r="R16" s="1330"/>
      <c r="S16" s="1330"/>
      <c r="T16" s="1330"/>
      <c r="U16" s="1330"/>
      <c r="V16" s="1330"/>
      <c r="W16" s="1330"/>
      <c r="X16" s="1330"/>
      <c r="Y16" s="1330"/>
      <c r="Z16" s="1330"/>
      <c r="AA16" s="1330"/>
      <c r="AB16" s="1330"/>
      <c r="AC16" s="1330"/>
      <c r="AD16" s="1330"/>
      <c r="AE16" s="1330"/>
      <c r="AF16" s="1330"/>
      <c r="AG16" s="1330"/>
    </row>
    <row r="17" spans="1:33" s="710" customFormat="1" ht="14.1" customHeight="1" x14ac:dyDescent="0.2">
      <c r="A17" s="1381"/>
      <c r="B17" s="1316"/>
      <c r="C17" s="963" t="s">
        <v>197</v>
      </c>
      <c r="D17" s="1331" t="s">
        <v>468</v>
      </c>
      <c r="E17" s="1332">
        <v>15</v>
      </c>
      <c r="F17" s="1329">
        <v>15</v>
      </c>
      <c r="G17" s="1329">
        <v>15</v>
      </c>
      <c r="H17" s="1329">
        <v>15</v>
      </c>
      <c r="I17" s="1329">
        <v>15</v>
      </c>
      <c r="J17" s="1329">
        <v>15</v>
      </c>
      <c r="K17" s="1329">
        <v>15</v>
      </c>
      <c r="L17" s="1329">
        <v>15</v>
      </c>
      <c r="M17" s="1329">
        <v>15</v>
      </c>
      <c r="N17" s="1329">
        <v>15</v>
      </c>
      <c r="O17" s="257" t="s">
        <v>100</v>
      </c>
      <c r="P17" s="1323"/>
      <c r="Q17" s="1330"/>
      <c r="R17" s="1330"/>
      <c r="S17" s="1330"/>
      <c r="T17" s="1330"/>
      <c r="U17" s="1330"/>
      <c r="V17" s="1330"/>
      <c r="W17" s="1330"/>
      <c r="X17" s="1330"/>
      <c r="Y17" s="1330"/>
      <c r="Z17" s="1330"/>
      <c r="AA17" s="1330"/>
      <c r="AB17" s="1330"/>
      <c r="AC17" s="1330"/>
      <c r="AD17" s="1330"/>
      <c r="AE17" s="1330"/>
      <c r="AF17" s="1330"/>
      <c r="AG17" s="1330"/>
    </row>
    <row r="18" spans="1:33" s="710" customFormat="1" ht="14.1" customHeight="1" x14ac:dyDescent="0.2">
      <c r="A18" s="1381"/>
      <c r="B18" s="1316"/>
      <c r="C18" s="963" t="s">
        <v>198</v>
      </c>
      <c r="D18" s="1331" t="s">
        <v>469</v>
      </c>
      <c r="E18" s="1332">
        <v>5</v>
      </c>
      <c r="F18" s="1329">
        <v>5</v>
      </c>
      <c r="G18" s="1329">
        <v>5</v>
      </c>
      <c r="H18" s="1329">
        <v>5</v>
      </c>
      <c r="I18" s="1329">
        <v>5</v>
      </c>
      <c r="J18" s="1329">
        <v>5</v>
      </c>
      <c r="K18" s="1329">
        <v>5</v>
      </c>
      <c r="L18" s="1329">
        <v>5</v>
      </c>
      <c r="M18" s="1329">
        <v>5</v>
      </c>
      <c r="N18" s="1329">
        <v>5</v>
      </c>
      <c r="O18" s="257" t="s">
        <v>101</v>
      </c>
      <c r="P18" s="1323"/>
      <c r="Q18" s="1330"/>
      <c r="R18" s="1330"/>
      <c r="S18" s="1330"/>
      <c r="T18" s="1330"/>
      <c r="U18" s="1330"/>
      <c r="V18" s="1330"/>
      <c r="W18" s="1330"/>
      <c r="X18" s="1330"/>
      <c r="Y18" s="1330"/>
      <c r="Z18" s="1330"/>
      <c r="AA18" s="1330"/>
      <c r="AB18" s="1330"/>
      <c r="AC18" s="1330"/>
      <c r="AD18" s="1330"/>
      <c r="AE18" s="1330"/>
      <c r="AF18" s="1330"/>
      <c r="AG18" s="1330"/>
    </row>
    <row r="19" spans="1:33" s="710" customFormat="1" ht="14.1" customHeight="1" x14ac:dyDescent="0.2">
      <c r="A19" s="1381"/>
      <c r="B19" s="1316"/>
      <c r="C19" s="963" t="s">
        <v>453</v>
      </c>
      <c r="D19" s="1331" t="s">
        <v>37</v>
      </c>
      <c r="E19" s="1332">
        <v>1</v>
      </c>
      <c r="F19" s="1329">
        <v>1</v>
      </c>
      <c r="G19" s="1329">
        <v>1</v>
      </c>
      <c r="H19" s="1329">
        <v>1</v>
      </c>
      <c r="I19" s="1329">
        <v>1</v>
      </c>
      <c r="J19" s="1329">
        <v>1</v>
      </c>
      <c r="K19" s="1329">
        <v>1</v>
      </c>
      <c r="L19" s="1329">
        <v>1</v>
      </c>
      <c r="M19" s="1329">
        <v>1</v>
      </c>
      <c r="N19" s="1329">
        <v>1</v>
      </c>
      <c r="O19" s="257" t="s">
        <v>444</v>
      </c>
      <c r="P19" s="1323"/>
      <c r="Q19" s="1330"/>
      <c r="R19" s="1330"/>
      <c r="S19" s="1330"/>
      <c r="T19" s="1330"/>
      <c r="U19" s="1330"/>
      <c r="V19" s="1330"/>
      <c r="W19" s="1330"/>
      <c r="X19" s="1330"/>
      <c r="Y19" s="1330"/>
      <c r="Z19" s="1330"/>
      <c r="AA19" s="1330"/>
      <c r="AB19" s="1330"/>
      <c r="AC19" s="1330"/>
      <c r="AD19" s="1330"/>
      <c r="AE19" s="1330"/>
      <c r="AF19" s="1330"/>
      <c r="AG19" s="1330"/>
    </row>
    <row r="20" spans="1:33" s="710" customFormat="1" ht="14.1" customHeight="1" x14ac:dyDescent="0.2">
      <c r="A20" s="1381"/>
      <c r="B20" s="1316"/>
      <c r="C20" s="963" t="s">
        <v>454</v>
      </c>
      <c r="D20" s="1331" t="s">
        <v>452</v>
      </c>
      <c r="E20" s="1332">
        <v>2</v>
      </c>
      <c r="F20" s="1329">
        <v>2</v>
      </c>
      <c r="G20" s="1329">
        <v>2</v>
      </c>
      <c r="H20" s="1329">
        <v>2</v>
      </c>
      <c r="I20" s="1329">
        <v>2</v>
      </c>
      <c r="J20" s="1329">
        <v>2</v>
      </c>
      <c r="K20" s="1329">
        <v>2</v>
      </c>
      <c r="L20" s="1329">
        <v>2</v>
      </c>
      <c r="M20" s="1329">
        <v>2</v>
      </c>
      <c r="N20" s="1329">
        <v>2</v>
      </c>
      <c r="O20" s="257" t="s">
        <v>445</v>
      </c>
      <c r="P20" s="1323"/>
      <c r="Q20" s="1330"/>
      <c r="R20" s="1330"/>
      <c r="S20" s="1330"/>
      <c r="T20" s="1330"/>
      <c r="U20" s="1330"/>
      <c r="V20" s="1330"/>
      <c r="W20" s="1330"/>
      <c r="X20" s="1330"/>
      <c r="Y20" s="1330"/>
      <c r="Z20" s="1330"/>
      <c r="AA20" s="1330"/>
      <c r="AB20" s="1330"/>
      <c r="AC20" s="1330"/>
      <c r="AD20" s="1330"/>
      <c r="AE20" s="1330"/>
      <c r="AF20" s="1330"/>
      <c r="AG20" s="1330"/>
    </row>
    <row r="21" spans="1:33" s="710" customFormat="1" ht="14.1" customHeight="1" x14ac:dyDescent="0.2">
      <c r="A21" s="1381"/>
      <c r="B21" s="1316"/>
      <c r="C21" s="963" t="s">
        <v>455</v>
      </c>
      <c r="D21" s="1331" t="s">
        <v>470</v>
      </c>
      <c r="E21" s="1332">
        <v>3</v>
      </c>
      <c r="F21" s="1329">
        <v>3</v>
      </c>
      <c r="G21" s="1329">
        <v>3</v>
      </c>
      <c r="H21" s="1329">
        <v>3</v>
      </c>
      <c r="I21" s="1329">
        <v>3</v>
      </c>
      <c r="J21" s="1329">
        <v>3</v>
      </c>
      <c r="K21" s="1329">
        <v>3</v>
      </c>
      <c r="L21" s="1329">
        <v>3</v>
      </c>
      <c r="M21" s="1329">
        <v>3</v>
      </c>
      <c r="N21" s="1329">
        <v>3</v>
      </c>
      <c r="O21" s="257" t="s">
        <v>446</v>
      </c>
      <c r="P21" s="1323"/>
      <c r="Q21" s="1330"/>
      <c r="R21" s="1330"/>
      <c r="S21" s="1330"/>
      <c r="T21" s="1330"/>
      <c r="U21" s="1330"/>
      <c r="V21" s="1330"/>
      <c r="W21" s="1330"/>
      <c r="X21" s="1330"/>
      <c r="Y21" s="1330"/>
      <c r="Z21" s="1330"/>
      <c r="AA21" s="1330"/>
      <c r="AB21" s="1330"/>
      <c r="AC21" s="1330"/>
      <c r="AD21" s="1330"/>
      <c r="AE21" s="1330"/>
      <c r="AF21" s="1330"/>
      <c r="AG21" s="1330"/>
    </row>
    <row r="22" spans="1:33" s="710" customFormat="1" ht="14.1" customHeight="1" x14ac:dyDescent="0.2">
      <c r="A22" s="1381"/>
      <c r="B22" s="1316"/>
      <c r="C22" s="963" t="s">
        <v>456</v>
      </c>
      <c r="D22" s="1331" t="s">
        <v>471</v>
      </c>
      <c r="E22" s="1332">
        <v>4</v>
      </c>
      <c r="F22" s="1329">
        <v>4</v>
      </c>
      <c r="G22" s="1329">
        <v>4</v>
      </c>
      <c r="H22" s="1329">
        <v>4</v>
      </c>
      <c r="I22" s="1329">
        <v>4</v>
      </c>
      <c r="J22" s="1329">
        <v>4</v>
      </c>
      <c r="K22" s="1329">
        <v>4</v>
      </c>
      <c r="L22" s="1329">
        <v>4</v>
      </c>
      <c r="M22" s="1329">
        <v>4</v>
      </c>
      <c r="N22" s="1329">
        <v>4</v>
      </c>
      <c r="O22" s="257" t="s">
        <v>447</v>
      </c>
      <c r="P22" s="1323"/>
      <c r="Q22" s="1330"/>
      <c r="R22" s="1330"/>
      <c r="S22" s="1330"/>
      <c r="T22" s="1330"/>
      <c r="U22" s="1330"/>
      <c r="V22" s="1330"/>
      <c r="W22" s="1330"/>
      <c r="X22" s="1330"/>
      <c r="Y22" s="1330"/>
      <c r="Z22" s="1330"/>
      <c r="AA22" s="1330"/>
      <c r="AB22" s="1330"/>
      <c r="AC22" s="1330"/>
      <c r="AD22" s="1330"/>
      <c r="AE22" s="1330"/>
      <c r="AF22" s="1330"/>
      <c r="AG22" s="1330"/>
    </row>
    <row r="23" spans="1:33" s="710" customFormat="1" ht="14.1" customHeight="1" x14ac:dyDescent="0.2">
      <c r="A23" s="1381"/>
      <c r="B23" s="1316"/>
      <c r="C23" s="963" t="s">
        <v>457</v>
      </c>
      <c r="D23" s="1331" t="s">
        <v>472</v>
      </c>
      <c r="E23" s="1332">
        <v>5</v>
      </c>
      <c r="F23" s="1329">
        <v>5</v>
      </c>
      <c r="G23" s="1329">
        <v>5</v>
      </c>
      <c r="H23" s="1329">
        <v>5</v>
      </c>
      <c r="I23" s="1329">
        <v>5</v>
      </c>
      <c r="J23" s="1329">
        <v>5</v>
      </c>
      <c r="K23" s="1329">
        <v>5</v>
      </c>
      <c r="L23" s="1329">
        <v>5</v>
      </c>
      <c r="M23" s="1329">
        <v>5</v>
      </c>
      <c r="N23" s="1329">
        <v>5</v>
      </c>
      <c r="O23" s="257" t="s">
        <v>448</v>
      </c>
      <c r="P23" s="1323"/>
      <c r="Q23" s="1330"/>
      <c r="R23" s="1330"/>
      <c r="S23" s="1330"/>
      <c r="T23" s="1330"/>
      <c r="U23" s="1330"/>
      <c r="V23" s="1330"/>
      <c r="W23" s="1330"/>
      <c r="X23" s="1330"/>
      <c r="Y23" s="1330"/>
      <c r="Z23" s="1330"/>
      <c r="AA23" s="1330"/>
      <c r="AB23" s="1330"/>
      <c r="AC23" s="1330"/>
      <c r="AD23" s="1330"/>
      <c r="AE23" s="1330"/>
      <c r="AF23" s="1330"/>
      <c r="AG23" s="1330"/>
    </row>
    <row r="24" spans="1:33" s="710" customFormat="1" ht="14.1" customHeight="1" x14ac:dyDescent="0.2">
      <c r="A24" s="1381"/>
      <c r="B24" s="1316"/>
      <c r="C24" s="963" t="s">
        <v>458</v>
      </c>
      <c r="D24" s="1331" t="s">
        <v>266</v>
      </c>
      <c r="E24" s="1332">
        <v>6</v>
      </c>
      <c r="F24" s="1329">
        <v>6</v>
      </c>
      <c r="G24" s="1329">
        <v>6</v>
      </c>
      <c r="H24" s="1329">
        <v>6</v>
      </c>
      <c r="I24" s="1329">
        <v>6</v>
      </c>
      <c r="J24" s="1329">
        <v>6</v>
      </c>
      <c r="K24" s="1329">
        <v>6</v>
      </c>
      <c r="L24" s="1329">
        <v>6</v>
      </c>
      <c r="M24" s="1329">
        <v>6</v>
      </c>
      <c r="N24" s="1329">
        <v>6</v>
      </c>
      <c r="O24" s="257" t="s">
        <v>449</v>
      </c>
      <c r="P24" s="1323"/>
      <c r="Q24" s="1330"/>
      <c r="R24" s="1330"/>
      <c r="S24" s="1330"/>
      <c r="T24" s="1330"/>
      <c r="U24" s="1330"/>
      <c r="V24" s="1330"/>
      <c r="W24" s="1330"/>
      <c r="X24" s="1330"/>
      <c r="Y24" s="1330"/>
      <c r="Z24" s="1330"/>
      <c r="AA24" s="1330"/>
      <c r="AB24" s="1330"/>
      <c r="AC24" s="1330"/>
      <c r="AD24" s="1330"/>
      <c r="AE24" s="1330"/>
      <c r="AF24" s="1330"/>
      <c r="AG24" s="1330"/>
    </row>
    <row r="25" spans="1:33" s="710" customFormat="1" ht="14.1" customHeight="1" x14ac:dyDescent="0.2">
      <c r="A25" s="1381"/>
      <c r="B25" s="1316"/>
      <c r="C25" s="963" t="s">
        <v>459</v>
      </c>
      <c r="D25" s="1331" t="s">
        <v>473</v>
      </c>
      <c r="E25" s="1332">
        <v>7</v>
      </c>
      <c r="F25" s="1329">
        <v>7</v>
      </c>
      <c r="G25" s="1329">
        <v>7</v>
      </c>
      <c r="H25" s="1329">
        <v>7</v>
      </c>
      <c r="I25" s="1329">
        <v>7</v>
      </c>
      <c r="J25" s="1329">
        <v>7</v>
      </c>
      <c r="K25" s="1329">
        <v>7</v>
      </c>
      <c r="L25" s="1329">
        <v>7</v>
      </c>
      <c r="M25" s="1329">
        <v>7</v>
      </c>
      <c r="N25" s="1329">
        <v>7</v>
      </c>
      <c r="O25" s="257" t="s">
        <v>450</v>
      </c>
      <c r="P25" s="1323"/>
      <c r="Q25" s="1330"/>
      <c r="R25" s="1330"/>
      <c r="S25" s="1330"/>
      <c r="T25" s="1330"/>
      <c r="U25" s="1330"/>
      <c r="V25" s="1330"/>
      <c r="W25" s="1330"/>
      <c r="X25" s="1330"/>
      <c r="Y25" s="1330"/>
      <c r="Z25" s="1330"/>
      <c r="AA25" s="1330"/>
      <c r="AB25" s="1330"/>
      <c r="AC25" s="1330"/>
      <c r="AD25" s="1330"/>
      <c r="AE25" s="1330"/>
      <c r="AF25" s="1330"/>
      <c r="AG25" s="1330"/>
    </row>
    <row r="26" spans="1:33" s="710" customFormat="1" ht="14.1" customHeight="1" x14ac:dyDescent="0.2">
      <c r="A26" s="1381"/>
      <c r="B26" s="1316"/>
      <c r="C26" s="963" t="s">
        <v>460</v>
      </c>
      <c r="D26" s="1331" t="s">
        <v>474</v>
      </c>
      <c r="E26" s="1329">
        <v>8</v>
      </c>
      <c r="F26" s="1329">
        <v>8</v>
      </c>
      <c r="G26" s="1329">
        <v>8</v>
      </c>
      <c r="H26" s="1329">
        <v>8</v>
      </c>
      <c r="I26" s="1329">
        <v>8</v>
      </c>
      <c r="J26" s="1329">
        <v>8</v>
      </c>
      <c r="K26" s="1329">
        <v>8</v>
      </c>
      <c r="L26" s="1329">
        <v>8</v>
      </c>
      <c r="M26" s="1329">
        <v>8</v>
      </c>
      <c r="N26" s="1329">
        <v>8</v>
      </c>
      <c r="O26" s="257" t="s">
        <v>451</v>
      </c>
      <c r="P26" s="1323"/>
      <c r="Q26" s="1330"/>
      <c r="R26" s="1330"/>
      <c r="S26" s="1330"/>
      <c r="T26" s="1330"/>
      <c r="U26" s="1330"/>
      <c r="V26" s="1330"/>
      <c r="W26" s="1330"/>
      <c r="X26" s="1330"/>
      <c r="Y26" s="1330"/>
      <c r="Z26" s="1330"/>
      <c r="AA26" s="1330"/>
      <c r="AB26" s="1330"/>
      <c r="AC26" s="1330"/>
      <c r="AD26" s="1330"/>
      <c r="AE26" s="1330"/>
      <c r="AF26" s="1330"/>
      <c r="AG26" s="1330"/>
    </row>
    <row r="27" spans="1:33" s="710" customFormat="1" ht="14.1" customHeight="1" x14ac:dyDescent="0.2">
      <c r="A27" s="1381"/>
      <c r="B27" s="833"/>
      <c r="C27" s="837"/>
      <c r="D27" s="820"/>
      <c r="E27" s="833"/>
      <c r="F27" s="833"/>
      <c r="G27" s="833"/>
      <c r="H27" s="833"/>
      <c r="I27" s="833"/>
      <c r="J27" s="833"/>
      <c r="K27" s="833"/>
      <c r="L27" s="833"/>
      <c r="M27" s="833"/>
      <c r="N27" s="833"/>
      <c r="O27" s="835"/>
      <c r="P27" s="1323"/>
      <c r="Q27" s="1330"/>
      <c r="R27" s="1330"/>
      <c r="S27" s="1330"/>
      <c r="T27" s="1330"/>
      <c r="U27" s="1330"/>
      <c r="V27" s="1330"/>
      <c r="W27" s="1330"/>
      <c r="X27" s="1330"/>
      <c r="Y27" s="1330"/>
      <c r="Z27" s="1330"/>
      <c r="AA27" s="1330"/>
      <c r="AB27" s="1330"/>
      <c r="AC27" s="1330"/>
      <c r="AD27" s="1330"/>
      <c r="AE27" s="1330"/>
      <c r="AF27" s="1330"/>
      <c r="AG27" s="1330"/>
    </row>
    <row r="28" spans="1:33" s="710" customFormat="1" ht="14.1" customHeight="1" x14ac:dyDescent="0.2">
      <c r="A28" s="1381"/>
      <c r="B28" s="833"/>
      <c r="C28" s="837"/>
      <c r="D28" s="1324" t="s">
        <v>94</v>
      </c>
      <c r="E28" s="888">
        <f t="shared" ref="E28:N28" si="0">SUM(E12:E27)</f>
        <v>156</v>
      </c>
      <c r="F28" s="888">
        <f t="shared" si="0"/>
        <v>156</v>
      </c>
      <c r="G28" s="888">
        <f t="shared" si="0"/>
        <v>156</v>
      </c>
      <c r="H28" s="888">
        <f t="shared" si="0"/>
        <v>156</v>
      </c>
      <c r="I28" s="888">
        <f t="shared" si="0"/>
        <v>156</v>
      </c>
      <c r="J28" s="888">
        <f t="shared" si="0"/>
        <v>156</v>
      </c>
      <c r="K28" s="888">
        <f t="shared" si="0"/>
        <v>156</v>
      </c>
      <c r="L28" s="888">
        <f t="shared" si="0"/>
        <v>156</v>
      </c>
      <c r="M28" s="888">
        <f t="shared" si="0"/>
        <v>156</v>
      </c>
      <c r="N28" s="888">
        <f t="shared" si="0"/>
        <v>156</v>
      </c>
      <c r="O28" s="257" t="s">
        <v>102</v>
      </c>
      <c r="P28" s="1323"/>
      <c r="Q28" s="1330"/>
      <c r="R28" s="1330"/>
      <c r="S28" s="1330"/>
      <c r="T28" s="1330"/>
      <c r="U28" s="1330"/>
      <c r="V28" s="1330"/>
      <c r="W28" s="1330"/>
      <c r="X28" s="1330"/>
      <c r="Y28" s="1330"/>
      <c r="Z28" s="1330"/>
      <c r="AA28" s="1330"/>
      <c r="AB28" s="1330"/>
      <c r="AC28" s="1330"/>
      <c r="AD28" s="1330"/>
      <c r="AE28" s="1330"/>
      <c r="AF28" s="1330"/>
      <c r="AG28" s="1330"/>
    </row>
    <row r="29" spans="1:33" s="711" customFormat="1" ht="14.1" customHeight="1" thickBot="1" x14ac:dyDescent="0.25">
      <c r="A29" s="1382"/>
      <c r="B29" s="1333"/>
      <c r="C29" s="1334"/>
      <c r="D29" s="1335"/>
      <c r="E29" s="1335"/>
      <c r="F29" s="1335"/>
      <c r="G29" s="1335"/>
      <c r="H29" s="1335"/>
      <c r="I29" s="1335"/>
      <c r="J29" s="1335"/>
      <c r="K29" s="1335"/>
      <c r="L29" s="1335"/>
      <c r="M29" s="1335"/>
      <c r="N29" s="1335"/>
      <c r="O29" s="1336"/>
      <c r="P29" s="1337"/>
      <c r="Q29" s="1338"/>
      <c r="R29" s="1338"/>
      <c r="S29" s="1338"/>
      <c r="T29" s="1338"/>
      <c r="U29" s="1338"/>
      <c r="V29" s="1338"/>
      <c r="W29" s="1338"/>
      <c r="X29" s="1338"/>
      <c r="Y29" s="1338"/>
      <c r="Z29" s="1338"/>
      <c r="AA29" s="1338"/>
      <c r="AB29" s="1338"/>
      <c r="AC29" s="1338"/>
      <c r="AD29" s="1338"/>
      <c r="AE29" s="1338"/>
      <c r="AF29" s="1338"/>
      <c r="AG29" s="1338"/>
    </row>
    <row r="30" spans="1:33" s="128" customFormat="1" ht="17.25" customHeight="1" x14ac:dyDescent="0.25">
      <c r="A30" s="256"/>
      <c r="B30" s="1339"/>
      <c r="C30" s="823"/>
      <c r="D30" s="852"/>
      <c r="E30" s="820"/>
      <c r="F30" s="821"/>
      <c r="G30" s="822"/>
      <c r="H30" s="822"/>
      <c r="I30" s="822"/>
      <c r="J30" s="822"/>
      <c r="K30" s="822"/>
      <c r="L30" s="822"/>
      <c r="M30" s="822"/>
      <c r="N30" s="822"/>
      <c r="O30" s="819"/>
      <c r="P30" s="819"/>
      <c r="Q30" s="23"/>
      <c r="R30" s="23"/>
      <c r="S30" s="23"/>
      <c r="T30" s="23"/>
      <c r="U30" s="23"/>
      <c r="V30" s="23"/>
      <c r="W30" s="23"/>
      <c r="X30" s="23"/>
      <c r="Y30" s="23"/>
      <c r="Z30" s="23"/>
      <c r="AA30" s="23"/>
      <c r="AB30" s="23"/>
      <c r="AC30" s="23"/>
      <c r="AD30" s="23"/>
      <c r="AE30" s="23"/>
      <c r="AF30" s="23"/>
      <c r="AG30" s="23"/>
    </row>
  </sheetData>
  <sheetProtection selectLockedCells="1" sort="0" autoFilter="0" pivotTables="0"/>
  <mergeCells count="6">
    <mergeCell ref="A10:A29"/>
    <mergeCell ref="A2:A4"/>
    <mergeCell ref="B2:L2"/>
    <mergeCell ref="M2:O2"/>
    <mergeCell ref="B3:L4"/>
    <mergeCell ref="M3:O4"/>
  </mergeCells>
  <conditionalFormatting sqref="P31:P1048576">
    <cfRule type="containsText" dxfId="754" priority="1351" operator="containsText" text="N">
      <formula>NOT(ISERROR(SEARCH("N",P31)))</formula>
    </cfRule>
    <cfRule type="containsText" dxfId="753" priority="1352" operator="containsText" text="Y">
      <formula>NOT(ISERROR(SEARCH("Y",P31)))</formula>
    </cfRule>
  </conditionalFormatting>
  <pageMargins left="0.75" right="0.75" top="1" bottom="1" header="0.5" footer="0.5"/>
  <pageSetup scale="9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8" tint="0.59999389629810485"/>
    <pageSetUpPr fitToPage="1"/>
  </sheetPr>
  <dimension ref="A1:AW1168"/>
  <sheetViews>
    <sheetView zoomScaleNormal="100" workbookViewId="0"/>
  </sheetViews>
  <sheetFormatPr defaultColWidth="35.7109375" defaultRowHeight="15" outlineLevelRow="1" x14ac:dyDescent="0.25"/>
  <cols>
    <col min="1" max="1" width="80.7109375" style="193" customWidth="1"/>
    <col min="2" max="2" width="5.7109375" style="138" customWidth="1"/>
    <col min="3" max="3" width="50.7109375" style="153" customWidth="1"/>
    <col min="4" max="4" width="75.7109375" style="230" customWidth="1"/>
    <col min="5" max="5" width="15.7109375" style="146" customWidth="1"/>
    <col min="6" max="14" width="15.7109375" style="142" customWidth="1"/>
    <col min="15" max="15" width="43.28515625" style="154" customWidth="1"/>
    <col min="16" max="16" width="35.7109375" style="152" customWidth="1"/>
    <col min="17" max="16384" width="35.7109375" style="142"/>
  </cols>
  <sheetData>
    <row r="1" spans="1:49" s="8" customFormat="1" ht="30" customHeight="1" x14ac:dyDescent="0.2">
      <c r="A1" s="1183" t="s">
        <v>66</v>
      </c>
      <c r="B1" s="155"/>
      <c r="C1" s="1182" t="s">
        <v>476</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c r="AH1" s="17"/>
      <c r="AI1" s="17"/>
      <c r="AJ1" s="17"/>
      <c r="AK1" s="17"/>
      <c r="AL1" s="17"/>
      <c r="AM1" s="17"/>
      <c r="AN1" s="17"/>
      <c r="AO1" s="17"/>
      <c r="AP1" s="17"/>
      <c r="AQ1" s="17"/>
      <c r="AR1" s="17"/>
      <c r="AS1" s="17"/>
      <c r="AT1" s="17"/>
      <c r="AU1" s="17"/>
      <c r="AV1" s="17"/>
      <c r="AW1" s="17"/>
    </row>
    <row r="2" spans="1:49"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row>
    <row r="3" spans="1:49"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row>
    <row r="4" spans="1:49" s="3" customFormat="1"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139" customFormat="1" x14ac:dyDescent="0.25">
      <c r="A5" s="1108"/>
      <c r="B5" s="12"/>
      <c r="C5" s="12"/>
      <c r="D5" s="30"/>
      <c r="E5" s="12"/>
      <c r="F5" s="12"/>
      <c r="G5" s="12"/>
      <c r="H5" s="12"/>
      <c r="I5" s="12"/>
      <c r="J5" s="12"/>
      <c r="K5" s="12"/>
      <c r="L5" s="12"/>
      <c r="M5" s="12"/>
      <c r="N5" s="12"/>
      <c r="O5" s="819"/>
      <c r="P5" s="819"/>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6" spans="1:49" s="3" customFormat="1" ht="13.5" customHeight="1" x14ac:dyDescent="0.2">
      <c r="A6" s="19"/>
      <c r="B6" s="19"/>
      <c r="C6" s="215" t="s">
        <v>218</v>
      </c>
      <c r="D6" s="214" t="s">
        <v>69</v>
      </c>
      <c r="E6" s="12"/>
      <c r="F6" s="12"/>
      <c r="G6" s="12"/>
      <c r="H6" s="12"/>
      <c r="I6" s="12"/>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3" customFormat="1" ht="13.5" customHeight="1" x14ac:dyDescent="0.2">
      <c r="A7" s="19"/>
      <c r="B7" s="19"/>
      <c r="C7" s="214"/>
      <c r="D7" s="720"/>
      <c r="E7" s="12"/>
      <c r="F7" s="12"/>
      <c r="G7" s="12"/>
      <c r="H7" s="12"/>
      <c r="I7" s="12"/>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3" customFormat="1" ht="13.5" customHeight="1" x14ac:dyDescent="0.2">
      <c r="A8" s="1388" t="s">
        <v>4211</v>
      </c>
      <c r="B8" s="19"/>
      <c r="D8" s="1044" t="s">
        <v>22</v>
      </c>
      <c r="E8" s="42" t="s">
        <v>12</v>
      </c>
      <c r="F8" s="42" t="s">
        <v>11</v>
      </c>
      <c r="G8" s="42" t="s">
        <v>10</v>
      </c>
      <c r="H8" s="42" t="s">
        <v>39</v>
      </c>
      <c r="I8" s="42" t="s">
        <v>40</v>
      </c>
      <c r="J8" s="42" t="s">
        <v>41</v>
      </c>
      <c r="K8" s="42" t="s">
        <v>42</v>
      </c>
      <c r="L8" s="42" t="s">
        <v>43</v>
      </c>
      <c r="M8" s="42" t="s">
        <v>44</v>
      </c>
      <c r="N8" s="42" t="s">
        <v>45</v>
      </c>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3" customFormat="1" ht="13.5" customHeight="1" x14ac:dyDescent="0.2">
      <c r="A9" s="1389"/>
      <c r="B9" s="19"/>
      <c r="D9" s="720"/>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3" customFormat="1" ht="13.5" customHeight="1" x14ac:dyDescent="0.2">
      <c r="A10" s="1389"/>
      <c r="B10" s="19"/>
      <c r="D10" s="720"/>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3" customFormat="1" ht="13.5" customHeight="1" x14ac:dyDescent="0.2">
      <c r="A11" s="1390"/>
      <c r="B11" s="19"/>
      <c r="D11" s="721"/>
      <c r="E11" s="12"/>
      <c r="F11" s="12"/>
      <c r="G11" s="12"/>
      <c r="H11" s="12"/>
      <c r="I11" s="12"/>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customFormat="1" ht="14.1" customHeight="1" x14ac:dyDescent="0.2">
      <c r="A12" s="63"/>
      <c r="B12" s="63"/>
      <c r="C12" s="19"/>
      <c r="D12" s="12"/>
      <c r="E12" s="19"/>
      <c r="F12" s="19"/>
      <c r="G12" s="19"/>
      <c r="H12" s="1340"/>
      <c r="I12" s="19"/>
      <c r="J12" s="19"/>
      <c r="K12" s="19"/>
      <c r="L12" s="19"/>
      <c r="M12" s="19"/>
      <c r="N12" s="19"/>
      <c r="O12" s="19"/>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row>
    <row r="14" spans="1:49" s="189" customFormat="1" ht="12.75" x14ac:dyDescent="0.2">
      <c r="B14" s="19"/>
      <c r="C14" s="19"/>
      <c r="O14" s="891"/>
      <c r="P14" s="892"/>
      <c r="Q14" s="892"/>
      <c r="R14" s="892"/>
      <c r="S14" s="892"/>
      <c r="T14" s="892"/>
      <c r="U14" s="892"/>
      <c r="V14" s="892"/>
      <c r="W14" s="892"/>
      <c r="X14" s="892"/>
      <c r="Y14" s="892"/>
      <c r="Z14" s="892"/>
      <c r="AA14" s="892"/>
      <c r="AB14" s="892"/>
      <c r="AC14" s="892"/>
      <c r="AD14" s="892"/>
    </row>
    <row r="15" spans="1:49" s="217" customFormat="1" ht="20.100000000000001" customHeight="1" x14ac:dyDescent="0.2">
      <c r="A15" s="1391" t="s">
        <v>4309</v>
      </c>
      <c r="B15" s="72"/>
      <c r="C15" s="1341" t="s">
        <v>476</v>
      </c>
      <c r="D15" s="218"/>
      <c r="E15" s="218"/>
      <c r="F15" s="218"/>
      <c r="G15" s="218"/>
      <c r="H15" s="218"/>
      <c r="I15" s="218"/>
      <c r="J15" s="218"/>
      <c r="K15" s="218"/>
      <c r="L15" s="218"/>
      <c r="M15" s="218"/>
      <c r="N15" s="218"/>
      <c r="O15" s="219"/>
      <c r="P15" s="219"/>
    </row>
    <row r="16" spans="1:49" s="203" customFormat="1" ht="12.75" x14ac:dyDescent="0.2">
      <c r="A16" s="1392"/>
      <c r="B16" s="72"/>
      <c r="C16" s="204"/>
      <c r="D16" s="723"/>
      <c r="E16" s="210"/>
      <c r="F16" s="210"/>
      <c r="G16" s="210"/>
      <c r="H16" s="210"/>
      <c r="I16" s="210"/>
      <c r="J16" s="210"/>
      <c r="K16" s="210"/>
      <c r="L16" s="210"/>
      <c r="M16" s="210"/>
      <c r="N16" s="210"/>
      <c r="O16" s="332"/>
      <c r="P16" s="204"/>
    </row>
    <row r="17" spans="1:49" s="203" customFormat="1" ht="59.25" customHeight="1" x14ac:dyDescent="0.2">
      <c r="A17" s="1393"/>
      <c r="B17" s="72"/>
      <c r="C17" s="204"/>
      <c r="D17" s="723"/>
      <c r="E17" s="210"/>
      <c r="F17" s="210"/>
      <c r="G17" s="210"/>
      <c r="H17" s="210"/>
      <c r="I17" s="210"/>
      <c r="J17" s="210"/>
      <c r="K17" s="210"/>
      <c r="L17" s="210"/>
      <c r="M17" s="210"/>
      <c r="N17" s="210"/>
      <c r="O17" s="332"/>
      <c r="P17" s="204"/>
    </row>
    <row r="18" spans="1:49" customFormat="1" ht="14.1" customHeight="1" x14ac:dyDescent="0.2">
      <c r="A18" s="19"/>
      <c r="B18" s="19"/>
      <c r="C18" s="12"/>
      <c r="D18" s="12"/>
      <c r="E18" s="19"/>
      <c r="F18" s="19"/>
      <c r="G18" s="19"/>
      <c r="H18" s="1340"/>
      <c r="I18" s="19"/>
      <c r="J18" s="19"/>
      <c r="K18" s="19"/>
      <c r="L18" s="19"/>
      <c r="M18" s="19"/>
      <c r="N18" s="19"/>
      <c r="O18" s="19"/>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row>
    <row r="19" spans="1:49" s="122" customFormat="1" ht="15.75" x14ac:dyDescent="0.2">
      <c r="A19" s="1043">
        <v>2</v>
      </c>
      <c r="B19" s="1039"/>
      <c r="C19" s="1039"/>
      <c r="D19" s="1039"/>
      <c r="E19" s="1039"/>
      <c r="F19" s="1039"/>
      <c r="G19" s="1039"/>
      <c r="H19" s="1039"/>
      <c r="I19" s="1039"/>
      <c r="J19" s="1039"/>
      <c r="K19" s="1039"/>
      <c r="L19" s="1039"/>
      <c r="M19" s="1039"/>
      <c r="N19" s="1039"/>
      <c r="O19" s="1039"/>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row>
    <row r="20" spans="1:49" s="18" customFormat="1" ht="13.5" thickBot="1" x14ac:dyDescent="0.25">
      <c r="A20" s="13"/>
      <c r="B20" s="19"/>
      <c r="C20" s="30"/>
      <c r="D20" s="30"/>
      <c r="E20" s="23"/>
      <c r="F20" s="23"/>
      <c r="G20" s="23"/>
      <c r="H20" s="23"/>
      <c r="I20" s="23"/>
      <c r="J20" s="23"/>
      <c r="K20" s="23"/>
      <c r="L20" s="23"/>
      <c r="M20" s="23"/>
      <c r="N20" s="23"/>
      <c r="O20" s="23"/>
      <c r="P20" s="12"/>
      <c r="Q20" s="12"/>
    </row>
    <row r="21" spans="1:49" s="189" customFormat="1" ht="31.5" x14ac:dyDescent="0.2">
      <c r="A21" s="1342" t="str">
        <f>"Purpose - To calculate Total Records generated by 'FleetTypeA'          " &amp; (FleetTypeA)</f>
        <v>Purpose - To calculate Total Records generated by 'FleetTypeA'          B737-300/400</v>
      </c>
      <c r="B21" s="19"/>
      <c r="C21" s="1343" t="str">
        <f>FleetTypeA &amp;" (FleetTypeA) Records Generated pa"</f>
        <v>B737-300/400 (FleetTypeA) Records Generated pa</v>
      </c>
      <c r="O21" s="891"/>
      <c r="P21" s="892"/>
      <c r="Q21" s="892"/>
      <c r="R21" s="892"/>
      <c r="S21" s="892"/>
      <c r="T21" s="892"/>
      <c r="U21" s="892"/>
      <c r="V21" s="892"/>
      <c r="W21" s="892"/>
      <c r="X21" s="892"/>
      <c r="Y21" s="892"/>
      <c r="Z21" s="892"/>
      <c r="AA21" s="892"/>
      <c r="AB21" s="892"/>
      <c r="AC21" s="892"/>
      <c r="AD21" s="892"/>
    </row>
    <row r="22" spans="1:49" s="189" customFormat="1" ht="12.75" x14ac:dyDescent="0.2">
      <c r="B22" s="19"/>
      <c r="C22" s="19"/>
      <c r="O22" s="891"/>
      <c r="P22" s="892"/>
      <c r="Q22" s="892"/>
      <c r="R22" s="892"/>
      <c r="S22" s="892"/>
      <c r="T22" s="892"/>
      <c r="U22" s="892"/>
      <c r="V22" s="892"/>
      <c r="W22" s="892"/>
      <c r="X22" s="892"/>
      <c r="Y22" s="892"/>
      <c r="Z22" s="892"/>
      <c r="AA22" s="892"/>
      <c r="AB22" s="892"/>
      <c r="AC22" s="892"/>
      <c r="AD22" s="892"/>
    </row>
    <row r="23" spans="1:49" s="128" customFormat="1" ht="15" hidden="1" customHeight="1" outlineLevel="1" thickBot="1" x14ac:dyDescent="0.3">
      <c r="A23" s="976"/>
      <c r="B23" s="17"/>
      <c r="C23" s="823"/>
      <c r="D23" s="39"/>
      <c r="E23" s="820"/>
      <c r="F23" s="821"/>
      <c r="G23" s="822"/>
      <c r="H23" s="822"/>
      <c r="I23" s="822"/>
      <c r="J23" s="822"/>
      <c r="K23" s="822"/>
      <c r="L23" s="822"/>
      <c r="M23" s="822"/>
      <c r="N23" s="822"/>
      <c r="O23" s="819"/>
      <c r="P23" s="819"/>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row>
    <row r="24" spans="1:49" s="193" customFormat="1" ht="20.100000000000001" hidden="1" customHeight="1" outlineLevel="1" x14ac:dyDescent="0.2">
      <c r="A24" s="41"/>
      <c r="B24" s="17"/>
      <c r="C24" s="803"/>
      <c r="D24" s="824"/>
      <c r="E24" s="824"/>
      <c r="F24" s="825"/>
      <c r="G24" s="826"/>
      <c r="H24" s="826"/>
      <c r="I24" s="826"/>
      <c r="J24" s="826"/>
      <c r="K24" s="826"/>
      <c r="L24" s="826"/>
      <c r="M24" s="826"/>
      <c r="N24" s="826"/>
      <c r="O24" s="827"/>
      <c r="P24" s="828"/>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row>
    <row r="25" spans="1:49" s="193" customFormat="1" ht="20.25" hidden="1" customHeight="1" outlineLevel="1" x14ac:dyDescent="0.2">
      <c r="A25" s="1385" t="s">
        <v>4310</v>
      </c>
      <c r="B25" s="180"/>
      <c r="C25" s="256"/>
      <c r="D25" s="484" t="str">
        <f>FleetTypeA &amp;" Heavy Maintenance (HM)"</f>
        <v>B737-300/400 Heavy Maintenance (HM)</v>
      </c>
      <c r="E25" s="820"/>
      <c r="F25" s="39"/>
      <c r="G25" s="822"/>
      <c r="H25" s="822"/>
      <c r="I25" s="822"/>
      <c r="J25" s="822"/>
      <c r="K25" s="822"/>
      <c r="L25" s="822"/>
      <c r="M25" s="822"/>
      <c r="N25" s="822"/>
      <c r="O25" s="829"/>
      <c r="P25" s="828"/>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row>
    <row r="26" spans="1:49" s="193" customFormat="1" ht="15" hidden="1" customHeight="1" outlineLevel="1" x14ac:dyDescent="0.2">
      <c r="A26" s="1386"/>
      <c r="B26" s="830"/>
      <c r="C26" s="831"/>
      <c r="D26" s="234" t="str">
        <f>FleetTypeA&amp;" HM Cycle (Years)"</f>
        <v>B737-300/400 HM Cycle (Years)</v>
      </c>
      <c r="E26" s="832">
        <v>10</v>
      </c>
      <c r="F26" s="832">
        <v>11</v>
      </c>
      <c r="G26" s="832">
        <v>12</v>
      </c>
      <c r="H26" s="832">
        <v>13</v>
      </c>
      <c r="I26" s="832">
        <v>14</v>
      </c>
      <c r="J26" s="832">
        <v>15</v>
      </c>
      <c r="K26" s="832">
        <v>16</v>
      </c>
      <c r="L26" s="832">
        <v>17</v>
      </c>
      <c r="M26" s="832">
        <v>18</v>
      </c>
      <c r="N26" s="832">
        <v>19</v>
      </c>
      <c r="O26" s="257" t="s">
        <v>103</v>
      </c>
      <c r="P26" s="828"/>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row>
    <row r="27" spans="1:49" s="193" customFormat="1" ht="12.95" hidden="1" customHeight="1" outlineLevel="1" x14ac:dyDescent="0.2">
      <c r="A27" s="1386"/>
      <c r="B27" s="833"/>
      <c r="C27" s="834"/>
      <c r="D27" s="820"/>
      <c r="E27" s="833"/>
      <c r="F27" s="833"/>
      <c r="G27" s="833"/>
      <c r="H27" s="833"/>
      <c r="I27" s="833"/>
      <c r="J27" s="833"/>
      <c r="K27" s="833"/>
      <c r="L27" s="833"/>
      <c r="M27" s="833"/>
      <c r="N27" s="833"/>
      <c r="O27" s="835"/>
      <c r="P27" s="828"/>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row>
    <row r="28" spans="1:49" s="193" customFormat="1" ht="12.75" hidden="1" customHeight="1" outlineLevel="1" x14ac:dyDescent="0.2">
      <c r="A28" s="1386"/>
      <c r="B28" s="30"/>
      <c r="C28" s="256"/>
      <c r="D28" s="57" t="s">
        <v>256</v>
      </c>
      <c r="E28" s="836">
        <v>1100</v>
      </c>
      <c r="F28" s="836">
        <v>1200</v>
      </c>
      <c r="G28" s="836">
        <v>1300</v>
      </c>
      <c r="H28" s="836">
        <v>1400</v>
      </c>
      <c r="I28" s="836">
        <v>1500</v>
      </c>
      <c r="J28" s="836">
        <v>1600</v>
      </c>
      <c r="K28" s="836">
        <v>1700</v>
      </c>
      <c r="L28" s="836">
        <v>1800</v>
      </c>
      <c r="M28" s="836">
        <v>1900</v>
      </c>
      <c r="N28" s="836">
        <v>2000</v>
      </c>
      <c r="O28" s="835"/>
      <c r="P28" s="828"/>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row>
    <row r="29" spans="1:49" s="193" customFormat="1" ht="12.95" hidden="1" customHeight="1" outlineLevel="1" x14ac:dyDescent="0.2">
      <c r="A29" s="1386"/>
      <c r="B29" s="833"/>
      <c r="C29" s="837"/>
      <c r="D29" s="57" t="s">
        <v>257</v>
      </c>
      <c r="E29" s="838">
        <v>2100</v>
      </c>
      <c r="F29" s="838">
        <v>2200</v>
      </c>
      <c r="G29" s="838">
        <v>2300</v>
      </c>
      <c r="H29" s="838">
        <v>2400</v>
      </c>
      <c r="I29" s="838">
        <v>2500</v>
      </c>
      <c r="J29" s="838">
        <v>2600</v>
      </c>
      <c r="K29" s="838">
        <v>2700</v>
      </c>
      <c r="L29" s="838">
        <v>2800</v>
      </c>
      <c r="M29" s="838">
        <v>2900</v>
      </c>
      <c r="N29" s="838">
        <v>3000</v>
      </c>
      <c r="O29" s="835"/>
      <c r="P29" s="828"/>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row>
    <row r="30" spans="1:49" s="193" customFormat="1" ht="12.95" hidden="1" customHeight="1" outlineLevel="1" x14ac:dyDescent="0.2">
      <c r="A30" s="1386"/>
      <c r="B30" s="833"/>
      <c r="C30" s="837"/>
      <c r="D30" s="57" t="s">
        <v>258</v>
      </c>
      <c r="E30" s="838" t="s">
        <v>20</v>
      </c>
      <c r="F30" s="838" t="s">
        <v>20</v>
      </c>
      <c r="G30" s="838" t="s">
        <v>20</v>
      </c>
      <c r="H30" s="838" t="s">
        <v>20</v>
      </c>
      <c r="I30" s="838" t="s">
        <v>20</v>
      </c>
      <c r="J30" s="838" t="s">
        <v>20</v>
      </c>
      <c r="K30" s="838" t="s">
        <v>20</v>
      </c>
      <c r="L30" s="838" t="s">
        <v>20</v>
      </c>
      <c r="M30" s="838" t="s">
        <v>20</v>
      </c>
      <c r="N30" s="838" t="s">
        <v>20</v>
      </c>
      <c r="O30" s="835"/>
      <c r="P30" s="828"/>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row>
    <row r="31" spans="1:49" s="193" customFormat="1" ht="12.95" hidden="1" customHeight="1" outlineLevel="1" x14ac:dyDescent="0.2">
      <c r="A31" s="1386"/>
      <c r="B31" s="833"/>
      <c r="C31" s="837"/>
      <c r="D31" s="57" t="s">
        <v>259</v>
      </c>
      <c r="E31" s="838">
        <v>4100</v>
      </c>
      <c r="F31" s="838">
        <v>4200</v>
      </c>
      <c r="G31" s="838">
        <v>4300</v>
      </c>
      <c r="H31" s="838">
        <v>4400</v>
      </c>
      <c r="I31" s="838">
        <v>4500</v>
      </c>
      <c r="J31" s="838">
        <v>4600</v>
      </c>
      <c r="K31" s="838">
        <v>4700</v>
      </c>
      <c r="L31" s="838">
        <v>4800</v>
      </c>
      <c r="M31" s="838">
        <v>4900</v>
      </c>
      <c r="N31" s="838">
        <v>5000</v>
      </c>
      <c r="O31" s="835"/>
      <c r="P31" s="828"/>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row>
    <row r="32" spans="1:49" s="193" customFormat="1" ht="12.95" hidden="1" customHeight="1" outlineLevel="1" x14ac:dyDescent="0.2">
      <c r="A32" s="1386"/>
      <c r="B32" s="833"/>
      <c r="C32" s="837"/>
      <c r="D32" s="57" t="s">
        <v>260</v>
      </c>
      <c r="E32" s="838" t="s">
        <v>20</v>
      </c>
      <c r="F32" s="838" t="s">
        <v>20</v>
      </c>
      <c r="G32" s="838" t="s">
        <v>20</v>
      </c>
      <c r="H32" s="838" t="s">
        <v>20</v>
      </c>
      <c r="I32" s="838" t="s">
        <v>20</v>
      </c>
      <c r="J32" s="838" t="s">
        <v>20</v>
      </c>
      <c r="K32" s="838" t="s">
        <v>20</v>
      </c>
      <c r="L32" s="838" t="s">
        <v>20</v>
      </c>
      <c r="M32" s="838" t="s">
        <v>20</v>
      </c>
      <c r="N32" s="838" t="s">
        <v>20</v>
      </c>
      <c r="O32" s="835"/>
      <c r="P32" s="828"/>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row>
    <row r="33" spans="1:49" s="193" customFormat="1" ht="12.95" hidden="1" customHeight="1" outlineLevel="1" x14ac:dyDescent="0.2">
      <c r="A33" s="1386"/>
      <c r="B33" s="833"/>
      <c r="C33" s="837"/>
      <c r="D33" s="57" t="s">
        <v>261</v>
      </c>
      <c r="E33" s="838">
        <v>7100</v>
      </c>
      <c r="F33" s="838">
        <v>7200</v>
      </c>
      <c r="G33" s="838">
        <v>7300</v>
      </c>
      <c r="H33" s="838">
        <v>7400</v>
      </c>
      <c r="I33" s="838">
        <v>7500</v>
      </c>
      <c r="J33" s="838">
        <v>7600</v>
      </c>
      <c r="K33" s="838">
        <v>7700</v>
      </c>
      <c r="L33" s="838">
        <v>7800</v>
      </c>
      <c r="M33" s="838">
        <v>7900</v>
      </c>
      <c r="N33" s="838">
        <v>8000</v>
      </c>
      <c r="O33" s="835"/>
      <c r="P33" s="828"/>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49" s="193" customFormat="1" ht="12.95" hidden="1" customHeight="1" outlineLevel="1" x14ac:dyDescent="0.2">
      <c r="A34" s="1386"/>
      <c r="B34" s="833"/>
      <c r="C34" s="837"/>
      <c r="D34" s="57" t="s">
        <v>262</v>
      </c>
      <c r="E34" s="838" t="s">
        <v>20</v>
      </c>
      <c r="F34" s="838" t="s">
        <v>20</v>
      </c>
      <c r="G34" s="838" t="s">
        <v>20</v>
      </c>
      <c r="H34" s="838" t="s">
        <v>20</v>
      </c>
      <c r="I34" s="838" t="s">
        <v>20</v>
      </c>
      <c r="J34" s="838" t="s">
        <v>20</v>
      </c>
      <c r="K34" s="838" t="s">
        <v>20</v>
      </c>
      <c r="L34" s="838" t="s">
        <v>20</v>
      </c>
      <c r="M34" s="838" t="s">
        <v>20</v>
      </c>
      <c r="N34" s="838" t="s">
        <v>20</v>
      </c>
      <c r="O34" s="835"/>
      <c r="P34" s="828"/>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row>
    <row r="35" spans="1:49" s="193" customFormat="1" ht="12.95" hidden="1" customHeight="1" outlineLevel="1" x14ac:dyDescent="0.2">
      <c r="A35" s="1386"/>
      <c r="B35" s="833"/>
      <c r="C35" s="837"/>
      <c r="D35" s="57" t="s">
        <v>263</v>
      </c>
      <c r="E35" s="838">
        <v>9000</v>
      </c>
      <c r="F35" s="838">
        <v>10000</v>
      </c>
      <c r="G35" s="838">
        <v>11000</v>
      </c>
      <c r="H35" s="838">
        <v>12000</v>
      </c>
      <c r="I35" s="838">
        <v>13000</v>
      </c>
      <c r="J35" s="838">
        <v>14000</v>
      </c>
      <c r="K35" s="838">
        <v>15000</v>
      </c>
      <c r="L35" s="838">
        <v>16000</v>
      </c>
      <c r="M35" s="838">
        <v>17000</v>
      </c>
      <c r="N35" s="838">
        <v>18000</v>
      </c>
      <c r="O35" s="835"/>
      <c r="P35" s="828"/>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row>
    <row r="36" spans="1:49" s="193" customFormat="1" ht="12.95" hidden="1" customHeight="1" outlineLevel="1" x14ac:dyDescent="0.2">
      <c r="A36" s="1386"/>
      <c r="B36" s="833"/>
      <c r="C36" s="837"/>
      <c r="D36" s="60" t="s">
        <v>113</v>
      </c>
      <c r="E36" s="159">
        <f t="shared" ref="E36:H36" si="0">SUM(E28:E35)</f>
        <v>23400</v>
      </c>
      <c r="F36" s="159">
        <f t="shared" si="0"/>
        <v>24800</v>
      </c>
      <c r="G36" s="159">
        <f t="shared" si="0"/>
        <v>26200</v>
      </c>
      <c r="H36" s="159">
        <f t="shared" si="0"/>
        <v>27600</v>
      </c>
      <c r="I36" s="159">
        <f t="shared" ref="I36:N36" si="1">SUM(I28:I35)</f>
        <v>29000</v>
      </c>
      <c r="J36" s="159">
        <f t="shared" si="1"/>
        <v>30400</v>
      </c>
      <c r="K36" s="159">
        <f t="shared" si="1"/>
        <v>31800</v>
      </c>
      <c r="L36" s="159">
        <f t="shared" si="1"/>
        <v>33200</v>
      </c>
      <c r="M36" s="159">
        <f t="shared" si="1"/>
        <v>34600</v>
      </c>
      <c r="N36" s="159">
        <f t="shared" si="1"/>
        <v>36000</v>
      </c>
      <c r="O36" s="285" t="s">
        <v>477</v>
      </c>
      <c r="P36" s="828"/>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row>
    <row r="37" spans="1:49" s="193" customFormat="1" ht="12.75" hidden="1" outlineLevel="1" x14ac:dyDescent="0.2">
      <c r="A37" s="1386"/>
      <c r="B37" s="833"/>
      <c r="C37" s="837"/>
      <c r="D37" s="234" t="str">
        <f>"Total "&amp;FleetTypeA&amp;" FLEET HM Records Generated pa"</f>
        <v>Total B737-300/400 FLEET HM Records Generated pa</v>
      </c>
      <c r="E37" s="232">
        <f t="shared" ref="E37:N37" si="2">E36/FleetCycleHvy_A*FleetSize_A</f>
        <v>58500</v>
      </c>
      <c r="F37" s="232">
        <f t="shared" si="2"/>
        <v>56363.63636363636</v>
      </c>
      <c r="G37" s="232">
        <f t="shared" si="2"/>
        <v>54583.333333333336</v>
      </c>
      <c r="H37" s="232">
        <f t="shared" si="2"/>
        <v>53076.923076923071</v>
      </c>
      <c r="I37" s="232">
        <f t="shared" si="2"/>
        <v>51785.71428571429</v>
      </c>
      <c r="J37" s="232">
        <f t="shared" si="2"/>
        <v>50666.666666666672</v>
      </c>
      <c r="K37" s="232">
        <f t="shared" si="2"/>
        <v>49687.5</v>
      </c>
      <c r="L37" s="232">
        <f t="shared" si="2"/>
        <v>48823.529411764706</v>
      </c>
      <c r="M37" s="232">
        <f t="shared" si="2"/>
        <v>48055.555555555555</v>
      </c>
      <c r="N37" s="232">
        <f t="shared" si="2"/>
        <v>47368.42105263158</v>
      </c>
      <c r="O37" s="285" t="s">
        <v>478</v>
      </c>
      <c r="P37" s="828"/>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row>
    <row r="38" spans="1:49" s="712" customFormat="1" ht="12.75" hidden="1" outlineLevel="1" x14ac:dyDescent="0.2">
      <c r="A38" s="1386"/>
      <c r="B38" s="820"/>
      <c r="C38" s="837"/>
      <c r="D38" s="30"/>
      <c r="E38" s="30"/>
      <c r="F38" s="30"/>
      <c r="G38" s="30"/>
      <c r="H38" s="30"/>
      <c r="I38" s="30"/>
      <c r="J38" s="30"/>
      <c r="K38" s="30"/>
      <c r="L38" s="30"/>
      <c r="M38" s="30"/>
      <c r="N38" s="30"/>
      <c r="O38" s="839"/>
      <c r="P38" s="828"/>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row>
    <row r="39" spans="1:49" s="712" customFormat="1" ht="12.75" hidden="1" outlineLevel="1" x14ac:dyDescent="0.2">
      <c r="A39" s="1386"/>
      <c r="B39" s="820"/>
      <c r="C39" s="837"/>
      <c r="D39" s="484" t="str">
        <f>FleetTypeA &amp;" Line Maintenance (LM)"</f>
        <v>B737-300/400 Line Maintenance (LM)</v>
      </c>
      <c r="E39" s="840"/>
      <c r="F39" s="840"/>
      <c r="G39" s="840"/>
      <c r="H39" s="840"/>
      <c r="I39" s="840"/>
      <c r="J39" s="840"/>
      <c r="K39" s="840"/>
      <c r="L39" s="840"/>
      <c r="M39" s="840"/>
      <c r="N39" s="840"/>
      <c r="O39" s="839"/>
      <c r="P39" s="828"/>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row>
    <row r="40" spans="1:49" s="712" customFormat="1" ht="25.5" hidden="1" customHeight="1" outlineLevel="1" x14ac:dyDescent="0.2">
      <c r="A40" s="1386"/>
      <c r="B40" s="841"/>
      <c r="C40" s="837"/>
      <c r="D40" s="233" t="str">
        <f>FleetTypeA&amp; " LM Per AIRCRAFT Records Generated pa"</f>
        <v>B737-300/400 LM Per AIRCRAFT Records Generated pa</v>
      </c>
      <c r="E40" s="842">
        <v>10001</v>
      </c>
      <c r="F40" s="842">
        <v>10002</v>
      </c>
      <c r="G40" s="842">
        <v>10003</v>
      </c>
      <c r="H40" s="842">
        <v>10004</v>
      </c>
      <c r="I40" s="842">
        <v>10005</v>
      </c>
      <c r="J40" s="842">
        <v>10006</v>
      </c>
      <c r="K40" s="842">
        <v>10007</v>
      </c>
      <c r="L40" s="842">
        <v>10008</v>
      </c>
      <c r="M40" s="842">
        <v>10009</v>
      </c>
      <c r="N40" s="842">
        <v>10010</v>
      </c>
      <c r="O40" s="839"/>
      <c r="P40" s="828"/>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row>
    <row r="41" spans="1:49" s="712" customFormat="1" ht="12.75" hidden="1" outlineLevel="1" x14ac:dyDescent="0.2">
      <c r="A41" s="1386"/>
      <c r="B41" s="841"/>
      <c r="C41" s="843"/>
      <c r="D41" s="234" t="str">
        <f>"Total "&amp;FleetTypeA&amp;" FLEET LM Records Generated pa"</f>
        <v>Total B737-300/400 FLEET LM Records Generated pa</v>
      </c>
      <c r="E41" s="231">
        <f t="shared" ref="E41:N41" si="3">E40*FleetSize_A</f>
        <v>250025</v>
      </c>
      <c r="F41" s="231">
        <f t="shared" si="3"/>
        <v>250050</v>
      </c>
      <c r="G41" s="231">
        <f t="shared" si="3"/>
        <v>250075</v>
      </c>
      <c r="H41" s="231">
        <f t="shared" si="3"/>
        <v>250100</v>
      </c>
      <c r="I41" s="231">
        <f t="shared" si="3"/>
        <v>250125</v>
      </c>
      <c r="J41" s="231">
        <f t="shared" si="3"/>
        <v>250150</v>
      </c>
      <c r="K41" s="231">
        <f t="shared" si="3"/>
        <v>250175</v>
      </c>
      <c r="L41" s="231">
        <f t="shared" si="3"/>
        <v>250200</v>
      </c>
      <c r="M41" s="231">
        <f t="shared" si="3"/>
        <v>250225</v>
      </c>
      <c r="N41" s="231">
        <f t="shared" si="3"/>
        <v>250250</v>
      </c>
      <c r="O41" s="285" t="s">
        <v>479</v>
      </c>
      <c r="P41" s="828"/>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row>
    <row r="42" spans="1:49" s="712" customFormat="1" ht="12.75" hidden="1" outlineLevel="1" x14ac:dyDescent="0.2">
      <c r="A42" s="1386"/>
      <c r="B42" s="820"/>
      <c r="C42" s="843"/>
      <c r="D42" s="30"/>
      <c r="E42" s="30"/>
      <c r="F42" s="30"/>
      <c r="G42" s="30"/>
      <c r="H42" s="30"/>
      <c r="I42" s="30"/>
      <c r="J42" s="30"/>
      <c r="K42" s="30"/>
      <c r="L42" s="30"/>
      <c r="M42" s="30"/>
      <c r="N42" s="30"/>
      <c r="O42" s="839"/>
      <c r="P42" s="828"/>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row>
    <row r="43" spans="1:49" s="712" customFormat="1" ht="12.75" hidden="1" outlineLevel="1" x14ac:dyDescent="0.2">
      <c r="A43" s="1386"/>
      <c r="B43" s="820"/>
      <c r="C43" s="843"/>
      <c r="D43" s="484" t="str">
        <f>FleetTypeA &amp;" Engineering (Eng)"</f>
        <v>B737-300/400 Engineering (Eng)</v>
      </c>
      <c r="E43" s="840"/>
      <c r="F43" s="840"/>
      <c r="G43" s="840"/>
      <c r="H43" s="840"/>
      <c r="I43" s="840"/>
      <c r="J43" s="840"/>
      <c r="K43" s="840"/>
      <c r="L43" s="840"/>
      <c r="M43" s="840"/>
      <c r="N43" s="840"/>
      <c r="O43" s="839"/>
      <c r="P43" s="828"/>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row>
    <row r="44" spans="1:49" s="712" customFormat="1" ht="12.75" hidden="1" outlineLevel="1" x14ac:dyDescent="0.2">
      <c r="A44" s="1386"/>
      <c r="B44" s="820"/>
      <c r="C44" s="843"/>
      <c r="D44" s="233" t="str">
        <f>FleetTypeA&amp;" Eng Per AIRCRAFT Records Generated pa"</f>
        <v>B737-300/400 Eng Per AIRCRAFT Records Generated pa</v>
      </c>
      <c r="E44" s="842">
        <v>11001</v>
      </c>
      <c r="F44" s="842">
        <v>11002</v>
      </c>
      <c r="G44" s="842">
        <v>11003</v>
      </c>
      <c r="H44" s="842">
        <v>11004</v>
      </c>
      <c r="I44" s="842">
        <v>11005</v>
      </c>
      <c r="J44" s="842">
        <v>11006</v>
      </c>
      <c r="K44" s="842">
        <v>11007</v>
      </c>
      <c r="L44" s="842">
        <v>11008</v>
      </c>
      <c r="M44" s="842">
        <v>11009</v>
      </c>
      <c r="N44" s="842">
        <v>11010</v>
      </c>
      <c r="O44" s="839"/>
      <c r="P44" s="828"/>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row>
    <row r="45" spans="1:49" s="712" customFormat="1" ht="15.75" hidden="1" customHeight="1" outlineLevel="1" x14ac:dyDescent="0.2">
      <c r="A45" s="1386"/>
      <c r="B45" s="820"/>
      <c r="C45" s="843"/>
      <c r="D45" s="234" t="str">
        <f>"Total "&amp;FleetTypeA&amp;" FLEET Eng Records Generated pa"</f>
        <v>Total B737-300/400 FLEET Eng Records Generated pa</v>
      </c>
      <c r="E45" s="231">
        <f t="shared" ref="E45:N45" si="4">E44*FleetSize_A</f>
        <v>275025</v>
      </c>
      <c r="F45" s="231">
        <f t="shared" si="4"/>
        <v>275050</v>
      </c>
      <c r="G45" s="231">
        <f t="shared" si="4"/>
        <v>275075</v>
      </c>
      <c r="H45" s="231">
        <f t="shared" si="4"/>
        <v>275100</v>
      </c>
      <c r="I45" s="231">
        <f t="shared" si="4"/>
        <v>275125</v>
      </c>
      <c r="J45" s="231">
        <f t="shared" si="4"/>
        <v>275150</v>
      </c>
      <c r="K45" s="231">
        <f t="shared" si="4"/>
        <v>275175</v>
      </c>
      <c r="L45" s="231">
        <f t="shared" si="4"/>
        <v>275200</v>
      </c>
      <c r="M45" s="231">
        <f t="shared" si="4"/>
        <v>275225</v>
      </c>
      <c r="N45" s="231">
        <f t="shared" si="4"/>
        <v>275250</v>
      </c>
      <c r="O45" s="285" t="s">
        <v>870</v>
      </c>
      <c r="P45" s="828"/>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row>
    <row r="46" spans="1:49" s="712" customFormat="1" ht="15.75" hidden="1" customHeight="1" outlineLevel="1" x14ac:dyDescent="0.2">
      <c r="A46" s="1386"/>
      <c r="B46" s="820"/>
      <c r="C46" s="843"/>
      <c r="D46" s="844"/>
      <c r="E46" s="845"/>
      <c r="F46" s="845"/>
      <c r="G46" s="845"/>
      <c r="H46" s="845"/>
      <c r="I46" s="845"/>
      <c r="J46" s="845"/>
      <c r="K46" s="845"/>
      <c r="L46" s="845"/>
      <c r="M46" s="845"/>
      <c r="N46" s="845"/>
      <c r="O46" s="285"/>
      <c r="P46" s="828"/>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row>
    <row r="47" spans="1:49" s="712" customFormat="1" ht="12.75" hidden="1" outlineLevel="1" x14ac:dyDescent="0.2">
      <c r="A47" s="1386"/>
      <c r="B47" s="820"/>
      <c r="C47" s="843"/>
      <c r="D47" s="484" t="str">
        <f>FleetTypeA &amp;" Planning (Plg)"</f>
        <v>B737-300/400 Planning (Plg)</v>
      </c>
      <c r="E47" s="840"/>
      <c r="F47" s="840"/>
      <c r="G47" s="840"/>
      <c r="H47" s="840"/>
      <c r="I47" s="840"/>
      <c r="J47" s="840"/>
      <c r="K47" s="840"/>
      <c r="L47" s="840"/>
      <c r="M47" s="840"/>
      <c r="N47" s="840"/>
      <c r="O47" s="839"/>
      <c r="P47" s="828"/>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row>
    <row r="48" spans="1:49" s="712" customFormat="1" ht="12.75" hidden="1" outlineLevel="1" x14ac:dyDescent="0.2">
      <c r="A48" s="1386"/>
      <c r="B48" s="820"/>
      <c r="C48" s="843"/>
      <c r="D48" s="233" t="str">
        <f>FleetTypeA&amp;" Plg AIRCRAFT Records Generated pa"</f>
        <v>B737-300/400 Plg AIRCRAFT Records Generated pa</v>
      </c>
      <c r="E48" s="842">
        <v>11001</v>
      </c>
      <c r="F48" s="842">
        <v>11002</v>
      </c>
      <c r="G48" s="842">
        <v>11003</v>
      </c>
      <c r="H48" s="842">
        <v>11004</v>
      </c>
      <c r="I48" s="842">
        <v>11005</v>
      </c>
      <c r="J48" s="842">
        <v>11006</v>
      </c>
      <c r="K48" s="842">
        <v>11007</v>
      </c>
      <c r="L48" s="842">
        <v>11008</v>
      </c>
      <c r="M48" s="842">
        <v>11009</v>
      </c>
      <c r="N48" s="842">
        <v>11010</v>
      </c>
      <c r="O48" s="839"/>
      <c r="P48" s="828"/>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row>
    <row r="49" spans="1:49" s="712" customFormat="1" ht="15.75" hidden="1" customHeight="1" outlineLevel="1" x14ac:dyDescent="0.2">
      <c r="A49" s="1386"/>
      <c r="B49" s="820"/>
      <c r="C49" s="843"/>
      <c r="D49" s="234" t="str">
        <f>"Total "&amp;FleetTypeA&amp;" FLEET Plg Records Generated pa"</f>
        <v>Total B737-300/400 FLEET Plg Records Generated pa</v>
      </c>
      <c r="E49" s="231">
        <f t="shared" ref="E49:N49" si="5">E48*FleetSize_A</f>
        <v>275025</v>
      </c>
      <c r="F49" s="231">
        <f t="shared" si="5"/>
        <v>275050</v>
      </c>
      <c r="G49" s="231">
        <f t="shared" si="5"/>
        <v>275075</v>
      </c>
      <c r="H49" s="231">
        <f t="shared" si="5"/>
        <v>275100</v>
      </c>
      <c r="I49" s="231">
        <f t="shared" si="5"/>
        <v>275125</v>
      </c>
      <c r="J49" s="231">
        <f t="shared" si="5"/>
        <v>275150</v>
      </c>
      <c r="K49" s="231">
        <f t="shared" si="5"/>
        <v>275175</v>
      </c>
      <c r="L49" s="231">
        <f t="shared" si="5"/>
        <v>275200</v>
      </c>
      <c r="M49" s="231">
        <f t="shared" si="5"/>
        <v>275225</v>
      </c>
      <c r="N49" s="231">
        <f t="shared" si="5"/>
        <v>275250</v>
      </c>
      <c r="O49" s="285" t="s">
        <v>871</v>
      </c>
      <c r="P49" s="828"/>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row>
    <row r="50" spans="1:49" s="712" customFormat="1" ht="12.75" hidden="1" outlineLevel="1" x14ac:dyDescent="0.2">
      <c r="A50" s="1386"/>
      <c r="B50" s="820"/>
      <c r="C50" s="843"/>
      <c r="D50" s="30"/>
      <c r="E50" s="30"/>
      <c r="F50" s="30"/>
      <c r="G50" s="30"/>
      <c r="H50" s="30"/>
      <c r="I50" s="30"/>
      <c r="J50" s="30"/>
      <c r="K50" s="30"/>
      <c r="L50" s="30"/>
      <c r="M50" s="30"/>
      <c r="N50" s="30"/>
      <c r="O50" s="839"/>
      <c r="P50" s="828"/>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row>
    <row r="51" spans="1:49" s="712" customFormat="1" ht="12.75" hidden="1" outlineLevel="1" x14ac:dyDescent="0.2">
      <c r="A51" s="1386"/>
      <c r="B51" s="820"/>
      <c r="C51" s="843"/>
      <c r="D51" s="484" t="str">
        <f>FleetTypeA &amp;" Clerical, Records &amp; Tech Pubs (CRT)"</f>
        <v>B737-300/400 Clerical, Records &amp; Tech Pubs (CRT)</v>
      </c>
      <c r="E51" s="840"/>
      <c r="F51" s="840"/>
      <c r="G51" s="840"/>
      <c r="H51" s="840"/>
      <c r="I51" s="840"/>
      <c r="J51" s="840"/>
      <c r="K51" s="840"/>
      <c r="L51" s="840"/>
      <c r="M51" s="840"/>
      <c r="N51" s="840"/>
      <c r="O51" s="839"/>
      <c r="P51" s="828"/>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row>
    <row r="52" spans="1:49" s="712" customFormat="1" ht="12.75" hidden="1" outlineLevel="1" x14ac:dyDescent="0.2">
      <c r="A52" s="1386"/>
      <c r="B52" s="820"/>
      <c r="C52" s="256"/>
      <c r="D52" s="233" t="str">
        <f>FleetTypeA&amp;" SCL Per AIRCRAFT CRT Records Generated pa"</f>
        <v>B737-300/400 SCL Per AIRCRAFT CRT Records Generated pa</v>
      </c>
      <c r="E52" s="842">
        <v>12001</v>
      </c>
      <c r="F52" s="842">
        <v>12002</v>
      </c>
      <c r="G52" s="842">
        <v>12003</v>
      </c>
      <c r="H52" s="842">
        <v>12004</v>
      </c>
      <c r="I52" s="842">
        <v>12005</v>
      </c>
      <c r="J52" s="842">
        <v>12006</v>
      </c>
      <c r="K52" s="842">
        <v>12007</v>
      </c>
      <c r="L52" s="842">
        <v>12008</v>
      </c>
      <c r="M52" s="842">
        <v>12009</v>
      </c>
      <c r="N52" s="842">
        <v>12010</v>
      </c>
      <c r="O52" s="839"/>
      <c r="P52" s="828"/>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row>
    <row r="53" spans="1:49" s="712" customFormat="1" ht="12.75" hidden="1" outlineLevel="1" x14ac:dyDescent="0.2">
      <c r="A53" s="1386"/>
      <c r="B53" s="820"/>
      <c r="C53" s="843"/>
      <c r="D53" s="234" t="str">
        <f>"Total "&amp;FleetTypeA&amp;" FLEET CRT Records Generated pa"</f>
        <v>Total B737-300/400 FLEET CRT Records Generated pa</v>
      </c>
      <c r="E53" s="231">
        <f t="shared" ref="E53:N53" si="6">E52*FleetSize_A</f>
        <v>300025</v>
      </c>
      <c r="F53" s="231">
        <f t="shared" si="6"/>
        <v>300050</v>
      </c>
      <c r="G53" s="231">
        <f t="shared" si="6"/>
        <v>300075</v>
      </c>
      <c r="H53" s="231">
        <f t="shared" si="6"/>
        <v>300100</v>
      </c>
      <c r="I53" s="231">
        <f t="shared" si="6"/>
        <v>300125</v>
      </c>
      <c r="J53" s="231">
        <f t="shared" si="6"/>
        <v>300150</v>
      </c>
      <c r="K53" s="231">
        <f t="shared" si="6"/>
        <v>300175</v>
      </c>
      <c r="L53" s="231">
        <f t="shared" si="6"/>
        <v>300200</v>
      </c>
      <c r="M53" s="231">
        <f t="shared" si="6"/>
        <v>300225</v>
      </c>
      <c r="N53" s="231">
        <f t="shared" si="6"/>
        <v>300250</v>
      </c>
      <c r="O53" s="285" t="s">
        <v>489</v>
      </c>
      <c r="P53" s="828"/>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row>
    <row r="54" spans="1:49" s="712" customFormat="1" ht="12.75" hidden="1" outlineLevel="1" x14ac:dyDescent="0.2">
      <c r="A54" s="1386"/>
      <c r="B54" s="820"/>
      <c r="C54" s="843"/>
      <c r="D54" s="820"/>
      <c r="E54" s="840"/>
      <c r="F54" s="840"/>
      <c r="G54" s="840"/>
      <c r="H54" s="840"/>
      <c r="I54" s="840"/>
      <c r="J54" s="840"/>
      <c r="K54" s="840"/>
      <c r="L54" s="840"/>
      <c r="M54" s="840"/>
      <c r="N54" s="840"/>
      <c r="O54" s="839"/>
      <c r="P54" s="828"/>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row>
    <row r="55" spans="1:49" s="712" customFormat="1" ht="12.75" hidden="1" outlineLevel="1" x14ac:dyDescent="0.2">
      <c r="A55" s="1386"/>
      <c r="B55" s="820"/>
      <c r="C55" s="843"/>
      <c r="D55" s="484" t="str">
        <f>FleetTypeA &amp;" Supply Chain &amp; Logistics (SCL)"</f>
        <v>B737-300/400 Supply Chain &amp; Logistics (SCL)</v>
      </c>
      <c r="E55" s="840"/>
      <c r="F55" s="840"/>
      <c r="G55" s="840"/>
      <c r="H55" s="840"/>
      <c r="I55" s="840"/>
      <c r="J55" s="840"/>
      <c r="K55" s="840"/>
      <c r="L55" s="840"/>
      <c r="M55" s="840"/>
      <c r="N55" s="840"/>
      <c r="O55" s="839"/>
      <c r="P55" s="828"/>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row>
    <row r="56" spans="1:49" s="712" customFormat="1" ht="12.75" hidden="1" outlineLevel="1" x14ac:dyDescent="0.2">
      <c r="A56" s="1386"/>
      <c r="B56" s="820"/>
      <c r="C56" s="256"/>
      <c r="D56" s="233" t="str">
        <f>FleetTypeA&amp;" SCL Per AIRCRAFT OEMV Records Generated pa"</f>
        <v>B737-300/400 SCL Per AIRCRAFT OEMV Records Generated pa</v>
      </c>
      <c r="E56" s="842">
        <v>13001</v>
      </c>
      <c r="F56" s="842">
        <v>13002</v>
      </c>
      <c r="G56" s="842">
        <v>13003</v>
      </c>
      <c r="H56" s="842">
        <v>13004</v>
      </c>
      <c r="I56" s="842">
        <v>13005</v>
      </c>
      <c r="J56" s="842">
        <v>13006</v>
      </c>
      <c r="K56" s="842">
        <v>13007</v>
      </c>
      <c r="L56" s="842">
        <v>13008</v>
      </c>
      <c r="M56" s="842">
        <v>13009</v>
      </c>
      <c r="N56" s="842">
        <v>13010</v>
      </c>
      <c r="O56" s="839"/>
      <c r="P56" s="828"/>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row>
    <row r="57" spans="1:49" s="712" customFormat="1" ht="12.75" hidden="1" outlineLevel="1" x14ac:dyDescent="0.2">
      <c r="A57" s="1386"/>
      <c r="B57" s="820"/>
      <c r="C57" s="843"/>
      <c r="D57" s="234" t="str">
        <f>"Total "&amp;FleetTypeA&amp;" FLEET SCL Records Generated pa"</f>
        <v>Total B737-300/400 FLEET SCL Records Generated pa</v>
      </c>
      <c r="E57" s="231">
        <f t="shared" ref="E57:N57" si="7">E56*FleetSize_A</f>
        <v>325025</v>
      </c>
      <c r="F57" s="231">
        <f t="shared" si="7"/>
        <v>325050</v>
      </c>
      <c r="G57" s="231">
        <f t="shared" si="7"/>
        <v>325075</v>
      </c>
      <c r="H57" s="231">
        <f t="shared" si="7"/>
        <v>325100</v>
      </c>
      <c r="I57" s="231">
        <f t="shared" si="7"/>
        <v>325125</v>
      </c>
      <c r="J57" s="231">
        <f t="shared" si="7"/>
        <v>325150</v>
      </c>
      <c r="K57" s="231">
        <f t="shared" si="7"/>
        <v>325175</v>
      </c>
      <c r="L57" s="231">
        <f t="shared" si="7"/>
        <v>325200</v>
      </c>
      <c r="M57" s="231">
        <f t="shared" si="7"/>
        <v>325225</v>
      </c>
      <c r="N57" s="231">
        <f t="shared" si="7"/>
        <v>325250</v>
      </c>
      <c r="O57" s="285" t="s">
        <v>490</v>
      </c>
      <c r="P57" s="828"/>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row>
    <row r="58" spans="1:49" s="712" customFormat="1" ht="12.75" hidden="1" outlineLevel="1" x14ac:dyDescent="0.2">
      <c r="A58" s="1386"/>
      <c r="B58" s="820"/>
      <c r="C58" s="846"/>
      <c r="D58" s="820"/>
      <c r="E58" s="840"/>
      <c r="F58" s="840"/>
      <c r="G58" s="840"/>
      <c r="H58" s="840"/>
      <c r="I58" s="840"/>
      <c r="J58" s="840"/>
      <c r="K58" s="840"/>
      <c r="L58" s="840"/>
      <c r="M58" s="840"/>
      <c r="N58" s="840"/>
      <c r="O58" s="839"/>
      <c r="P58" s="828"/>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row>
    <row r="59" spans="1:49" s="712" customFormat="1" ht="12.75" hidden="1" outlineLevel="1" x14ac:dyDescent="0.2">
      <c r="A59" s="1386"/>
      <c r="B59" s="820"/>
      <c r="C59" s="846"/>
      <c r="D59" s="484" t="str">
        <f>FleetTypeA &amp;" Quality, Safety &amp; Compliance (QSC)"</f>
        <v>B737-300/400 Quality, Safety &amp; Compliance (QSC)</v>
      </c>
      <c r="E59" s="840"/>
      <c r="F59" s="840"/>
      <c r="G59" s="840"/>
      <c r="H59" s="840"/>
      <c r="I59" s="840"/>
      <c r="J59" s="840"/>
      <c r="K59" s="840"/>
      <c r="L59" s="840"/>
      <c r="M59" s="840"/>
      <c r="N59" s="840"/>
      <c r="O59" s="839"/>
      <c r="P59" s="828"/>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row>
    <row r="60" spans="1:49" s="712" customFormat="1" ht="12.75" hidden="1" outlineLevel="1" x14ac:dyDescent="0.2">
      <c r="A60" s="1386"/>
      <c r="B60" s="820"/>
      <c r="C60" s="256"/>
      <c r="D60" s="233" t="str">
        <f>FleetTypeA&amp;" QSC Per AIRCRAFT Records Generated pa"</f>
        <v>B737-300/400 QSC Per AIRCRAFT Records Generated pa</v>
      </c>
      <c r="E60" s="842">
        <v>14001</v>
      </c>
      <c r="F60" s="842">
        <v>14002</v>
      </c>
      <c r="G60" s="842">
        <v>14003</v>
      </c>
      <c r="H60" s="842">
        <v>14004</v>
      </c>
      <c r="I60" s="842">
        <v>14005</v>
      </c>
      <c r="J60" s="842">
        <v>14006</v>
      </c>
      <c r="K60" s="842">
        <v>14007</v>
      </c>
      <c r="L60" s="842">
        <v>14008</v>
      </c>
      <c r="M60" s="842">
        <v>14009</v>
      </c>
      <c r="N60" s="842">
        <v>14010</v>
      </c>
      <c r="O60" s="839"/>
      <c r="P60" s="828"/>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row>
    <row r="61" spans="1:49" s="712" customFormat="1" ht="15.75" hidden="1" customHeight="1" outlineLevel="1" x14ac:dyDescent="0.2">
      <c r="A61" s="1386"/>
      <c r="B61" s="820"/>
      <c r="C61" s="843"/>
      <c r="D61" s="234" t="str">
        <f>"Total "&amp;FleetTypeA&amp;" FLEET QSC Records Generated pa"</f>
        <v>Total B737-300/400 FLEET QSC Records Generated pa</v>
      </c>
      <c r="E61" s="231">
        <f t="shared" ref="E61:N61" si="8">E60*FleetSize_A</f>
        <v>350025</v>
      </c>
      <c r="F61" s="231">
        <f t="shared" si="8"/>
        <v>350050</v>
      </c>
      <c r="G61" s="231">
        <f t="shared" si="8"/>
        <v>350075</v>
      </c>
      <c r="H61" s="231">
        <f t="shared" si="8"/>
        <v>350100</v>
      </c>
      <c r="I61" s="231">
        <f t="shared" si="8"/>
        <v>350125</v>
      </c>
      <c r="J61" s="231">
        <f t="shared" si="8"/>
        <v>350150</v>
      </c>
      <c r="K61" s="231">
        <f t="shared" si="8"/>
        <v>350175</v>
      </c>
      <c r="L61" s="231">
        <f t="shared" si="8"/>
        <v>350200</v>
      </c>
      <c r="M61" s="231">
        <f t="shared" si="8"/>
        <v>350225</v>
      </c>
      <c r="N61" s="231">
        <f t="shared" si="8"/>
        <v>350250</v>
      </c>
      <c r="O61" s="285" t="s">
        <v>491</v>
      </c>
      <c r="P61" s="828"/>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row>
    <row r="62" spans="1:49" s="712" customFormat="1" ht="12.75" hidden="1" outlineLevel="1" x14ac:dyDescent="0.2">
      <c r="A62" s="1386"/>
      <c r="B62" s="820"/>
      <c r="C62" s="847"/>
      <c r="D62" s="820"/>
      <c r="E62" s="840"/>
      <c r="F62" s="840"/>
      <c r="G62" s="840"/>
      <c r="H62" s="840"/>
      <c r="I62" s="840"/>
      <c r="J62" s="840"/>
      <c r="K62" s="840"/>
      <c r="L62" s="840"/>
      <c r="M62" s="840"/>
      <c r="N62" s="840"/>
      <c r="O62" s="835"/>
      <c r="P62" s="828"/>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row>
    <row r="63" spans="1:49" s="712" customFormat="1" ht="12.75" hidden="1" outlineLevel="1" x14ac:dyDescent="0.2">
      <c r="A63" s="1386"/>
      <c r="B63" s="820"/>
      <c r="C63" s="847"/>
      <c r="D63" s="484" t="str">
        <f>FleetTypeA &amp;" Engine Maintenance (EM)"</f>
        <v>B737-300/400 Engine Maintenance (EM)</v>
      </c>
      <c r="E63" s="840"/>
      <c r="F63" s="840"/>
      <c r="G63" s="840"/>
      <c r="H63" s="840"/>
      <c r="I63" s="840"/>
      <c r="J63" s="840"/>
      <c r="K63" s="840"/>
      <c r="L63" s="840"/>
      <c r="M63" s="840"/>
      <c r="N63" s="840"/>
      <c r="O63" s="835"/>
      <c r="P63" s="828"/>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row>
    <row r="64" spans="1:49" s="712" customFormat="1" ht="12.75" hidden="1" outlineLevel="1" x14ac:dyDescent="0.2">
      <c r="A64" s="1386"/>
      <c r="B64" s="820"/>
      <c r="C64" s="256"/>
      <c r="D64" s="233" t="str">
        <f>FleetTypeA&amp;" EM Per AIRCRAFT Records Generated pa"</f>
        <v>B737-300/400 EM Per AIRCRAFT Records Generated pa</v>
      </c>
      <c r="E64" s="842">
        <v>15001</v>
      </c>
      <c r="F64" s="842">
        <v>15002</v>
      </c>
      <c r="G64" s="842">
        <v>15003</v>
      </c>
      <c r="H64" s="842">
        <v>15004</v>
      </c>
      <c r="I64" s="842">
        <v>15005</v>
      </c>
      <c r="J64" s="842">
        <v>15006</v>
      </c>
      <c r="K64" s="842">
        <v>15007</v>
      </c>
      <c r="L64" s="842">
        <v>15008</v>
      </c>
      <c r="M64" s="842">
        <v>15009</v>
      </c>
      <c r="N64" s="842">
        <v>15010</v>
      </c>
      <c r="O64" s="835"/>
      <c r="P64" s="828"/>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row>
    <row r="65" spans="1:49" s="712" customFormat="1" ht="15.75" hidden="1" customHeight="1" outlineLevel="1" x14ac:dyDescent="0.2">
      <c r="A65" s="1386"/>
      <c r="B65" s="820"/>
      <c r="C65" s="256"/>
      <c r="D65" s="234" t="str">
        <f>"Total "&amp;FleetTypeA&amp;" FLEET EM Records Generated pa"</f>
        <v>Total B737-300/400 FLEET EM Records Generated pa</v>
      </c>
      <c r="E65" s="231">
        <f t="shared" ref="E65:N65" si="9">E64*FleetSize_A</f>
        <v>375025</v>
      </c>
      <c r="F65" s="231">
        <f t="shared" si="9"/>
        <v>375050</v>
      </c>
      <c r="G65" s="231">
        <f t="shared" si="9"/>
        <v>375075</v>
      </c>
      <c r="H65" s="231">
        <f t="shared" si="9"/>
        <v>375100</v>
      </c>
      <c r="I65" s="231">
        <f t="shared" si="9"/>
        <v>375125</v>
      </c>
      <c r="J65" s="231">
        <f t="shared" si="9"/>
        <v>375150</v>
      </c>
      <c r="K65" s="231">
        <f t="shared" si="9"/>
        <v>375175</v>
      </c>
      <c r="L65" s="231">
        <f t="shared" si="9"/>
        <v>375200</v>
      </c>
      <c r="M65" s="231">
        <f t="shared" si="9"/>
        <v>375225</v>
      </c>
      <c r="N65" s="231">
        <f t="shared" si="9"/>
        <v>375250</v>
      </c>
      <c r="O65" s="285" t="s">
        <v>492</v>
      </c>
      <c r="P65" s="828"/>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row>
    <row r="66" spans="1:49" s="712" customFormat="1" ht="12.75" hidden="1" outlineLevel="1" x14ac:dyDescent="0.2">
      <c r="A66" s="1386"/>
      <c r="B66" s="820"/>
      <c r="C66" s="256"/>
      <c r="D66" s="30"/>
      <c r="E66" s="30"/>
      <c r="F66" s="30"/>
      <c r="G66" s="30"/>
      <c r="H66" s="30"/>
      <c r="I66" s="30"/>
      <c r="J66" s="30"/>
      <c r="K66" s="30"/>
      <c r="L66" s="30"/>
      <c r="M66" s="30"/>
      <c r="N66" s="30"/>
      <c r="O66" s="839"/>
      <c r="P66" s="828"/>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row>
    <row r="67" spans="1:49" s="712" customFormat="1" ht="12.75" hidden="1" outlineLevel="1" x14ac:dyDescent="0.2">
      <c r="A67" s="1386"/>
      <c r="B67" s="820"/>
      <c r="C67" s="847"/>
      <c r="D67" s="484" t="str">
        <f>FleetTypeA &amp;" Component Maintenance (CM)"</f>
        <v>B737-300/400 Component Maintenance (CM)</v>
      </c>
      <c r="E67" s="840"/>
      <c r="F67" s="840"/>
      <c r="G67" s="840"/>
      <c r="H67" s="840"/>
      <c r="I67" s="840"/>
      <c r="J67" s="840"/>
      <c r="K67" s="840"/>
      <c r="L67" s="840"/>
      <c r="M67" s="840"/>
      <c r="N67" s="840"/>
      <c r="O67" s="835"/>
      <c r="P67" s="828"/>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row>
    <row r="68" spans="1:49" s="712" customFormat="1" ht="12.75" hidden="1" outlineLevel="1" x14ac:dyDescent="0.2">
      <c r="A68" s="1386"/>
      <c r="B68" s="820"/>
      <c r="C68" s="256"/>
      <c r="D68" s="233" t="str">
        <f>FleetTypeA&amp;" CM Per AIRCRAFT Records Generated pa"</f>
        <v>B737-300/400 CM Per AIRCRAFT Records Generated pa</v>
      </c>
      <c r="E68" s="842">
        <v>15001</v>
      </c>
      <c r="F68" s="842">
        <v>15002</v>
      </c>
      <c r="G68" s="842">
        <v>15003</v>
      </c>
      <c r="H68" s="842">
        <v>15004</v>
      </c>
      <c r="I68" s="842">
        <v>15005</v>
      </c>
      <c r="J68" s="842">
        <v>15006</v>
      </c>
      <c r="K68" s="842">
        <v>15007</v>
      </c>
      <c r="L68" s="842">
        <v>15008</v>
      </c>
      <c r="M68" s="842">
        <v>15009</v>
      </c>
      <c r="N68" s="842">
        <v>15010</v>
      </c>
      <c r="O68" s="835"/>
      <c r="P68" s="828"/>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row>
    <row r="69" spans="1:49" s="712" customFormat="1" ht="15.75" hidden="1" customHeight="1" outlineLevel="1" x14ac:dyDescent="0.2">
      <c r="A69" s="1386"/>
      <c r="B69" s="820"/>
      <c r="C69" s="256"/>
      <c r="D69" s="234" t="str">
        <f>"Total "&amp;FleetTypeA&amp;" FLEET CM Records Generated pa"</f>
        <v>Total B737-300/400 FLEET CM Records Generated pa</v>
      </c>
      <c r="E69" s="231">
        <f t="shared" ref="E69:N69" si="10">E68*FleetSize_A</f>
        <v>375025</v>
      </c>
      <c r="F69" s="231">
        <f t="shared" si="10"/>
        <v>375050</v>
      </c>
      <c r="G69" s="231">
        <f t="shared" si="10"/>
        <v>375075</v>
      </c>
      <c r="H69" s="231">
        <f t="shared" si="10"/>
        <v>375100</v>
      </c>
      <c r="I69" s="231">
        <f t="shared" si="10"/>
        <v>375125</v>
      </c>
      <c r="J69" s="231">
        <f t="shared" si="10"/>
        <v>375150</v>
      </c>
      <c r="K69" s="231">
        <f t="shared" si="10"/>
        <v>375175</v>
      </c>
      <c r="L69" s="231">
        <f t="shared" si="10"/>
        <v>375200</v>
      </c>
      <c r="M69" s="231">
        <f t="shared" si="10"/>
        <v>375225</v>
      </c>
      <c r="N69" s="231">
        <f t="shared" si="10"/>
        <v>375250</v>
      </c>
      <c r="O69" s="285" t="s">
        <v>493</v>
      </c>
      <c r="P69" s="828"/>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row>
    <row r="70" spans="1:49" s="712" customFormat="1" ht="12.75" hidden="1" outlineLevel="1" x14ac:dyDescent="0.2">
      <c r="A70" s="1386"/>
      <c r="B70" s="820"/>
      <c r="C70" s="256"/>
      <c r="D70" s="30"/>
      <c r="E70" s="30"/>
      <c r="F70" s="30"/>
      <c r="G70" s="30"/>
      <c r="H70" s="30"/>
      <c r="I70" s="30"/>
      <c r="J70" s="30"/>
      <c r="K70" s="30"/>
      <c r="L70" s="30"/>
      <c r="M70" s="30"/>
      <c r="N70" s="30"/>
      <c r="O70" s="839"/>
      <c r="P70" s="828"/>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row>
    <row r="71" spans="1:49" s="712" customFormat="1" ht="12.75" hidden="1" outlineLevel="1" x14ac:dyDescent="0.2">
      <c r="A71" s="1386"/>
      <c r="B71" s="820"/>
      <c r="C71" s="847"/>
      <c r="D71" s="484" t="str">
        <f>FleetTypeA &amp;" Sheetmetal &amp; Composite Structures (SMCS)"</f>
        <v>B737-300/400 Sheetmetal &amp; Composite Structures (SMCS)</v>
      </c>
      <c r="E71" s="840"/>
      <c r="F71" s="840"/>
      <c r="G71" s="840"/>
      <c r="H71" s="840"/>
      <c r="I71" s="840"/>
      <c r="J71" s="840"/>
      <c r="K71" s="840"/>
      <c r="L71" s="840"/>
      <c r="M71" s="840"/>
      <c r="N71" s="840"/>
      <c r="O71" s="835"/>
      <c r="P71" s="828"/>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row>
    <row r="72" spans="1:49" s="712" customFormat="1" ht="12.75" hidden="1" outlineLevel="1" x14ac:dyDescent="0.2">
      <c r="A72" s="1386"/>
      <c r="B72" s="820"/>
      <c r="C72" s="256"/>
      <c r="D72" s="233" t="str">
        <f>FleetTypeA&amp;" SMCS Per AIRCRAFT Records Generated pa"</f>
        <v>B737-300/400 SMCS Per AIRCRAFT Records Generated pa</v>
      </c>
      <c r="E72" s="842">
        <v>15001</v>
      </c>
      <c r="F72" s="842">
        <v>15002</v>
      </c>
      <c r="G72" s="842">
        <v>15003</v>
      </c>
      <c r="H72" s="842">
        <v>15004</v>
      </c>
      <c r="I72" s="842">
        <v>15005</v>
      </c>
      <c r="J72" s="842">
        <v>15006</v>
      </c>
      <c r="K72" s="842">
        <v>15007</v>
      </c>
      <c r="L72" s="842">
        <v>15008</v>
      </c>
      <c r="M72" s="842">
        <v>15009</v>
      </c>
      <c r="N72" s="842">
        <v>15010</v>
      </c>
      <c r="O72" s="835"/>
      <c r="P72" s="828"/>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row>
    <row r="73" spans="1:49" s="712" customFormat="1" ht="15.75" hidden="1" customHeight="1" outlineLevel="1" x14ac:dyDescent="0.2">
      <c r="A73" s="1386"/>
      <c r="B73" s="820"/>
      <c r="C73" s="256"/>
      <c r="D73" s="234" t="str">
        <f>"Total "&amp;FleetTypeA&amp;" FLEET SMCS Records Generated pa"</f>
        <v>Total B737-300/400 FLEET SMCS Records Generated pa</v>
      </c>
      <c r="E73" s="231">
        <f t="shared" ref="E73:N73" si="11">E72*FleetSize_A</f>
        <v>375025</v>
      </c>
      <c r="F73" s="231">
        <f t="shared" si="11"/>
        <v>375050</v>
      </c>
      <c r="G73" s="231">
        <f t="shared" si="11"/>
        <v>375075</v>
      </c>
      <c r="H73" s="231">
        <f t="shared" si="11"/>
        <v>375100</v>
      </c>
      <c r="I73" s="231">
        <f t="shared" si="11"/>
        <v>375125</v>
      </c>
      <c r="J73" s="231">
        <f t="shared" si="11"/>
        <v>375150</v>
      </c>
      <c r="K73" s="231">
        <f t="shared" si="11"/>
        <v>375175</v>
      </c>
      <c r="L73" s="231">
        <f t="shared" si="11"/>
        <v>375200</v>
      </c>
      <c r="M73" s="231">
        <f t="shared" si="11"/>
        <v>375225</v>
      </c>
      <c r="N73" s="231">
        <f t="shared" si="11"/>
        <v>375250</v>
      </c>
      <c r="O73" s="285" t="s">
        <v>494</v>
      </c>
      <c r="P73" s="828"/>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row>
    <row r="74" spans="1:49" s="712" customFormat="1" ht="12.75" hidden="1" outlineLevel="1" x14ac:dyDescent="0.2">
      <c r="A74" s="1386"/>
      <c r="B74" s="820"/>
      <c r="C74" s="256"/>
      <c r="D74" s="30"/>
      <c r="E74" s="30"/>
      <c r="F74" s="30"/>
      <c r="G74" s="30"/>
      <c r="H74" s="30"/>
      <c r="I74" s="30"/>
      <c r="J74" s="30"/>
      <c r="K74" s="30"/>
      <c r="L74" s="30"/>
      <c r="M74" s="30"/>
      <c r="N74" s="30"/>
      <c r="O74" s="839"/>
      <c r="P74" s="828"/>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row>
    <row r="75" spans="1:49" s="712" customFormat="1" ht="12.75" hidden="1" outlineLevel="1" x14ac:dyDescent="0.2">
      <c r="A75" s="1386"/>
      <c r="B75" s="820"/>
      <c r="C75" s="847"/>
      <c r="D75" s="484" t="str">
        <f>FleetTypeA &amp;" Other 1 (O1)"</f>
        <v>B737-300/400 Other 1 (O1)</v>
      </c>
      <c r="E75" s="840"/>
      <c r="F75" s="840"/>
      <c r="G75" s="840"/>
      <c r="H75" s="840"/>
      <c r="I75" s="840"/>
      <c r="J75" s="840"/>
      <c r="K75" s="840"/>
      <c r="L75" s="840"/>
      <c r="M75" s="840"/>
      <c r="N75" s="840"/>
      <c r="O75" s="835"/>
      <c r="P75" s="828"/>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row>
    <row r="76" spans="1:49" s="712" customFormat="1" ht="12.75" hidden="1" outlineLevel="1" x14ac:dyDescent="0.2">
      <c r="A76" s="1386"/>
      <c r="B76" s="820"/>
      <c r="C76" s="256"/>
      <c r="D76" s="233" t="str">
        <f>FleetTypeA&amp;" O1 Per AIRCRAFT Records Generated pa"</f>
        <v>B737-300/400 O1 Per AIRCRAFT Records Generated pa</v>
      </c>
      <c r="E76" s="842"/>
      <c r="F76" s="842"/>
      <c r="G76" s="842"/>
      <c r="H76" s="842"/>
      <c r="I76" s="842"/>
      <c r="J76" s="842"/>
      <c r="K76" s="842"/>
      <c r="L76" s="842"/>
      <c r="M76" s="842"/>
      <c r="N76" s="842"/>
      <c r="O76" s="835"/>
      <c r="P76" s="828"/>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row>
    <row r="77" spans="1:49" s="712" customFormat="1" ht="15.75" hidden="1" customHeight="1" outlineLevel="1" x14ac:dyDescent="0.2">
      <c r="A77" s="1386"/>
      <c r="B77" s="820"/>
      <c r="C77" s="256"/>
      <c r="D77" s="234" t="str">
        <f>"Total "&amp;FleetTypeA&amp;" FLEET O1 Records Generated pa"</f>
        <v>Total B737-300/400 FLEET O1 Records Generated pa</v>
      </c>
      <c r="E77" s="231">
        <f t="shared" ref="E77:N77" si="12">E76*FleetSize_A</f>
        <v>0</v>
      </c>
      <c r="F77" s="231">
        <f t="shared" si="12"/>
        <v>0</v>
      </c>
      <c r="G77" s="231">
        <f t="shared" si="12"/>
        <v>0</v>
      </c>
      <c r="H77" s="231">
        <f t="shared" si="12"/>
        <v>0</v>
      </c>
      <c r="I77" s="231">
        <f t="shared" si="12"/>
        <v>0</v>
      </c>
      <c r="J77" s="231">
        <f t="shared" si="12"/>
        <v>0</v>
      </c>
      <c r="K77" s="231">
        <f t="shared" si="12"/>
        <v>0</v>
      </c>
      <c r="L77" s="231">
        <f t="shared" si="12"/>
        <v>0</v>
      </c>
      <c r="M77" s="231">
        <f t="shared" si="12"/>
        <v>0</v>
      </c>
      <c r="N77" s="231">
        <f t="shared" si="12"/>
        <v>0</v>
      </c>
      <c r="O77" s="285" t="s">
        <v>495</v>
      </c>
      <c r="P77" s="828"/>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row>
    <row r="78" spans="1:49" s="712" customFormat="1" ht="12.75" hidden="1" outlineLevel="1" x14ac:dyDescent="0.2">
      <c r="A78" s="1386"/>
      <c r="B78" s="820"/>
      <c r="C78" s="256"/>
      <c r="D78" s="30"/>
      <c r="E78" s="30"/>
      <c r="F78" s="30"/>
      <c r="G78" s="30"/>
      <c r="H78" s="30"/>
      <c r="I78" s="30"/>
      <c r="J78" s="30"/>
      <c r="K78" s="30"/>
      <c r="L78" s="30"/>
      <c r="M78" s="30"/>
      <c r="N78" s="30"/>
      <c r="O78" s="839"/>
      <c r="P78" s="828"/>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row>
    <row r="79" spans="1:49" s="712" customFormat="1" ht="12.75" hidden="1" outlineLevel="1" x14ac:dyDescent="0.2">
      <c r="A79" s="1386"/>
      <c r="B79" s="820"/>
      <c r="C79" s="847"/>
      <c r="D79" s="484" t="str">
        <f>FleetTypeA &amp;" Other 2 (O2)"</f>
        <v>B737-300/400 Other 2 (O2)</v>
      </c>
      <c r="E79" s="840"/>
      <c r="F79" s="840"/>
      <c r="G79" s="840"/>
      <c r="H79" s="840"/>
      <c r="I79" s="840"/>
      <c r="J79" s="840"/>
      <c r="K79" s="840"/>
      <c r="L79" s="840"/>
      <c r="M79" s="840"/>
      <c r="N79" s="840"/>
      <c r="O79" s="835"/>
      <c r="P79" s="828"/>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row>
    <row r="80" spans="1:49" s="712" customFormat="1" ht="12.75" hidden="1" outlineLevel="1" x14ac:dyDescent="0.2">
      <c r="A80" s="1386"/>
      <c r="B80" s="820"/>
      <c r="C80" s="256"/>
      <c r="D80" s="233" t="str">
        <f>FleetTypeA&amp;" O2 Per AIRCRAFT Records Generated pa"</f>
        <v>B737-300/400 O2 Per AIRCRAFT Records Generated pa</v>
      </c>
      <c r="E80" s="842"/>
      <c r="F80" s="842"/>
      <c r="G80" s="842"/>
      <c r="H80" s="842"/>
      <c r="I80" s="842"/>
      <c r="J80" s="842"/>
      <c r="K80" s="842"/>
      <c r="L80" s="842"/>
      <c r="M80" s="842"/>
      <c r="N80" s="842"/>
      <c r="O80" s="835"/>
      <c r="P80" s="828"/>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row>
    <row r="81" spans="1:49" s="712" customFormat="1" ht="15.75" hidden="1" customHeight="1" outlineLevel="1" x14ac:dyDescent="0.2">
      <c r="A81" s="1386"/>
      <c r="B81" s="820"/>
      <c r="C81" s="256"/>
      <c r="D81" s="234" t="str">
        <f>"Total "&amp;FleetTypeA&amp;" FLEET O2 Records Generated pa"</f>
        <v>Total B737-300/400 FLEET O2 Records Generated pa</v>
      </c>
      <c r="E81" s="231">
        <f t="shared" ref="E81:N81" si="13">E80*FleetSize_A</f>
        <v>0</v>
      </c>
      <c r="F81" s="231">
        <f t="shared" si="13"/>
        <v>0</v>
      </c>
      <c r="G81" s="231">
        <f t="shared" si="13"/>
        <v>0</v>
      </c>
      <c r="H81" s="231">
        <f t="shared" si="13"/>
        <v>0</v>
      </c>
      <c r="I81" s="231">
        <f t="shared" si="13"/>
        <v>0</v>
      </c>
      <c r="J81" s="231">
        <f t="shared" si="13"/>
        <v>0</v>
      </c>
      <c r="K81" s="231">
        <f t="shared" si="13"/>
        <v>0</v>
      </c>
      <c r="L81" s="231">
        <f t="shared" si="13"/>
        <v>0</v>
      </c>
      <c r="M81" s="231">
        <f t="shared" si="13"/>
        <v>0</v>
      </c>
      <c r="N81" s="231">
        <f t="shared" si="13"/>
        <v>0</v>
      </c>
      <c r="O81" s="285" t="s">
        <v>496</v>
      </c>
      <c r="P81" s="828"/>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row>
    <row r="82" spans="1:49" s="712" customFormat="1" ht="12.75" hidden="1" outlineLevel="1" x14ac:dyDescent="0.2">
      <c r="A82" s="1386"/>
      <c r="B82" s="820"/>
      <c r="C82" s="256"/>
      <c r="D82" s="30"/>
      <c r="E82" s="30"/>
      <c r="F82" s="30"/>
      <c r="G82" s="30"/>
      <c r="H82" s="30"/>
      <c r="I82" s="30"/>
      <c r="J82" s="30"/>
      <c r="K82" s="30"/>
      <c r="L82" s="30"/>
      <c r="M82" s="30"/>
      <c r="N82" s="30"/>
      <c r="O82" s="839"/>
      <c r="P82" s="828"/>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row>
    <row r="83" spans="1:49" s="712" customFormat="1" ht="21.75" hidden="1" customHeight="1" outlineLevel="1" x14ac:dyDescent="0.2">
      <c r="A83" s="1386"/>
      <c r="B83" s="820"/>
      <c r="C83" s="848"/>
      <c r="D83" s="849" t="str">
        <f>"Grand Total ("&amp;(FleetTypeA)&amp;") "&amp;"Records Generated pa"</f>
        <v>Grand Total (B737-300/400) Records Generated pa</v>
      </c>
      <c r="E83" s="713">
        <f t="shared" ref="E83:N83" si="14">SUM(RecordsHMFleetTotalpa_A+RecordsLMFleetTotalpa_A+RecordsEngFleetTotalpa_A+RecordsPlgFleetTotalpa_A+RecordsCRTFleetTotalpa_A+RecordsSCLFleetTotalpa_A+RecordsQSCFleetTotalpa_A+RecordsEMFleetTotalpa_A+RecordsCMFleetTotalpa_A+RecordsSMCSFleetTotalpa_A+RecordsO1FleetTotalpa_A+RecordsO2FleetTotalpa_A)</f>
        <v>2958725</v>
      </c>
      <c r="F83" s="713">
        <f t="shared" si="14"/>
        <v>2956813.6363636362</v>
      </c>
      <c r="G83" s="713">
        <f t="shared" si="14"/>
        <v>2955258.333333333</v>
      </c>
      <c r="H83" s="713">
        <f t="shared" si="14"/>
        <v>2953976.923076923</v>
      </c>
      <c r="I83" s="713">
        <f t="shared" si="14"/>
        <v>2952910.7142857146</v>
      </c>
      <c r="J83" s="713">
        <f t="shared" si="14"/>
        <v>2952016.666666667</v>
      </c>
      <c r="K83" s="713">
        <f t="shared" si="14"/>
        <v>2951262.5</v>
      </c>
      <c r="L83" s="713">
        <f t="shared" si="14"/>
        <v>2950623.5294117648</v>
      </c>
      <c r="M83" s="713">
        <f t="shared" si="14"/>
        <v>2950080.5555555555</v>
      </c>
      <c r="N83" s="713">
        <f t="shared" si="14"/>
        <v>2949618.4210526315</v>
      </c>
      <c r="O83" s="285" t="s">
        <v>497</v>
      </c>
      <c r="P83" s="828"/>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row>
    <row r="84" spans="1:49" s="712" customFormat="1" ht="13.5" hidden="1" outlineLevel="1" thickBot="1" x14ac:dyDescent="0.25">
      <c r="A84" s="1387"/>
      <c r="B84" s="820"/>
      <c r="C84" s="170"/>
      <c r="D84" s="278"/>
      <c r="E84" s="278"/>
      <c r="F84" s="278"/>
      <c r="G84" s="278"/>
      <c r="H84" s="278"/>
      <c r="I84" s="278"/>
      <c r="J84" s="278"/>
      <c r="K84" s="278"/>
      <c r="L84" s="278"/>
      <c r="M84" s="278"/>
      <c r="N84" s="278"/>
      <c r="O84" s="850"/>
      <c r="P84" s="828"/>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row>
    <row r="85" spans="1:49" s="712" customFormat="1" ht="12.75" hidden="1" outlineLevel="1" x14ac:dyDescent="0.2">
      <c r="A85" s="820"/>
      <c r="B85" s="820"/>
      <c r="C85" s="30"/>
      <c r="D85" s="30"/>
      <c r="E85" s="30"/>
      <c r="F85" s="30"/>
      <c r="G85" s="30"/>
      <c r="H85" s="30"/>
      <c r="I85" s="30"/>
      <c r="J85" s="30"/>
      <c r="K85" s="30"/>
      <c r="L85" s="30"/>
      <c r="M85" s="30"/>
      <c r="N85" s="30"/>
      <c r="O85" s="862"/>
      <c r="P85" s="828"/>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row>
    <row r="86" spans="1:49" s="122" customFormat="1" ht="15.75" collapsed="1" x14ac:dyDescent="0.2">
      <c r="A86" s="1043">
        <v>3</v>
      </c>
      <c r="B86" s="1039"/>
      <c r="C86" s="1039"/>
      <c r="D86" s="1039"/>
      <c r="E86" s="1039"/>
      <c r="F86" s="1039"/>
      <c r="G86" s="1039"/>
      <c r="H86" s="1039"/>
      <c r="I86" s="1039"/>
      <c r="J86" s="1039"/>
      <c r="K86" s="1039"/>
      <c r="L86" s="1039"/>
      <c r="M86" s="1039"/>
      <c r="N86" s="1039"/>
      <c r="O86" s="1039"/>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row>
    <row r="87" spans="1:49" s="712" customFormat="1" ht="13.5" thickBot="1" x14ac:dyDescent="0.25">
      <c r="A87" s="820"/>
      <c r="B87" s="180"/>
      <c r="C87" s="852"/>
      <c r="D87" s="820"/>
      <c r="E87" s="840"/>
      <c r="F87" s="840"/>
      <c r="G87" s="840"/>
      <c r="H87" s="840"/>
      <c r="I87" s="840"/>
      <c r="J87" s="840"/>
      <c r="K87" s="840"/>
      <c r="L87" s="840"/>
      <c r="M87" s="840"/>
      <c r="N87" s="840"/>
      <c r="O87" s="828"/>
      <c r="P87" s="828"/>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row>
    <row r="88" spans="1:49" s="712" customFormat="1" ht="31.5" x14ac:dyDescent="0.2">
      <c r="A88" s="1342" t="str">
        <f>"Purpose - To calculate Total Records generated by 'FleetTypeB'          " &amp; (FleetTypeB)</f>
        <v>Purpose - To calculate Total Records generated by 'FleetTypeB'          B737-800</v>
      </c>
      <c r="B88" s="180"/>
      <c r="C88" s="1343" t="str">
        <f>FleetTypeB &amp;" (FleetTypeB) Records
Generated pa"</f>
        <v>B737-800 (FleetTypeB) Records
Generated pa</v>
      </c>
      <c r="D88" s="853"/>
      <c r="E88" s="853"/>
      <c r="F88" s="853"/>
      <c r="G88" s="853"/>
      <c r="H88" s="853"/>
      <c r="I88" s="853"/>
      <c r="J88" s="853"/>
      <c r="K88" s="853"/>
      <c r="L88" s="853"/>
      <c r="M88" s="853"/>
      <c r="N88" s="853"/>
      <c r="O88" s="854"/>
      <c r="P88" s="828"/>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row>
    <row r="89" spans="1:49" s="712" customFormat="1" ht="15.75" customHeight="1" x14ac:dyDescent="0.2">
      <c r="A89" s="820"/>
      <c r="B89" s="820"/>
      <c r="C89" s="30"/>
      <c r="D89" s="840"/>
      <c r="E89" s="840"/>
      <c r="F89" s="840"/>
      <c r="G89" s="840"/>
      <c r="H89" s="840"/>
      <c r="I89" s="840"/>
      <c r="J89" s="840"/>
      <c r="K89" s="840"/>
      <c r="L89" s="840"/>
      <c r="M89" s="840"/>
      <c r="N89" s="840"/>
      <c r="O89" s="835"/>
      <c r="P89" s="828"/>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row>
    <row r="90" spans="1:49" s="712" customFormat="1" ht="15.75" hidden="1" customHeight="1" outlineLevel="1" thickBot="1" x14ac:dyDescent="0.25">
      <c r="A90" s="820"/>
      <c r="B90" s="820"/>
      <c r="C90" s="30"/>
      <c r="D90" s="840"/>
      <c r="E90" s="840"/>
      <c r="F90" s="840"/>
      <c r="G90" s="840"/>
      <c r="H90" s="840"/>
      <c r="I90" s="840"/>
      <c r="J90" s="840"/>
      <c r="K90" s="840"/>
      <c r="L90" s="840"/>
      <c r="M90" s="840"/>
      <c r="N90" s="840"/>
      <c r="O90" s="835"/>
      <c r="P90" s="828"/>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row>
    <row r="91" spans="1:49" s="193" customFormat="1" ht="20.25" hidden="1" customHeight="1" outlineLevel="1" x14ac:dyDescent="0.2">
      <c r="A91" s="820"/>
      <c r="B91" s="180"/>
      <c r="C91" s="1106"/>
      <c r="D91" s="1109" t="str">
        <f>FleetTypeB &amp;" Heavy Maintenance (HM)"</f>
        <v>B737-800 Heavy Maintenance (HM)</v>
      </c>
      <c r="E91" s="824"/>
      <c r="F91" s="825"/>
      <c r="G91" s="826"/>
      <c r="H91" s="826"/>
      <c r="I91" s="826"/>
      <c r="J91" s="826"/>
      <c r="K91" s="826"/>
      <c r="L91" s="826"/>
      <c r="M91" s="826"/>
      <c r="N91" s="826"/>
      <c r="O91" s="1110"/>
      <c r="P91" s="828"/>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row>
    <row r="92" spans="1:49" s="193" customFormat="1" ht="15" hidden="1" customHeight="1" outlineLevel="1" x14ac:dyDescent="0.2">
      <c r="A92" s="820"/>
      <c r="B92" s="830"/>
      <c r="C92" s="831"/>
      <c r="D92" s="501" t="str">
        <f>FleetTypeB&amp;" HM Cycle (Years)"</f>
        <v>B737-800 HM Cycle (Years)</v>
      </c>
      <c r="E92" s="855">
        <v>12</v>
      </c>
      <c r="F92" s="855">
        <v>14</v>
      </c>
      <c r="G92" s="855">
        <v>16</v>
      </c>
      <c r="H92" s="855">
        <v>14</v>
      </c>
      <c r="I92" s="855">
        <v>14</v>
      </c>
      <c r="J92" s="855">
        <v>14</v>
      </c>
      <c r="K92" s="855">
        <v>14</v>
      </c>
      <c r="L92" s="855">
        <v>14</v>
      </c>
      <c r="M92" s="855">
        <v>14</v>
      </c>
      <c r="N92" s="855">
        <v>14</v>
      </c>
      <c r="O92" s="257" t="s">
        <v>104</v>
      </c>
      <c r="P92" s="828"/>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row>
    <row r="93" spans="1:49" s="193" customFormat="1" ht="12.95" hidden="1" customHeight="1" outlineLevel="1" x14ac:dyDescent="0.2">
      <c r="A93" s="820"/>
      <c r="B93" s="833"/>
      <c r="C93" s="834"/>
      <c r="D93" s="820"/>
      <c r="E93" s="833"/>
      <c r="F93" s="833"/>
      <c r="G93" s="833"/>
      <c r="H93" s="833"/>
      <c r="I93" s="833"/>
      <c r="J93" s="833"/>
      <c r="K93" s="833"/>
      <c r="L93" s="833"/>
      <c r="M93" s="833"/>
      <c r="N93" s="833"/>
      <c r="O93" s="835"/>
      <c r="P93" s="828"/>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row>
    <row r="94" spans="1:49" s="193" customFormat="1" ht="12.75" hidden="1" customHeight="1" outlineLevel="1" x14ac:dyDescent="0.2">
      <c r="A94" s="820"/>
      <c r="B94" s="30"/>
      <c r="C94" s="256"/>
      <c r="D94" s="57" t="s">
        <v>256</v>
      </c>
      <c r="E94" s="856">
        <v>1100</v>
      </c>
      <c r="F94" s="856">
        <v>1200</v>
      </c>
      <c r="G94" s="856">
        <v>1300</v>
      </c>
      <c r="H94" s="856">
        <v>1400</v>
      </c>
      <c r="I94" s="856">
        <v>1500</v>
      </c>
      <c r="J94" s="856">
        <v>1600</v>
      </c>
      <c r="K94" s="856">
        <v>1700</v>
      </c>
      <c r="L94" s="856">
        <v>1800</v>
      </c>
      <c r="M94" s="856">
        <v>1900</v>
      </c>
      <c r="N94" s="856">
        <v>2000</v>
      </c>
      <c r="O94" s="835"/>
      <c r="P94" s="828"/>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row>
    <row r="95" spans="1:49" s="193" customFormat="1" ht="12.95" hidden="1" customHeight="1" outlineLevel="1" x14ac:dyDescent="0.2">
      <c r="A95" s="820"/>
      <c r="B95" s="833"/>
      <c r="C95" s="837"/>
      <c r="D95" s="57" t="s">
        <v>257</v>
      </c>
      <c r="E95" s="857">
        <v>2100</v>
      </c>
      <c r="F95" s="857">
        <v>2200</v>
      </c>
      <c r="G95" s="857">
        <v>2300</v>
      </c>
      <c r="H95" s="857">
        <v>2400</v>
      </c>
      <c r="I95" s="857">
        <v>2500</v>
      </c>
      <c r="J95" s="857">
        <v>2600</v>
      </c>
      <c r="K95" s="857">
        <v>2700</v>
      </c>
      <c r="L95" s="857">
        <v>2800</v>
      </c>
      <c r="M95" s="857">
        <v>2900</v>
      </c>
      <c r="N95" s="857">
        <v>3000</v>
      </c>
      <c r="O95" s="835"/>
      <c r="P95" s="828"/>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row>
    <row r="96" spans="1:49" s="193" customFormat="1" ht="12.95" hidden="1" customHeight="1" outlineLevel="1" x14ac:dyDescent="0.2">
      <c r="A96" s="820"/>
      <c r="B96" s="833"/>
      <c r="C96" s="837"/>
      <c r="D96" s="57" t="s">
        <v>258</v>
      </c>
      <c r="E96" s="857" t="s">
        <v>20</v>
      </c>
      <c r="F96" s="857" t="s">
        <v>20</v>
      </c>
      <c r="G96" s="857" t="s">
        <v>20</v>
      </c>
      <c r="H96" s="857" t="s">
        <v>20</v>
      </c>
      <c r="I96" s="857" t="s">
        <v>20</v>
      </c>
      <c r="J96" s="857" t="s">
        <v>20</v>
      </c>
      <c r="K96" s="857" t="s">
        <v>20</v>
      </c>
      <c r="L96" s="857" t="s">
        <v>20</v>
      </c>
      <c r="M96" s="857" t="s">
        <v>20</v>
      </c>
      <c r="N96" s="857" t="s">
        <v>20</v>
      </c>
      <c r="O96" s="835"/>
      <c r="P96" s="828"/>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row>
    <row r="97" spans="1:49" s="193" customFormat="1" ht="12.95" hidden="1" customHeight="1" outlineLevel="1" x14ac:dyDescent="0.2">
      <c r="A97" s="820"/>
      <c r="B97" s="833"/>
      <c r="C97" s="837"/>
      <c r="D97" s="57" t="s">
        <v>259</v>
      </c>
      <c r="E97" s="857">
        <v>4100</v>
      </c>
      <c r="F97" s="857">
        <v>4200</v>
      </c>
      <c r="G97" s="857">
        <v>4300</v>
      </c>
      <c r="H97" s="857">
        <v>4400</v>
      </c>
      <c r="I97" s="857">
        <v>4500</v>
      </c>
      <c r="J97" s="857">
        <v>4600</v>
      </c>
      <c r="K97" s="857">
        <v>4700</v>
      </c>
      <c r="L97" s="857">
        <v>4800</v>
      </c>
      <c r="M97" s="857">
        <v>4900</v>
      </c>
      <c r="N97" s="857">
        <v>5000</v>
      </c>
      <c r="O97" s="835"/>
      <c r="P97" s="828"/>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row>
    <row r="98" spans="1:49" s="193" customFormat="1" ht="12.95" hidden="1" customHeight="1" outlineLevel="1" x14ac:dyDescent="0.2">
      <c r="A98" s="820"/>
      <c r="B98" s="833"/>
      <c r="C98" s="837"/>
      <c r="D98" s="57" t="s">
        <v>260</v>
      </c>
      <c r="E98" s="857" t="s">
        <v>20</v>
      </c>
      <c r="F98" s="857" t="s">
        <v>20</v>
      </c>
      <c r="G98" s="857" t="s">
        <v>20</v>
      </c>
      <c r="H98" s="857" t="s">
        <v>20</v>
      </c>
      <c r="I98" s="857" t="s">
        <v>20</v>
      </c>
      <c r="J98" s="857" t="s">
        <v>20</v>
      </c>
      <c r="K98" s="857" t="s">
        <v>20</v>
      </c>
      <c r="L98" s="857" t="s">
        <v>20</v>
      </c>
      <c r="M98" s="857" t="s">
        <v>20</v>
      </c>
      <c r="N98" s="857" t="s">
        <v>20</v>
      </c>
      <c r="O98" s="835"/>
      <c r="P98" s="828"/>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row>
    <row r="99" spans="1:49" s="193" customFormat="1" ht="12.95" hidden="1" customHeight="1" outlineLevel="1" x14ac:dyDescent="0.2">
      <c r="A99" s="820"/>
      <c r="B99" s="833"/>
      <c r="C99" s="837"/>
      <c r="D99" s="57" t="s">
        <v>261</v>
      </c>
      <c r="E99" s="857">
        <v>7100</v>
      </c>
      <c r="F99" s="857">
        <v>7200</v>
      </c>
      <c r="G99" s="857">
        <v>7300</v>
      </c>
      <c r="H99" s="857">
        <v>7400</v>
      </c>
      <c r="I99" s="857">
        <v>7500</v>
      </c>
      <c r="J99" s="857">
        <v>7600</v>
      </c>
      <c r="K99" s="857">
        <v>7700</v>
      </c>
      <c r="L99" s="857">
        <v>7800</v>
      </c>
      <c r="M99" s="857">
        <v>7900</v>
      </c>
      <c r="N99" s="857">
        <v>8000</v>
      </c>
      <c r="O99" s="835"/>
      <c r="P99" s="828"/>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row>
    <row r="100" spans="1:49" s="193" customFormat="1" ht="12.95" hidden="1" customHeight="1" outlineLevel="1" x14ac:dyDescent="0.2">
      <c r="A100" s="820"/>
      <c r="B100" s="833"/>
      <c r="C100" s="837"/>
      <c r="D100" s="57" t="s">
        <v>262</v>
      </c>
      <c r="E100" s="857" t="s">
        <v>20</v>
      </c>
      <c r="F100" s="857" t="s">
        <v>20</v>
      </c>
      <c r="G100" s="857" t="s">
        <v>20</v>
      </c>
      <c r="H100" s="857" t="s">
        <v>20</v>
      </c>
      <c r="I100" s="857" t="s">
        <v>20</v>
      </c>
      <c r="J100" s="857" t="s">
        <v>20</v>
      </c>
      <c r="K100" s="857" t="s">
        <v>20</v>
      </c>
      <c r="L100" s="857" t="s">
        <v>20</v>
      </c>
      <c r="M100" s="857" t="s">
        <v>20</v>
      </c>
      <c r="N100" s="857" t="s">
        <v>20</v>
      </c>
      <c r="O100" s="835"/>
      <c r="P100" s="828"/>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row>
    <row r="101" spans="1:49" s="193" customFormat="1" ht="12.95" hidden="1" customHeight="1" outlineLevel="1" x14ac:dyDescent="0.2">
      <c r="A101" s="820"/>
      <c r="B101" s="833"/>
      <c r="C101" s="837"/>
      <c r="D101" s="57" t="s">
        <v>263</v>
      </c>
      <c r="E101" s="857">
        <v>9000</v>
      </c>
      <c r="F101" s="857">
        <v>10000</v>
      </c>
      <c r="G101" s="857">
        <v>11000</v>
      </c>
      <c r="H101" s="857">
        <v>12000</v>
      </c>
      <c r="I101" s="857">
        <v>13000</v>
      </c>
      <c r="J101" s="857">
        <v>14000</v>
      </c>
      <c r="K101" s="857">
        <v>15000</v>
      </c>
      <c r="L101" s="857">
        <v>16000</v>
      </c>
      <c r="M101" s="857">
        <v>17000</v>
      </c>
      <c r="N101" s="857">
        <v>18000</v>
      </c>
      <c r="O101" s="835"/>
      <c r="P101" s="828"/>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row>
    <row r="102" spans="1:49" s="193" customFormat="1" ht="12.95" hidden="1" customHeight="1" outlineLevel="1" x14ac:dyDescent="0.2">
      <c r="A102" s="820"/>
      <c r="B102" s="833"/>
      <c r="C102" s="837"/>
      <c r="D102" s="60" t="s">
        <v>113</v>
      </c>
      <c r="E102" s="502">
        <f t="shared" ref="E102:H102" si="15">SUM(E94:E101)</f>
        <v>23400</v>
      </c>
      <c r="F102" s="502">
        <f t="shared" si="15"/>
        <v>24800</v>
      </c>
      <c r="G102" s="502">
        <f t="shared" si="15"/>
        <v>26200</v>
      </c>
      <c r="H102" s="502">
        <f t="shared" si="15"/>
        <v>27600</v>
      </c>
      <c r="I102" s="502">
        <f t="shared" ref="I102:N102" si="16">SUM(I94:I101)</f>
        <v>29000</v>
      </c>
      <c r="J102" s="502">
        <f t="shared" si="16"/>
        <v>30400</v>
      </c>
      <c r="K102" s="502">
        <f t="shared" si="16"/>
        <v>31800</v>
      </c>
      <c r="L102" s="502">
        <f t="shared" si="16"/>
        <v>33200</v>
      </c>
      <c r="M102" s="502">
        <f t="shared" si="16"/>
        <v>34600</v>
      </c>
      <c r="N102" s="502">
        <f t="shared" si="16"/>
        <v>36000</v>
      </c>
      <c r="O102" s="285" t="s">
        <v>506</v>
      </c>
      <c r="P102" s="828"/>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row>
    <row r="103" spans="1:49" s="193" customFormat="1" ht="12.75" hidden="1" outlineLevel="1" x14ac:dyDescent="0.2">
      <c r="A103" s="820"/>
      <c r="B103" s="833"/>
      <c r="C103" s="837"/>
      <c r="D103" s="501" t="str">
        <f>"Total "&amp;FleetTypeB&amp;" FLEET HM Records Generated pa"</f>
        <v>Total B737-800 FLEET HM Records Generated pa</v>
      </c>
      <c r="E103" s="503">
        <f t="shared" ref="E103:N103" si="17">E102/FleetCycleHvy_B*FleetSize_B</f>
        <v>48750</v>
      </c>
      <c r="F103" s="503">
        <f t="shared" si="17"/>
        <v>44285.714285714283</v>
      </c>
      <c r="G103" s="503">
        <f t="shared" si="17"/>
        <v>40937.5</v>
      </c>
      <c r="H103" s="503">
        <f t="shared" si="17"/>
        <v>49285.714285714283</v>
      </c>
      <c r="I103" s="503">
        <f t="shared" si="17"/>
        <v>51785.71428571429</v>
      </c>
      <c r="J103" s="503">
        <f t="shared" si="17"/>
        <v>54285.71428571429</v>
      </c>
      <c r="K103" s="503">
        <f t="shared" si="17"/>
        <v>56785.71428571429</v>
      </c>
      <c r="L103" s="503">
        <f t="shared" si="17"/>
        <v>59285.71428571429</v>
      </c>
      <c r="M103" s="503">
        <f t="shared" si="17"/>
        <v>61785.71428571429</v>
      </c>
      <c r="N103" s="503">
        <f t="shared" si="17"/>
        <v>64285.71428571429</v>
      </c>
      <c r="O103" s="285" t="s">
        <v>498</v>
      </c>
      <c r="P103" s="828"/>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row>
    <row r="104" spans="1:49" s="712" customFormat="1" ht="12.75" hidden="1" outlineLevel="1" x14ac:dyDescent="0.2">
      <c r="A104" s="820"/>
      <c r="B104" s="820"/>
      <c r="C104" s="837"/>
      <c r="D104" s="30"/>
      <c r="E104" s="30"/>
      <c r="F104" s="30"/>
      <c r="G104" s="30"/>
      <c r="H104" s="30"/>
      <c r="I104" s="30"/>
      <c r="J104" s="30"/>
      <c r="K104" s="30"/>
      <c r="L104" s="30"/>
      <c r="M104" s="30"/>
      <c r="N104" s="30"/>
      <c r="O104" s="839"/>
      <c r="P104" s="828"/>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row>
    <row r="105" spans="1:49" s="712" customFormat="1" ht="12.75" hidden="1" outlineLevel="1" x14ac:dyDescent="0.2">
      <c r="A105" s="820"/>
      <c r="B105" s="820"/>
      <c r="C105" s="837"/>
      <c r="D105" s="484" t="str">
        <f>FleetTypeB &amp;" Line Maintenance (LM)"</f>
        <v>B737-800 Line Maintenance (LM)</v>
      </c>
      <c r="E105" s="840"/>
      <c r="F105" s="840"/>
      <c r="G105" s="840"/>
      <c r="H105" s="840"/>
      <c r="I105" s="840"/>
      <c r="J105" s="840"/>
      <c r="K105" s="840"/>
      <c r="L105" s="840"/>
      <c r="M105" s="840"/>
      <c r="N105" s="840"/>
      <c r="O105" s="839"/>
      <c r="P105" s="828"/>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row>
    <row r="106" spans="1:49" s="712" customFormat="1" ht="12.75" hidden="1" outlineLevel="1" x14ac:dyDescent="0.2">
      <c r="A106" s="820"/>
      <c r="B106" s="841"/>
      <c r="C106" s="837"/>
      <c r="D106" s="233" t="str">
        <f>FleetTypeB&amp; " LM Per AIRCRAFT Records Generated pa"</f>
        <v>B737-800 LM Per AIRCRAFT Records Generated pa</v>
      </c>
      <c r="E106" s="596">
        <v>10001</v>
      </c>
      <c r="F106" s="596">
        <v>10002</v>
      </c>
      <c r="G106" s="596">
        <v>10003</v>
      </c>
      <c r="H106" s="596">
        <v>10004</v>
      </c>
      <c r="I106" s="596">
        <v>10005</v>
      </c>
      <c r="J106" s="596">
        <v>10006</v>
      </c>
      <c r="K106" s="596">
        <v>10007</v>
      </c>
      <c r="L106" s="596">
        <v>10008</v>
      </c>
      <c r="M106" s="596">
        <v>10009</v>
      </c>
      <c r="N106" s="596">
        <v>10010</v>
      </c>
      <c r="O106" s="839"/>
      <c r="P106" s="828"/>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row>
    <row r="107" spans="1:49" s="712" customFormat="1" ht="12.75" hidden="1" outlineLevel="1" x14ac:dyDescent="0.2">
      <c r="A107" s="820"/>
      <c r="B107" s="841"/>
      <c r="C107" s="843"/>
      <c r="D107" s="501" t="str">
        <f>"Total "&amp;FleetTypeB&amp;" FLEET LM Records Generated pa"</f>
        <v>Total B737-800 FLEET LM Records Generated pa</v>
      </c>
      <c r="E107" s="505">
        <f t="shared" ref="E107:N107" si="18">E106*FleetSize_B</f>
        <v>250025</v>
      </c>
      <c r="F107" s="505">
        <f t="shared" si="18"/>
        <v>250050</v>
      </c>
      <c r="G107" s="505">
        <f t="shared" si="18"/>
        <v>250075</v>
      </c>
      <c r="H107" s="505">
        <f t="shared" si="18"/>
        <v>250100</v>
      </c>
      <c r="I107" s="505">
        <f t="shared" si="18"/>
        <v>250125</v>
      </c>
      <c r="J107" s="505">
        <f t="shared" si="18"/>
        <v>250150</v>
      </c>
      <c r="K107" s="505">
        <f t="shared" si="18"/>
        <v>250175</v>
      </c>
      <c r="L107" s="505">
        <f t="shared" si="18"/>
        <v>250200</v>
      </c>
      <c r="M107" s="505">
        <f t="shared" si="18"/>
        <v>250225</v>
      </c>
      <c r="N107" s="505">
        <f t="shared" si="18"/>
        <v>250250</v>
      </c>
      <c r="O107" s="285" t="s">
        <v>480</v>
      </c>
      <c r="P107" s="828"/>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row>
    <row r="108" spans="1:49" s="712" customFormat="1" ht="12.75" hidden="1" outlineLevel="1" x14ac:dyDescent="0.2">
      <c r="A108" s="820"/>
      <c r="B108" s="820"/>
      <c r="C108" s="843"/>
      <c r="D108" s="30"/>
      <c r="E108" s="30"/>
      <c r="F108" s="30"/>
      <c r="G108" s="30"/>
      <c r="H108" s="30"/>
      <c r="I108" s="30"/>
      <c r="J108" s="30"/>
      <c r="K108" s="30"/>
      <c r="L108" s="30"/>
      <c r="M108" s="30"/>
      <c r="N108" s="30"/>
      <c r="O108" s="839"/>
      <c r="P108" s="828"/>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row>
    <row r="109" spans="1:49" s="712" customFormat="1" ht="12.75" hidden="1" outlineLevel="1" x14ac:dyDescent="0.2">
      <c r="A109" s="820"/>
      <c r="B109" s="820"/>
      <c r="C109" s="843"/>
      <c r="D109" s="484" t="str">
        <f>FleetTypeA &amp;" Engineering (Eng)"</f>
        <v>B737-300/400 Engineering (Eng)</v>
      </c>
      <c r="E109" s="840"/>
      <c r="F109" s="840"/>
      <c r="G109" s="840"/>
      <c r="H109" s="840"/>
      <c r="I109" s="840"/>
      <c r="J109" s="840"/>
      <c r="K109" s="840"/>
      <c r="L109" s="840"/>
      <c r="M109" s="840"/>
      <c r="N109" s="840"/>
      <c r="O109" s="839"/>
      <c r="P109" s="828"/>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row>
    <row r="110" spans="1:49" s="712" customFormat="1" ht="12.75" hidden="1" outlineLevel="1" x14ac:dyDescent="0.2">
      <c r="A110" s="820"/>
      <c r="B110" s="820"/>
      <c r="C110" s="843"/>
      <c r="D110" s="233" t="str">
        <f>FleetTypeA&amp;" Eng Per AIRCRAFT Records Generated pa"</f>
        <v>B737-300/400 Eng Per AIRCRAFT Records Generated pa</v>
      </c>
      <c r="E110" s="596">
        <v>11001</v>
      </c>
      <c r="F110" s="596">
        <v>11002</v>
      </c>
      <c r="G110" s="596">
        <v>11003</v>
      </c>
      <c r="H110" s="596">
        <v>11004</v>
      </c>
      <c r="I110" s="596">
        <v>11005</v>
      </c>
      <c r="J110" s="596">
        <v>11006</v>
      </c>
      <c r="K110" s="596">
        <v>11007</v>
      </c>
      <c r="L110" s="596">
        <v>11008</v>
      </c>
      <c r="M110" s="596">
        <v>11009</v>
      </c>
      <c r="N110" s="596">
        <v>11010</v>
      </c>
      <c r="O110" s="839"/>
      <c r="P110" s="828"/>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row>
    <row r="111" spans="1:49" s="712" customFormat="1" ht="15.75" hidden="1" customHeight="1" outlineLevel="1" x14ac:dyDescent="0.2">
      <c r="A111" s="820"/>
      <c r="B111" s="820"/>
      <c r="C111" s="843"/>
      <c r="D111" s="501" t="str">
        <f>"Total "&amp;FleetTypeA&amp;" FLEET Eng Records Generated pa"</f>
        <v>Total B737-300/400 FLEET Eng Records Generated pa</v>
      </c>
      <c r="E111" s="505">
        <f t="shared" ref="E111:N111" si="19">E110*FleetSize_A</f>
        <v>275025</v>
      </c>
      <c r="F111" s="505">
        <f t="shared" si="19"/>
        <v>275050</v>
      </c>
      <c r="G111" s="505">
        <f t="shared" si="19"/>
        <v>275075</v>
      </c>
      <c r="H111" s="505">
        <f t="shared" si="19"/>
        <v>275100</v>
      </c>
      <c r="I111" s="505">
        <f t="shared" si="19"/>
        <v>275125</v>
      </c>
      <c r="J111" s="505">
        <f t="shared" si="19"/>
        <v>275150</v>
      </c>
      <c r="K111" s="505">
        <f t="shared" si="19"/>
        <v>275175</v>
      </c>
      <c r="L111" s="505">
        <f t="shared" si="19"/>
        <v>275200</v>
      </c>
      <c r="M111" s="505">
        <f t="shared" si="19"/>
        <v>275225</v>
      </c>
      <c r="N111" s="505">
        <f t="shared" si="19"/>
        <v>275250</v>
      </c>
      <c r="O111" s="285" t="s">
        <v>870</v>
      </c>
      <c r="P111" s="828"/>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row>
    <row r="112" spans="1:49" s="712" customFormat="1" ht="15.75" hidden="1" customHeight="1" outlineLevel="1" x14ac:dyDescent="0.2">
      <c r="A112" s="820"/>
      <c r="B112" s="820"/>
      <c r="C112" s="843"/>
      <c r="D112" s="844"/>
      <c r="E112" s="845"/>
      <c r="F112" s="845"/>
      <c r="G112" s="845"/>
      <c r="H112" s="845"/>
      <c r="I112" s="845"/>
      <c r="J112" s="845"/>
      <c r="K112" s="845"/>
      <c r="L112" s="845"/>
      <c r="M112" s="845"/>
      <c r="N112" s="845"/>
      <c r="O112" s="285"/>
      <c r="P112" s="828"/>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row>
    <row r="113" spans="1:49" s="712" customFormat="1" ht="12.75" hidden="1" outlineLevel="1" x14ac:dyDescent="0.2">
      <c r="A113" s="820"/>
      <c r="B113" s="820"/>
      <c r="C113" s="843"/>
      <c r="D113" s="484" t="str">
        <f>FleetTypeA &amp;" Planning (Plg)"</f>
        <v>B737-300/400 Planning (Plg)</v>
      </c>
      <c r="E113" s="840"/>
      <c r="F113" s="840"/>
      <c r="G113" s="840"/>
      <c r="H113" s="840"/>
      <c r="I113" s="840"/>
      <c r="J113" s="840"/>
      <c r="K113" s="840"/>
      <c r="L113" s="840"/>
      <c r="M113" s="840"/>
      <c r="N113" s="840"/>
      <c r="O113" s="839"/>
      <c r="P113" s="828"/>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row>
    <row r="114" spans="1:49" s="712" customFormat="1" ht="12.75" hidden="1" outlineLevel="1" x14ac:dyDescent="0.2">
      <c r="A114" s="820"/>
      <c r="B114" s="820"/>
      <c r="C114" s="843"/>
      <c r="D114" s="233" t="str">
        <f>FleetTypeA&amp;" Plg AIRCRAFT Records Generated pa"</f>
        <v>B737-300/400 Plg AIRCRAFT Records Generated pa</v>
      </c>
      <c r="E114" s="596">
        <v>11001</v>
      </c>
      <c r="F114" s="596">
        <v>11002</v>
      </c>
      <c r="G114" s="596">
        <v>11003</v>
      </c>
      <c r="H114" s="596">
        <v>11004</v>
      </c>
      <c r="I114" s="596">
        <v>11005</v>
      </c>
      <c r="J114" s="596">
        <v>11006</v>
      </c>
      <c r="K114" s="596">
        <v>11007</v>
      </c>
      <c r="L114" s="596">
        <v>11008</v>
      </c>
      <c r="M114" s="596">
        <v>11009</v>
      </c>
      <c r="N114" s="596">
        <v>11010</v>
      </c>
      <c r="O114" s="839"/>
      <c r="P114" s="828"/>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row>
    <row r="115" spans="1:49" s="712" customFormat="1" ht="15.75" hidden="1" customHeight="1" outlineLevel="1" x14ac:dyDescent="0.2">
      <c r="A115" s="820"/>
      <c r="B115" s="820"/>
      <c r="C115" s="843"/>
      <c r="D115" s="501" t="str">
        <f>"Total "&amp;FleetTypeA&amp;" FLEET Plg Records Generated pa"</f>
        <v>Total B737-300/400 FLEET Plg Records Generated pa</v>
      </c>
      <c r="E115" s="505">
        <f t="shared" ref="E115:N115" si="20">E114*FleetSize_A</f>
        <v>275025</v>
      </c>
      <c r="F115" s="505">
        <f t="shared" si="20"/>
        <v>275050</v>
      </c>
      <c r="G115" s="505">
        <f t="shared" si="20"/>
        <v>275075</v>
      </c>
      <c r="H115" s="505">
        <f t="shared" si="20"/>
        <v>275100</v>
      </c>
      <c r="I115" s="505">
        <f t="shared" si="20"/>
        <v>275125</v>
      </c>
      <c r="J115" s="505">
        <f t="shared" si="20"/>
        <v>275150</v>
      </c>
      <c r="K115" s="505">
        <f t="shared" si="20"/>
        <v>275175</v>
      </c>
      <c r="L115" s="505">
        <f t="shared" si="20"/>
        <v>275200</v>
      </c>
      <c r="M115" s="505">
        <f t="shared" si="20"/>
        <v>275225</v>
      </c>
      <c r="N115" s="505">
        <f t="shared" si="20"/>
        <v>275250</v>
      </c>
      <c r="O115" s="285" t="s">
        <v>871</v>
      </c>
      <c r="P115" s="828"/>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row>
    <row r="116" spans="1:49" s="712" customFormat="1" ht="12.75" hidden="1" outlineLevel="1" x14ac:dyDescent="0.2">
      <c r="A116" s="820"/>
      <c r="B116" s="820"/>
      <c r="C116" s="843"/>
      <c r="D116" s="30"/>
      <c r="E116" s="30"/>
      <c r="F116" s="30"/>
      <c r="G116" s="30"/>
      <c r="H116" s="30"/>
      <c r="I116" s="30"/>
      <c r="J116" s="30"/>
      <c r="K116" s="30"/>
      <c r="L116" s="30"/>
      <c r="M116" s="30"/>
      <c r="N116" s="30"/>
      <c r="O116" s="839"/>
      <c r="P116" s="828"/>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row>
    <row r="117" spans="1:49" s="712" customFormat="1" ht="12.75" hidden="1" outlineLevel="1" x14ac:dyDescent="0.2">
      <c r="A117" s="820"/>
      <c r="B117" s="820"/>
      <c r="C117" s="843"/>
      <c r="D117" s="484" t="str">
        <f>FleetTypeB &amp;" Engineering (Eng)"</f>
        <v>B737-800 Engineering (Eng)</v>
      </c>
      <c r="E117" s="840"/>
      <c r="F117" s="840"/>
      <c r="G117" s="840"/>
      <c r="H117" s="840"/>
      <c r="I117" s="840"/>
      <c r="J117" s="840"/>
      <c r="K117" s="840"/>
      <c r="L117" s="840"/>
      <c r="M117" s="840"/>
      <c r="N117" s="840"/>
      <c r="O117" s="839"/>
      <c r="P117" s="828"/>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row>
    <row r="118" spans="1:49" s="712" customFormat="1" ht="12.75" hidden="1" outlineLevel="1" x14ac:dyDescent="0.2">
      <c r="A118" s="820"/>
      <c r="B118" s="820"/>
      <c r="C118" s="843"/>
      <c r="D118" s="233" t="str">
        <f>FleetTypeB&amp;" Eng Per AIRCRAFT Records Generated pa"</f>
        <v>B737-800 Eng Per AIRCRAFT Records Generated pa</v>
      </c>
      <c r="E118" s="596">
        <v>11001</v>
      </c>
      <c r="F118" s="596">
        <v>11002</v>
      </c>
      <c r="G118" s="596">
        <v>11003</v>
      </c>
      <c r="H118" s="596">
        <v>11004</v>
      </c>
      <c r="I118" s="596">
        <v>11005</v>
      </c>
      <c r="J118" s="596">
        <v>11006</v>
      </c>
      <c r="K118" s="596">
        <v>11007</v>
      </c>
      <c r="L118" s="596">
        <v>11008</v>
      </c>
      <c r="M118" s="596">
        <v>11009</v>
      </c>
      <c r="N118" s="596">
        <v>11010</v>
      </c>
      <c r="O118" s="839"/>
      <c r="P118" s="828"/>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row>
    <row r="119" spans="1:49" s="712" customFormat="1" ht="15.75" hidden="1" customHeight="1" outlineLevel="1" x14ac:dyDescent="0.2">
      <c r="A119" s="820"/>
      <c r="B119" s="820"/>
      <c r="C119" s="843"/>
      <c r="D119" s="501" t="str">
        <f>"Total "&amp;FleetTypeB&amp;" FLEET Eng Records Generated pa"</f>
        <v>Total B737-800 FLEET Eng Records Generated pa</v>
      </c>
      <c r="E119" s="505">
        <f t="shared" ref="E119:N119" si="21">E118*FleetSize_B</f>
        <v>275025</v>
      </c>
      <c r="F119" s="505">
        <f t="shared" si="21"/>
        <v>275050</v>
      </c>
      <c r="G119" s="505">
        <f t="shared" si="21"/>
        <v>275075</v>
      </c>
      <c r="H119" s="505">
        <f t="shared" si="21"/>
        <v>275100</v>
      </c>
      <c r="I119" s="505">
        <f t="shared" si="21"/>
        <v>275125</v>
      </c>
      <c r="J119" s="505">
        <f t="shared" si="21"/>
        <v>275150</v>
      </c>
      <c r="K119" s="505">
        <f t="shared" si="21"/>
        <v>275175</v>
      </c>
      <c r="L119" s="505">
        <f t="shared" si="21"/>
        <v>275200</v>
      </c>
      <c r="M119" s="505">
        <f t="shared" si="21"/>
        <v>275225</v>
      </c>
      <c r="N119" s="505">
        <f t="shared" si="21"/>
        <v>275250</v>
      </c>
      <c r="O119" s="285" t="s">
        <v>872</v>
      </c>
      <c r="P119" s="828"/>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row>
    <row r="120" spans="1:49" s="712" customFormat="1" ht="15.75" hidden="1" customHeight="1" outlineLevel="1" x14ac:dyDescent="0.2">
      <c r="A120" s="820"/>
      <c r="B120" s="820"/>
      <c r="C120" s="843"/>
      <c r="D120" s="844"/>
      <c r="E120" s="845"/>
      <c r="F120" s="845"/>
      <c r="G120" s="845"/>
      <c r="H120" s="845"/>
      <c r="I120" s="845"/>
      <c r="J120" s="845"/>
      <c r="K120" s="845"/>
      <c r="L120" s="845"/>
      <c r="M120" s="845"/>
      <c r="N120" s="845"/>
      <c r="O120" s="285"/>
      <c r="P120" s="828"/>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row>
    <row r="121" spans="1:49" s="712" customFormat="1" ht="12.75" hidden="1" outlineLevel="1" x14ac:dyDescent="0.2">
      <c r="A121" s="820"/>
      <c r="B121" s="820"/>
      <c r="C121" s="843"/>
      <c r="D121" s="484" t="str">
        <f>FleetTypeA &amp;" Planning (Plg)"</f>
        <v>B737-300/400 Planning (Plg)</v>
      </c>
      <c r="E121" s="840"/>
      <c r="F121" s="840"/>
      <c r="G121" s="840"/>
      <c r="H121" s="840"/>
      <c r="I121" s="840"/>
      <c r="J121" s="840"/>
      <c r="K121" s="840"/>
      <c r="L121" s="840"/>
      <c r="M121" s="840"/>
      <c r="N121" s="840"/>
      <c r="O121" s="839"/>
      <c r="P121" s="828"/>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row>
    <row r="122" spans="1:49" s="712" customFormat="1" ht="12.75" hidden="1" outlineLevel="1" x14ac:dyDescent="0.2">
      <c r="A122" s="820"/>
      <c r="B122" s="820"/>
      <c r="C122" s="843"/>
      <c r="D122" s="233" t="str">
        <f>FleetTypeB&amp;" Plg AIRCRAFT Records Generated pa"</f>
        <v>B737-800 Plg AIRCRAFT Records Generated pa</v>
      </c>
      <c r="E122" s="596">
        <v>11001</v>
      </c>
      <c r="F122" s="596">
        <v>11002</v>
      </c>
      <c r="G122" s="596">
        <v>11003</v>
      </c>
      <c r="H122" s="596">
        <v>11004</v>
      </c>
      <c r="I122" s="596">
        <v>11005</v>
      </c>
      <c r="J122" s="596">
        <v>11006</v>
      </c>
      <c r="K122" s="596">
        <v>11007</v>
      </c>
      <c r="L122" s="596">
        <v>11008</v>
      </c>
      <c r="M122" s="596">
        <v>11009</v>
      </c>
      <c r="N122" s="596">
        <v>11010</v>
      </c>
      <c r="O122" s="839"/>
      <c r="P122" s="828"/>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row>
    <row r="123" spans="1:49" s="712" customFormat="1" ht="15.75" hidden="1" customHeight="1" outlineLevel="1" x14ac:dyDescent="0.2">
      <c r="A123" s="820"/>
      <c r="B123" s="820"/>
      <c r="C123" s="843"/>
      <c r="D123" s="501" t="str">
        <f>"Total "&amp;FleetTypeB&amp;" FLEET Plg Records Generated pa"</f>
        <v>Total B737-800 FLEET Plg Records Generated pa</v>
      </c>
      <c r="E123" s="505">
        <f t="shared" ref="E123:N123" si="22">E122*FleetSize_B</f>
        <v>275025</v>
      </c>
      <c r="F123" s="505">
        <f t="shared" si="22"/>
        <v>275050</v>
      </c>
      <c r="G123" s="505">
        <f t="shared" si="22"/>
        <v>275075</v>
      </c>
      <c r="H123" s="505">
        <f t="shared" si="22"/>
        <v>275100</v>
      </c>
      <c r="I123" s="505">
        <f t="shared" si="22"/>
        <v>275125</v>
      </c>
      <c r="J123" s="505">
        <f t="shared" si="22"/>
        <v>275150</v>
      </c>
      <c r="K123" s="505">
        <f t="shared" si="22"/>
        <v>275175</v>
      </c>
      <c r="L123" s="505">
        <f t="shared" si="22"/>
        <v>275200</v>
      </c>
      <c r="M123" s="505">
        <f t="shared" si="22"/>
        <v>275225</v>
      </c>
      <c r="N123" s="505">
        <f t="shared" si="22"/>
        <v>275250</v>
      </c>
      <c r="O123" s="285" t="s">
        <v>873</v>
      </c>
      <c r="P123" s="828"/>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row>
    <row r="124" spans="1:49" s="712" customFormat="1" ht="12.75" hidden="1" outlineLevel="1" x14ac:dyDescent="0.2">
      <c r="A124" s="820"/>
      <c r="B124" s="820"/>
      <c r="C124" s="843"/>
      <c r="D124" s="30"/>
      <c r="E124" s="30"/>
      <c r="F124" s="30"/>
      <c r="G124" s="30"/>
      <c r="H124" s="30"/>
      <c r="I124" s="30"/>
      <c r="J124" s="30"/>
      <c r="K124" s="30"/>
      <c r="L124" s="30"/>
      <c r="M124" s="30"/>
      <c r="N124" s="30"/>
      <c r="O124" s="839"/>
      <c r="P124" s="828"/>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row>
    <row r="125" spans="1:49" s="712" customFormat="1" ht="12.75" hidden="1" outlineLevel="1" x14ac:dyDescent="0.2">
      <c r="A125" s="820"/>
      <c r="B125" s="820"/>
      <c r="C125" s="843"/>
      <c r="D125" s="30"/>
      <c r="E125" s="30"/>
      <c r="F125" s="30"/>
      <c r="G125" s="30"/>
      <c r="H125" s="30"/>
      <c r="I125" s="30"/>
      <c r="J125" s="30"/>
      <c r="K125" s="30"/>
      <c r="L125" s="30"/>
      <c r="M125" s="30"/>
      <c r="N125" s="30"/>
      <c r="O125" s="839"/>
      <c r="P125" s="828"/>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row>
    <row r="126" spans="1:49" s="712" customFormat="1" ht="12.75" hidden="1" outlineLevel="1" x14ac:dyDescent="0.2">
      <c r="A126" s="820"/>
      <c r="B126" s="820"/>
      <c r="C126" s="843"/>
      <c r="D126" s="484" t="str">
        <f>FleetTypeB &amp;" Clerical, Records &amp; Tech Pubs (CRT)"</f>
        <v>B737-800 Clerical, Records &amp; Tech Pubs (CRT)</v>
      </c>
      <c r="E126" s="840"/>
      <c r="F126" s="840"/>
      <c r="G126" s="840"/>
      <c r="H126" s="840"/>
      <c r="I126" s="840"/>
      <c r="J126" s="840"/>
      <c r="K126" s="840"/>
      <c r="L126" s="840"/>
      <c r="M126" s="840"/>
      <c r="N126" s="840"/>
      <c r="O126" s="839"/>
      <c r="P126" s="828"/>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row>
    <row r="127" spans="1:49" s="712" customFormat="1" ht="25.5" hidden="1" customHeight="1" outlineLevel="1" x14ac:dyDescent="0.2">
      <c r="A127" s="820"/>
      <c r="B127" s="820"/>
      <c r="C127" s="256"/>
      <c r="D127" s="233" t="str">
        <f>FleetTypeB&amp;" SCL Per AIRCRAFT CRT Records Generated pa"</f>
        <v>B737-800 SCL Per AIRCRAFT CRT Records Generated pa</v>
      </c>
      <c r="E127" s="596">
        <v>12001</v>
      </c>
      <c r="F127" s="596">
        <v>12002</v>
      </c>
      <c r="G127" s="596">
        <v>12003</v>
      </c>
      <c r="H127" s="596">
        <v>12004</v>
      </c>
      <c r="I127" s="596">
        <v>12005</v>
      </c>
      <c r="J127" s="596">
        <v>12006</v>
      </c>
      <c r="K127" s="596">
        <v>12007</v>
      </c>
      <c r="L127" s="596">
        <v>12008</v>
      </c>
      <c r="M127" s="596">
        <v>12009</v>
      </c>
      <c r="N127" s="596">
        <v>12010</v>
      </c>
      <c r="O127" s="839"/>
      <c r="P127" s="828"/>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row>
    <row r="128" spans="1:49" s="712" customFormat="1" ht="12.75" hidden="1" outlineLevel="1" x14ac:dyDescent="0.2">
      <c r="A128" s="820"/>
      <c r="B128" s="820"/>
      <c r="C128" s="843"/>
      <c r="D128" s="501" t="str">
        <f>"Total "&amp;FleetTypeB&amp;" FLEET CRT Records Generated pa"</f>
        <v>Total B737-800 FLEET CRT Records Generated pa</v>
      </c>
      <c r="E128" s="505">
        <f t="shared" ref="E128:N128" si="23">E127*FleetSize_B</f>
        <v>300025</v>
      </c>
      <c r="F128" s="505">
        <f t="shared" si="23"/>
        <v>300050</v>
      </c>
      <c r="G128" s="505">
        <f t="shared" si="23"/>
        <v>300075</v>
      </c>
      <c r="H128" s="505">
        <f t="shared" si="23"/>
        <v>300100</v>
      </c>
      <c r="I128" s="505">
        <f t="shared" si="23"/>
        <v>300125</v>
      </c>
      <c r="J128" s="505">
        <f t="shared" si="23"/>
        <v>300150</v>
      </c>
      <c r="K128" s="505">
        <f t="shared" si="23"/>
        <v>300175</v>
      </c>
      <c r="L128" s="505">
        <f t="shared" si="23"/>
        <v>300200</v>
      </c>
      <c r="M128" s="505">
        <f t="shared" si="23"/>
        <v>300225</v>
      </c>
      <c r="N128" s="505">
        <f t="shared" si="23"/>
        <v>300250</v>
      </c>
      <c r="O128" s="285" t="s">
        <v>499</v>
      </c>
      <c r="P128" s="828"/>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row>
    <row r="129" spans="1:49" s="712" customFormat="1" ht="12.75" hidden="1" outlineLevel="1" x14ac:dyDescent="0.2">
      <c r="A129" s="820"/>
      <c r="B129" s="820"/>
      <c r="C129" s="843"/>
      <c r="D129" s="820"/>
      <c r="E129" s="840"/>
      <c r="F129" s="840"/>
      <c r="G129" s="840"/>
      <c r="H129" s="840"/>
      <c r="I129" s="840"/>
      <c r="J129" s="840"/>
      <c r="K129" s="840"/>
      <c r="L129" s="840"/>
      <c r="M129" s="840"/>
      <c r="N129" s="840"/>
      <c r="O129" s="839"/>
      <c r="P129" s="828"/>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row>
    <row r="130" spans="1:49" s="712" customFormat="1" ht="12.75" hidden="1" outlineLevel="1" x14ac:dyDescent="0.2">
      <c r="A130" s="820"/>
      <c r="B130" s="820"/>
      <c r="C130" s="843"/>
      <c r="D130" s="484" t="str">
        <f>FleetTypeB &amp;" Supply Chain &amp; Logistics (SCL)"</f>
        <v>B737-800 Supply Chain &amp; Logistics (SCL)</v>
      </c>
      <c r="E130" s="840"/>
      <c r="F130" s="840"/>
      <c r="G130" s="840"/>
      <c r="H130" s="840"/>
      <c r="I130" s="840"/>
      <c r="J130" s="840"/>
      <c r="K130" s="840"/>
      <c r="L130" s="840"/>
      <c r="M130" s="840"/>
      <c r="N130" s="840"/>
      <c r="O130" s="839"/>
      <c r="P130" s="828"/>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row>
    <row r="131" spans="1:49" s="712" customFormat="1" ht="12.75" hidden="1" outlineLevel="1" x14ac:dyDescent="0.2">
      <c r="A131" s="820"/>
      <c r="B131" s="820"/>
      <c r="C131" s="256"/>
      <c r="D131" s="233" t="str">
        <f>FleetTypeB&amp;" SCL Per AIRCRAFT OEMV Records Generated pa"</f>
        <v>B737-800 SCL Per AIRCRAFT OEMV Records Generated pa</v>
      </c>
      <c r="E131" s="596">
        <v>13001</v>
      </c>
      <c r="F131" s="596">
        <v>13002</v>
      </c>
      <c r="G131" s="596">
        <v>13003</v>
      </c>
      <c r="H131" s="596">
        <v>13004</v>
      </c>
      <c r="I131" s="596">
        <v>13005</v>
      </c>
      <c r="J131" s="596">
        <v>13006</v>
      </c>
      <c r="K131" s="596">
        <v>13007</v>
      </c>
      <c r="L131" s="596">
        <v>13008</v>
      </c>
      <c r="M131" s="596">
        <v>13009</v>
      </c>
      <c r="N131" s="596">
        <v>13010</v>
      </c>
      <c r="O131" s="839"/>
      <c r="P131" s="828"/>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row>
    <row r="132" spans="1:49" s="712" customFormat="1" ht="12.75" hidden="1" outlineLevel="1" x14ac:dyDescent="0.2">
      <c r="A132" s="820"/>
      <c r="B132" s="820"/>
      <c r="C132" s="843"/>
      <c r="D132" s="501" t="str">
        <f>"Total "&amp;FleetTypeB&amp;" FLEET SCL Records Generated pa"</f>
        <v>Total B737-800 FLEET SCL Records Generated pa</v>
      </c>
      <c r="E132" s="505">
        <f t="shared" ref="E132:N132" si="24">E131*FleetSize_B</f>
        <v>325025</v>
      </c>
      <c r="F132" s="505">
        <f t="shared" si="24"/>
        <v>325050</v>
      </c>
      <c r="G132" s="505">
        <f t="shared" si="24"/>
        <v>325075</v>
      </c>
      <c r="H132" s="505">
        <f t="shared" si="24"/>
        <v>325100</v>
      </c>
      <c r="I132" s="505">
        <f t="shared" si="24"/>
        <v>325125</v>
      </c>
      <c r="J132" s="505">
        <f t="shared" si="24"/>
        <v>325150</v>
      </c>
      <c r="K132" s="505">
        <f t="shared" si="24"/>
        <v>325175</v>
      </c>
      <c r="L132" s="505">
        <f t="shared" si="24"/>
        <v>325200</v>
      </c>
      <c r="M132" s="505">
        <f t="shared" si="24"/>
        <v>325225</v>
      </c>
      <c r="N132" s="505">
        <f t="shared" si="24"/>
        <v>325250</v>
      </c>
      <c r="O132" s="285" t="s">
        <v>500</v>
      </c>
      <c r="P132" s="828"/>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row>
    <row r="133" spans="1:49" s="712" customFormat="1" ht="12.75" hidden="1" outlineLevel="1" x14ac:dyDescent="0.2">
      <c r="A133" s="820"/>
      <c r="B133" s="820"/>
      <c r="C133" s="846"/>
      <c r="D133" s="820"/>
      <c r="E133" s="840"/>
      <c r="F133" s="840"/>
      <c r="G133" s="840"/>
      <c r="H133" s="840"/>
      <c r="I133" s="840"/>
      <c r="J133" s="840"/>
      <c r="K133" s="840"/>
      <c r="L133" s="840"/>
      <c r="M133" s="840"/>
      <c r="N133" s="840"/>
      <c r="O133" s="839"/>
      <c r="P133" s="828"/>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row>
    <row r="134" spans="1:49" s="712" customFormat="1" ht="12.75" hidden="1" outlineLevel="1" x14ac:dyDescent="0.2">
      <c r="A134" s="820"/>
      <c r="B134" s="820"/>
      <c r="C134" s="846"/>
      <c r="D134" s="484" t="str">
        <f>FleetTypeB &amp;" Quality, Safety &amp; Compliance (QSC)"</f>
        <v>B737-800 Quality, Safety &amp; Compliance (QSC)</v>
      </c>
      <c r="E134" s="840"/>
      <c r="F134" s="840"/>
      <c r="G134" s="840"/>
      <c r="H134" s="840"/>
      <c r="I134" s="840"/>
      <c r="J134" s="840"/>
      <c r="K134" s="840"/>
      <c r="L134" s="840"/>
      <c r="M134" s="840"/>
      <c r="N134" s="840"/>
      <c r="O134" s="839"/>
      <c r="P134" s="828"/>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row>
    <row r="135" spans="1:49" s="712" customFormat="1" ht="12.75" hidden="1" outlineLevel="1" x14ac:dyDescent="0.2">
      <c r="A135" s="820"/>
      <c r="B135" s="820"/>
      <c r="C135" s="256"/>
      <c r="D135" s="233" t="str">
        <f>FleetTypeB&amp;" QSC Per AIRCRAFT Records Generated pa"</f>
        <v>B737-800 QSC Per AIRCRAFT Records Generated pa</v>
      </c>
      <c r="E135" s="596">
        <v>14001</v>
      </c>
      <c r="F135" s="596">
        <v>14002</v>
      </c>
      <c r="G135" s="596">
        <v>14003</v>
      </c>
      <c r="H135" s="596">
        <v>14004</v>
      </c>
      <c r="I135" s="596">
        <v>14005</v>
      </c>
      <c r="J135" s="596">
        <v>14006</v>
      </c>
      <c r="K135" s="596">
        <v>14007</v>
      </c>
      <c r="L135" s="596">
        <v>14008</v>
      </c>
      <c r="M135" s="596">
        <v>14009</v>
      </c>
      <c r="N135" s="596">
        <v>14010</v>
      </c>
      <c r="O135" s="839"/>
      <c r="P135" s="828"/>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row>
    <row r="136" spans="1:49" s="712" customFormat="1" ht="15.75" hidden="1" customHeight="1" outlineLevel="1" x14ac:dyDescent="0.2">
      <c r="A136" s="820"/>
      <c r="B136" s="820"/>
      <c r="C136" s="843"/>
      <c r="D136" s="501" t="str">
        <f>"Total "&amp;FleetTypeB&amp;" FLEET QSC Records Generated pa"</f>
        <v>Total B737-800 FLEET QSC Records Generated pa</v>
      </c>
      <c r="E136" s="505">
        <f t="shared" ref="E136:N136" si="25">E135*FleetSize_B</f>
        <v>350025</v>
      </c>
      <c r="F136" s="505">
        <f t="shared" si="25"/>
        <v>350050</v>
      </c>
      <c r="G136" s="505">
        <f t="shared" si="25"/>
        <v>350075</v>
      </c>
      <c r="H136" s="505">
        <f t="shared" si="25"/>
        <v>350100</v>
      </c>
      <c r="I136" s="505">
        <f t="shared" si="25"/>
        <v>350125</v>
      </c>
      <c r="J136" s="505">
        <f t="shared" si="25"/>
        <v>350150</v>
      </c>
      <c r="K136" s="505">
        <f t="shared" si="25"/>
        <v>350175</v>
      </c>
      <c r="L136" s="505">
        <f t="shared" si="25"/>
        <v>350200</v>
      </c>
      <c r="M136" s="505">
        <f t="shared" si="25"/>
        <v>350225</v>
      </c>
      <c r="N136" s="505">
        <f t="shared" si="25"/>
        <v>350250</v>
      </c>
      <c r="O136" s="285" t="s">
        <v>501</v>
      </c>
      <c r="P136" s="828"/>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row>
    <row r="137" spans="1:49" s="712" customFormat="1" ht="12.75" hidden="1" outlineLevel="1" x14ac:dyDescent="0.2">
      <c r="A137" s="820"/>
      <c r="B137" s="820"/>
      <c r="C137" s="847"/>
      <c r="D137" s="820"/>
      <c r="E137" s="840"/>
      <c r="F137" s="840"/>
      <c r="G137" s="840"/>
      <c r="H137" s="840"/>
      <c r="I137" s="840"/>
      <c r="J137" s="840"/>
      <c r="K137" s="840"/>
      <c r="L137" s="840"/>
      <c r="M137" s="840"/>
      <c r="N137" s="840"/>
      <c r="O137" s="835"/>
      <c r="P137" s="828"/>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row>
    <row r="138" spans="1:49" s="712" customFormat="1" ht="12.75" hidden="1" outlineLevel="1" x14ac:dyDescent="0.2">
      <c r="A138" s="820"/>
      <c r="B138" s="820"/>
      <c r="C138" s="847"/>
      <c r="D138" s="484" t="str">
        <f>FleetTypeB &amp;" Engine Maintenance (EM)"</f>
        <v>B737-800 Engine Maintenance (EM)</v>
      </c>
      <c r="E138" s="840"/>
      <c r="F138" s="840"/>
      <c r="G138" s="840"/>
      <c r="H138" s="840"/>
      <c r="I138" s="840"/>
      <c r="J138" s="840"/>
      <c r="K138" s="840"/>
      <c r="L138" s="840"/>
      <c r="M138" s="840"/>
      <c r="N138" s="840"/>
      <c r="O138" s="835"/>
      <c r="P138" s="828"/>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row>
    <row r="139" spans="1:49" s="712" customFormat="1" ht="12.75" hidden="1" outlineLevel="1" x14ac:dyDescent="0.2">
      <c r="A139" s="820"/>
      <c r="B139" s="820"/>
      <c r="C139" s="256"/>
      <c r="D139" s="233" t="str">
        <f>FleetTypeB&amp;" EM Per AIRCRAFT Records Generated pa"</f>
        <v>B737-800 EM Per AIRCRAFT Records Generated pa</v>
      </c>
      <c r="E139" s="596">
        <v>15001</v>
      </c>
      <c r="F139" s="596">
        <v>15002</v>
      </c>
      <c r="G139" s="596">
        <v>15003</v>
      </c>
      <c r="H139" s="596">
        <v>15004</v>
      </c>
      <c r="I139" s="596">
        <v>15005</v>
      </c>
      <c r="J139" s="596">
        <v>15006</v>
      </c>
      <c r="K139" s="596">
        <v>15007</v>
      </c>
      <c r="L139" s="596">
        <v>15008</v>
      </c>
      <c r="M139" s="596">
        <v>15009</v>
      </c>
      <c r="N139" s="596">
        <v>15010</v>
      </c>
      <c r="O139" s="835"/>
      <c r="P139" s="828"/>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row>
    <row r="140" spans="1:49" s="712" customFormat="1" ht="15.75" hidden="1" customHeight="1" outlineLevel="1" x14ac:dyDescent="0.2">
      <c r="A140" s="820"/>
      <c r="B140" s="820"/>
      <c r="C140" s="256"/>
      <c r="D140" s="501" t="str">
        <f>"Total "&amp;FleetTypeB&amp;" FLEET EM Records Generated pa"</f>
        <v>Total B737-800 FLEET EM Records Generated pa</v>
      </c>
      <c r="E140" s="505">
        <f t="shared" ref="E140:N140" si="26">E139*FleetSize_B</f>
        <v>375025</v>
      </c>
      <c r="F140" s="505">
        <f t="shared" si="26"/>
        <v>375050</v>
      </c>
      <c r="G140" s="505">
        <f t="shared" si="26"/>
        <v>375075</v>
      </c>
      <c r="H140" s="505">
        <f t="shared" si="26"/>
        <v>375100</v>
      </c>
      <c r="I140" s="505">
        <f t="shared" si="26"/>
        <v>375125</v>
      </c>
      <c r="J140" s="505">
        <f t="shared" si="26"/>
        <v>375150</v>
      </c>
      <c r="K140" s="505">
        <f t="shared" si="26"/>
        <v>375175</v>
      </c>
      <c r="L140" s="505">
        <f t="shared" si="26"/>
        <v>375200</v>
      </c>
      <c r="M140" s="505">
        <f t="shared" si="26"/>
        <v>375225</v>
      </c>
      <c r="N140" s="505">
        <f t="shared" si="26"/>
        <v>375250</v>
      </c>
      <c r="O140" s="285" t="s">
        <v>502</v>
      </c>
      <c r="P140" s="828"/>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row>
    <row r="141" spans="1:49" s="712" customFormat="1" ht="12.75" hidden="1" outlineLevel="1" x14ac:dyDescent="0.2">
      <c r="A141" s="820"/>
      <c r="B141" s="820"/>
      <c r="C141" s="256"/>
      <c r="D141" s="30"/>
      <c r="E141" s="30"/>
      <c r="F141" s="30"/>
      <c r="G141" s="30"/>
      <c r="H141" s="30"/>
      <c r="I141" s="30"/>
      <c r="J141" s="30"/>
      <c r="K141" s="30"/>
      <c r="L141" s="30"/>
      <c r="M141" s="30"/>
      <c r="N141" s="30"/>
      <c r="O141" s="839"/>
      <c r="P141" s="828"/>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row>
    <row r="142" spans="1:49" s="712" customFormat="1" ht="12.75" hidden="1" outlineLevel="1" x14ac:dyDescent="0.2">
      <c r="A142" s="820"/>
      <c r="B142" s="820"/>
      <c r="C142" s="847"/>
      <c r="D142" s="484" t="str">
        <f>FleetTypeB &amp;" Component Maintenance (CM)"</f>
        <v>B737-800 Component Maintenance (CM)</v>
      </c>
      <c r="E142" s="840"/>
      <c r="F142" s="840"/>
      <c r="G142" s="840"/>
      <c r="H142" s="840"/>
      <c r="I142" s="840"/>
      <c r="J142" s="840"/>
      <c r="K142" s="840"/>
      <c r="L142" s="840"/>
      <c r="M142" s="840"/>
      <c r="N142" s="840"/>
      <c r="O142" s="835"/>
      <c r="P142" s="828"/>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row>
    <row r="143" spans="1:49" s="712" customFormat="1" ht="12.75" hidden="1" outlineLevel="1" x14ac:dyDescent="0.2">
      <c r="A143" s="820"/>
      <c r="B143" s="820"/>
      <c r="C143" s="256"/>
      <c r="D143" s="233" t="str">
        <f>FleetTypeB&amp;" CM Per AIRCRAFT Records Generated pa"</f>
        <v>B737-800 CM Per AIRCRAFT Records Generated pa</v>
      </c>
      <c r="E143" s="596">
        <v>15001</v>
      </c>
      <c r="F143" s="596">
        <v>15002</v>
      </c>
      <c r="G143" s="596">
        <v>15003</v>
      </c>
      <c r="H143" s="596">
        <v>15004</v>
      </c>
      <c r="I143" s="596">
        <v>15005</v>
      </c>
      <c r="J143" s="596">
        <v>15006</v>
      </c>
      <c r="K143" s="596">
        <v>15007</v>
      </c>
      <c r="L143" s="596">
        <v>15008</v>
      </c>
      <c r="M143" s="596">
        <v>15009</v>
      </c>
      <c r="N143" s="596">
        <v>15010</v>
      </c>
      <c r="O143" s="835"/>
      <c r="P143" s="828"/>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row>
    <row r="144" spans="1:49" s="712" customFormat="1" ht="15.75" hidden="1" customHeight="1" outlineLevel="1" x14ac:dyDescent="0.2">
      <c r="A144" s="820"/>
      <c r="B144" s="820"/>
      <c r="C144" s="256"/>
      <c r="D144" s="501" t="str">
        <f>"Total "&amp;FleetTypeB&amp;" FLEET CM Records Generated pa"</f>
        <v>Total B737-800 FLEET CM Records Generated pa</v>
      </c>
      <c r="E144" s="505">
        <f t="shared" ref="E144:N144" si="27">E143*FleetSize_B</f>
        <v>375025</v>
      </c>
      <c r="F144" s="505">
        <f t="shared" si="27"/>
        <v>375050</v>
      </c>
      <c r="G144" s="505">
        <f t="shared" si="27"/>
        <v>375075</v>
      </c>
      <c r="H144" s="505">
        <f t="shared" si="27"/>
        <v>375100</v>
      </c>
      <c r="I144" s="505">
        <f t="shared" si="27"/>
        <v>375125</v>
      </c>
      <c r="J144" s="505">
        <f t="shared" si="27"/>
        <v>375150</v>
      </c>
      <c r="K144" s="505">
        <f t="shared" si="27"/>
        <v>375175</v>
      </c>
      <c r="L144" s="505">
        <f t="shared" si="27"/>
        <v>375200</v>
      </c>
      <c r="M144" s="505">
        <f t="shared" si="27"/>
        <v>375225</v>
      </c>
      <c r="N144" s="505">
        <f t="shared" si="27"/>
        <v>375250</v>
      </c>
      <c r="O144" s="285" t="s">
        <v>503</v>
      </c>
      <c r="P144" s="828"/>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row>
    <row r="145" spans="1:49" s="712" customFormat="1" ht="12.75" hidden="1" outlineLevel="1" x14ac:dyDescent="0.2">
      <c r="A145" s="820"/>
      <c r="B145" s="820"/>
      <c r="C145" s="256"/>
      <c r="D145" s="30"/>
      <c r="E145" s="30"/>
      <c r="F145" s="30"/>
      <c r="G145" s="30"/>
      <c r="H145" s="30"/>
      <c r="I145" s="30"/>
      <c r="J145" s="30"/>
      <c r="K145" s="30"/>
      <c r="L145" s="30"/>
      <c r="M145" s="30"/>
      <c r="N145" s="30"/>
      <c r="O145" s="839"/>
      <c r="P145" s="828"/>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row>
    <row r="146" spans="1:49" s="712" customFormat="1" ht="15.75" hidden="1" customHeight="1" outlineLevel="1" x14ac:dyDescent="0.2">
      <c r="A146" s="820"/>
      <c r="B146" s="820"/>
      <c r="C146" s="847"/>
      <c r="D146" s="484" t="str">
        <f>FleetTypeB &amp;" Sheetmetal &amp; Composite Structures (SMCS)"</f>
        <v>B737-800 Sheetmetal &amp; Composite Structures (SMCS)</v>
      </c>
      <c r="E146" s="840"/>
      <c r="F146" s="840"/>
      <c r="G146" s="840"/>
      <c r="H146" s="840"/>
      <c r="I146" s="840"/>
      <c r="J146" s="840"/>
      <c r="K146" s="840"/>
      <c r="L146" s="840"/>
      <c r="M146" s="840"/>
      <c r="N146" s="840"/>
      <c r="O146" s="835"/>
      <c r="P146" s="828"/>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row>
    <row r="147" spans="1:49" s="712" customFormat="1" ht="12.75" hidden="1" outlineLevel="1" x14ac:dyDescent="0.2">
      <c r="A147" s="820"/>
      <c r="B147" s="820"/>
      <c r="C147" s="256"/>
      <c r="D147" s="233" t="str">
        <f>FleetTypeB&amp;" SMCS Per AIRCRAFT Records Generated pa"</f>
        <v>B737-800 SMCS Per AIRCRAFT Records Generated pa</v>
      </c>
      <c r="E147" s="596">
        <v>15001</v>
      </c>
      <c r="F147" s="596">
        <v>15002</v>
      </c>
      <c r="G147" s="596">
        <v>15003</v>
      </c>
      <c r="H147" s="596">
        <v>15004</v>
      </c>
      <c r="I147" s="596">
        <v>15005</v>
      </c>
      <c r="J147" s="596">
        <v>15006</v>
      </c>
      <c r="K147" s="596">
        <v>15007</v>
      </c>
      <c r="L147" s="596">
        <v>15008</v>
      </c>
      <c r="M147" s="596">
        <v>15009</v>
      </c>
      <c r="N147" s="596">
        <v>15010</v>
      </c>
      <c r="O147" s="835"/>
      <c r="P147" s="828"/>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row>
    <row r="148" spans="1:49" s="712" customFormat="1" ht="15.75" hidden="1" customHeight="1" outlineLevel="1" x14ac:dyDescent="0.2">
      <c r="A148" s="820"/>
      <c r="B148" s="820"/>
      <c r="C148" s="256"/>
      <c r="D148" s="501" t="str">
        <f>"Total "&amp;FleetTypeB&amp;" FLEET SMCS Records Generated pa"</f>
        <v>Total B737-800 FLEET SMCS Records Generated pa</v>
      </c>
      <c r="E148" s="505">
        <f t="shared" ref="E148:N148" si="28">E147*FleetSize_B</f>
        <v>375025</v>
      </c>
      <c r="F148" s="505">
        <f t="shared" si="28"/>
        <v>375050</v>
      </c>
      <c r="G148" s="505">
        <f t="shared" si="28"/>
        <v>375075</v>
      </c>
      <c r="H148" s="505">
        <f t="shared" si="28"/>
        <v>375100</v>
      </c>
      <c r="I148" s="505">
        <f t="shared" si="28"/>
        <v>375125</v>
      </c>
      <c r="J148" s="505">
        <f t="shared" si="28"/>
        <v>375150</v>
      </c>
      <c r="K148" s="505">
        <f t="shared" si="28"/>
        <v>375175</v>
      </c>
      <c r="L148" s="505">
        <f t="shared" si="28"/>
        <v>375200</v>
      </c>
      <c r="M148" s="505">
        <f t="shared" si="28"/>
        <v>375225</v>
      </c>
      <c r="N148" s="505">
        <f t="shared" si="28"/>
        <v>375250</v>
      </c>
      <c r="O148" s="285" t="s">
        <v>504</v>
      </c>
      <c r="P148" s="828"/>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row>
    <row r="149" spans="1:49" s="712" customFormat="1" ht="12.75" hidden="1" outlineLevel="1" x14ac:dyDescent="0.2">
      <c r="A149" s="820"/>
      <c r="B149" s="820"/>
      <c r="C149" s="256"/>
      <c r="D149" s="30"/>
      <c r="E149" s="30"/>
      <c r="F149" s="30"/>
      <c r="G149" s="30"/>
      <c r="H149" s="30"/>
      <c r="I149" s="30"/>
      <c r="J149" s="30"/>
      <c r="K149" s="30"/>
      <c r="L149" s="30"/>
      <c r="M149" s="30"/>
      <c r="N149" s="30"/>
      <c r="O149" s="839"/>
      <c r="P149" s="828"/>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row>
    <row r="150" spans="1:49" s="712" customFormat="1" ht="12.75" hidden="1" outlineLevel="1" x14ac:dyDescent="0.2">
      <c r="A150" s="820"/>
      <c r="B150" s="820"/>
      <c r="C150" s="847"/>
      <c r="D150" s="484" t="str">
        <f>FleetTypeB &amp;" Other 1 (O1)"</f>
        <v>B737-800 Other 1 (O1)</v>
      </c>
      <c r="E150" s="840"/>
      <c r="F150" s="840"/>
      <c r="G150" s="840"/>
      <c r="H150" s="840"/>
      <c r="I150" s="840"/>
      <c r="J150" s="840"/>
      <c r="K150" s="840"/>
      <c r="L150" s="840"/>
      <c r="M150" s="840"/>
      <c r="N150" s="840"/>
      <c r="O150" s="835"/>
      <c r="P150" s="828"/>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row>
    <row r="151" spans="1:49" s="712" customFormat="1" ht="12.75" hidden="1" outlineLevel="1" x14ac:dyDescent="0.2">
      <c r="A151" s="820"/>
      <c r="B151" s="820"/>
      <c r="C151" s="256"/>
      <c r="D151" s="233" t="str">
        <f>FleetTypeB&amp;" O1 Per AIRCRAFT Records Generated pa"</f>
        <v>B737-800 O1 Per AIRCRAFT Records Generated pa</v>
      </c>
      <c r="E151" s="596"/>
      <c r="F151" s="596"/>
      <c r="G151" s="596"/>
      <c r="H151" s="596"/>
      <c r="I151" s="596"/>
      <c r="J151" s="596"/>
      <c r="K151" s="596"/>
      <c r="L151" s="596"/>
      <c r="M151" s="596"/>
      <c r="N151" s="596"/>
      <c r="O151" s="835"/>
      <c r="P151" s="828"/>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row>
    <row r="152" spans="1:49" s="712" customFormat="1" ht="15.75" hidden="1" customHeight="1" outlineLevel="1" x14ac:dyDescent="0.2">
      <c r="A152" s="820"/>
      <c r="B152" s="820"/>
      <c r="C152" s="256"/>
      <c r="D152" s="501" t="str">
        <f>"Total "&amp;FleetTypeB&amp;" FLEET O1 Records Generated pa"</f>
        <v>Total B737-800 FLEET O1 Records Generated pa</v>
      </c>
      <c r="E152" s="505">
        <f t="shared" ref="E152:N152" si="29">E151*FleetSize_B</f>
        <v>0</v>
      </c>
      <c r="F152" s="505">
        <f t="shared" si="29"/>
        <v>0</v>
      </c>
      <c r="G152" s="505">
        <f t="shared" si="29"/>
        <v>0</v>
      </c>
      <c r="H152" s="505">
        <f t="shared" si="29"/>
        <v>0</v>
      </c>
      <c r="I152" s="505">
        <f t="shared" si="29"/>
        <v>0</v>
      </c>
      <c r="J152" s="505">
        <f t="shared" si="29"/>
        <v>0</v>
      </c>
      <c r="K152" s="505">
        <f t="shared" si="29"/>
        <v>0</v>
      </c>
      <c r="L152" s="505">
        <f t="shared" si="29"/>
        <v>0</v>
      </c>
      <c r="M152" s="505">
        <f t="shared" si="29"/>
        <v>0</v>
      </c>
      <c r="N152" s="505">
        <f t="shared" si="29"/>
        <v>0</v>
      </c>
      <c r="O152" s="285" t="s">
        <v>505</v>
      </c>
      <c r="P152" s="828"/>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row>
    <row r="153" spans="1:49" s="712" customFormat="1" ht="12.75" hidden="1" outlineLevel="1" x14ac:dyDescent="0.2">
      <c r="A153" s="820"/>
      <c r="B153" s="820"/>
      <c r="C153" s="256"/>
      <c r="D153" s="30"/>
      <c r="E153" s="30"/>
      <c r="F153" s="30"/>
      <c r="G153" s="30"/>
      <c r="H153" s="30"/>
      <c r="I153" s="30"/>
      <c r="J153" s="30"/>
      <c r="K153" s="30"/>
      <c r="L153" s="30"/>
      <c r="M153" s="30"/>
      <c r="N153" s="30"/>
      <c r="O153" s="839"/>
      <c r="P153" s="828"/>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row>
    <row r="154" spans="1:49" s="712" customFormat="1" ht="12.75" hidden="1" outlineLevel="1" x14ac:dyDescent="0.2">
      <c r="A154" s="820"/>
      <c r="B154" s="820"/>
      <c r="C154" s="847"/>
      <c r="D154" s="484" t="str">
        <f>FleetTypeB &amp;" Other 2 (O2)"</f>
        <v>B737-800 Other 2 (O2)</v>
      </c>
      <c r="E154" s="840"/>
      <c r="F154" s="840"/>
      <c r="G154" s="840"/>
      <c r="H154" s="840"/>
      <c r="I154" s="840"/>
      <c r="J154" s="840"/>
      <c r="K154" s="840"/>
      <c r="L154" s="840"/>
      <c r="M154" s="840"/>
      <c r="N154" s="840"/>
      <c r="O154" s="835"/>
      <c r="P154" s="828"/>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row>
    <row r="155" spans="1:49" s="712" customFormat="1" ht="12.75" hidden="1" outlineLevel="1" x14ac:dyDescent="0.2">
      <c r="A155" s="820"/>
      <c r="B155" s="820"/>
      <c r="C155" s="256"/>
      <c r="D155" s="233" t="str">
        <f>FleetTypeB&amp;" O2 Per AIRCRAFT Records Generated pa"</f>
        <v>B737-800 O2 Per AIRCRAFT Records Generated pa</v>
      </c>
      <c r="E155" s="596"/>
      <c r="F155" s="596"/>
      <c r="G155" s="596"/>
      <c r="H155" s="596"/>
      <c r="I155" s="596"/>
      <c r="J155" s="596"/>
      <c r="K155" s="596"/>
      <c r="L155" s="596"/>
      <c r="M155" s="596"/>
      <c r="N155" s="596"/>
      <c r="O155" s="835"/>
      <c r="P155" s="828"/>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row>
    <row r="156" spans="1:49" s="712" customFormat="1" ht="15.75" hidden="1" customHeight="1" outlineLevel="1" x14ac:dyDescent="0.2">
      <c r="A156" s="820"/>
      <c r="B156" s="820"/>
      <c r="C156" s="256"/>
      <c r="D156" s="501" t="str">
        <f>"Total "&amp;FleetTypeB&amp;" FLEET O2 Records Generated pa"</f>
        <v>Total B737-800 FLEET O2 Records Generated pa</v>
      </c>
      <c r="E156" s="505">
        <f t="shared" ref="E156:N156" si="30">E155*FleetSize_B</f>
        <v>0</v>
      </c>
      <c r="F156" s="505">
        <f t="shared" si="30"/>
        <v>0</v>
      </c>
      <c r="G156" s="505">
        <f t="shared" si="30"/>
        <v>0</v>
      </c>
      <c r="H156" s="505">
        <f t="shared" si="30"/>
        <v>0</v>
      </c>
      <c r="I156" s="505">
        <f t="shared" si="30"/>
        <v>0</v>
      </c>
      <c r="J156" s="505">
        <f t="shared" si="30"/>
        <v>0</v>
      </c>
      <c r="K156" s="505">
        <f t="shared" si="30"/>
        <v>0</v>
      </c>
      <c r="L156" s="505">
        <f t="shared" si="30"/>
        <v>0</v>
      </c>
      <c r="M156" s="505">
        <f t="shared" si="30"/>
        <v>0</v>
      </c>
      <c r="N156" s="505">
        <f t="shared" si="30"/>
        <v>0</v>
      </c>
      <c r="O156" s="285" t="s">
        <v>507</v>
      </c>
      <c r="P156" s="828"/>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row>
    <row r="157" spans="1:49" s="712" customFormat="1" ht="12.75" hidden="1" outlineLevel="1" x14ac:dyDescent="0.2">
      <c r="A157" s="820"/>
      <c r="B157" s="820"/>
      <c r="C157" s="256"/>
      <c r="D157" s="30"/>
      <c r="E157" s="30"/>
      <c r="F157" s="30"/>
      <c r="G157" s="30"/>
      <c r="H157" s="30"/>
      <c r="I157" s="30"/>
      <c r="J157" s="30"/>
      <c r="K157" s="30"/>
      <c r="L157" s="30"/>
      <c r="M157" s="30"/>
      <c r="N157" s="30"/>
      <c r="O157" s="839"/>
      <c r="P157" s="828"/>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row>
    <row r="158" spans="1:49" s="712" customFormat="1" ht="21.75" hidden="1" customHeight="1" outlineLevel="1" x14ac:dyDescent="0.2">
      <c r="A158" s="820"/>
      <c r="B158" s="820"/>
      <c r="C158" s="848"/>
      <c r="D158" s="849" t="str">
        <f>"Grand Total ("&amp;(FleetTypeB)&amp;") "&amp;"Records Generated pa"</f>
        <v>Grand Total (B737-800) Records Generated pa</v>
      </c>
      <c r="E158" s="714">
        <f t="shared" ref="E158:N158" si="31">SUM(RecordsHMFleetTotalpa_B+RecordsLMFleetTotalpa_B+RecordsEngFleetTotalpa_B+RecordsPlgFleetTotalpa_B+RecordsCRTFleetTotalpa_B+RecordsSCLFleetTotalpa_B+RecordsQSCFleetTotalpa_B+RecordsEMFleetTotalpa_B+RecordsCMFleetTotalpa_B+RecordsSMCSFleetTotalpa_B+RecordsO1FleetTotalpa_B+RecordsO2FleetTotalpa_B)</f>
        <v>2948975</v>
      </c>
      <c r="F158" s="714">
        <f t="shared" si="31"/>
        <v>2944735.7142857146</v>
      </c>
      <c r="G158" s="714">
        <f t="shared" si="31"/>
        <v>2941612.5</v>
      </c>
      <c r="H158" s="714">
        <f t="shared" si="31"/>
        <v>2950185.7142857146</v>
      </c>
      <c r="I158" s="714">
        <f t="shared" si="31"/>
        <v>2952910.7142857146</v>
      </c>
      <c r="J158" s="714">
        <f t="shared" si="31"/>
        <v>2955635.7142857146</v>
      </c>
      <c r="K158" s="714">
        <f t="shared" si="31"/>
        <v>2958360.7142857146</v>
      </c>
      <c r="L158" s="714">
        <f t="shared" si="31"/>
        <v>2961085.7142857146</v>
      </c>
      <c r="M158" s="714">
        <f t="shared" si="31"/>
        <v>2963810.7142857146</v>
      </c>
      <c r="N158" s="714">
        <f t="shared" si="31"/>
        <v>2966535.7142857146</v>
      </c>
      <c r="O158" s="285" t="s">
        <v>508</v>
      </c>
      <c r="P158" s="828"/>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row>
    <row r="159" spans="1:49" s="193" customFormat="1" ht="13.5" hidden="1" outlineLevel="1" thickBot="1" x14ac:dyDescent="0.25">
      <c r="A159" s="820"/>
      <c r="B159" s="833"/>
      <c r="C159" s="858"/>
      <c r="D159" s="529"/>
      <c r="E159" s="859"/>
      <c r="F159" s="859"/>
      <c r="G159" s="859"/>
      <c r="H159" s="859"/>
      <c r="I159" s="859"/>
      <c r="J159" s="859"/>
      <c r="K159" s="859"/>
      <c r="L159" s="859"/>
      <c r="M159" s="859"/>
      <c r="N159" s="859"/>
      <c r="O159" s="860"/>
      <c r="P159" s="828"/>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row>
    <row r="160" spans="1:49" s="193" customFormat="1" ht="12.75" hidden="1" outlineLevel="1" x14ac:dyDescent="0.2">
      <c r="A160" s="820"/>
      <c r="B160" s="833"/>
      <c r="C160" s="833"/>
      <c r="D160" s="30"/>
      <c r="E160" s="833"/>
      <c r="F160" s="833"/>
      <c r="G160" s="833"/>
      <c r="H160" s="833"/>
      <c r="I160" s="833"/>
      <c r="J160" s="833"/>
      <c r="K160" s="833"/>
      <c r="L160" s="833"/>
      <c r="M160" s="833"/>
      <c r="N160" s="833"/>
      <c r="O160" s="833"/>
      <c r="P160" s="828"/>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row>
    <row r="161" spans="1:49" s="122" customFormat="1" ht="15.75" collapsed="1" x14ac:dyDescent="0.2">
      <c r="A161" s="1043">
        <v>4</v>
      </c>
      <c r="B161" s="1039"/>
      <c r="C161" s="1039"/>
      <c r="D161" s="1039"/>
      <c r="E161" s="1039"/>
      <c r="F161" s="1039"/>
      <c r="G161" s="1039"/>
      <c r="H161" s="1039"/>
      <c r="I161" s="1039"/>
      <c r="J161" s="1039"/>
      <c r="K161" s="1039"/>
      <c r="L161" s="1039"/>
      <c r="M161" s="1039"/>
      <c r="N161" s="1039"/>
      <c r="O161" s="1039"/>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row>
    <row r="162" spans="1:49" s="712" customFormat="1" ht="13.5" thickBot="1" x14ac:dyDescent="0.25">
      <c r="A162" s="820"/>
      <c r="B162" s="180"/>
      <c r="C162" s="852"/>
      <c r="D162" s="820"/>
      <c r="E162" s="840"/>
      <c r="F162" s="840"/>
      <c r="G162" s="840"/>
      <c r="H162" s="840"/>
      <c r="I162" s="840"/>
      <c r="J162" s="840"/>
      <c r="K162" s="840"/>
      <c r="L162" s="840"/>
      <c r="M162" s="840"/>
      <c r="N162" s="840"/>
      <c r="O162" s="828"/>
      <c r="P162" s="828"/>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row>
    <row r="163" spans="1:49" s="712" customFormat="1" ht="31.5" x14ac:dyDescent="0.2">
      <c r="A163" s="1342" t="str">
        <f>"Purpose - To calculate Total Records generated by 'FleetTypeC'          " &amp; (FleetTypeC)</f>
        <v>Purpose - To calculate Total Records generated by 'FleetTypeC'          B717</v>
      </c>
      <c r="B163" s="180"/>
      <c r="C163" s="1343" t="str">
        <f>FleetTypeC &amp;" (FleetTypeC) Records
Generated pa"</f>
        <v>B717 (FleetTypeC) Records
Generated pa</v>
      </c>
      <c r="D163" s="853"/>
      <c r="E163" s="853"/>
      <c r="F163" s="853"/>
      <c r="G163" s="853"/>
      <c r="H163" s="853"/>
      <c r="I163" s="853"/>
      <c r="J163" s="853"/>
      <c r="K163" s="853"/>
      <c r="L163" s="853"/>
      <c r="M163" s="853"/>
      <c r="N163" s="853"/>
      <c r="O163" s="854"/>
      <c r="P163" s="828"/>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row>
    <row r="164" spans="1:49" s="193" customFormat="1" ht="12.75" x14ac:dyDescent="0.2">
      <c r="A164" s="820"/>
      <c r="B164" s="833"/>
      <c r="C164" s="833"/>
      <c r="D164" s="30"/>
      <c r="E164" s="833"/>
      <c r="F164" s="833"/>
      <c r="G164" s="833"/>
      <c r="H164" s="833"/>
      <c r="I164" s="833"/>
      <c r="J164" s="833"/>
      <c r="K164" s="833"/>
      <c r="L164" s="833"/>
      <c r="M164" s="833"/>
      <c r="N164" s="833"/>
      <c r="O164" s="833"/>
      <c r="P164" s="828"/>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row>
    <row r="165" spans="1:49" s="193" customFormat="1" ht="13.5" hidden="1" outlineLevel="1" thickBot="1" x14ac:dyDescent="0.25">
      <c r="A165" s="820"/>
      <c r="B165" s="833"/>
      <c r="C165" s="820"/>
      <c r="D165" s="30"/>
      <c r="E165" s="833"/>
      <c r="F165" s="833"/>
      <c r="G165" s="833"/>
      <c r="H165" s="833"/>
      <c r="I165" s="833"/>
      <c r="J165" s="833"/>
      <c r="K165" s="833"/>
      <c r="L165" s="833"/>
      <c r="M165" s="833"/>
      <c r="N165" s="833"/>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row>
    <row r="166" spans="1:49" s="712" customFormat="1" ht="20.100000000000001" hidden="1" customHeight="1" outlineLevel="1" x14ac:dyDescent="0.2">
      <c r="A166" s="820"/>
      <c r="B166" s="180"/>
      <c r="C166" s="1344"/>
      <c r="D166" s="853"/>
      <c r="E166" s="853"/>
      <c r="F166" s="853"/>
      <c r="G166" s="853"/>
      <c r="H166" s="853"/>
      <c r="I166" s="853"/>
      <c r="J166" s="853"/>
      <c r="K166" s="853"/>
      <c r="L166" s="853"/>
      <c r="M166" s="853"/>
      <c r="N166" s="853"/>
      <c r="O166" s="854"/>
      <c r="P166" s="828"/>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row>
    <row r="167" spans="1:49" s="712" customFormat="1" ht="15.75" hidden="1" customHeight="1" outlineLevel="1" x14ac:dyDescent="0.2">
      <c r="A167" s="820"/>
      <c r="B167" s="180"/>
      <c r="C167" s="256"/>
      <c r="D167" s="840"/>
      <c r="E167" s="840"/>
      <c r="F167" s="840"/>
      <c r="G167" s="840"/>
      <c r="H167" s="840"/>
      <c r="I167" s="840"/>
      <c r="J167" s="840"/>
      <c r="K167" s="840"/>
      <c r="L167" s="840"/>
      <c r="M167" s="840"/>
      <c r="N167" s="840"/>
      <c r="O167" s="835"/>
      <c r="P167" s="828"/>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row>
    <row r="168" spans="1:49" s="193" customFormat="1" ht="20.25" hidden="1" customHeight="1" outlineLevel="1" x14ac:dyDescent="0.2">
      <c r="A168" s="820"/>
      <c r="B168" s="180"/>
      <c r="C168" s="256"/>
      <c r="D168" s="484" t="str">
        <f>FleetTypeC &amp;" Heavy Maintenance (HM)"</f>
        <v>B717 Heavy Maintenance (HM)</v>
      </c>
      <c r="E168" s="820"/>
      <c r="F168" s="39"/>
      <c r="G168" s="822"/>
      <c r="H168" s="822"/>
      <c r="I168" s="822"/>
      <c r="J168" s="822"/>
      <c r="K168" s="822"/>
      <c r="L168" s="822"/>
      <c r="M168" s="822"/>
      <c r="N168" s="822"/>
      <c r="O168" s="829"/>
      <c r="P168" s="828"/>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row>
    <row r="169" spans="1:49" s="193" customFormat="1" ht="15" hidden="1" customHeight="1" outlineLevel="1" x14ac:dyDescent="0.2">
      <c r="A169" s="820"/>
      <c r="B169" s="830"/>
      <c r="C169" s="831"/>
      <c r="D169" s="501" t="str">
        <f>FleetTypeC&amp;" HM Cycle (Years)"</f>
        <v>B717 HM Cycle (Years)</v>
      </c>
      <c r="E169" s="855">
        <v>12</v>
      </c>
      <c r="F169" s="855">
        <v>14</v>
      </c>
      <c r="G169" s="855">
        <v>16</v>
      </c>
      <c r="H169" s="855">
        <v>14</v>
      </c>
      <c r="I169" s="855">
        <v>14</v>
      </c>
      <c r="J169" s="855">
        <v>14</v>
      </c>
      <c r="K169" s="855">
        <v>14</v>
      </c>
      <c r="L169" s="855">
        <v>14</v>
      </c>
      <c r="M169" s="855">
        <v>14</v>
      </c>
      <c r="N169" s="855">
        <v>14</v>
      </c>
      <c r="O169" s="257" t="s">
        <v>105</v>
      </c>
      <c r="P169" s="828"/>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row>
    <row r="170" spans="1:49" s="193" customFormat="1" ht="12.95" hidden="1" customHeight="1" outlineLevel="1" x14ac:dyDescent="0.2">
      <c r="A170" s="820"/>
      <c r="B170" s="833"/>
      <c r="C170" s="834"/>
      <c r="D170" s="820"/>
      <c r="E170" s="833"/>
      <c r="F170" s="833"/>
      <c r="G170" s="833"/>
      <c r="H170" s="833"/>
      <c r="I170" s="833"/>
      <c r="J170" s="833"/>
      <c r="K170" s="833"/>
      <c r="L170" s="833"/>
      <c r="M170" s="833"/>
      <c r="N170" s="833"/>
      <c r="O170" s="835"/>
      <c r="P170" s="828"/>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row>
    <row r="171" spans="1:49" s="193" customFormat="1" ht="12.75" hidden="1" customHeight="1" outlineLevel="1" x14ac:dyDescent="0.2">
      <c r="A171" s="820"/>
      <c r="B171" s="30"/>
      <c r="C171" s="256"/>
      <c r="D171" s="57" t="s">
        <v>256</v>
      </c>
      <c r="E171" s="856">
        <v>1100</v>
      </c>
      <c r="F171" s="856">
        <v>1200</v>
      </c>
      <c r="G171" s="856">
        <v>1300</v>
      </c>
      <c r="H171" s="856">
        <v>1400</v>
      </c>
      <c r="I171" s="856">
        <v>1500</v>
      </c>
      <c r="J171" s="856">
        <v>1600</v>
      </c>
      <c r="K171" s="856">
        <v>1700</v>
      </c>
      <c r="L171" s="856">
        <v>1800</v>
      </c>
      <c r="M171" s="856">
        <v>1900</v>
      </c>
      <c r="N171" s="856">
        <v>2000</v>
      </c>
      <c r="O171" s="835"/>
      <c r="P171" s="828"/>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row>
    <row r="172" spans="1:49" s="193" customFormat="1" ht="12.95" hidden="1" customHeight="1" outlineLevel="1" x14ac:dyDescent="0.2">
      <c r="A172" s="820"/>
      <c r="B172" s="833"/>
      <c r="C172" s="837"/>
      <c r="D172" s="57" t="s">
        <v>257</v>
      </c>
      <c r="E172" s="857">
        <v>2100</v>
      </c>
      <c r="F172" s="857">
        <v>2200</v>
      </c>
      <c r="G172" s="857">
        <v>2300</v>
      </c>
      <c r="H172" s="857">
        <v>2400</v>
      </c>
      <c r="I172" s="857">
        <v>2500</v>
      </c>
      <c r="J172" s="857">
        <v>2600</v>
      </c>
      <c r="K172" s="857">
        <v>2700</v>
      </c>
      <c r="L172" s="857">
        <v>2800</v>
      </c>
      <c r="M172" s="857">
        <v>2900</v>
      </c>
      <c r="N172" s="857">
        <v>3000</v>
      </c>
      <c r="O172" s="835"/>
      <c r="P172" s="828"/>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row>
    <row r="173" spans="1:49" s="193" customFormat="1" ht="12.95" hidden="1" customHeight="1" outlineLevel="1" x14ac:dyDescent="0.2">
      <c r="A173" s="820"/>
      <c r="B173" s="833"/>
      <c r="C173" s="837"/>
      <c r="D173" s="57" t="s">
        <v>258</v>
      </c>
      <c r="E173" s="857" t="s">
        <v>20</v>
      </c>
      <c r="F173" s="857" t="s">
        <v>20</v>
      </c>
      <c r="G173" s="857" t="s">
        <v>20</v>
      </c>
      <c r="H173" s="857" t="s">
        <v>20</v>
      </c>
      <c r="I173" s="857" t="s">
        <v>20</v>
      </c>
      <c r="J173" s="857" t="s">
        <v>20</v>
      </c>
      <c r="K173" s="857" t="s">
        <v>20</v>
      </c>
      <c r="L173" s="857" t="s">
        <v>20</v>
      </c>
      <c r="M173" s="857" t="s">
        <v>20</v>
      </c>
      <c r="N173" s="857" t="s">
        <v>20</v>
      </c>
      <c r="O173" s="835"/>
      <c r="P173" s="828"/>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row>
    <row r="174" spans="1:49" s="193" customFormat="1" ht="12.95" hidden="1" customHeight="1" outlineLevel="1" x14ac:dyDescent="0.2">
      <c r="A174" s="820"/>
      <c r="B174" s="833"/>
      <c r="C174" s="837"/>
      <c r="D174" s="57" t="s">
        <v>259</v>
      </c>
      <c r="E174" s="857">
        <v>4100</v>
      </c>
      <c r="F174" s="857">
        <v>4200</v>
      </c>
      <c r="G174" s="857">
        <v>4300</v>
      </c>
      <c r="H174" s="857">
        <v>4400</v>
      </c>
      <c r="I174" s="857">
        <v>4500</v>
      </c>
      <c r="J174" s="857">
        <v>4600</v>
      </c>
      <c r="K174" s="857">
        <v>4700</v>
      </c>
      <c r="L174" s="857">
        <v>4800</v>
      </c>
      <c r="M174" s="857">
        <v>4900</v>
      </c>
      <c r="N174" s="857">
        <v>5000</v>
      </c>
      <c r="O174" s="835"/>
      <c r="P174" s="828"/>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row>
    <row r="175" spans="1:49" s="193" customFormat="1" ht="12.95" hidden="1" customHeight="1" outlineLevel="1" x14ac:dyDescent="0.2">
      <c r="A175" s="820"/>
      <c r="B175" s="833"/>
      <c r="C175" s="837"/>
      <c r="D175" s="57" t="s">
        <v>260</v>
      </c>
      <c r="E175" s="857" t="s">
        <v>20</v>
      </c>
      <c r="F175" s="857" t="s">
        <v>20</v>
      </c>
      <c r="G175" s="857" t="s">
        <v>20</v>
      </c>
      <c r="H175" s="857" t="s">
        <v>20</v>
      </c>
      <c r="I175" s="857" t="s">
        <v>20</v>
      </c>
      <c r="J175" s="857" t="s">
        <v>20</v>
      </c>
      <c r="K175" s="857" t="s">
        <v>20</v>
      </c>
      <c r="L175" s="857" t="s">
        <v>20</v>
      </c>
      <c r="M175" s="857" t="s">
        <v>20</v>
      </c>
      <c r="N175" s="857" t="s">
        <v>20</v>
      </c>
      <c r="O175" s="835"/>
      <c r="P175" s="828"/>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row>
    <row r="176" spans="1:49" s="193" customFormat="1" ht="12.95" hidden="1" customHeight="1" outlineLevel="1" x14ac:dyDescent="0.2">
      <c r="A176" s="820"/>
      <c r="B176" s="833"/>
      <c r="C176" s="837"/>
      <c r="D176" s="57" t="s">
        <v>261</v>
      </c>
      <c r="E176" s="857">
        <v>7100</v>
      </c>
      <c r="F176" s="857">
        <v>7200</v>
      </c>
      <c r="G176" s="857">
        <v>7300</v>
      </c>
      <c r="H176" s="857">
        <v>7400</v>
      </c>
      <c r="I176" s="857">
        <v>7500</v>
      </c>
      <c r="J176" s="857">
        <v>7600</v>
      </c>
      <c r="K176" s="857">
        <v>7700</v>
      </c>
      <c r="L176" s="857">
        <v>7800</v>
      </c>
      <c r="M176" s="857">
        <v>7900</v>
      </c>
      <c r="N176" s="857">
        <v>8000</v>
      </c>
      <c r="O176" s="835"/>
      <c r="P176" s="828"/>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row>
    <row r="177" spans="1:49" s="193" customFormat="1" ht="12.95" hidden="1" customHeight="1" outlineLevel="1" x14ac:dyDescent="0.2">
      <c r="A177" s="820"/>
      <c r="B177" s="833"/>
      <c r="C177" s="837"/>
      <c r="D177" s="57" t="s">
        <v>262</v>
      </c>
      <c r="E177" s="857" t="s">
        <v>20</v>
      </c>
      <c r="F177" s="857" t="s">
        <v>20</v>
      </c>
      <c r="G177" s="857" t="s">
        <v>20</v>
      </c>
      <c r="H177" s="857" t="s">
        <v>20</v>
      </c>
      <c r="I177" s="857" t="s">
        <v>20</v>
      </c>
      <c r="J177" s="857" t="s">
        <v>20</v>
      </c>
      <c r="K177" s="857" t="s">
        <v>20</v>
      </c>
      <c r="L177" s="857" t="s">
        <v>20</v>
      </c>
      <c r="M177" s="857" t="s">
        <v>20</v>
      </c>
      <c r="N177" s="857" t="s">
        <v>20</v>
      </c>
      <c r="O177" s="835"/>
      <c r="P177" s="828"/>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row>
    <row r="178" spans="1:49" s="193" customFormat="1" ht="12.95" hidden="1" customHeight="1" outlineLevel="1" x14ac:dyDescent="0.2">
      <c r="A178" s="820"/>
      <c r="B178" s="833"/>
      <c r="C178" s="837"/>
      <c r="D178" s="57" t="s">
        <v>263</v>
      </c>
      <c r="E178" s="857">
        <v>9000</v>
      </c>
      <c r="F178" s="857">
        <v>10000</v>
      </c>
      <c r="G178" s="857">
        <v>11000</v>
      </c>
      <c r="H178" s="857">
        <v>12000</v>
      </c>
      <c r="I178" s="857">
        <v>13000</v>
      </c>
      <c r="J178" s="857">
        <v>14000</v>
      </c>
      <c r="K178" s="857">
        <v>15000</v>
      </c>
      <c r="L178" s="857">
        <v>16000</v>
      </c>
      <c r="M178" s="857">
        <v>17000</v>
      </c>
      <c r="N178" s="857">
        <v>18000</v>
      </c>
      <c r="O178" s="835"/>
      <c r="P178" s="828"/>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row>
    <row r="179" spans="1:49" s="193" customFormat="1" ht="12.95" hidden="1" customHeight="1" outlineLevel="1" x14ac:dyDescent="0.2">
      <c r="A179" s="820"/>
      <c r="B179" s="833"/>
      <c r="C179" s="837"/>
      <c r="D179" s="60" t="s">
        <v>113</v>
      </c>
      <c r="E179" s="502">
        <f t="shared" ref="E179:H179" si="32">SUM(E171:E178)</f>
        <v>23400</v>
      </c>
      <c r="F179" s="502">
        <f t="shared" si="32"/>
        <v>24800</v>
      </c>
      <c r="G179" s="502">
        <f t="shared" si="32"/>
        <v>26200</v>
      </c>
      <c r="H179" s="502">
        <f t="shared" si="32"/>
        <v>27600</v>
      </c>
      <c r="I179" s="502">
        <f t="shared" ref="I179:N179" si="33">SUM(I171:I178)</f>
        <v>29000</v>
      </c>
      <c r="J179" s="502">
        <f t="shared" si="33"/>
        <v>30400</v>
      </c>
      <c r="K179" s="502">
        <f t="shared" si="33"/>
        <v>31800</v>
      </c>
      <c r="L179" s="502">
        <f t="shared" si="33"/>
        <v>33200</v>
      </c>
      <c r="M179" s="502">
        <f t="shared" si="33"/>
        <v>34600</v>
      </c>
      <c r="N179" s="502">
        <f t="shared" si="33"/>
        <v>36000</v>
      </c>
      <c r="O179" s="285" t="s">
        <v>517</v>
      </c>
      <c r="P179" s="828"/>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row>
    <row r="180" spans="1:49" s="193" customFormat="1" ht="12.75" hidden="1" outlineLevel="1" x14ac:dyDescent="0.2">
      <c r="A180" s="820"/>
      <c r="B180" s="833"/>
      <c r="C180" s="837"/>
      <c r="D180" s="501" t="str">
        <f>"Total "&amp;FleetTypeC&amp;" FLEET HM Records Generated pa"</f>
        <v>Total B717 FLEET HM Records Generated pa</v>
      </c>
      <c r="E180" s="503">
        <f t="shared" ref="E180:N180" si="34">E179/FleetCycleHvy_C*FleetSize_C</f>
        <v>19500</v>
      </c>
      <c r="F180" s="503">
        <f t="shared" si="34"/>
        <v>17714.285714285714</v>
      </c>
      <c r="G180" s="503">
        <f t="shared" si="34"/>
        <v>16375</v>
      </c>
      <c r="H180" s="503">
        <f t="shared" si="34"/>
        <v>19714.285714285714</v>
      </c>
      <c r="I180" s="503">
        <f t="shared" si="34"/>
        <v>20714.285714285717</v>
      </c>
      <c r="J180" s="503">
        <f t="shared" si="34"/>
        <v>21714.285714285717</v>
      </c>
      <c r="K180" s="503">
        <f t="shared" si="34"/>
        <v>22714.285714285717</v>
      </c>
      <c r="L180" s="503">
        <f t="shared" si="34"/>
        <v>23714.285714285717</v>
      </c>
      <c r="M180" s="503">
        <f t="shared" si="34"/>
        <v>24714.285714285717</v>
      </c>
      <c r="N180" s="503">
        <f t="shared" si="34"/>
        <v>25714.285714285717</v>
      </c>
      <c r="O180" s="285" t="s">
        <v>509</v>
      </c>
      <c r="P180" s="828"/>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row>
    <row r="181" spans="1:49" s="712" customFormat="1" ht="12.75" hidden="1" outlineLevel="1" x14ac:dyDescent="0.2">
      <c r="A181" s="820"/>
      <c r="B181" s="820"/>
      <c r="C181" s="837"/>
      <c r="D181" s="30"/>
      <c r="E181" s="30"/>
      <c r="F181" s="30"/>
      <c r="G181" s="30"/>
      <c r="H181" s="30"/>
      <c r="I181" s="30"/>
      <c r="J181" s="30"/>
      <c r="K181" s="30"/>
      <c r="L181" s="30"/>
      <c r="M181" s="30"/>
      <c r="N181" s="30"/>
      <c r="O181" s="839"/>
      <c r="P181" s="828"/>
      <c r="Q181" s="41"/>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row>
    <row r="182" spans="1:49" s="712" customFormat="1" ht="12.75" hidden="1" outlineLevel="1" x14ac:dyDescent="0.2">
      <c r="A182" s="820"/>
      <c r="B182" s="820"/>
      <c r="C182" s="837"/>
      <c r="D182" s="484" t="str">
        <f>FleetTypeC &amp;" Line Maintenance (LM)"</f>
        <v>B717 Line Maintenance (LM)</v>
      </c>
      <c r="E182" s="840"/>
      <c r="F182" s="840"/>
      <c r="G182" s="840"/>
      <c r="H182" s="840"/>
      <c r="I182" s="840"/>
      <c r="J182" s="840"/>
      <c r="K182" s="840"/>
      <c r="L182" s="840"/>
      <c r="M182" s="840"/>
      <c r="N182" s="840"/>
      <c r="O182" s="839"/>
      <c r="P182" s="828"/>
      <c r="Q182" s="41"/>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row>
    <row r="183" spans="1:49" s="712" customFormat="1" ht="12.75" hidden="1" outlineLevel="1" x14ac:dyDescent="0.2">
      <c r="A183" s="820"/>
      <c r="B183" s="841"/>
      <c r="C183" s="837"/>
      <c r="D183" s="233" t="str">
        <f>FleetTypeC&amp; " LM Per AIRCRAFT Records Generated pa"</f>
        <v>B717 LM Per AIRCRAFT Records Generated pa</v>
      </c>
      <c r="E183" s="596">
        <v>10001</v>
      </c>
      <c r="F183" s="596">
        <v>10002</v>
      </c>
      <c r="G183" s="596">
        <v>10003</v>
      </c>
      <c r="H183" s="596">
        <v>10004</v>
      </c>
      <c r="I183" s="596">
        <v>10005</v>
      </c>
      <c r="J183" s="596">
        <v>10006</v>
      </c>
      <c r="K183" s="596">
        <v>10007</v>
      </c>
      <c r="L183" s="596">
        <v>10008</v>
      </c>
      <c r="M183" s="596">
        <v>10009</v>
      </c>
      <c r="N183" s="596">
        <v>10010</v>
      </c>
      <c r="O183" s="839"/>
      <c r="P183" s="828"/>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row>
    <row r="184" spans="1:49" s="712" customFormat="1" ht="12.75" hidden="1" outlineLevel="1" x14ac:dyDescent="0.2">
      <c r="A184" s="820"/>
      <c r="B184" s="841"/>
      <c r="C184" s="843"/>
      <c r="D184" s="501" t="str">
        <f>"Total "&amp;FleetTypeC&amp;" FLEET LM Records Generated pa"</f>
        <v>Total B717 FLEET LM Records Generated pa</v>
      </c>
      <c r="E184" s="505">
        <f t="shared" ref="E184:N184" si="35">E183*FleetSize_C</f>
        <v>100010</v>
      </c>
      <c r="F184" s="505">
        <f t="shared" si="35"/>
        <v>100020</v>
      </c>
      <c r="G184" s="505">
        <f t="shared" si="35"/>
        <v>100030</v>
      </c>
      <c r="H184" s="505">
        <f t="shared" si="35"/>
        <v>100040</v>
      </c>
      <c r="I184" s="505">
        <f t="shared" si="35"/>
        <v>100050</v>
      </c>
      <c r="J184" s="505">
        <f t="shared" si="35"/>
        <v>100060</v>
      </c>
      <c r="K184" s="505">
        <f t="shared" si="35"/>
        <v>100070</v>
      </c>
      <c r="L184" s="505">
        <f t="shared" si="35"/>
        <v>100080</v>
      </c>
      <c r="M184" s="505">
        <f t="shared" si="35"/>
        <v>100090</v>
      </c>
      <c r="N184" s="505">
        <f t="shared" si="35"/>
        <v>100100</v>
      </c>
      <c r="O184" s="285" t="s">
        <v>481</v>
      </c>
      <c r="P184" s="828"/>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row>
    <row r="185" spans="1:49" s="712" customFormat="1" ht="12.75" hidden="1" outlineLevel="1" x14ac:dyDescent="0.2">
      <c r="A185" s="820"/>
      <c r="B185" s="820"/>
      <c r="C185" s="843"/>
      <c r="D185" s="30"/>
      <c r="E185" s="30"/>
      <c r="F185" s="30"/>
      <c r="G185" s="30"/>
      <c r="H185" s="30"/>
      <c r="I185" s="30"/>
      <c r="J185" s="30"/>
      <c r="K185" s="30"/>
      <c r="L185" s="30"/>
      <c r="M185" s="30"/>
      <c r="N185" s="30"/>
      <c r="O185" s="839"/>
      <c r="P185" s="828"/>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row>
    <row r="186" spans="1:49" s="712" customFormat="1" ht="12.75" hidden="1" outlineLevel="1" x14ac:dyDescent="0.2">
      <c r="A186" s="820"/>
      <c r="B186" s="820"/>
      <c r="C186" s="843"/>
      <c r="D186" s="484" t="str">
        <f>FleetTypeC &amp;" Engineering (Eng)"</f>
        <v>B717 Engineering (Eng)</v>
      </c>
      <c r="E186" s="840"/>
      <c r="F186" s="840"/>
      <c r="G186" s="840"/>
      <c r="H186" s="840"/>
      <c r="I186" s="840"/>
      <c r="J186" s="840"/>
      <c r="K186" s="840"/>
      <c r="L186" s="840"/>
      <c r="M186" s="840"/>
      <c r="N186" s="840"/>
      <c r="O186" s="839"/>
      <c r="P186" s="828"/>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row>
    <row r="187" spans="1:49" s="712" customFormat="1" ht="12.75" hidden="1" outlineLevel="1" x14ac:dyDescent="0.2">
      <c r="A187" s="820"/>
      <c r="B187" s="820"/>
      <c r="C187" s="843"/>
      <c r="D187" s="233" t="str">
        <f>FleetTypeC&amp;" Eng Per AIRCRAFT Records Generated pa"</f>
        <v>B717 Eng Per AIRCRAFT Records Generated pa</v>
      </c>
      <c r="E187" s="842">
        <v>11001</v>
      </c>
      <c r="F187" s="842">
        <v>11002</v>
      </c>
      <c r="G187" s="842">
        <v>11003</v>
      </c>
      <c r="H187" s="842">
        <v>11004</v>
      </c>
      <c r="I187" s="842">
        <v>11005</v>
      </c>
      <c r="J187" s="842">
        <v>11006</v>
      </c>
      <c r="K187" s="842">
        <v>11007</v>
      </c>
      <c r="L187" s="842">
        <v>11008</v>
      </c>
      <c r="M187" s="842">
        <v>11009</v>
      </c>
      <c r="N187" s="842">
        <v>11010</v>
      </c>
      <c r="O187" s="839"/>
      <c r="P187" s="828"/>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row>
    <row r="188" spans="1:49" s="712" customFormat="1" ht="15.75" hidden="1" customHeight="1" outlineLevel="1" x14ac:dyDescent="0.2">
      <c r="A188" s="820"/>
      <c r="B188" s="820"/>
      <c r="C188" s="843"/>
      <c r="D188" s="234" t="str">
        <f>"Total "&amp;FleetTypeC&amp;" FLEET Eng Records Generated pa"</f>
        <v>Total B717 FLEET Eng Records Generated pa</v>
      </c>
      <c r="E188" s="231">
        <f t="shared" ref="E188:N188" si="36">E187*FleetSize_A</f>
        <v>275025</v>
      </c>
      <c r="F188" s="231">
        <f t="shared" si="36"/>
        <v>275050</v>
      </c>
      <c r="G188" s="231">
        <f t="shared" si="36"/>
        <v>275075</v>
      </c>
      <c r="H188" s="231">
        <f t="shared" si="36"/>
        <v>275100</v>
      </c>
      <c r="I188" s="231">
        <f t="shared" si="36"/>
        <v>275125</v>
      </c>
      <c r="J188" s="231">
        <f t="shared" si="36"/>
        <v>275150</v>
      </c>
      <c r="K188" s="231">
        <f t="shared" si="36"/>
        <v>275175</v>
      </c>
      <c r="L188" s="231">
        <f t="shared" si="36"/>
        <v>275200</v>
      </c>
      <c r="M188" s="231">
        <f t="shared" si="36"/>
        <v>275225</v>
      </c>
      <c r="N188" s="231">
        <f t="shared" si="36"/>
        <v>275250</v>
      </c>
      <c r="O188" s="285" t="s">
        <v>874</v>
      </c>
      <c r="P188" s="828"/>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row>
    <row r="189" spans="1:49" s="712" customFormat="1" ht="15.75" hidden="1" customHeight="1" outlineLevel="1" x14ac:dyDescent="0.2">
      <c r="A189" s="820"/>
      <c r="B189" s="820"/>
      <c r="C189" s="843"/>
      <c r="D189" s="844"/>
      <c r="E189" s="845"/>
      <c r="F189" s="845"/>
      <c r="G189" s="845"/>
      <c r="H189" s="845"/>
      <c r="I189" s="845"/>
      <c r="J189" s="845"/>
      <c r="K189" s="845"/>
      <c r="L189" s="845"/>
      <c r="M189" s="845"/>
      <c r="N189" s="845"/>
      <c r="O189" s="285"/>
      <c r="P189" s="828"/>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row>
    <row r="190" spans="1:49" s="712" customFormat="1" ht="12.75" hidden="1" outlineLevel="1" x14ac:dyDescent="0.2">
      <c r="A190" s="820"/>
      <c r="B190" s="820"/>
      <c r="C190" s="843"/>
      <c r="D190" s="484" t="str">
        <f>FleetTypeC &amp;" Planning (Plg)"</f>
        <v>B717 Planning (Plg)</v>
      </c>
      <c r="E190" s="840"/>
      <c r="F190" s="840"/>
      <c r="G190" s="840"/>
      <c r="H190" s="840"/>
      <c r="I190" s="840"/>
      <c r="J190" s="840"/>
      <c r="K190" s="840"/>
      <c r="L190" s="840"/>
      <c r="M190" s="840"/>
      <c r="N190" s="840"/>
      <c r="O190" s="839"/>
      <c r="P190" s="828"/>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row>
    <row r="191" spans="1:49" s="712" customFormat="1" ht="12.75" hidden="1" outlineLevel="1" x14ac:dyDescent="0.2">
      <c r="A191" s="820"/>
      <c r="B191" s="820"/>
      <c r="C191" s="843"/>
      <c r="D191" s="233" t="str">
        <f>FleetTypeC&amp;" Plg AIRCRAFT Records Generated pa"</f>
        <v>B717 Plg AIRCRAFT Records Generated pa</v>
      </c>
      <c r="E191" s="842">
        <v>11001</v>
      </c>
      <c r="F191" s="842">
        <v>11002</v>
      </c>
      <c r="G191" s="842">
        <v>11003</v>
      </c>
      <c r="H191" s="842">
        <v>11004</v>
      </c>
      <c r="I191" s="842">
        <v>11005</v>
      </c>
      <c r="J191" s="842">
        <v>11006</v>
      </c>
      <c r="K191" s="842">
        <v>11007</v>
      </c>
      <c r="L191" s="842">
        <v>11008</v>
      </c>
      <c r="M191" s="842">
        <v>11009</v>
      </c>
      <c r="N191" s="842">
        <v>11010</v>
      </c>
      <c r="O191" s="839"/>
      <c r="P191" s="828"/>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row>
    <row r="192" spans="1:49" s="712" customFormat="1" ht="15.75" hidden="1" customHeight="1" outlineLevel="1" x14ac:dyDescent="0.2">
      <c r="A192" s="820"/>
      <c r="B192" s="820"/>
      <c r="C192" s="843"/>
      <c r="D192" s="234" t="str">
        <f>"Total "&amp;FleetTypeC&amp;" FLEET Plg Records Generated pa"</f>
        <v>Total B717 FLEET Plg Records Generated pa</v>
      </c>
      <c r="E192" s="231">
        <f t="shared" ref="E192:N192" si="37">E191*FleetSize_C</f>
        <v>110010</v>
      </c>
      <c r="F192" s="231">
        <f t="shared" si="37"/>
        <v>110020</v>
      </c>
      <c r="G192" s="231">
        <f t="shared" si="37"/>
        <v>110030</v>
      </c>
      <c r="H192" s="231">
        <f t="shared" si="37"/>
        <v>110040</v>
      </c>
      <c r="I192" s="231">
        <f t="shared" si="37"/>
        <v>110050</v>
      </c>
      <c r="J192" s="231">
        <f t="shared" si="37"/>
        <v>110060</v>
      </c>
      <c r="K192" s="231">
        <f t="shared" si="37"/>
        <v>110070</v>
      </c>
      <c r="L192" s="231">
        <f t="shared" si="37"/>
        <v>110080</v>
      </c>
      <c r="M192" s="231">
        <f t="shared" si="37"/>
        <v>110090</v>
      </c>
      <c r="N192" s="231">
        <f t="shared" si="37"/>
        <v>110100</v>
      </c>
      <c r="O192" s="285" t="s">
        <v>875</v>
      </c>
      <c r="P192" s="828"/>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row>
    <row r="193" spans="1:49" s="712" customFormat="1" ht="12.75" hidden="1" outlineLevel="1" x14ac:dyDescent="0.2">
      <c r="A193" s="820"/>
      <c r="B193" s="820"/>
      <c r="C193" s="843"/>
      <c r="D193" s="30"/>
      <c r="E193" s="30"/>
      <c r="F193" s="30"/>
      <c r="G193" s="30"/>
      <c r="H193" s="30"/>
      <c r="I193" s="30"/>
      <c r="J193" s="30"/>
      <c r="K193" s="30"/>
      <c r="L193" s="30"/>
      <c r="M193" s="30"/>
      <c r="N193" s="30"/>
      <c r="O193" s="839"/>
      <c r="P193" s="828"/>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row>
    <row r="194" spans="1:49" s="712" customFormat="1" ht="12.75" hidden="1" outlineLevel="1" x14ac:dyDescent="0.2">
      <c r="A194" s="820"/>
      <c r="B194" s="820"/>
      <c r="C194" s="843"/>
      <c r="D194" s="484" t="str">
        <f>FleetTypeC &amp;" Clerical, Records &amp; Tech Pubs (CRT)"</f>
        <v>B717 Clerical, Records &amp; Tech Pubs (CRT)</v>
      </c>
      <c r="E194" s="840"/>
      <c r="F194" s="840"/>
      <c r="G194" s="840"/>
      <c r="H194" s="840"/>
      <c r="I194" s="840"/>
      <c r="J194" s="840"/>
      <c r="K194" s="840"/>
      <c r="L194" s="840"/>
      <c r="M194" s="840"/>
      <c r="N194" s="840"/>
      <c r="O194" s="839"/>
      <c r="P194" s="828"/>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row>
    <row r="195" spans="1:49" s="712" customFormat="1" ht="12.75" hidden="1" outlineLevel="1" x14ac:dyDescent="0.2">
      <c r="A195" s="820"/>
      <c r="B195" s="820"/>
      <c r="C195" s="256"/>
      <c r="D195" s="233" t="str">
        <f>FleetTypeC&amp;" SCL Per AIRCRAFT CRT Records Generated pa"</f>
        <v>B717 SCL Per AIRCRAFT CRT Records Generated pa</v>
      </c>
      <c r="E195" s="596">
        <v>12001</v>
      </c>
      <c r="F195" s="596">
        <v>12002</v>
      </c>
      <c r="G195" s="596">
        <v>12003</v>
      </c>
      <c r="H195" s="596">
        <v>12004</v>
      </c>
      <c r="I195" s="596">
        <v>12005</v>
      </c>
      <c r="J195" s="596">
        <v>12006</v>
      </c>
      <c r="K195" s="596">
        <v>12007</v>
      </c>
      <c r="L195" s="596">
        <v>12008</v>
      </c>
      <c r="M195" s="596">
        <v>12009</v>
      </c>
      <c r="N195" s="596">
        <v>12010</v>
      </c>
      <c r="O195" s="839"/>
      <c r="P195" s="828"/>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row>
    <row r="196" spans="1:49" s="712" customFormat="1" ht="12.75" hidden="1" outlineLevel="1" x14ac:dyDescent="0.2">
      <c r="A196" s="820"/>
      <c r="B196" s="820"/>
      <c r="C196" s="843"/>
      <c r="D196" s="501" t="str">
        <f>"Total "&amp;FleetTypeC&amp;" FLEET CRT Records Generated pa"</f>
        <v>Total B717 FLEET CRT Records Generated pa</v>
      </c>
      <c r="E196" s="505">
        <f t="shared" ref="E196:N196" si="38">E195*FleetSize_C</f>
        <v>120010</v>
      </c>
      <c r="F196" s="505">
        <f t="shared" si="38"/>
        <v>120020</v>
      </c>
      <c r="G196" s="505">
        <f t="shared" si="38"/>
        <v>120030</v>
      </c>
      <c r="H196" s="505">
        <f t="shared" si="38"/>
        <v>120040</v>
      </c>
      <c r="I196" s="505">
        <f t="shared" si="38"/>
        <v>120050</v>
      </c>
      <c r="J196" s="505">
        <f t="shared" si="38"/>
        <v>120060</v>
      </c>
      <c r="K196" s="505">
        <f t="shared" si="38"/>
        <v>120070</v>
      </c>
      <c r="L196" s="505">
        <f t="shared" si="38"/>
        <v>120080</v>
      </c>
      <c r="M196" s="505">
        <f t="shared" si="38"/>
        <v>120090</v>
      </c>
      <c r="N196" s="505">
        <f t="shared" si="38"/>
        <v>120100</v>
      </c>
      <c r="O196" s="285" t="s">
        <v>510</v>
      </c>
      <c r="P196" s="828"/>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row>
    <row r="197" spans="1:49" s="712" customFormat="1" ht="12.75" hidden="1" outlineLevel="1" x14ac:dyDescent="0.2">
      <c r="A197" s="820"/>
      <c r="B197" s="820"/>
      <c r="C197" s="843"/>
      <c r="D197" s="820"/>
      <c r="E197" s="840"/>
      <c r="F197" s="840"/>
      <c r="G197" s="840"/>
      <c r="H197" s="840"/>
      <c r="I197" s="840"/>
      <c r="J197" s="840"/>
      <c r="K197" s="840"/>
      <c r="L197" s="840"/>
      <c r="M197" s="840"/>
      <c r="N197" s="840"/>
      <c r="O197" s="839"/>
      <c r="P197" s="828"/>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row>
    <row r="198" spans="1:49" s="712" customFormat="1" ht="12.75" hidden="1" outlineLevel="1" x14ac:dyDescent="0.2">
      <c r="A198" s="820"/>
      <c r="B198" s="820"/>
      <c r="C198" s="843"/>
      <c r="D198" s="484" t="str">
        <f>FleetTypeC &amp;" Supply Chain &amp; Logistics (SCL)"</f>
        <v>B717 Supply Chain &amp; Logistics (SCL)</v>
      </c>
      <c r="E198" s="840"/>
      <c r="F198" s="840"/>
      <c r="G198" s="840"/>
      <c r="H198" s="840"/>
      <c r="I198" s="840"/>
      <c r="J198" s="840"/>
      <c r="K198" s="840"/>
      <c r="L198" s="840"/>
      <c r="M198" s="840"/>
      <c r="N198" s="840"/>
      <c r="O198" s="839"/>
      <c r="P198" s="828"/>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row>
    <row r="199" spans="1:49" s="712" customFormat="1" ht="12.75" hidden="1" outlineLevel="1" x14ac:dyDescent="0.2">
      <c r="A199" s="820"/>
      <c r="B199" s="820"/>
      <c r="C199" s="256"/>
      <c r="D199" s="233" t="str">
        <f>FleetTypeC&amp;" SCL Per AIRCRAFT OEMV Records Generated pa"</f>
        <v>B717 SCL Per AIRCRAFT OEMV Records Generated pa</v>
      </c>
      <c r="E199" s="596">
        <v>13001</v>
      </c>
      <c r="F199" s="596">
        <v>13002</v>
      </c>
      <c r="G199" s="596">
        <v>13003</v>
      </c>
      <c r="H199" s="596">
        <v>13004</v>
      </c>
      <c r="I199" s="596">
        <v>13005</v>
      </c>
      <c r="J199" s="596">
        <v>13006</v>
      </c>
      <c r="K199" s="596">
        <v>13007</v>
      </c>
      <c r="L199" s="596">
        <v>13008</v>
      </c>
      <c r="M199" s="596">
        <v>13009</v>
      </c>
      <c r="N199" s="596">
        <v>13010</v>
      </c>
      <c r="O199" s="839"/>
      <c r="P199" s="828"/>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row>
    <row r="200" spans="1:49" s="712" customFormat="1" ht="12.75" hidden="1" outlineLevel="1" x14ac:dyDescent="0.2">
      <c r="A200" s="820"/>
      <c r="B200" s="820"/>
      <c r="C200" s="843"/>
      <c r="D200" s="501" t="str">
        <f>"Total "&amp;FleetTypeC&amp;" FLEET SCL Records Generated pa"</f>
        <v>Total B717 FLEET SCL Records Generated pa</v>
      </c>
      <c r="E200" s="505">
        <f t="shared" ref="E200:N200" si="39">E199*FleetSize_C</f>
        <v>130010</v>
      </c>
      <c r="F200" s="505">
        <f t="shared" si="39"/>
        <v>130020</v>
      </c>
      <c r="G200" s="505">
        <f t="shared" si="39"/>
        <v>130030</v>
      </c>
      <c r="H200" s="505">
        <f t="shared" si="39"/>
        <v>130040</v>
      </c>
      <c r="I200" s="505">
        <f t="shared" si="39"/>
        <v>130050</v>
      </c>
      <c r="J200" s="505">
        <f t="shared" si="39"/>
        <v>130060</v>
      </c>
      <c r="K200" s="505">
        <f t="shared" si="39"/>
        <v>130070</v>
      </c>
      <c r="L200" s="505">
        <f t="shared" si="39"/>
        <v>130080</v>
      </c>
      <c r="M200" s="505">
        <f t="shared" si="39"/>
        <v>130090</v>
      </c>
      <c r="N200" s="505">
        <f t="shared" si="39"/>
        <v>130100</v>
      </c>
      <c r="O200" s="285" t="s">
        <v>511</v>
      </c>
      <c r="P200" s="828"/>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row>
    <row r="201" spans="1:49" s="712" customFormat="1" ht="12.75" hidden="1" outlineLevel="1" x14ac:dyDescent="0.2">
      <c r="A201" s="820"/>
      <c r="B201" s="820"/>
      <c r="C201" s="846"/>
      <c r="D201" s="820"/>
      <c r="E201" s="840"/>
      <c r="F201" s="840"/>
      <c r="G201" s="840"/>
      <c r="H201" s="840"/>
      <c r="I201" s="840"/>
      <c r="J201" s="840"/>
      <c r="K201" s="840"/>
      <c r="L201" s="840"/>
      <c r="M201" s="840"/>
      <c r="N201" s="840"/>
      <c r="O201" s="839"/>
      <c r="P201" s="828"/>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row>
    <row r="202" spans="1:49" s="712" customFormat="1" ht="12.75" hidden="1" outlineLevel="1" x14ac:dyDescent="0.2">
      <c r="A202" s="820"/>
      <c r="B202" s="820"/>
      <c r="C202" s="846"/>
      <c r="D202" s="484" t="str">
        <f>FleetTypeC &amp;" Quality, Safety &amp; Compliance (QSC)"</f>
        <v>B717 Quality, Safety &amp; Compliance (QSC)</v>
      </c>
      <c r="E202" s="840"/>
      <c r="F202" s="840"/>
      <c r="G202" s="840"/>
      <c r="H202" s="840"/>
      <c r="I202" s="840"/>
      <c r="J202" s="840"/>
      <c r="K202" s="840"/>
      <c r="L202" s="840"/>
      <c r="M202" s="840"/>
      <c r="N202" s="840"/>
      <c r="O202" s="839"/>
      <c r="P202" s="828"/>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row>
    <row r="203" spans="1:49" s="712" customFormat="1" ht="12.75" hidden="1" outlineLevel="1" x14ac:dyDescent="0.2">
      <c r="A203" s="820"/>
      <c r="B203" s="820"/>
      <c r="C203" s="256"/>
      <c r="D203" s="233" t="str">
        <f>FleetTypeC&amp;" QSC Per AIRCRAFT Records Generated pa"</f>
        <v>B717 QSC Per AIRCRAFT Records Generated pa</v>
      </c>
      <c r="E203" s="596">
        <v>14001</v>
      </c>
      <c r="F203" s="596">
        <v>14002</v>
      </c>
      <c r="G203" s="596">
        <v>14003</v>
      </c>
      <c r="H203" s="596">
        <v>14004</v>
      </c>
      <c r="I203" s="596">
        <v>14005</v>
      </c>
      <c r="J203" s="596">
        <v>14006</v>
      </c>
      <c r="K203" s="596">
        <v>14007</v>
      </c>
      <c r="L203" s="596">
        <v>14008</v>
      </c>
      <c r="M203" s="596">
        <v>14009</v>
      </c>
      <c r="N203" s="596">
        <v>14010</v>
      </c>
      <c r="O203" s="839"/>
      <c r="P203" s="828"/>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row>
    <row r="204" spans="1:49" s="712" customFormat="1" ht="15.75" hidden="1" customHeight="1" outlineLevel="1" x14ac:dyDescent="0.2">
      <c r="A204" s="820"/>
      <c r="B204" s="820"/>
      <c r="C204" s="843"/>
      <c r="D204" s="501" t="str">
        <f>"Total "&amp;FleetTypeC&amp;" FLEET QSC Records Generated pa"</f>
        <v>Total B717 FLEET QSC Records Generated pa</v>
      </c>
      <c r="E204" s="505">
        <f t="shared" ref="E204:N204" si="40">E203*FleetSize_C</f>
        <v>140010</v>
      </c>
      <c r="F204" s="505">
        <f t="shared" si="40"/>
        <v>140020</v>
      </c>
      <c r="G204" s="505">
        <f t="shared" si="40"/>
        <v>140030</v>
      </c>
      <c r="H204" s="505">
        <f t="shared" si="40"/>
        <v>140040</v>
      </c>
      <c r="I204" s="505">
        <f t="shared" si="40"/>
        <v>140050</v>
      </c>
      <c r="J204" s="505">
        <f t="shared" si="40"/>
        <v>140060</v>
      </c>
      <c r="K204" s="505">
        <f t="shared" si="40"/>
        <v>140070</v>
      </c>
      <c r="L204" s="505">
        <f t="shared" si="40"/>
        <v>140080</v>
      </c>
      <c r="M204" s="505">
        <f t="shared" si="40"/>
        <v>140090</v>
      </c>
      <c r="N204" s="505">
        <f t="shared" si="40"/>
        <v>140100</v>
      </c>
      <c r="O204" s="285" t="s">
        <v>512</v>
      </c>
      <c r="P204" s="828"/>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row>
    <row r="205" spans="1:49" s="712" customFormat="1" ht="12.75" hidden="1" outlineLevel="1" x14ac:dyDescent="0.2">
      <c r="A205" s="820"/>
      <c r="B205" s="820"/>
      <c r="C205" s="847"/>
      <c r="D205" s="820"/>
      <c r="E205" s="840"/>
      <c r="F205" s="840"/>
      <c r="G205" s="840"/>
      <c r="H205" s="840"/>
      <c r="I205" s="840"/>
      <c r="J205" s="840"/>
      <c r="K205" s="840"/>
      <c r="L205" s="840"/>
      <c r="M205" s="840"/>
      <c r="N205" s="840"/>
      <c r="O205" s="835"/>
      <c r="P205" s="828"/>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row>
    <row r="206" spans="1:49" s="712" customFormat="1" ht="12.75" hidden="1" outlineLevel="1" x14ac:dyDescent="0.2">
      <c r="A206" s="820"/>
      <c r="B206" s="820"/>
      <c r="C206" s="847"/>
      <c r="D206" s="484" t="str">
        <f>FleetTypeC &amp;" Engine Maintenance (EM)"</f>
        <v>B717 Engine Maintenance (EM)</v>
      </c>
      <c r="E206" s="840"/>
      <c r="F206" s="840"/>
      <c r="G206" s="840"/>
      <c r="H206" s="840"/>
      <c r="I206" s="840"/>
      <c r="J206" s="840"/>
      <c r="K206" s="840"/>
      <c r="L206" s="840"/>
      <c r="M206" s="840"/>
      <c r="N206" s="840"/>
      <c r="O206" s="835"/>
      <c r="P206" s="828"/>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row>
    <row r="207" spans="1:49" s="712" customFormat="1" ht="12.75" hidden="1" outlineLevel="1" x14ac:dyDescent="0.2">
      <c r="A207" s="820"/>
      <c r="B207" s="820"/>
      <c r="C207" s="256"/>
      <c r="D207" s="233" t="str">
        <f>FleetTypeC&amp;" EM Per AIRCRAFT Records Generated pa"</f>
        <v>B717 EM Per AIRCRAFT Records Generated pa</v>
      </c>
      <c r="E207" s="596">
        <v>15001</v>
      </c>
      <c r="F207" s="596">
        <v>15002</v>
      </c>
      <c r="G207" s="596">
        <v>15003</v>
      </c>
      <c r="H207" s="596">
        <v>15004</v>
      </c>
      <c r="I207" s="596">
        <v>15005</v>
      </c>
      <c r="J207" s="596">
        <v>15006</v>
      </c>
      <c r="K207" s="596">
        <v>15007</v>
      </c>
      <c r="L207" s="596">
        <v>15008</v>
      </c>
      <c r="M207" s="596">
        <v>15009</v>
      </c>
      <c r="N207" s="596">
        <v>15010</v>
      </c>
      <c r="O207" s="835"/>
      <c r="P207" s="828"/>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row>
    <row r="208" spans="1:49" s="712" customFormat="1" ht="15.75" hidden="1" customHeight="1" outlineLevel="1" x14ac:dyDescent="0.2">
      <c r="A208" s="820"/>
      <c r="B208" s="820"/>
      <c r="C208" s="256"/>
      <c r="D208" s="501" t="str">
        <f>"Total "&amp;FleetTypeC&amp;" FLEET EM Records Generated pa"</f>
        <v>Total B717 FLEET EM Records Generated pa</v>
      </c>
      <c r="E208" s="505">
        <f t="shared" ref="E208:N208" si="41">E207*FleetSize_C</f>
        <v>150010</v>
      </c>
      <c r="F208" s="505">
        <f t="shared" si="41"/>
        <v>150020</v>
      </c>
      <c r="G208" s="505">
        <f t="shared" si="41"/>
        <v>150030</v>
      </c>
      <c r="H208" s="505">
        <f t="shared" si="41"/>
        <v>150040</v>
      </c>
      <c r="I208" s="505">
        <f t="shared" si="41"/>
        <v>150050</v>
      </c>
      <c r="J208" s="505">
        <f t="shared" si="41"/>
        <v>150060</v>
      </c>
      <c r="K208" s="505">
        <f t="shared" si="41"/>
        <v>150070</v>
      </c>
      <c r="L208" s="505">
        <f t="shared" si="41"/>
        <v>150080</v>
      </c>
      <c r="M208" s="505">
        <f t="shared" si="41"/>
        <v>150090</v>
      </c>
      <c r="N208" s="505">
        <f t="shared" si="41"/>
        <v>150100</v>
      </c>
      <c r="O208" s="285" t="s">
        <v>513</v>
      </c>
      <c r="P208" s="828"/>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row>
    <row r="209" spans="1:49" s="712" customFormat="1" ht="12.75" hidden="1" outlineLevel="1" x14ac:dyDescent="0.2">
      <c r="A209" s="820"/>
      <c r="B209" s="820"/>
      <c r="C209" s="256"/>
      <c r="D209" s="30"/>
      <c r="E209" s="30"/>
      <c r="F209" s="30"/>
      <c r="G209" s="30"/>
      <c r="H209" s="30"/>
      <c r="I209" s="30"/>
      <c r="J209" s="30"/>
      <c r="K209" s="30"/>
      <c r="L209" s="30"/>
      <c r="M209" s="30"/>
      <c r="N209" s="30"/>
      <c r="O209" s="839"/>
      <c r="P209" s="828"/>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row>
    <row r="210" spans="1:49" s="712" customFormat="1" ht="12.75" hidden="1" outlineLevel="1" x14ac:dyDescent="0.2">
      <c r="A210" s="820"/>
      <c r="B210" s="820"/>
      <c r="C210" s="847"/>
      <c r="D210" s="484" t="str">
        <f>FleetTypeC &amp;" Component Maintenance (CM)"</f>
        <v>B717 Component Maintenance (CM)</v>
      </c>
      <c r="E210" s="840"/>
      <c r="F210" s="840"/>
      <c r="G210" s="840"/>
      <c r="H210" s="840"/>
      <c r="I210" s="840"/>
      <c r="J210" s="840"/>
      <c r="K210" s="840"/>
      <c r="L210" s="840"/>
      <c r="M210" s="840"/>
      <c r="N210" s="840"/>
      <c r="O210" s="835"/>
      <c r="P210" s="828"/>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row>
    <row r="211" spans="1:49" s="712" customFormat="1" ht="12.75" hidden="1" outlineLevel="1" x14ac:dyDescent="0.2">
      <c r="A211" s="820"/>
      <c r="B211" s="820"/>
      <c r="C211" s="256"/>
      <c r="D211" s="233" t="str">
        <f>FleetTypeC&amp;" CM Per AIRCRAFT Records Generated pa"</f>
        <v>B717 CM Per AIRCRAFT Records Generated pa</v>
      </c>
      <c r="E211" s="596">
        <v>15001</v>
      </c>
      <c r="F211" s="596">
        <v>15002</v>
      </c>
      <c r="G211" s="596">
        <v>15003</v>
      </c>
      <c r="H211" s="596">
        <v>15004</v>
      </c>
      <c r="I211" s="596">
        <v>15005</v>
      </c>
      <c r="J211" s="596">
        <v>15006</v>
      </c>
      <c r="K211" s="596">
        <v>15007</v>
      </c>
      <c r="L211" s="596">
        <v>15008</v>
      </c>
      <c r="M211" s="596">
        <v>15009</v>
      </c>
      <c r="N211" s="596">
        <v>15010</v>
      </c>
      <c r="O211" s="835"/>
      <c r="P211" s="828"/>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row>
    <row r="212" spans="1:49" s="712" customFormat="1" ht="15.75" hidden="1" customHeight="1" outlineLevel="1" x14ac:dyDescent="0.2">
      <c r="A212" s="820"/>
      <c r="B212" s="820"/>
      <c r="C212" s="256"/>
      <c r="D212" s="501" t="str">
        <f>"Total "&amp;FleetTypeC&amp;" FLEET CM Records Generated pa"</f>
        <v>Total B717 FLEET CM Records Generated pa</v>
      </c>
      <c r="E212" s="505">
        <f t="shared" ref="E212:N212" si="42">E211*FleetSize_C</f>
        <v>150010</v>
      </c>
      <c r="F212" s="505">
        <f t="shared" si="42"/>
        <v>150020</v>
      </c>
      <c r="G212" s="505">
        <f t="shared" si="42"/>
        <v>150030</v>
      </c>
      <c r="H212" s="505">
        <f t="shared" si="42"/>
        <v>150040</v>
      </c>
      <c r="I212" s="505">
        <f t="shared" si="42"/>
        <v>150050</v>
      </c>
      <c r="J212" s="505">
        <f t="shared" si="42"/>
        <v>150060</v>
      </c>
      <c r="K212" s="505">
        <f t="shared" si="42"/>
        <v>150070</v>
      </c>
      <c r="L212" s="505">
        <f t="shared" si="42"/>
        <v>150080</v>
      </c>
      <c r="M212" s="505">
        <f t="shared" si="42"/>
        <v>150090</v>
      </c>
      <c r="N212" s="505">
        <f t="shared" si="42"/>
        <v>150100</v>
      </c>
      <c r="O212" s="285" t="s">
        <v>514</v>
      </c>
      <c r="P212" s="828"/>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row>
    <row r="213" spans="1:49" s="712" customFormat="1" ht="12.75" hidden="1" outlineLevel="1" x14ac:dyDescent="0.2">
      <c r="A213" s="820"/>
      <c r="B213" s="820"/>
      <c r="C213" s="256"/>
      <c r="D213" s="30"/>
      <c r="E213" s="30"/>
      <c r="F213" s="30"/>
      <c r="G213" s="30"/>
      <c r="H213" s="30"/>
      <c r="I213" s="30"/>
      <c r="J213" s="30"/>
      <c r="K213" s="30"/>
      <c r="L213" s="30"/>
      <c r="M213" s="30"/>
      <c r="N213" s="30"/>
      <c r="O213" s="839"/>
      <c r="P213" s="828"/>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row>
    <row r="214" spans="1:49" s="712" customFormat="1" ht="12.75" hidden="1" outlineLevel="1" x14ac:dyDescent="0.2">
      <c r="A214" s="820"/>
      <c r="B214" s="820"/>
      <c r="C214" s="847"/>
      <c r="D214" s="484" t="str">
        <f>FleetTypeC &amp;" Sheetmetal &amp; Composite Structures (SMCS)"</f>
        <v>B717 Sheetmetal &amp; Composite Structures (SMCS)</v>
      </c>
      <c r="E214" s="840"/>
      <c r="F214" s="840"/>
      <c r="G214" s="840"/>
      <c r="H214" s="840"/>
      <c r="I214" s="840"/>
      <c r="J214" s="840"/>
      <c r="K214" s="840"/>
      <c r="L214" s="840"/>
      <c r="M214" s="840"/>
      <c r="N214" s="840"/>
      <c r="O214" s="835"/>
      <c r="P214" s="828"/>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row>
    <row r="215" spans="1:49" s="712" customFormat="1" ht="12.75" hidden="1" outlineLevel="1" x14ac:dyDescent="0.2">
      <c r="A215" s="820"/>
      <c r="B215" s="820"/>
      <c r="C215" s="256"/>
      <c r="D215" s="233" t="str">
        <f>FleetTypeC&amp;" SMCS Per AIRCRAFT Records Generated pa"</f>
        <v>B717 SMCS Per AIRCRAFT Records Generated pa</v>
      </c>
      <c r="E215" s="596">
        <v>15001</v>
      </c>
      <c r="F215" s="596">
        <v>15002</v>
      </c>
      <c r="G215" s="596">
        <v>15003</v>
      </c>
      <c r="H215" s="596">
        <v>15004</v>
      </c>
      <c r="I215" s="596">
        <v>15005</v>
      </c>
      <c r="J215" s="596">
        <v>15006</v>
      </c>
      <c r="K215" s="596">
        <v>15007</v>
      </c>
      <c r="L215" s="596">
        <v>15008</v>
      </c>
      <c r="M215" s="596">
        <v>15009</v>
      </c>
      <c r="N215" s="596">
        <v>15010</v>
      </c>
      <c r="O215" s="835"/>
      <c r="P215" s="828"/>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row>
    <row r="216" spans="1:49" s="712" customFormat="1" ht="15.75" hidden="1" customHeight="1" outlineLevel="1" x14ac:dyDescent="0.2">
      <c r="A216" s="820"/>
      <c r="B216" s="820"/>
      <c r="C216" s="256"/>
      <c r="D216" s="501" t="str">
        <f>"Total "&amp;FleetTypeC&amp;" FLEET SMCS Records Generated pa"</f>
        <v>Total B717 FLEET SMCS Records Generated pa</v>
      </c>
      <c r="E216" s="505">
        <f t="shared" ref="E216:N216" si="43">E215*FleetSize_C</f>
        <v>150010</v>
      </c>
      <c r="F216" s="505">
        <f t="shared" si="43"/>
        <v>150020</v>
      </c>
      <c r="G216" s="505">
        <f t="shared" si="43"/>
        <v>150030</v>
      </c>
      <c r="H216" s="505">
        <f t="shared" si="43"/>
        <v>150040</v>
      </c>
      <c r="I216" s="505">
        <f t="shared" si="43"/>
        <v>150050</v>
      </c>
      <c r="J216" s="505">
        <f t="shared" si="43"/>
        <v>150060</v>
      </c>
      <c r="K216" s="505">
        <f t="shared" si="43"/>
        <v>150070</v>
      </c>
      <c r="L216" s="505">
        <f t="shared" si="43"/>
        <v>150080</v>
      </c>
      <c r="M216" s="505">
        <f t="shared" si="43"/>
        <v>150090</v>
      </c>
      <c r="N216" s="505">
        <f t="shared" si="43"/>
        <v>150100</v>
      </c>
      <c r="O216" s="285" t="s">
        <v>515</v>
      </c>
      <c r="P216" s="828"/>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row>
    <row r="217" spans="1:49" s="712" customFormat="1" ht="12.75" hidden="1" outlineLevel="1" x14ac:dyDescent="0.2">
      <c r="A217" s="820"/>
      <c r="B217" s="820"/>
      <c r="C217" s="256"/>
      <c r="D217" s="30"/>
      <c r="E217" s="30"/>
      <c r="F217" s="30"/>
      <c r="G217" s="30"/>
      <c r="H217" s="30"/>
      <c r="I217" s="30"/>
      <c r="J217" s="30"/>
      <c r="K217" s="30"/>
      <c r="L217" s="30"/>
      <c r="M217" s="30"/>
      <c r="N217" s="30"/>
      <c r="O217" s="839"/>
      <c r="P217" s="828"/>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row>
    <row r="218" spans="1:49" s="712" customFormat="1" ht="12.75" hidden="1" outlineLevel="1" x14ac:dyDescent="0.2">
      <c r="A218" s="820"/>
      <c r="B218" s="820"/>
      <c r="C218" s="847"/>
      <c r="D218" s="484" t="str">
        <f>FleetTypeC &amp;" Other 1 (O1)"</f>
        <v>B717 Other 1 (O1)</v>
      </c>
      <c r="E218" s="840"/>
      <c r="F218" s="840"/>
      <c r="G218" s="840"/>
      <c r="H218" s="840"/>
      <c r="I218" s="840"/>
      <c r="J218" s="840"/>
      <c r="K218" s="840"/>
      <c r="L218" s="840"/>
      <c r="M218" s="840"/>
      <c r="N218" s="840"/>
      <c r="O218" s="835"/>
      <c r="P218" s="828"/>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row>
    <row r="219" spans="1:49" s="712" customFormat="1" ht="12.75" hidden="1" outlineLevel="1" x14ac:dyDescent="0.2">
      <c r="A219" s="820"/>
      <c r="B219" s="820"/>
      <c r="C219" s="256"/>
      <c r="D219" s="233" t="str">
        <f>FleetTypeC&amp;" O1 Per AIRCRAFT Records Generated pa"</f>
        <v>B717 O1 Per AIRCRAFT Records Generated pa</v>
      </c>
      <c r="E219" s="596"/>
      <c r="F219" s="596"/>
      <c r="G219" s="596"/>
      <c r="H219" s="596"/>
      <c r="I219" s="596"/>
      <c r="J219" s="596"/>
      <c r="K219" s="596"/>
      <c r="L219" s="596"/>
      <c r="M219" s="596"/>
      <c r="N219" s="596"/>
      <c r="O219" s="835"/>
      <c r="P219" s="828"/>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row>
    <row r="220" spans="1:49" s="712" customFormat="1" ht="15.75" hidden="1" customHeight="1" outlineLevel="1" x14ac:dyDescent="0.2">
      <c r="A220" s="820"/>
      <c r="B220" s="820"/>
      <c r="C220" s="256"/>
      <c r="D220" s="501" t="str">
        <f>"Total "&amp;FleetTypeC&amp;" FLEET O1 Records Generated pa"</f>
        <v>Total B717 FLEET O1 Records Generated pa</v>
      </c>
      <c r="E220" s="505">
        <f t="shared" ref="E220:N220" si="44">E219*FleetSize_C</f>
        <v>0</v>
      </c>
      <c r="F220" s="505">
        <f t="shared" si="44"/>
        <v>0</v>
      </c>
      <c r="G220" s="505">
        <f t="shared" si="44"/>
        <v>0</v>
      </c>
      <c r="H220" s="505">
        <f t="shared" si="44"/>
        <v>0</v>
      </c>
      <c r="I220" s="505">
        <f t="shared" si="44"/>
        <v>0</v>
      </c>
      <c r="J220" s="505">
        <f t="shared" si="44"/>
        <v>0</v>
      </c>
      <c r="K220" s="505">
        <f t="shared" si="44"/>
        <v>0</v>
      </c>
      <c r="L220" s="505">
        <f t="shared" si="44"/>
        <v>0</v>
      </c>
      <c r="M220" s="505">
        <f t="shared" si="44"/>
        <v>0</v>
      </c>
      <c r="N220" s="505">
        <f t="shared" si="44"/>
        <v>0</v>
      </c>
      <c r="O220" s="285" t="s">
        <v>516</v>
      </c>
      <c r="P220" s="828"/>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row>
    <row r="221" spans="1:49" s="712" customFormat="1" ht="12.75" hidden="1" outlineLevel="1" x14ac:dyDescent="0.2">
      <c r="A221" s="820"/>
      <c r="B221" s="820"/>
      <c r="C221" s="256"/>
      <c r="D221" s="30"/>
      <c r="E221" s="30"/>
      <c r="F221" s="30"/>
      <c r="G221" s="30"/>
      <c r="H221" s="30"/>
      <c r="I221" s="30"/>
      <c r="J221" s="30"/>
      <c r="K221" s="30"/>
      <c r="L221" s="30"/>
      <c r="M221" s="30"/>
      <c r="N221" s="30"/>
      <c r="O221" s="839"/>
      <c r="P221" s="828"/>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row>
    <row r="222" spans="1:49" s="712" customFormat="1" ht="12.75" hidden="1" outlineLevel="1" x14ac:dyDescent="0.2">
      <c r="A222" s="820"/>
      <c r="B222" s="820"/>
      <c r="C222" s="847"/>
      <c r="D222" s="484" t="str">
        <f>FleetTypeC &amp;" Other 2 (O2)"</f>
        <v>B717 Other 2 (O2)</v>
      </c>
      <c r="E222" s="840"/>
      <c r="F222" s="840"/>
      <c r="G222" s="840"/>
      <c r="H222" s="840"/>
      <c r="I222" s="840"/>
      <c r="J222" s="840"/>
      <c r="K222" s="840"/>
      <c r="L222" s="840"/>
      <c r="M222" s="840"/>
      <c r="N222" s="840"/>
      <c r="O222" s="835"/>
      <c r="P222" s="828"/>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row>
    <row r="223" spans="1:49" s="712" customFormat="1" ht="12.75" hidden="1" outlineLevel="1" x14ac:dyDescent="0.2">
      <c r="A223" s="820"/>
      <c r="B223" s="820"/>
      <c r="C223" s="256"/>
      <c r="D223" s="233" t="str">
        <f>FleetTypeC&amp;" O2 Per AIRCRAFT Records Generated pa"</f>
        <v>B717 O2 Per AIRCRAFT Records Generated pa</v>
      </c>
      <c r="E223" s="596"/>
      <c r="F223" s="596"/>
      <c r="G223" s="596"/>
      <c r="H223" s="596"/>
      <c r="I223" s="596"/>
      <c r="J223" s="596"/>
      <c r="K223" s="596"/>
      <c r="L223" s="596"/>
      <c r="M223" s="596"/>
      <c r="N223" s="596"/>
      <c r="O223" s="835"/>
      <c r="P223" s="828"/>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row>
    <row r="224" spans="1:49" s="712" customFormat="1" ht="15.75" hidden="1" customHeight="1" outlineLevel="1" x14ac:dyDescent="0.2">
      <c r="A224" s="820"/>
      <c r="B224" s="820"/>
      <c r="C224" s="256"/>
      <c r="D224" s="501" t="str">
        <f>"Total "&amp;FleetTypeC&amp;" FLEET O2 Records Generated pa"</f>
        <v>Total B717 FLEET O2 Records Generated pa</v>
      </c>
      <c r="E224" s="505">
        <f t="shared" ref="E224:N224" si="45">E223*FleetSize_C</f>
        <v>0</v>
      </c>
      <c r="F224" s="505">
        <f t="shared" si="45"/>
        <v>0</v>
      </c>
      <c r="G224" s="505">
        <f t="shared" si="45"/>
        <v>0</v>
      </c>
      <c r="H224" s="505">
        <f t="shared" si="45"/>
        <v>0</v>
      </c>
      <c r="I224" s="505">
        <f t="shared" si="45"/>
        <v>0</v>
      </c>
      <c r="J224" s="505">
        <f t="shared" si="45"/>
        <v>0</v>
      </c>
      <c r="K224" s="505">
        <f t="shared" si="45"/>
        <v>0</v>
      </c>
      <c r="L224" s="505">
        <f t="shared" si="45"/>
        <v>0</v>
      </c>
      <c r="M224" s="505">
        <f t="shared" si="45"/>
        <v>0</v>
      </c>
      <c r="N224" s="505">
        <f t="shared" si="45"/>
        <v>0</v>
      </c>
      <c r="O224" s="285" t="s">
        <v>518</v>
      </c>
      <c r="P224" s="828"/>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row>
    <row r="225" spans="1:49" s="712" customFormat="1" ht="12.75" hidden="1" outlineLevel="1" x14ac:dyDescent="0.2">
      <c r="A225" s="820"/>
      <c r="B225" s="820"/>
      <c r="C225" s="256"/>
      <c r="D225" s="30"/>
      <c r="E225" s="30"/>
      <c r="F225" s="30"/>
      <c r="G225" s="30"/>
      <c r="H225" s="30"/>
      <c r="I225" s="30"/>
      <c r="J225" s="30"/>
      <c r="K225" s="30"/>
      <c r="L225" s="30"/>
      <c r="M225" s="30"/>
      <c r="N225" s="30"/>
      <c r="O225" s="839"/>
      <c r="P225" s="828"/>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row>
    <row r="226" spans="1:49" s="712" customFormat="1" ht="21.75" hidden="1" customHeight="1" outlineLevel="1" x14ac:dyDescent="0.2">
      <c r="A226" s="820"/>
      <c r="B226" s="820"/>
      <c r="C226" s="848"/>
      <c r="D226" s="849" t="str">
        <f>"Grand Total ("&amp;(FleetTypeC)&amp;") "&amp;"Records Generated pa"</f>
        <v>Grand Total (B717) Records Generated pa</v>
      </c>
      <c r="E226" s="714">
        <f t="shared" ref="E226:N226" si="46">SUM(RecordsHMFleetTotalpa_C+RecordsLMFleetTotalpa_C+RecordsEngFleetTotalpa_C+RecordsPlgFleetTotalpa_C+RecordsCRTFleetTotalpa_C+RecordsSCLFleetTotalpa_C+RecordsQSCFleetTotalpa_C+RecordsEMFleetTotalpa_C+RecordsCMFleetTotalpa_C+RecordsSMCSFleetTotalpa_C+RecordsO1FleetTotalpa_C+RecordsO2FleetTotalpa_C)</f>
        <v>1344605</v>
      </c>
      <c r="F226" s="714">
        <f t="shared" si="46"/>
        <v>1342924.2857142857</v>
      </c>
      <c r="G226" s="714">
        <f t="shared" si="46"/>
        <v>1341690</v>
      </c>
      <c r="H226" s="714">
        <f t="shared" si="46"/>
        <v>1345134.2857142857</v>
      </c>
      <c r="I226" s="714">
        <f t="shared" si="46"/>
        <v>1346239.2857142857</v>
      </c>
      <c r="J226" s="714">
        <f t="shared" si="46"/>
        <v>1347344.2857142857</v>
      </c>
      <c r="K226" s="714">
        <f t="shared" si="46"/>
        <v>1348449.2857142857</v>
      </c>
      <c r="L226" s="714">
        <f t="shared" si="46"/>
        <v>1349554.2857142857</v>
      </c>
      <c r="M226" s="714">
        <f t="shared" si="46"/>
        <v>1350659.2857142857</v>
      </c>
      <c r="N226" s="714">
        <f t="shared" si="46"/>
        <v>1351764.2857142857</v>
      </c>
      <c r="O226" s="285" t="s">
        <v>519</v>
      </c>
      <c r="P226" s="828"/>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row>
    <row r="227" spans="1:49" s="193" customFormat="1" ht="13.5" hidden="1" outlineLevel="1" thickBot="1" x14ac:dyDescent="0.25">
      <c r="A227" s="820"/>
      <c r="B227" s="833"/>
      <c r="C227" s="858"/>
      <c r="D227" s="529"/>
      <c r="E227" s="859"/>
      <c r="F227" s="859"/>
      <c r="G227" s="859"/>
      <c r="H227" s="859"/>
      <c r="I227" s="859"/>
      <c r="J227" s="859"/>
      <c r="K227" s="859"/>
      <c r="L227" s="859"/>
      <c r="M227" s="859"/>
      <c r="N227" s="859"/>
      <c r="O227" s="860"/>
      <c r="P227" s="828"/>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row>
    <row r="228" spans="1:49" s="193" customFormat="1" ht="12.75" hidden="1" outlineLevel="1" x14ac:dyDescent="0.2">
      <c r="A228" s="820"/>
      <c r="B228" s="833"/>
      <c r="C228" s="833"/>
      <c r="D228" s="30"/>
      <c r="E228" s="833"/>
      <c r="F228" s="833"/>
      <c r="G228" s="833"/>
      <c r="H228" s="833"/>
      <c r="I228" s="833"/>
      <c r="J228" s="833"/>
      <c r="K228" s="833"/>
      <c r="L228" s="833"/>
      <c r="M228" s="833"/>
      <c r="N228" s="833"/>
      <c r="O228" s="833"/>
      <c r="P228" s="828"/>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row>
    <row r="229" spans="1:49" s="122" customFormat="1" ht="15.75" collapsed="1" x14ac:dyDescent="0.2">
      <c r="A229" s="1043">
        <v>5</v>
      </c>
      <c r="B229" s="1039"/>
      <c r="C229" s="1039"/>
      <c r="D229" s="1039"/>
      <c r="E229" s="1039"/>
      <c r="F229" s="1039"/>
      <c r="G229" s="1039"/>
      <c r="H229" s="1039"/>
      <c r="I229" s="1039"/>
      <c r="J229" s="1039"/>
      <c r="K229" s="1039"/>
      <c r="L229" s="1039"/>
      <c r="M229" s="1039"/>
      <c r="N229" s="1039"/>
      <c r="O229" s="1039"/>
      <c r="P229" s="206"/>
      <c r="Q229" s="206"/>
      <c r="R229" s="206"/>
      <c r="S229" s="206"/>
      <c r="T229" s="206"/>
      <c r="U229" s="206"/>
      <c r="V229" s="206"/>
      <c r="W229" s="206"/>
      <c r="X229" s="206"/>
      <c r="Y229" s="206"/>
      <c r="Z229" s="206"/>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row>
    <row r="230" spans="1:49" s="712" customFormat="1" ht="13.5" thickBot="1" x14ac:dyDescent="0.25">
      <c r="A230" s="820"/>
      <c r="B230" s="180"/>
      <c r="C230" s="852"/>
      <c r="D230" s="820"/>
      <c r="E230" s="840"/>
      <c r="F230" s="840"/>
      <c r="G230" s="840"/>
      <c r="H230" s="840"/>
      <c r="I230" s="840"/>
      <c r="J230" s="840"/>
      <c r="K230" s="840"/>
      <c r="L230" s="840"/>
      <c r="M230" s="840"/>
      <c r="N230" s="840"/>
      <c r="O230" s="828"/>
      <c r="P230" s="828"/>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row>
    <row r="231" spans="1:49" s="712" customFormat="1" ht="31.5" x14ac:dyDescent="0.2">
      <c r="A231" s="1342" t="str">
        <f>"Purpose - To calculate Total Records generated by 'FleetTypeD'          " &amp; (FleetTypeD)</f>
        <v>Purpose - To calculate Total Records generated by 'FleetTypeD'          B747-300</v>
      </c>
      <c r="B231" s="180"/>
      <c r="C231" s="1343" t="str">
        <f>FleetTypeD &amp;" (FleetTypeD) Records
Generated pa"</f>
        <v>B747-300 (FleetTypeD) Records
Generated pa</v>
      </c>
      <c r="D231" s="853"/>
      <c r="E231" s="853"/>
      <c r="F231" s="853"/>
      <c r="G231" s="853"/>
      <c r="H231" s="853"/>
      <c r="I231" s="853"/>
      <c r="J231" s="853"/>
      <c r="K231" s="853"/>
      <c r="L231" s="853"/>
      <c r="M231" s="853"/>
      <c r="N231" s="853"/>
      <c r="O231" s="854"/>
      <c r="P231" s="828"/>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row>
    <row r="232" spans="1:49" s="193" customFormat="1" ht="12.75" x14ac:dyDescent="0.2">
      <c r="A232" s="820"/>
      <c r="B232" s="833"/>
      <c r="C232" s="833"/>
      <c r="D232" s="30"/>
      <c r="E232" s="833"/>
      <c r="F232" s="833"/>
      <c r="G232" s="833"/>
      <c r="H232" s="833"/>
      <c r="I232" s="833"/>
      <c r="J232" s="833"/>
      <c r="K232" s="833"/>
      <c r="L232" s="833"/>
      <c r="M232" s="833"/>
      <c r="N232" s="833"/>
      <c r="O232" s="833"/>
      <c r="P232" s="828"/>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row>
    <row r="233" spans="1:49" s="193" customFormat="1" ht="13.5" hidden="1" outlineLevel="1" collapsed="1" thickBot="1" x14ac:dyDescent="0.25">
      <c r="A233" s="820"/>
      <c r="B233" s="833"/>
      <c r="C233" s="30"/>
      <c r="D233" s="30"/>
      <c r="E233" s="30"/>
      <c r="F233" s="30"/>
      <c r="G233" s="30"/>
      <c r="H233" s="30"/>
      <c r="I233" s="30"/>
      <c r="J233" s="30"/>
      <c r="K233" s="30"/>
      <c r="L233" s="30"/>
      <c r="M233" s="30"/>
      <c r="N233" s="30"/>
      <c r="O233" s="828"/>
      <c r="P233" s="828"/>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row>
    <row r="234" spans="1:49" s="712" customFormat="1" ht="20.100000000000001" hidden="1" customHeight="1" outlineLevel="1" x14ac:dyDescent="0.2">
      <c r="A234" s="820"/>
      <c r="B234" s="180"/>
      <c r="C234" s="1344"/>
      <c r="D234" s="853"/>
      <c r="E234" s="853"/>
      <c r="F234" s="853"/>
      <c r="G234" s="853"/>
      <c r="H234" s="853"/>
      <c r="I234" s="853"/>
      <c r="J234" s="853"/>
      <c r="K234" s="853"/>
      <c r="L234" s="853"/>
      <c r="M234" s="853"/>
      <c r="N234" s="853"/>
      <c r="O234" s="854"/>
      <c r="P234" s="828"/>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row>
    <row r="235" spans="1:49" s="193" customFormat="1" ht="20.25" hidden="1" customHeight="1" outlineLevel="1" x14ac:dyDescent="0.2">
      <c r="A235" s="820"/>
      <c r="B235" s="180"/>
      <c r="C235" s="256"/>
      <c r="D235" s="484" t="str">
        <f>FleetTypeD &amp;" Heavy Maintenance (HM)"</f>
        <v>B747-300 Heavy Maintenance (HM)</v>
      </c>
      <c r="E235" s="820"/>
      <c r="F235" s="39"/>
      <c r="G235" s="822"/>
      <c r="H235" s="822"/>
      <c r="I235" s="822"/>
      <c r="J235" s="822"/>
      <c r="K235" s="822"/>
      <c r="L235" s="822"/>
      <c r="M235" s="822"/>
      <c r="N235" s="822"/>
      <c r="O235" s="829"/>
      <c r="P235" s="828"/>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row>
    <row r="236" spans="1:49" s="193" customFormat="1" ht="15" hidden="1" customHeight="1" outlineLevel="1" x14ac:dyDescent="0.2">
      <c r="A236" s="820"/>
      <c r="B236" s="830"/>
      <c r="C236" s="831"/>
      <c r="D236" s="501" t="str">
        <f>FleetTypeD&amp;" HM Cycle (Years)"</f>
        <v>B747-300 HM Cycle (Years)</v>
      </c>
      <c r="E236" s="855">
        <v>12</v>
      </c>
      <c r="F236" s="855">
        <v>14</v>
      </c>
      <c r="G236" s="855">
        <v>16</v>
      </c>
      <c r="H236" s="855">
        <v>14</v>
      </c>
      <c r="I236" s="855">
        <v>14</v>
      </c>
      <c r="J236" s="855">
        <v>14</v>
      </c>
      <c r="K236" s="855">
        <v>14</v>
      </c>
      <c r="L236" s="855">
        <v>14</v>
      </c>
      <c r="M236" s="855">
        <v>14</v>
      </c>
      <c r="N236" s="855">
        <v>14</v>
      </c>
      <c r="O236" s="257" t="s">
        <v>106</v>
      </c>
      <c r="P236" s="828"/>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row>
    <row r="237" spans="1:49" s="193" customFormat="1" ht="12.95" hidden="1" customHeight="1" outlineLevel="1" x14ac:dyDescent="0.2">
      <c r="A237" s="820"/>
      <c r="B237" s="833"/>
      <c r="C237" s="834"/>
      <c r="D237" s="820"/>
      <c r="E237" s="833"/>
      <c r="F237" s="833"/>
      <c r="G237" s="833"/>
      <c r="H237" s="833"/>
      <c r="I237" s="833"/>
      <c r="J237" s="833"/>
      <c r="K237" s="833"/>
      <c r="L237" s="833"/>
      <c r="M237" s="833"/>
      <c r="N237" s="833"/>
      <c r="O237" s="835"/>
      <c r="P237" s="828"/>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row>
    <row r="238" spans="1:49" s="193" customFormat="1" ht="12.75" hidden="1" customHeight="1" outlineLevel="1" x14ac:dyDescent="0.2">
      <c r="A238" s="820"/>
      <c r="B238" s="30"/>
      <c r="C238" s="256"/>
      <c r="D238" s="57" t="s">
        <v>256</v>
      </c>
      <c r="E238" s="856">
        <v>1100</v>
      </c>
      <c r="F238" s="856">
        <v>1200</v>
      </c>
      <c r="G238" s="856">
        <v>1300</v>
      </c>
      <c r="H238" s="856">
        <v>1400</v>
      </c>
      <c r="I238" s="856">
        <v>1500</v>
      </c>
      <c r="J238" s="856">
        <v>1600</v>
      </c>
      <c r="K238" s="856">
        <v>1700</v>
      </c>
      <c r="L238" s="856">
        <v>1800</v>
      </c>
      <c r="M238" s="856">
        <v>1900</v>
      </c>
      <c r="N238" s="856">
        <v>2000</v>
      </c>
      <c r="O238" s="835"/>
      <c r="P238" s="828"/>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row>
    <row r="239" spans="1:49" s="193" customFormat="1" ht="12.95" hidden="1" customHeight="1" outlineLevel="1" x14ac:dyDescent="0.2">
      <c r="A239" s="820"/>
      <c r="B239" s="833"/>
      <c r="C239" s="837"/>
      <c r="D239" s="57" t="s">
        <v>257</v>
      </c>
      <c r="E239" s="857">
        <v>2100</v>
      </c>
      <c r="F239" s="857">
        <v>2200</v>
      </c>
      <c r="G239" s="857">
        <v>2300</v>
      </c>
      <c r="H239" s="857">
        <v>2400</v>
      </c>
      <c r="I239" s="857">
        <v>2500</v>
      </c>
      <c r="J239" s="857">
        <v>2600</v>
      </c>
      <c r="K239" s="857">
        <v>2700</v>
      </c>
      <c r="L239" s="857">
        <v>2800</v>
      </c>
      <c r="M239" s="857">
        <v>2900</v>
      </c>
      <c r="N239" s="857">
        <v>3000</v>
      </c>
      <c r="O239" s="835"/>
      <c r="P239" s="828"/>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row>
    <row r="240" spans="1:49" s="193" customFormat="1" ht="12.95" hidden="1" customHeight="1" outlineLevel="1" x14ac:dyDescent="0.2">
      <c r="A240" s="820"/>
      <c r="B240" s="833"/>
      <c r="C240" s="837"/>
      <c r="D240" s="57" t="s">
        <v>258</v>
      </c>
      <c r="E240" s="857" t="s">
        <v>20</v>
      </c>
      <c r="F240" s="857" t="s">
        <v>20</v>
      </c>
      <c r="G240" s="857" t="s">
        <v>20</v>
      </c>
      <c r="H240" s="857" t="s">
        <v>20</v>
      </c>
      <c r="I240" s="857" t="s">
        <v>20</v>
      </c>
      <c r="J240" s="857" t="s">
        <v>20</v>
      </c>
      <c r="K240" s="857" t="s">
        <v>20</v>
      </c>
      <c r="L240" s="857" t="s">
        <v>20</v>
      </c>
      <c r="M240" s="857" t="s">
        <v>20</v>
      </c>
      <c r="N240" s="857" t="s">
        <v>20</v>
      </c>
      <c r="O240" s="835"/>
      <c r="P240" s="828"/>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row>
    <row r="241" spans="1:49" s="193" customFormat="1" ht="12.95" hidden="1" customHeight="1" outlineLevel="1" x14ac:dyDescent="0.2">
      <c r="A241" s="820"/>
      <c r="B241" s="833"/>
      <c r="C241" s="837"/>
      <c r="D241" s="57" t="s">
        <v>259</v>
      </c>
      <c r="E241" s="857">
        <v>4100</v>
      </c>
      <c r="F241" s="857">
        <v>4200</v>
      </c>
      <c r="G241" s="857">
        <v>4300</v>
      </c>
      <c r="H241" s="857">
        <v>4400</v>
      </c>
      <c r="I241" s="857">
        <v>4500</v>
      </c>
      <c r="J241" s="857">
        <v>4600</v>
      </c>
      <c r="K241" s="857">
        <v>4700</v>
      </c>
      <c r="L241" s="857">
        <v>4800</v>
      </c>
      <c r="M241" s="857">
        <v>4900</v>
      </c>
      <c r="N241" s="857">
        <v>5000</v>
      </c>
      <c r="O241" s="835"/>
      <c r="P241" s="828"/>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row>
    <row r="242" spans="1:49" s="193" customFormat="1" ht="12.95" hidden="1" customHeight="1" outlineLevel="1" x14ac:dyDescent="0.2">
      <c r="A242" s="820"/>
      <c r="B242" s="833"/>
      <c r="C242" s="837"/>
      <c r="D242" s="57" t="s">
        <v>260</v>
      </c>
      <c r="E242" s="857" t="s">
        <v>20</v>
      </c>
      <c r="F242" s="857" t="s">
        <v>20</v>
      </c>
      <c r="G242" s="857" t="s">
        <v>20</v>
      </c>
      <c r="H242" s="857" t="s">
        <v>20</v>
      </c>
      <c r="I242" s="857" t="s">
        <v>20</v>
      </c>
      <c r="J242" s="857" t="s">
        <v>20</v>
      </c>
      <c r="K242" s="857" t="s">
        <v>20</v>
      </c>
      <c r="L242" s="857" t="s">
        <v>20</v>
      </c>
      <c r="M242" s="857" t="s">
        <v>20</v>
      </c>
      <c r="N242" s="857" t="s">
        <v>20</v>
      </c>
      <c r="O242" s="835"/>
      <c r="P242" s="828"/>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row>
    <row r="243" spans="1:49" s="193" customFormat="1" ht="12.95" hidden="1" customHeight="1" outlineLevel="1" x14ac:dyDescent="0.2">
      <c r="A243" s="820"/>
      <c r="B243" s="833"/>
      <c r="C243" s="837"/>
      <c r="D243" s="57" t="s">
        <v>261</v>
      </c>
      <c r="E243" s="857">
        <v>7100</v>
      </c>
      <c r="F243" s="857">
        <v>7200</v>
      </c>
      <c r="G243" s="857">
        <v>7300</v>
      </c>
      <c r="H243" s="857">
        <v>7400</v>
      </c>
      <c r="I243" s="857">
        <v>7500</v>
      </c>
      <c r="J243" s="857">
        <v>7600</v>
      </c>
      <c r="K243" s="857">
        <v>7700</v>
      </c>
      <c r="L243" s="857">
        <v>7800</v>
      </c>
      <c r="M243" s="857">
        <v>7900</v>
      </c>
      <c r="N243" s="857">
        <v>8000</v>
      </c>
      <c r="O243" s="835"/>
      <c r="P243" s="828"/>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row>
    <row r="244" spans="1:49" s="193" customFormat="1" ht="12.95" hidden="1" customHeight="1" outlineLevel="1" x14ac:dyDescent="0.2">
      <c r="A244" s="820"/>
      <c r="B244" s="833"/>
      <c r="C244" s="837"/>
      <c r="D244" s="57" t="s">
        <v>262</v>
      </c>
      <c r="E244" s="857" t="s">
        <v>20</v>
      </c>
      <c r="F244" s="857" t="s">
        <v>20</v>
      </c>
      <c r="G244" s="857" t="s">
        <v>20</v>
      </c>
      <c r="H244" s="857" t="s">
        <v>20</v>
      </c>
      <c r="I244" s="857" t="s">
        <v>20</v>
      </c>
      <c r="J244" s="857" t="s">
        <v>20</v>
      </c>
      <c r="K244" s="857" t="s">
        <v>20</v>
      </c>
      <c r="L244" s="857" t="s">
        <v>20</v>
      </c>
      <c r="M244" s="857" t="s">
        <v>20</v>
      </c>
      <c r="N244" s="857" t="s">
        <v>20</v>
      </c>
      <c r="O244" s="835"/>
      <c r="P244" s="828"/>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row>
    <row r="245" spans="1:49" s="193" customFormat="1" ht="12.95" hidden="1" customHeight="1" outlineLevel="1" x14ac:dyDescent="0.2">
      <c r="A245" s="820"/>
      <c r="B245" s="833"/>
      <c r="C245" s="837"/>
      <c r="D245" s="57" t="s">
        <v>263</v>
      </c>
      <c r="E245" s="857">
        <v>9000</v>
      </c>
      <c r="F245" s="857">
        <v>10000</v>
      </c>
      <c r="G245" s="857">
        <v>11000</v>
      </c>
      <c r="H245" s="857">
        <v>12000</v>
      </c>
      <c r="I245" s="857">
        <v>13000</v>
      </c>
      <c r="J245" s="857">
        <v>14000</v>
      </c>
      <c r="K245" s="857">
        <v>15000</v>
      </c>
      <c r="L245" s="857">
        <v>16000</v>
      </c>
      <c r="M245" s="857">
        <v>17000</v>
      </c>
      <c r="N245" s="857">
        <v>18000</v>
      </c>
      <c r="O245" s="835"/>
      <c r="P245" s="828"/>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row>
    <row r="246" spans="1:49" s="193" customFormat="1" ht="12.95" hidden="1" customHeight="1" outlineLevel="1" x14ac:dyDescent="0.2">
      <c r="A246" s="820"/>
      <c r="B246" s="833"/>
      <c r="C246" s="837"/>
      <c r="D246" s="60" t="s">
        <v>113</v>
      </c>
      <c r="E246" s="502">
        <f t="shared" ref="E246:H246" si="47">SUM(E238:E245)</f>
        <v>23400</v>
      </c>
      <c r="F246" s="502">
        <f t="shared" si="47"/>
        <v>24800</v>
      </c>
      <c r="G246" s="502">
        <f t="shared" si="47"/>
        <v>26200</v>
      </c>
      <c r="H246" s="502">
        <f t="shared" si="47"/>
        <v>27600</v>
      </c>
      <c r="I246" s="502">
        <f t="shared" ref="I246:N246" si="48">SUM(I238:I245)</f>
        <v>29000</v>
      </c>
      <c r="J246" s="502">
        <f t="shared" si="48"/>
        <v>30400</v>
      </c>
      <c r="K246" s="502">
        <f t="shared" si="48"/>
        <v>31800</v>
      </c>
      <c r="L246" s="502">
        <f t="shared" si="48"/>
        <v>33200</v>
      </c>
      <c r="M246" s="502">
        <f t="shared" si="48"/>
        <v>34600</v>
      </c>
      <c r="N246" s="502">
        <f t="shared" si="48"/>
        <v>36000</v>
      </c>
      <c r="O246" s="285" t="s">
        <v>528</v>
      </c>
      <c r="P246" s="828"/>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row>
    <row r="247" spans="1:49" s="193" customFormat="1" ht="12.75" hidden="1" outlineLevel="1" x14ac:dyDescent="0.2">
      <c r="A247" s="820"/>
      <c r="B247" s="833"/>
      <c r="C247" s="837"/>
      <c r="D247" s="501" t="str">
        <f>"Total "&amp;FleetTypeD&amp;" FLEET HM Records Generated pa"</f>
        <v>Total B747-300 FLEET HM Records Generated pa</v>
      </c>
      <c r="E247" s="503">
        <f t="shared" ref="E247:N247" si="49">E246/FleetCycleHvy_D*FleetSize_D</f>
        <v>48750</v>
      </c>
      <c r="F247" s="503">
        <f t="shared" si="49"/>
        <v>44285.714285714283</v>
      </c>
      <c r="G247" s="503">
        <f t="shared" si="49"/>
        <v>40937.5</v>
      </c>
      <c r="H247" s="503">
        <f t="shared" si="49"/>
        <v>49285.714285714283</v>
      </c>
      <c r="I247" s="503">
        <f t="shared" si="49"/>
        <v>51785.71428571429</v>
      </c>
      <c r="J247" s="503">
        <f t="shared" si="49"/>
        <v>54285.71428571429</v>
      </c>
      <c r="K247" s="503">
        <f t="shared" si="49"/>
        <v>56785.71428571429</v>
      </c>
      <c r="L247" s="503">
        <f t="shared" si="49"/>
        <v>59285.71428571429</v>
      </c>
      <c r="M247" s="503">
        <f t="shared" si="49"/>
        <v>61785.71428571429</v>
      </c>
      <c r="N247" s="503">
        <f t="shared" si="49"/>
        <v>64285.71428571429</v>
      </c>
      <c r="O247" s="285" t="s">
        <v>520</v>
      </c>
      <c r="P247" s="828"/>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row>
    <row r="248" spans="1:49" s="712" customFormat="1" ht="12.75" hidden="1" outlineLevel="1" x14ac:dyDescent="0.2">
      <c r="A248" s="820"/>
      <c r="B248" s="820"/>
      <c r="C248" s="837"/>
      <c r="D248" s="30"/>
      <c r="E248" s="30"/>
      <c r="F248" s="30"/>
      <c r="G248" s="30"/>
      <c r="H248" s="30"/>
      <c r="I248" s="30"/>
      <c r="J248" s="30"/>
      <c r="K248" s="30"/>
      <c r="L248" s="30"/>
      <c r="M248" s="30"/>
      <c r="N248" s="30"/>
      <c r="O248" s="839"/>
      <c r="P248" s="828"/>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row>
    <row r="249" spans="1:49" s="712" customFormat="1" ht="12.75" hidden="1" outlineLevel="1" x14ac:dyDescent="0.2">
      <c r="A249" s="820"/>
      <c r="B249" s="820"/>
      <c r="C249" s="837"/>
      <c r="D249" s="484" t="str">
        <f>FleetTypeD &amp;" Line Maintenance (LM)"</f>
        <v>B747-300 Line Maintenance (LM)</v>
      </c>
      <c r="E249" s="840"/>
      <c r="F249" s="840"/>
      <c r="G249" s="840"/>
      <c r="H249" s="840"/>
      <c r="I249" s="840"/>
      <c r="J249" s="840"/>
      <c r="K249" s="840"/>
      <c r="L249" s="840"/>
      <c r="M249" s="840"/>
      <c r="N249" s="840"/>
      <c r="O249" s="839"/>
      <c r="P249" s="828"/>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row>
    <row r="250" spans="1:49" s="712" customFormat="1" ht="12.75" hidden="1" outlineLevel="1" x14ac:dyDescent="0.2">
      <c r="A250" s="820"/>
      <c r="B250" s="841"/>
      <c r="C250" s="837"/>
      <c r="D250" s="233" t="str">
        <f>FleetTypeD&amp; " LM Per AIRCRAFT Records Generated pa"</f>
        <v>B747-300 LM Per AIRCRAFT Records Generated pa</v>
      </c>
      <c r="E250" s="596">
        <v>10001</v>
      </c>
      <c r="F250" s="596">
        <v>10002</v>
      </c>
      <c r="G250" s="596">
        <v>10003</v>
      </c>
      <c r="H250" s="596">
        <v>10004</v>
      </c>
      <c r="I250" s="596">
        <v>10005</v>
      </c>
      <c r="J250" s="596">
        <v>10006</v>
      </c>
      <c r="K250" s="596">
        <v>10007</v>
      </c>
      <c r="L250" s="596">
        <v>10008</v>
      </c>
      <c r="M250" s="596">
        <v>10009</v>
      </c>
      <c r="N250" s="596">
        <v>10010</v>
      </c>
      <c r="O250" s="839"/>
      <c r="P250" s="828"/>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row>
    <row r="251" spans="1:49" s="712" customFormat="1" ht="12.75" hidden="1" outlineLevel="1" x14ac:dyDescent="0.2">
      <c r="A251" s="820"/>
      <c r="B251" s="841"/>
      <c r="C251" s="843"/>
      <c r="D251" s="501" t="str">
        <f>"Total "&amp;FleetTypeD&amp;" FLEET LM Records Generated pa"</f>
        <v>Total B747-300 FLEET LM Records Generated pa</v>
      </c>
      <c r="E251" s="505">
        <f t="shared" ref="E251:N251" si="50">E250*FleetSize_D</f>
        <v>250025</v>
      </c>
      <c r="F251" s="505">
        <f t="shared" si="50"/>
        <v>250050</v>
      </c>
      <c r="G251" s="505">
        <f t="shared" si="50"/>
        <v>250075</v>
      </c>
      <c r="H251" s="505">
        <f t="shared" si="50"/>
        <v>250100</v>
      </c>
      <c r="I251" s="505">
        <f t="shared" si="50"/>
        <v>250125</v>
      </c>
      <c r="J251" s="505">
        <f t="shared" si="50"/>
        <v>250150</v>
      </c>
      <c r="K251" s="505">
        <f t="shared" si="50"/>
        <v>250175</v>
      </c>
      <c r="L251" s="505">
        <f t="shared" si="50"/>
        <v>250200</v>
      </c>
      <c r="M251" s="505">
        <f t="shared" si="50"/>
        <v>250225</v>
      </c>
      <c r="N251" s="505">
        <f t="shared" si="50"/>
        <v>250250</v>
      </c>
      <c r="O251" s="285" t="s">
        <v>482</v>
      </c>
      <c r="P251" s="828"/>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row>
    <row r="252" spans="1:49" s="712" customFormat="1" ht="12.75" hidden="1" outlineLevel="1" x14ac:dyDescent="0.2">
      <c r="A252" s="820"/>
      <c r="B252" s="820"/>
      <c r="C252" s="843"/>
      <c r="D252" s="30"/>
      <c r="E252" s="30"/>
      <c r="F252" s="30"/>
      <c r="G252" s="30"/>
      <c r="H252" s="30"/>
      <c r="I252" s="30"/>
      <c r="J252" s="30"/>
      <c r="K252" s="30"/>
      <c r="L252" s="30"/>
      <c r="M252" s="30"/>
      <c r="N252" s="30"/>
      <c r="O252" s="839"/>
      <c r="P252" s="828"/>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row>
    <row r="253" spans="1:49" s="712" customFormat="1" ht="12.75" hidden="1" outlineLevel="1" x14ac:dyDescent="0.2">
      <c r="A253" s="820"/>
      <c r="B253" s="820"/>
      <c r="C253" s="843"/>
      <c r="D253" s="484" t="str">
        <f>FleetTypeD &amp;" Engineering (Eng)"</f>
        <v>B747-300 Engineering (Eng)</v>
      </c>
      <c r="E253" s="840"/>
      <c r="F253" s="840"/>
      <c r="G253" s="840"/>
      <c r="H253" s="840"/>
      <c r="I253" s="840"/>
      <c r="J253" s="840"/>
      <c r="K253" s="840"/>
      <c r="L253" s="840"/>
      <c r="M253" s="840"/>
      <c r="N253" s="840"/>
      <c r="O253" s="839"/>
      <c r="P253" s="828"/>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row>
    <row r="254" spans="1:49" s="712" customFormat="1" ht="12.75" hidden="1" outlineLevel="1" x14ac:dyDescent="0.2">
      <c r="A254" s="820"/>
      <c r="B254" s="820"/>
      <c r="C254" s="843"/>
      <c r="D254" s="233" t="str">
        <f>FleetTypeD&amp;" Eng Per AIRCRAFT Records Generated pa"</f>
        <v>B747-300 Eng Per AIRCRAFT Records Generated pa</v>
      </c>
      <c r="E254" s="842">
        <v>11001</v>
      </c>
      <c r="F254" s="842">
        <v>11002</v>
      </c>
      <c r="G254" s="842">
        <v>11003</v>
      </c>
      <c r="H254" s="842">
        <v>11004</v>
      </c>
      <c r="I254" s="842">
        <v>11005</v>
      </c>
      <c r="J254" s="842">
        <v>11006</v>
      </c>
      <c r="K254" s="842">
        <v>11007</v>
      </c>
      <c r="L254" s="842">
        <v>11008</v>
      </c>
      <c r="M254" s="842">
        <v>11009</v>
      </c>
      <c r="N254" s="842">
        <v>11010</v>
      </c>
      <c r="O254" s="839"/>
      <c r="P254" s="828"/>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row>
    <row r="255" spans="1:49" s="712" customFormat="1" ht="15.75" hidden="1" customHeight="1" outlineLevel="1" x14ac:dyDescent="0.2">
      <c r="A255" s="820"/>
      <c r="B255" s="820"/>
      <c r="C255" s="843"/>
      <c r="D255" s="234" t="str">
        <f>"Total "&amp;FleetTypeD&amp;" FLEET Eng Records Generated pa"</f>
        <v>Total B747-300 FLEET Eng Records Generated pa</v>
      </c>
      <c r="E255" s="231">
        <f t="shared" ref="E255:N255" si="51">E254*FleetSize_D</f>
        <v>275025</v>
      </c>
      <c r="F255" s="231">
        <f t="shared" si="51"/>
        <v>275050</v>
      </c>
      <c r="G255" s="231">
        <f t="shared" si="51"/>
        <v>275075</v>
      </c>
      <c r="H255" s="231">
        <f t="shared" si="51"/>
        <v>275100</v>
      </c>
      <c r="I255" s="231">
        <f t="shared" si="51"/>
        <v>275125</v>
      </c>
      <c r="J255" s="231">
        <f t="shared" si="51"/>
        <v>275150</v>
      </c>
      <c r="K255" s="231">
        <f t="shared" si="51"/>
        <v>275175</v>
      </c>
      <c r="L255" s="231">
        <f t="shared" si="51"/>
        <v>275200</v>
      </c>
      <c r="M255" s="231">
        <f t="shared" si="51"/>
        <v>275225</v>
      </c>
      <c r="N255" s="231">
        <f t="shared" si="51"/>
        <v>275250</v>
      </c>
      <c r="O255" s="285" t="s">
        <v>876</v>
      </c>
      <c r="P255" s="828"/>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row>
    <row r="256" spans="1:49" s="712" customFormat="1" ht="15.75" hidden="1" customHeight="1" outlineLevel="1" x14ac:dyDescent="0.2">
      <c r="A256" s="820"/>
      <c r="B256" s="820"/>
      <c r="C256" s="843"/>
      <c r="D256" s="844"/>
      <c r="E256" s="845"/>
      <c r="F256" s="845"/>
      <c r="G256" s="845"/>
      <c r="H256" s="845"/>
      <c r="I256" s="845"/>
      <c r="J256" s="845"/>
      <c r="K256" s="845"/>
      <c r="L256" s="845"/>
      <c r="M256" s="845"/>
      <c r="N256" s="845"/>
      <c r="O256" s="285"/>
      <c r="P256" s="828"/>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row>
    <row r="257" spans="1:49" s="712" customFormat="1" ht="12.75" hidden="1" outlineLevel="1" x14ac:dyDescent="0.2">
      <c r="A257" s="820"/>
      <c r="B257" s="820"/>
      <c r="C257" s="843"/>
      <c r="D257" s="484" t="str">
        <f>FleetTypeD &amp;" Planning (Plg)"</f>
        <v>B747-300 Planning (Plg)</v>
      </c>
      <c r="E257" s="840"/>
      <c r="F257" s="840"/>
      <c r="G257" s="840"/>
      <c r="H257" s="840"/>
      <c r="I257" s="840"/>
      <c r="J257" s="840"/>
      <c r="K257" s="840"/>
      <c r="L257" s="840"/>
      <c r="M257" s="840"/>
      <c r="N257" s="840"/>
      <c r="O257" s="839"/>
      <c r="P257" s="828"/>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row>
    <row r="258" spans="1:49" s="712" customFormat="1" ht="12.75" hidden="1" outlineLevel="1" x14ac:dyDescent="0.2">
      <c r="A258" s="820"/>
      <c r="B258" s="820"/>
      <c r="C258" s="843"/>
      <c r="D258" s="233" t="str">
        <f>FleetTypeD&amp;" Plg AIRCRAFT Records Generated pa"</f>
        <v>B747-300 Plg AIRCRAFT Records Generated pa</v>
      </c>
      <c r="E258" s="842">
        <v>11001</v>
      </c>
      <c r="F258" s="842">
        <v>11002</v>
      </c>
      <c r="G258" s="842">
        <v>11003</v>
      </c>
      <c r="H258" s="842">
        <v>11004</v>
      </c>
      <c r="I258" s="842">
        <v>11005</v>
      </c>
      <c r="J258" s="842">
        <v>11006</v>
      </c>
      <c r="K258" s="842">
        <v>11007</v>
      </c>
      <c r="L258" s="842">
        <v>11008</v>
      </c>
      <c r="M258" s="842">
        <v>11009</v>
      </c>
      <c r="N258" s="842">
        <v>11010</v>
      </c>
      <c r="O258" s="839"/>
      <c r="P258" s="828"/>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row>
    <row r="259" spans="1:49" s="712" customFormat="1" ht="15.75" hidden="1" customHeight="1" outlineLevel="1" x14ac:dyDescent="0.2">
      <c r="A259" s="820"/>
      <c r="B259" s="820"/>
      <c r="C259" s="843"/>
      <c r="D259" s="234" t="str">
        <f>"Total "&amp;FleetTypeD&amp;" FLEET Plg Records Generated pa"</f>
        <v>Total B747-300 FLEET Plg Records Generated pa</v>
      </c>
      <c r="E259" s="231">
        <f t="shared" ref="E259:N259" si="52">E258*FleetSize_D</f>
        <v>275025</v>
      </c>
      <c r="F259" s="231">
        <f t="shared" si="52"/>
        <v>275050</v>
      </c>
      <c r="G259" s="231">
        <f t="shared" si="52"/>
        <v>275075</v>
      </c>
      <c r="H259" s="231">
        <f t="shared" si="52"/>
        <v>275100</v>
      </c>
      <c r="I259" s="231">
        <f t="shared" si="52"/>
        <v>275125</v>
      </c>
      <c r="J259" s="231">
        <f t="shared" si="52"/>
        <v>275150</v>
      </c>
      <c r="K259" s="231">
        <f t="shared" si="52"/>
        <v>275175</v>
      </c>
      <c r="L259" s="231">
        <f t="shared" si="52"/>
        <v>275200</v>
      </c>
      <c r="M259" s="231">
        <f t="shared" si="52"/>
        <v>275225</v>
      </c>
      <c r="N259" s="231">
        <f t="shared" si="52"/>
        <v>275250</v>
      </c>
      <c r="O259" s="285" t="s">
        <v>877</v>
      </c>
      <c r="P259" s="828"/>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row>
    <row r="260" spans="1:49" s="712" customFormat="1" ht="12.75" hidden="1" outlineLevel="1" x14ac:dyDescent="0.2">
      <c r="A260" s="820"/>
      <c r="B260" s="820"/>
      <c r="C260" s="843"/>
      <c r="D260" s="30"/>
      <c r="E260" s="30"/>
      <c r="F260" s="30"/>
      <c r="G260" s="30"/>
      <c r="H260" s="30"/>
      <c r="I260" s="30"/>
      <c r="J260" s="30"/>
      <c r="K260" s="30"/>
      <c r="L260" s="30"/>
      <c r="M260" s="30"/>
      <c r="N260" s="30"/>
      <c r="O260" s="839"/>
      <c r="P260" s="828"/>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row>
    <row r="261" spans="1:49" s="712" customFormat="1" ht="12.75" hidden="1" outlineLevel="1" x14ac:dyDescent="0.2">
      <c r="A261" s="820"/>
      <c r="B261" s="820"/>
      <c r="C261" s="843"/>
      <c r="D261" s="484" t="str">
        <f>FleetTypeD &amp;" Clerical, Records &amp; Tech Pubs (CRT)"</f>
        <v>B747-300 Clerical, Records &amp; Tech Pubs (CRT)</v>
      </c>
      <c r="E261" s="840"/>
      <c r="F261" s="840"/>
      <c r="G261" s="840"/>
      <c r="H261" s="840"/>
      <c r="I261" s="840"/>
      <c r="J261" s="840"/>
      <c r="K261" s="840"/>
      <c r="L261" s="840"/>
      <c r="M261" s="840"/>
      <c r="N261" s="840"/>
      <c r="O261" s="839"/>
      <c r="P261" s="828"/>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row>
    <row r="262" spans="1:49" s="712" customFormat="1" ht="12.75" hidden="1" outlineLevel="1" x14ac:dyDescent="0.2">
      <c r="A262" s="820"/>
      <c r="B262" s="820"/>
      <c r="C262" s="256"/>
      <c r="D262" s="233" t="str">
        <f>FleetTypeD&amp;" SCL Per AIRCRAFT CRT Records Generated pa"</f>
        <v>B747-300 SCL Per AIRCRAFT CRT Records Generated pa</v>
      </c>
      <c r="E262" s="596">
        <v>12001</v>
      </c>
      <c r="F262" s="596">
        <v>12002</v>
      </c>
      <c r="G262" s="596">
        <v>12003</v>
      </c>
      <c r="H262" s="596">
        <v>12004</v>
      </c>
      <c r="I262" s="596">
        <v>12005</v>
      </c>
      <c r="J262" s="596">
        <v>12006</v>
      </c>
      <c r="K262" s="596">
        <v>12007</v>
      </c>
      <c r="L262" s="596">
        <v>12008</v>
      </c>
      <c r="M262" s="596">
        <v>12009</v>
      </c>
      <c r="N262" s="596">
        <v>12010</v>
      </c>
      <c r="O262" s="839"/>
      <c r="P262" s="828"/>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row>
    <row r="263" spans="1:49" s="712" customFormat="1" ht="12.75" hidden="1" outlineLevel="1" x14ac:dyDescent="0.2">
      <c r="A263" s="820"/>
      <c r="B263" s="820"/>
      <c r="C263" s="843"/>
      <c r="D263" s="501" t="str">
        <f>"Total "&amp;FleetTypeD&amp;" FLEET CRT Records Generated pa"</f>
        <v>Total B747-300 FLEET CRT Records Generated pa</v>
      </c>
      <c r="E263" s="505">
        <f t="shared" ref="E263:N263" si="53">E262*FleetSize_D</f>
        <v>300025</v>
      </c>
      <c r="F263" s="505">
        <f t="shared" si="53"/>
        <v>300050</v>
      </c>
      <c r="G263" s="505">
        <f t="shared" si="53"/>
        <v>300075</v>
      </c>
      <c r="H263" s="505">
        <f t="shared" si="53"/>
        <v>300100</v>
      </c>
      <c r="I263" s="505">
        <f t="shared" si="53"/>
        <v>300125</v>
      </c>
      <c r="J263" s="505">
        <f t="shared" si="53"/>
        <v>300150</v>
      </c>
      <c r="K263" s="505">
        <f t="shared" si="53"/>
        <v>300175</v>
      </c>
      <c r="L263" s="505">
        <f t="shared" si="53"/>
        <v>300200</v>
      </c>
      <c r="M263" s="505">
        <f t="shared" si="53"/>
        <v>300225</v>
      </c>
      <c r="N263" s="505">
        <f t="shared" si="53"/>
        <v>300250</v>
      </c>
      <c r="O263" s="285" t="s">
        <v>521</v>
      </c>
      <c r="P263" s="828"/>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row>
    <row r="264" spans="1:49" s="712" customFormat="1" ht="12.75" hidden="1" outlineLevel="1" x14ac:dyDescent="0.2">
      <c r="A264" s="820"/>
      <c r="B264" s="820"/>
      <c r="C264" s="843"/>
      <c r="D264" s="820"/>
      <c r="E264" s="840"/>
      <c r="F264" s="840"/>
      <c r="G264" s="840"/>
      <c r="H264" s="840"/>
      <c r="I264" s="840"/>
      <c r="J264" s="840"/>
      <c r="K264" s="840"/>
      <c r="L264" s="840"/>
      <c r="M264" s="840"/>
      <c r="N264" s="840"/>
      <c r="O264" s="839"/>
      <c r="P264" s="828"/>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row>
    <row r="265" spans="1:49" s="712" customFormat="1" ht="12.75" hidden="1" outlineLevel="1" x14ac:dyDescent="0.2">
      <c r="A265" s="820"/>
      <c r="B265" s="820"/>
      <c r="C265" s="843"/>
      <c r="D265" s="484" t="str">
        <f>FleetTypeD &amp;" Supply Chain &amp; Logistics (SCL)"</f>
        <v>B747-300 Supply Chain &amp; Logistics (SCL)</v>
      </c>
      <c r="E265" s="840"/>
      <c r="F265" s="840"/>
      <c r="G265" s="840"/>
      <c r="H265" s="840"/>
      <c r="I265" s="840"/>
      <c r="J265" s="840"/>
      <c r="K265" s="840"/>
      <c r="L265" s="840"/>
      <c r="M265" s="840"/>
      <c r="N265" s="840"/>
      <c r="O265" s="839"/>
      <c r="P265" s="828"/>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row>
    <row r="266" spans="1:49" s="712" customFormat="1" ht="12.75" hidden="1" outlineLevel="1" x14ac:dyDescent="0.2">
      <c r="A266" s="820"/>
      <c r="B266" s="820"/>
      <c r="C266" s="256"/>
      <c r="D266" s="233" t="str">
        <f>FleetTypeD&amp;" SCL Per AIRCRAFT OEMV Records Generated pa"</f>
        <v>B747-300 SCL Per AIRCRAFT OEMV Records Generated pa</v>
      </c>
      <c r="E266" s="596">
        <v>13001</v>
      </c>
      <c r="F266" s="596">
        <v>13002</v>
      </c>
      <c r="G266" s="596">
        <v>13003</v>
      </c>
      <c r="H266" s="596">
        <v>13004</v>
      </c>
      <c r="I266" s="596">
        <v>13005</v>
      </c>
      <c r="J266" s="596">
        <v>13006</v>
      </c>
      <c r="K266" s="596">
        <v>13007</v>
      </c>
      <c r="L266" s="596">
        <v>13008</v>
      </c>
      <c r="M266" s="596">
        <v>13009</v>
      </c>
      <c r="N266" s="596">
        <v>13010</v>
      </c>
      <c r="O266" s="839"/>
      <c r="P266" s="828"/>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row>
    <row r="267" spans="1:49" s="712" customFormat="1" ht="12.75" hidden="1" outlineLevel="1" x14ac:dyDescent="0.2">
      <c r="A267" s="820"/>
      <c r="B267" s="820"/>
      <c r="C267" s="843"/>
      <c r="D267" s="501" t="str">
        <f>"Total "&amp;FleetTypeD&amp;" FLEET SCL Records Generated pa"</f>
        <v>Total B747-300 FLEET SCL Records Generated pa</v>
      </c>
      <c r="E267" s="505">
        <f t="shared" ref="E267:N267" si="54">E266*FleetSize_D</f>
        <v>325025</v>
      </c>
      <c r="F267" s="505">
        <f t="shared" si="54"/>
        <v>325050</v>
      </c>
      <c r="G267" s="505">
        <f t="shared" si="54"/>
        <v>325075</v>
      </c>
      <c r="H267" s="505">
        <f t="shared" si="54"/>
        <v>325100</v>
      </c>
      <c r="I267" s="505">
        <f t="shared" si="54"/>
        <v>325125</v>
      </c>
      <c r="J267" s="505">
        <f t="shared" si="54"/>
        <v>325150</v>
      </c>
      <c r="K267" s="505">
        <f t="shared" si="54"/>
        <v>325175</v>
      </c>
      <c r="L267" s="505">
        <f t="shared" si="54"/>
        <v>325200</v>
      </c>
      <c r="M267" s="505">
        <f t="shared" si="54"/>
        <v>325225</v>
      </c>
      <c r="N267" s="505">
        <f t="shared" si="54"/>
        <v>325250</v>
      </c>
      <c r="O267" s="285" t="s">
        <v>522</v>
      </c>
      <c r="P267" s="828"/>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row>
    <row r="268" spans="1:49" s="712" customFormat="1" ht="12.75" hidden="1" outlineLevel="1" x14ac:dyDescent="0.2">
      <c r="A268" s="820"/>
      <c r="B268" s="820"/>
      <c r="C268" s="846"/>
      <c r="D268" s="820"/>
      <c r="E268" s="840"/>
      <c r="F268" s="840"/>
      <c r="G268" s="840"/>
      <c r="H268" s="840"/>
      <c r="I268" s="840"/>
      <c r="J268" s="840"/>
      <c r="K268" s="840"/>
      <c r="L268" s="840"/>
      <c r="M268" s="840"/>
      <c r="N268" s="840"/>
      <c r="O268" s="839"/>
      <c r="P268" s="828"/>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row>
    <row r="269" spans="1:49" s="712" customFormat="1" ht="12.75" hidden="1" outlineLevel="1" x14ac:dyDescent="0.2">
      <c r="A269" s="820"/>
      <c r="B269" s="820"/>
      <c r="C269" s="846"/>
      <c r="D269" s="484" t="str">
        <f>FleetTypeD &amp;" Quality, Safety &amp; Compliance (QSC)"</f>
        <v>B747-300 Quality, Safety &amp; Compliance (QSC)</v>
      </c>
      <c r="E269" s="840"/>
      <c r="F269" s="840"/>
      <c r="G269" s="840"/>
      <c r="H269" s="840"/>
      <c r="I269" s="840"/>
      <c r="J269" s="840"/>
      <c r="K269" s="840"/>
      <c r="L269" s="840"/>
      <c r="M269" s="840"/>
      <c r="N269" s="840"/>
      <c r="O269" s="839"/>
      <c r="P269" s="828"/>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row>
    <row r="270" spans="1:49" s="712" customFormat="1" ht="12.75" hidden="1" outlineLevel="1" x14ac:dyDescent="0.2">
      <c r="A270" s="820"/>
      <c r="B270" s="820"/>
      <c r="C270" s="256"/>
      <c r="D270" s="233" t="str">
        <f>FleetTypeD&amp;" QSC Per AIRCRAFT Records Generated pa"</f>
        <v>B747-300 QSC Per AIRCRAFT Records Generated pa</v>
      </c>
      <c r="E270" s="596">
        <v>14001</v>
      </c>
      <c r="F270" s="596">
        <v>14002</v>
      </c>
      <c r="G270" s="596">
        <v>14003</v>
      </c>
      <c r="H270" s="596">
        <v>14004</v>
      </c>
      <c r="I270" s="596">
        <v>14005</v>
      </c>
      <c r="J270" s="596">
        <v>14006</v>
      </c>
      <c r="K270" s="596">
        <v>14007</v>
      </c>
      <c r="L270" s="596">
        <v>14008</v>
      </c>
      <c r="M270" s="596">
        <v>14009</v>
      </c>
      <c r="N270" s="596">
        <v>14010</v>
      </c>
      <c r="O270" s="839"/>
      <c r="P270" s="828"/>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row>
    <row r="271" spans="1:49" s="712" customFormat="1" ht="15.75" hidden="1" customHeight="1" outlineLevel="1" x14ac:dyDescent="0.2">
      <c r="A271" s="820"/>
      <c r="B271" s="820"/>
      <c r="C271" s="843"/>
      <c r="D271" s="501" t="str">
        <f>"Total "&amp;FleetTypeD&amp;" FLEET QSC Records Generated pa"</f>
        <v>Total B747-300 FLEET QSC Records Generated pa</v>
      </c>
      <c r="E271" s="505">
        <f t="shared" ref="E271:N271" si="55">E270*FleetSize_D</f>
        <v>350025</v>
      </c>
      <c r="F271" s="505">
        <f t="shared" si="55"/>
        <v>350050</v>
      </c>
      <c r="G271" s="505">
        <f t="shared" si="55"/>
        <v>350075</v>
      </c>
      <c r="H271" s="505">
        <f t="shared" si="55"/>
        <v>350100</v>
      </c>
      <c r="I271" s="505">
        <f t="shared" si="55"/>
        <v>350125</v>
      </c>
      <c r="J271" s="505">
        <f t="shared" si="55"/>
        <v>350150</v>
      </c>
      <c r="K271" s="505">
        <f t="shared" si="55"/>
        <v>350175</v>
      </c>
      <c r="L271" s="505">
        <f t="shared" si="55"/>
        <v>350200</v>
      </c>
      <c r="M271" s="505">
        <f t="shared" si="55"/>
        <v>350225</v>
      </c>
      <c r="N271" s="505">
        <f t="shared" si="55"/>
        <v>350250</v>
      </c>
      <c r="O271" s="285" t="s">
        <v>523</v>
      </c>
      <c r="P271" s="828"/>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row>
    <row r="272" spans="1:49" s="712" customFormat="1" ht="12.75" hidden="1" outlineLevel="1" x14ac:dyDescent="0.2">
      <c r="A272" s="820"/>
      <c r="B272" s="820"/>
      <c r="C272" s="847"/>
      <c r="D272" s="820"/>
      <c r="E272" s="840"/>
      <c r="F272" s="840"/>
      <c r="G272" s="840"/>
      <c r="H272" s="840"/>
      <c r="I272" s="840"/>
      <c r="J272" s="840"/>
      <c r="K272" s="840"/>
      <c r="L272" s="840"/>
      <c r="M272" s="840"/>
      <c r="N272" s="840"/>
      <c r="O272" s="835"/>
      <c r="P272" s="828"/>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row>
    <row r="273" spans="1:49" s="712" customFormat="1" ht="12.75" hidden="1" outlineLevel="1" x14ac:dyDescent="0.2">
      <c r="A273" s="820"/>
      <c r="B273" s="820"/>
      <c r="C273" s="847"/>
      <c r="D273" s="484" t="str">
        <f>FleetTypeD &amp;" Engine Maintenance (EM)"</f>
        <v>B747-300 Engine Maintenance (EM)</v>
      </c>
      <c r="E273" s="840"/>
      <c r="F273" s="840"/>
      <c r="G273" s="840"/>
      <c r="H273" s="840"/>
      <c r="I273" s="840"/>
      <c r="J273" s="840"/>
      <c r="K273" s="840"/>
      <c r="L273" s="840"/>
      <c r="M273" s="840"/>
      <c r="N273" s="840"/>
      <c r="O273" s="835"/>
      <c r="P273" s="828"/>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row>
    <row r="274" spans="1:49" s="712" customFormat="1" ht="12.75" hidden="1" outlineLevel="1" x14ac:dyDescent="0.2">
      <c r="A274" s="820"/>
      <c r="B274" s="820"/>
      <c r="C274" s="256"/>
      <c r="D274" s="233" t="str">
        <f>FleetTypeD&amp;" EM Per AIRCRAFT Records Generated pa"</f>
        <v>B747-300 EM Per AIRCRAFT Records Generated pa</v>
      </c>
      <c r="E274" s="596">
        <v>15001</v>
      </c>
      <c r="F274" s="596">
        <v>15002</v>
      </c>
      <c r="G274" s="596">
        <v>15003</v>
      </c>
      <c r="H274" s="596">
        <v>15004</v>
      </c>
      <c r="I274" s="596">
        <v>15005</v>
      </c>
      <c r="J274" s="596">
        <v>15006</v>
      </c>
      <c r="K274" s="596">
        <v>15007</v>
      </c>
      <c r="L274" s="596">
        <v>15008</v>
      </c>
      <c r="M274" s="596">
        <v>15009</v>
      </c>
      <c r="N274" s="596">
        <v>15010</v>
      </c>
      <c r="O274" s="835"/>
      <c r="P274" s="828"/>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row>
    <row r="275" spans="1:49" s="712" customFormat="1" ht="15.75" hidden="1" customHeight="1" outlineLevel="1" x14ac:dyDescent="0.2">
      <c r="A275" s="820"/>
      <c r="B275" s="820"/>
      <c r="C275" s="256"/>
      <c r="D275" s="501" t="str">
        <f>"Total "&amp;FleetTypeD&amp;" FLEET EM Records Generated pa"</f>
        <v>Total B747-300 FLEET EM Records Generated pa</v>
      </c>
      <c r="E275" s="505">
        <f t="shared" ref="E275:N275" si="56">E274*FleetSize_D</f>
        <v>375025</v>
      </c>
      <c r="F275" s="505">
        <f t="shared" si="56"/>
        <v>375050</v>
      </c>
      <c r="G275" s="505">
        <f t="shared" si="56"/>
        <v>375075</v>
      </c>
      <c r="H275" s="505">
        <f t="shared" si="56"/>
        <v>375100</v>
      </c>
      <c r="I275" s="505">
        <f t="shared" si="56"/>
        <v>375125</v>
      </c>
      <c r="J275" s="505">
        <f t="shared" si="56"/>
        <v>375150</v>
      </c>
      <c r="K275" s="505">
        <f t="shared" si="56"/>
        <v>375175</v>
      </c>
      <c r="L275" s="505">
        <f t="shared" si="56"/>
        <v>375200</v>
      </c>
      <c r="M275" s="505">
        <f t="shared" si="56"/>
        <v>375225</v>
      </c>
      <c r="N275" s="505">
        <f t="shared" si="56"/>
        <v>375250</v>
      </c>
      <c r="O275" s="285" t="s">
        <v>524</v>
      </c>
      <c r="P275" s="828"/>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row>
    <row r="276" spans="1:49" s="712" customFormat="1" ht="12.75" hidden="1" outlineLevel="1" x14ac:dyDescent="0.2">
      <c r="A276" s="820"/>
      <c r="B276" s="820"/>
      <c r="C276" s="256"/>
      <c r="D276" s="30"/>
      <c r="E276" s="30"/>
      <c r="F276" s="30"/>
      <c r="G276" s="30"/>
      <c r="H276" s="30"/>
      <c r="I276" s="30"/>
      <c r="J276" s="30"/>
      <c r="K276" s="30"/>
      <c r="L276" s="30"/>
      <c r="M276" s="30"/>
      <c r="N276" s="30"/>
      <c r="O276" s="839"/>
      <c r="P276" s="828"/>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row>
    <row r="277" spans="1:49" s="712" customFormat="1" ht="12.75" hidden="1" outlineLevel="1" x14ac:dyDescent="0.2">
      <c r="A277" s="820"/>
      <c r="B277" s="820"/>
      <c r="C277" s="847"/>
      <c r="D277" s="484" t="str">
        <f>FleetTypeD &amp;" Component Maintenance (CM)"</f>
        <v>B747-300 Component Maintenance (CM)</v>
      </c>
      <c r="E277" s="840"/>
      <c r="F277" s="840"/>
      <c r="G277" s="840"/>
      <c r="H277" s="840"/>
      <c r="I277" s="840"/>
      <c r="J277" s="840"/>
      <c r="K277" s="840"/>
      <c r="L277" s="840"/>
      <c r="M277" s="840"/>
      <c r="N277" s="840"/>
      <c r="O277" s="835"/>
      <c r="P277" s="828"/>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row>
    <row r="278" spans="1:49" s="712" customFormat="1" ht="12.75" hidden="1" outlineLevel="1" x14ac:dyDescent="0.2">
      <c r="A278" s="820"/>
      <c r="B278" s="820"/>
      <c r="C278" s="256"/>
      <c r="D278" s="233" t="str">
        <f>FleetTypeD&amp;" CM Per AIRCRAFT Records Generated pa"</f>
        <v>B747-300 CM Per AIRCRAFT Records Generated pa</v>
      </c>
      <c r="E278" s="596">
        <v>15001</v>
      </c>
      <c r="F278" s="596">
        <v>15002</v>
      </c>
      <c r="G278" s="596">
        <v>15003</v>
      </c>
      <c r="H278" s="596">
        <v>15004</v>
      </c>
      <c r="I278" s="596">
        <v>15005</v>
      </c>
      <c r="J278" s="596">
        <v>15006</v>
      </c>
      <c r="K278" s="596">
        <v>15007</v>
      </c>
      <c r="L278" s="596">
        <v>15008</v>
      </c>
      <c r="M278" s="596">
        <v>15009</v>
      </c>
      <c r="N278" s="596">
        <v>15010</v>
      </c>
      <c r="O278" s="835"/>
      <c r="P278" s="828"/>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row>
    <row r="279" spans="1:49" s="712" customFormat="1" ht="15.75" hidden="1" customHeight="1" outlineLevel="1" x14ac:dyDescent="0.2">
      <c r="A279" s="820"/>
      <c r="B279" s="820"/>
      <c r="C279" s="256"/>
      <c r="D279" s="501" t="str">
        <f>"Total "&amp;FleetTypeD&amp;" FLEET CM Records Generated pa"</f>
        <v>Total B747-300 FLEET CM Records Generated pa</v>
      </c>
      <c r="E279" s="505">
        <f t="shared" ref="E279:N279" si="57">E278*FleetSize_D</f>
        <v>375025</v>
      </c>
      <c r="F279" s="505">
        <f t="shared" si="57"/>
        <v>375050</v>
      </c>
      <c r="G279" s="505">
        <f t="shared" si="57"/>
        <v>375075</v>
      </c>
      <c r="H279" s="505">
        <f t="shared" si="57"/>
        <v>375100</v>
      </c>
      <c r="I279" s="505">
        <f t="shared" si="57"/>
        <v>375125</v>
      </c>
      <c r="J279" s="505">
        <f t="shared" si="57"/>
        <v>375150</v>
      </c>
      <c r="K279" s="505">
        <f t="shared" si="57"/>
        <v>375175</v>
      </c>
      <c r="L279" s="505">
        <f t="shared" si="57"/>
        <v>375200</v>
      </c>
      <c r="M279" s="505">
        <f t="shared" si="57"/>
        <v>375225</v>
      </c>
      <c r="N279" s="505">
        <f t="shared" si="57"/>
        <v>375250</v>
      </c>
      <c r="O279" s="285" t="s">
        <v>525</v>
      </c>
      <c r="P279" s="828"/>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row>
    <row r="280" spans="1:49" s="712" customFormat="1" ht="12.75" hidden="1" outlineLevel="1" x14ac:dyDescent="0.2">
      <c r="A280" s="820"/>
      <c r="B280" s="820"/>
      <c r="C280" s="256"/>
      <c r="D280" s="30"/>
      <c r="E280" s="30"/>
      <c r="F280" s="30"/>
      <c r="G280" s="30"/>
      <c r="H280" s="30"/>
      <c r="I280" s="30"/>
      <c r="J280" s="30"/>
      <c r="K280" s="30"/>
      <c r="L280" s="30"/>
      <c r="M280" s="30"/>
      <c r="N280" s="30"/>
      <c r="O280" s="839"/>
      <c r="P280" s="828"/>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row>
    <row r="281" spans="1:49" s="712" customFormat="1" ht="15.75" hidden="1" customHeight="1" outlineLevel="1" x14ac:dyDescent="0.2">
      <c r="A281" s="820"/>
      <c r="B281" s="820"/>
      <c r="C281" s="847"/>
      <c r="D281" s="484" t="str">
        <f>FleetTypeD &amp;" Sheetmetal &amp; Composite Structures (SMCS)"</f>
        <v>B747-300 Sheetmetal &amp; Composite Structures (SMCS)</v>
      </c>
      <c r="E281" s="840"/>
      <c r="F281" s="840"/>
      <c r="G281" s="840"/>
      <c r="H281" s="840"/>
      <c r="I281" s="840"/>
      <c r="J281" s="840"/>
      <c r="K281" s="840"/>
      <c r="L281" s="840"/>
      <c r="M281" s="840"/>
      <c r="N281" s="840"/>
      <c r="O281" s="835"/>
      <c r="P281" s="828"/>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row>
    <row r="282" spans="1:49" s="712" customFormat="1" ht="12.75" hidden="1" outlineLevel="1" x14ac:dyDescent="0.2">
      <c r="A282" s="820"/>
      <c r="B282" s="820"/>
      <c r="C282" s="256"/>
      <c r="D282" s="233" t="str">
        <f>FleetTypeD&amp;" SMCS Per AIRCRAFT Records Generated pa"</f>
        <v>B747-300 SMCS Per AIRCRAFT Records Generated pa</v>
      </c>
      <c r="E282" s="596">
        <v>15001</v>
      </c>
      <c r="F282" s="596">
        <v>15002</v>
      </c>
      <c r="G282" s="596">
        <v>15003</v>
      </c>
      <c r="H282" s="596">
        <v>15004</v>
      </c>
      <c r="I282" s="596">
        <v>15005</v>
      </c>
      <c r="J282" s="596">
        <v>15006</v>
      </c>
      <c r="K282" s="596">
        <v>15007</v>
      </c>
      <c r="L282" s="596">
        <v>15008</v>
      </c>
      <c r="M282" s="596">
        <v>15009</v>
      </c>
      <c r="N282" s="596">
        <v>15010</v>
      </c>
      <c r="O282" s="835"/>
      <c r="P282" s="828"/>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row>
    <row r="283" spans="1:49" s="712" customFormat="1" ht="15.75" hidden="1" customHeight="1" outlineLevel="1" x14ac:dyDescent="0.2">
      <c r="A283" s="820"/>
      <c r="B283" s="820"/>
      <c r="C283" s="256"/>
      <c r="D283" s="501" t="str">
        <f>"Total "&amp;FleetTypeD&amp;" FLEET SMCS Records Generated pa"</f>
        <v>Total B747-300 FLEET SMCS Records Generated pa</v>
      </c>
      <c r="E283" s="505">
        <f t="shared" ref="E283:N283" si="58">E282*FleetSize_D</f>
        <v>375025</v>
      </c>
      <c r="F283" s="505">
        <f t="shared" si="58"/>
        <v>375050</v>
      </c>
      <c r="G283" s="505">
        <f t="shared" si="58"/>
        <v>375075</v>
      </c>
      <c r="H283" s="505">
        <f t="shared" si="58"/>
        <v>375100</v>
      </c>
      <c r="I283" s="505">
        <f t="shared" si="58"/>
        <v>375125</v>
      </c>
      <c r="J283" s="505">
        <f t="shared" si="58"/>
        <v>375150</v>
      </c>
      <c r="K283" s="505">
        <f t="shared" si="58"/>
        <v>375175</v>
      </c>
      <c r="L283" s="505">
        <f t="shared" si="58"/>
        <v>375200</v>
      </c>
      <c r="M283" s="505">
        <f t="shared" si="58"/>
        <v>375225</v>
      </c>
      <c r="N283" s="505">
        <f t="shared" si="58"/>
        <v>375250</v>
      </c>
      <c r="O283" s="285" t="s">
        <v>526</v>
      </c>
      <c r="P283" s="828"/>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row>
    <row r="284" spans="1:49" s="712" customFormat="1" ht="12.75" hidden="1" outlineLevel="1" x14ac:dyDescent="0.2">
      <c r="A284" s="820"/>
      <c r="B284" s="820"/>
      <c r="C284" s="256"/>
      <c r="D284" s="30"/>
      <c r="E284" s="30"/>
      <c r="F284" s="30"/>
      <c r="G284" s="30"/>
      <c r="H284" s="30"/>
      <c r="I284" s="30"/>
      <c r="J284" s="30"/>
      <c r="K284" s="30"/>
      <c r="L284" s="30"/>
      <c r="M284" s="30"/>
      <c r="N284" s="30"/>
      <c r="O284" s="839"/>
      <c r="P284" s="828"/>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row>
    <row r="285" spans="1:49" s="712" customFormat="1" ht="12.75" hidden="1" outlineLevel="1" x14ac:dyDescent="0.2">
      <c r="A285" s="820"/>
      <c r="B285" s="820"/>
      <c r="C285" s="847"/>
      <c r="D285" s="484" t="str">
        <f>FleetTypeD &amp;" Other 1 (O1)"</f>
        <v>B747-300 Other 1 (O1)</v>
      </c>
      <c r="E285" s="840"/>
      <c r="F285" s="840"/>
      <c r="G285" s="840"/>
      <c r="H285" s="840"/>
      <c r="I285" s="840"/>
      <c r="J285" s="840"/>
      <c r="K285" s="840"/>
      <c r="L285" s="840"/>
      <c r="M285" s="840"/>
      <c r="N285" s="840"/>
      <c r="O285" s="835"/>
      <c r="P285" s="828"/>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row>
    <row r="286" spans="1:49" s="712" customFormat="1" ht="12.75" hidden="1" outlineLevel="1" x14ac:dyDescent="0.2">
      <c r="A286" s="820"/>
      <c r="B286" s="820"/>
      <c r="C286" s="256"/>
      <c r="D286" s="233" t="str">
        <f>FleetTypeD&amp;" O1 Per AIRCRAFT Records Generated pa"</f>
        <v>B747-300 O1 Per AIRCRAFT Records Generated pa</v>
      </c>
      <c r="E286" s="596">
        <v>15001</v>
      </c>
      <c r="F286" s="596">
        <v>15002</v>
      </c>
      <c r="G286" s="596">
        <v>15003</v>
      </c>
      <c r="H286" s="596">
        <v>15004</v>
      </c>
      <c r="I286" s="596">
        <v>15005</v>
      </c>
      <c r="J286" s="596">
        <v>15006</v>
      </c>
      <c r="K286" s="596">
        <v>15007</v>
      </c>
      <c r="L286" s="596">
        <v>15008</v>
      </c>
      <c r="M286" s="596">
        <v>15009</v>
      </c>
      <c r="N286" s="596">
        <v>15010</v>
      </c>
      <c r="O286" s="835"/>
      <c r="P286" s="828"/>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row>
    <row r="287" spans="1:49" s="712" customFormat="1" ht="15.75" hidden="1" customHeight="1" outlineLevel="1" x14ac:dyDescent="0.2">
      <c r="A287" s="820"/>
      <c r="B287" s="820"/>
      <c r="C287" s="256"/>
      <c r="D287" s="501" t="str">
        <f>"Total "&amp;FleetTypeD&amp;" FLEET O1 Records Generated pa"</f>
        <v>Total B747-300 FLEET O1 Records Generated pa</v>
      </c>
      <c r="E287" s="505">
        <f t="shared" ref="E287:N287" si="59">E286*FleetSize_D</f>
        <v>375025</v>
      </c>
      <c r="F287" s="505">
        <f t="shared" si="59"/>
        <v>375050</v>
      </c>
      <c r="G287" s="505">
        <f t="shared" si="59"/>
        <v>375075</v>
      </c>
      <c r="H287" s="505">
        <f t="shared" si="59"/>
        <v>375100</v>
      </c>
      <c r="I287" s="505">
        <f t="shared" si="59"/>
        <v>375125</v>
      </c>
      <c r="J287" s="505">
        <f t="shared" si="59"/>
        <v>375150</v>
      </c>
      <c r="K287" s="505">
        <f t="shared" si="59"/>
        <v>375175</v>
      </c>
      <c r="L287" s="505">
        <f t="shared" si="59"/>
        <v>375200</v>
      </c>
      <c r="M287" s="505">
        <f t="shared" si="59"/>
        <v>375225</v>
      </c>
      <c r="N287" s="505">
        <f t="shared" si="59"/>
        <v>375250</v>
      </c>
      <c r="O287" s="285" t="s">
        <v>527</v>
      </c>
      <c r="P287" s="828"/>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row>
    <row r="288" spans="1:49" s="712" customFormat="1" ht="12.75" hidden="1" outlineLevel="1" x14ac:dyDescent="0.2">
      <c r="A288" s="820"/>
      <c r="B288" s="820"/>
      <c r="C288" s="256"/>
      <c r="D288" s="30"/>
      <c r="E288" s="30"/>
      <c r="F288" s="30"/>
      <c r="G288" s="30"/>
      <c r="H288" s="30"/>
      <c r="I288" s="30"/>
      <c r="J288" s="30"/>
      <c r="K288" s="30"/>
      <c r="L288" s="30"/>
      <c r="M288" s="30"/>
      <c r="N288" s="30"/>
      <c r="O288" s="839"/>
      <c r="P288" s="828"/>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row>
    <row r="289" spans="1:49" s="712" customFormat="1" ht="12.75" hidden="1" outlineLevel="1" x14ac:dyDescent="0.2">
      <c r="A289" s="820"/>
      <c r="B289" s="820"/>
      <c r="C289" s="847"/>
      <c r="D289" s="484" t="str">
        <f>FleetTypeD &amp;" Other 2 (O2)"</f>
        <v>B747-300 Other 2 (O2)</v>
      </c>
      <c r="E289" s="840"/>
      <c r="F289" s="840"/>
      <c r="G289" s="840"/>
      <c r="H289" s="840"/>
      <c r="I289" s="840"/>
      <c r="J289" s="840"/>
      <c r="K289" s="840"/>
      <c r="L289" s="840"/>
      <c r="M289" s="840"/>
      <c r="N289" s="840"/>
      <c r="O289" s="835"/>
      <c r="P289" s="828"/>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row>
    <row r="290" spans="1:49" s="712" customFormat="1" ht="12.75" hidden="1" outlineLevel="1" x14ac:dyDescent="0.2">
      <c r="A290" s="820"/>
      <c r="B290" s="820"/>
      <c r="C290" s="256"/>
      <c r="D290" s="233" t="str">
        <f>FleetTypeD&amp;" O2 Per AIRCRAFT Records Generated pa"</f>
        <v>B747-300 O2 Per AIRCRAFT Records Generated pa</v>
      </c>
      <c r="E290" s="596">
        <v>15001</v>
      </c>
      <c r="F290" s="596">
        <v>15002</v>
      </c>
      <c r="G290" s="596">
        <v>15003</v>
      </c>
      <c r="H290" s="596">
        <v>15004</v>
      </c>
      <c r="I290" s="596">
        <v>15005</v>
      </c>
      <c r="J290" s="596">
        <v>15006</v>
      </c>
      <c r="K290" s="596">
        <v>15007</v>
      </c>
      <c r="L290" s="596">
        <v>15008</v>
      </c>
      <c r="M290" s="596">
        <v>15009</v>
      </c>
      <c r="N290" s="596">
        <v>15010</v>
      </c>
      <c r="O290" s="835"/>
      <c r="P290" s="828"/>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row>
    <row r="291" spans="1:49" s="712" customFormat="1" ht="15.75" hidden="1" customHeight="1" outlineLevel="1" x14ac:dyDescent="0.2">
      <c r="A291" s="820"/>
      <c r="B291" s="820"/>
      <c r="C291" s="256"/>
      <c r="D291" s="501" t="str">
        <f>"Total "&amp;FleetTypeD&amp;" FLEET O2 Records Generated pa"</f>
        <v>Total B747-300 FLEET O2 Records Generated pa</v>
      </c>
      <c r="E291" s="505">
        <f t="shared" ref="E291:N291" si="60">E290*FleetSize_D</f>
        <v>375025</v>
      </c>
      <c r="F291" s="505">
        <f t="shared" si="60"/>
        <v>375050</v>
      </c>
      <c r="G291" s="505">
        <f t="shared" si="60"/>
        <v>375075</v>
      </c>
      <c r="H291" s="505">
        <f t="shared" si="60"/>
        <v>375100</v>
      </c>
      <c r="I291" s="505">
        <f t="shared" si="60"/>
        <v>375125</v>
      </c>
      <c r="J291" s="505">
        <f t="shared" si="60"/>
        <v>375150</v>
      </c>
      <c r="K291" s="505">
        <f t="shared" si="60"/>
        <v>375175</v>
      </c>
      <c r="L291" s="505">
        <f t="shared" si="60"/>
        <v>375200</v>
      </c>
      <c r="M291" s="505">
        <f t="shared" si="60"/>
        <v>375225</v>
      </c>
      <c r="N291" s="505">
        <f t="shared" si="60"/>
        <v>375250</v>
      </c>
      <c r="O291" s="285" t="s">
        <v>529</v>
      </c>
      <c r="P291" s="828"/>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row>
    <row r="292" spans="1:49" s="712" customFormat="1" ht="12.75" hidden="1" outlineLevel="1" x14ac:dyDescent="0.2">
      <c r="A292" s="820"/>
      <c r="B292" s="820"/>
      <c r="C292" s="256"/>
      <c r="D292" s="30"/>
      <c r="E292" s="30"/>
      <c r="F292" s="30"/>
      <c r="G292" s="30"/>
      <c r="H292" s="30"/>
      <c r="I292" s="30"/>
      <c r="J292" s="30"/>
      <c r="K292" s="30"/>
      <c r="L292" s="30"/>
      <c r="M292" s="30"/>
      <c r="N292" s="30"/>
      <c r="O292" s="839"/>
      <c r="P292" s="828"/>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row>
    <row r="293" spans="1:49" s="712" customFormat="1" ht="21.75" hidden="1" customHeight="1" outlineLevel="1" x14ac:dyDescent="0.2">
      <c r="A293" s="820"/>
      <c r="B293" s="820"/>
      <c r="C293" s="848"/>
      <c r="D293" s="849" t="str">
        <f>"Grand Total ("&amp;(FleetTypeD)&amp;") "&amp;"Records Generated pa"</f>
        <v>Grand Total (B747-300) Records Generated pa</v>
      </c>
      <c r="E293" s="714">
        <f t="shared" ref="E293:N293" si="61">SUM(RecordsHMFleetTotalpa_D+RecordsLMFleetTotalpa_D+RecordsEngFleetTotalpa_D+RecordsPlgFleetTotalpa_D+RecordsCRTFleetTotalpa_D+RecordsSCLFleetTotalpa_D+RecordsQSCFleetTotalpa_D+RecordsEMFleetTotalpa_D+RecordsCMFleetTotalpa_D+RecordsSMCSFleetTotalpa_D+RecordsO1FleetTotalpa_D+RecordsO2FleetTotalpa_D)</f>
        <v>3699025</v>
      </c>
      <c r="F293" s="714">
        <f t="shared" si="61"/>
        <v>3694835.7142857146</v>
      </c>
      <c r="G293" s="714">
        <f t="shared" si="61"/>
        <v>3691762.5</v>
      </c>
      <c r="H293" s="714">
        <f t="shared" si="61"/>
        <v>3700385.7142857146</v>
      </c>
      <c r="I293" s="714">
        <f t="shared" si="61"/>
        <v>3703160.7142857146</v>
      </c>
      <c r="J293" s="714">
        <f t="shared" si="61"/>
        <v>3705935.7142857146</v>
      </c>
      <c r="K293" s="714">
        <f t="shared" si="61"/>
        <v>3708710.7142857146</v>
      </c>
      <c r="L293" s="714">
        <f t="shared" si="61"/>
        <v>3711485.7142857146</v>
      </c>
      <c r="M293" s="714">
        <f t="shared" si="61"/>
        <v>3714260.7142857146</v>
      </c>
      <c r="N293" s="714">
        <f t="shared" si="61"/>
        <v>3717035.7142857146</v>
      </c>
      <c r="O293" s="285" t="s">
        <v>530</v>
      </c>
      <c r="P293" s="828"/>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row>
    <row r="294" spans="1:49" s="193" customFormat="1" ht="12.75" hidden="1" outlineLevel="1" x14ac:dyDescent="0.2">
      <c r="A294" s="820"/>
      <c r="B294" s="833"/>
      <c r="C294" s="837"/>
      <c r="D294" s="30"/>
      <c r="E294" s="833"/>
      <c r="F294" s="833"/>
      <c r="G294" s="833"/>
      <c r="H294" s="833"/>
      <c r="I294" s="833"/>
      <c r="J294" s="833"/>
      <c r="K294" s="833"/>
      <c r="L294" s="833"/>
      <c r="M294" s="833"/>
      <c r="N294" s="833"/>
      <c r="O294" s="861"/>
      <c r="P294" s="828"/>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row>
    <row r="295" spans="1:49" s="193" customFormat="1" ht="13.5" hidden="1" outlineLevel="1" thickBot="1" x14ac:dyDescent="0.25">
      <c r="A295" s="820"/>
      <c r="B295" s="833"/>
      <c r="C295" s="858"/>
      <c r="D295" s="529"/>
      <c r="E295" s="859"/>
      <c r="F295" s="859"/>
      <c r="G295" s="859"/>
      <c r="H295" s="859"/>
      <c r="I295" s="859"/>
      <c r="J295" s="859"/>
      <c r="K295" s="859"/>
      <c r="L295" s="859"/>
      <c r="M295" s="859"/>
      <c r="N295" s="859"/>
      <c r="O295" s="860"/>
      <c r="P295" s="828"/>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row>
    <row r="296" spans="1:49" s="193" customFormat="1" ht="12.75" hidden="1" outlineLevel="1" x14ac:dyDescent="0.2">
      <c r="A296" s="820"/>
      <c r="B296" s="833"/>
      <c r="C296" s="833"/>
      <c r="D296" s="30"/>
      <c r="E296" s="833"/>
      <c r="F296" s="833"/>
      <c r="G296" s="833"/>
      <c r="H296" s="833"/>
      <c r="I296" s="833"/>
      <c r="J296" s="833"/>
      <c r="K296" s="833"/>
      <c r="L296" s="833"/>
      <c r="M296" s="833"/>
      <c r="N296" s="833"/>
      <c r="O296" s="833"/>
      <c r="P296" s="828"/>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row>
    <row r="297" spans="1:49" s="122" customFormat="1" ht="15.75" collapsed="1" x14ac:dyDescent="0.2">
      <c r="A297" s="1043">
        <v>6</v>
      </c>
      <c r="B297" s="1039"/>
      <c r="C297" s="1039"/>
      <c r="D297" s="1039"/>
      <c r="E297" s="1039"/>
      <c r="F297" s="1039"/>
      <c r="G297" s="1039"/>
      <c r="H297" s="1039"/>
      <c r="I297" s="1039"/>
      <c r="J297" s="1039"/>
      <c r="K297" s="1039"/>
      <c r="L297" s="1039"/>
      <c r="M297" s="1039"/>
      <c r="N297" s="1039"/>
      <c r="O297" s="1039"/>
      <c r="P297" s="206"/>
      <c r="Q297" s="206"/>
      <c r="R297" s="206"/>
      <c r="S297" s="206"/>
      <c r="T297" s="206"/>
      <c r="U297" s="206"/>
      <c r="V297" s="206"/>
      <c r="W297" s="206"/>
      <c r="X297" s="206"/>
      <c r="Y297" s="206"/>
      <c r="Z297" s="206"/>
      <c r="AA297" s="206"/>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row>
    <row r="298" spans="1:49" s="712" customFormat="1" ht="13.5" thickBot="1" x14ac:dyDescent="0.25">
      <c r="A298" s="820"/>
      <c r="B298" s="180"/>
      <c r="C298" s="852"/>
      <c r="D298" s="820"/>
      <c r="E298" s="840"/>
      <c r="F298" s="840"/>
      <c r="G298" s="840"/>
      <c r="H298" s="840"/>
      <c r="I298" s="840"/>
      <c r="J298" s="840"/>
      <c r="K298" s="840"/>
      <c r="L298" s="840"/>
      <c r="M298" s="840"/>
      <c r="N298" s="840"/>
      <c r="O298" s="828"/>
      <c r="P298" s="828"/>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row>
    <row r="299" spans="1:49" s="712" customFormat="1" ht="31.5" x14ac:dyDescent="0.2">
      <c r="A299" s="1342" t="str">
        <f>"Purpose - To calculate Total Records generated by 'FleetTypeE'          " &amp; (FleetTypeE)</f>
        <v>Purpose - To calculate Total Records generated by 'FleetTypeE'          B747-400</v>
      </c>
      <c r="B299" s="180"/>
      <c r="C299" s="1343" t="str">
        <f>FleetTypeE &amp;" (FleetTypeE) Records
Generated pa"</f>
        <v>B747-400 (FleetTypeE) Records
Generated pa</v>
      </c>
      <c r="D299" s="853"/>
      <c r="E299" s="853"/>
      <c r="F299" s="853"/>
      <c r="G299" s="853"/>
      <c r="H299" s="853"/>
      <c r="I299" s="853"/>
      <c r="J299" s="853"/>
      <c r="K299" s="853"/>
      <c r="L299" s="853"/>
      <c r="M299" s="853"/>
      <c r="N299" s="853"/>
      <c r="O299" s="854"/>
      <c r="P299" s="828"/>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row>
    <row r="300" spans="1:49" s="193" customFormat="1" ht="12.75" x14ac:dyDescent="0.2">
      <c r="A300" s="820"/>
      <c r="B300" s="833"/>
      <c r="C300" s="833"/>
      <c r="D300" s="30"/>
      <c r="E300" s="833"/>
      <c r="F300" s="833"/>
      <c r="G300" s="833"/>
      <c r="H300" s="833"/>
      <c r="I300" s="833"/>
      <c r="J300" s="833"/>
      <c r="K300" s="833"/>
      <c r="L300" s="833"/>
      <c r="M300" s="833"/>
      <c r="N300" s="833"/>
      <c r="O300" s="833"/>
      <c r="P300" s="828"/>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row>
    <row r="301" spans="1:49" s="193" customFormat="1" ht="13.5" hidden="1" outlineLevel="1" collapsed="1" thickBot="1" x14ac:dyDescent="0.25">
      <c r="A301" s="820"/>
      <c r="B301" s="833"/>
      <c r="C301" s="30"/>
      <c r="D301" s="30"/>
      <c r="E301" s="30"/>
      <c r="F301" s="30"/>
      <c r="G301" s="30"/>
      <c r="H301" s="30"/>
      <c r="I301" s="30"/>
      <c r="J301" s="30"/>
      <c r="K301" s="30"/>
      <c r="L301" s="30"/>
      <c r="M301" s="30"/>
      <c r="N301" s="30"/>
      <c r="O301" s="828"/>
      <c r="P301" s="828"/>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row>
    <row r="302" spans="1:49" s="712" customFormat="1" ht="20.100000000000001" hidden="1" customHeight="1" outlineLevel="1" x14ac:dyDescent="0.2">
      <c r="A302" s="820"/>
      <c r="B302" s="180"/>
      <c r="C302" s="1344"/>
      <c r="D302" s="853"/>
      <c r="E302" s="853"/>
      <c r="F302" s="853"/>
      <c r="G302" s="853"/>
      <c r="H302" s="853"/>
      <c r="I302" s="853"/>
      <c r="J302" s="853"/>
      <c r="K302" s="853"/>
      <c r="L302" s="853"/>
      <c r="M302" s="853"/>
      <c r="N302" s="853"/>
      <c r="O302" s="854"/>
      <c r="P302" s="828"/>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row>
    <row r="303" spans="1:49" s="193" customFormat="1" ht="15.75" hidden="1" customHeight="1" outlineLevel="1" x14ac:dyDescent="0.2">
      <c r="A303" s="820"/>
      <c r="B303" s="820"/>
      <c r="C303" s="256"/>
      <c r="D303" s="30"/>
      <c r="E303" s="30"/>
      <c r="F303" s="30"/>
      <c r="G303" s="30"/>
      <c r="H303" s="30"/>
      <c r="I303" s="30"/>
      <c r="J303" s="30"/>
      <c r="K303" s="30"/>
      <c r="L303" s="30"/>
      <c r="M303" s="30"/>
      <c r="N303" s="30"/>
      <c r="O303" s="829"/>
      <c r="P303" s="828"/>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row>
    <row r="304" spans="1:49" s="193" customFormat="1" ht="20.25" hidden="1" customHeight="1" outlineLevel="1" x14ac:dyDescent="0.2">
      <c r="A304" s="820"/>
      <c r="B304" s="180"/>
      <c r="C304" s="256"/>
      <c r="D304" s="484" t="str">
        <f>FleetTypeE &amp;" Heavy Maintenance (HM)"</f>
        <v>B747-400 Heavy Maintenance (HM)</v>
      </c>
      <c r="E304" s="820"/>
      <c r="F304" s="39"/>
      <c r="G304" s="822"/>
      <c r="H304" s="822"/>
      <c r="I304" s="822"/>
      <c r="J304" s="822"/>
      <c r="K304" s="822"/>
      <c r="L304" s="822"/>
      <c r="M304" s="822"/>
      <c r="N304" s="822"/>
      <c r="O304" s="829"/>
      <c r="P304" s="828"/>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row>
    <row r="305" spans="1:49" s="193" customFormat="1" ht="15" hidden="1" customHeight="1" outlineLevel="1" x14ac:dyDescent="0.2">
      <c r="A305" s="820"/>
      <c r="B305" s="830"/>
      <c r="C305" s="831"/>
      <c r="D305" s="234" t="str">
        <f>FleetTypeE&amp;" HM Cycle (Years)"</f>
        <v>B747-400 HM Cycle (Years)</v>
      </c>
      <c r="E305" s="832">
        <v>12</v>
      </c>
      <c r="F305" s="832">
        <v>14</v>
      </c>
      <c r="G305" s="832">
        <v>16</v>
      </c>
      <c r="H305" s="832">
        <v>14</v>
      </c>
      <c r="I305" s="832">
        <v>14</v>
      </c>
      <c r="J305" s="832">
        <v>14</v>
      </c>
      <c r="K305" s="832">
        <v>14</v>
      </c>
      <c r="L305" s="832">
        <v>14</v>
      </c>
      <c r="M305" s="832">
        <v>14</v>
      </c>
      <c r="N305" s="832">
        <v>14</v>
      </c>
      <c r="O305" s="257" t="s">
        <v>107</v>
      </c>
      <c r="P305" s="828"/>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row>
    <row r="306" spans="1:49" s="193" customFormat="1" ht="12.95" hidden="1" customHeight="1" outlineLevel="1" x14ac:dyDescent="0.2">
      <c r="A306" s="820"/>
      <c r="B306" s="833"/>
      <c r="C306" s="834"/>
      <c r="D306" s="820"/>
      <c r="E306" s="833"/>
      <c r="F306" s="833"/>
      <c r="G306" s="833"/>
      <c r="H306" s="833"/>
      <c r="I306" s="833"/>
      <c r="J306" s="833"/>
      <c r="K306" s="833"/>
      <c r="L306" s="833"/>
      <c r="M306" s="833"/>
      <c r="N306" s="833"/>
      <c r="O306" s="835"/>
      <c r="P306" s="828"/>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row>
    <row r="307" spans="1:49" s="193" customFormat="1" ht="12.75" hidden="1" customHeight="1" outlineLevel="1" x14ac:dyDescent="0.2">
      <c r="A307" s="820"/>
      <c r="B307" s="30"/>
      <c r="C307" s="256"/>
      <c r="D307" s="57" t="s">
        <v>256</v>
      </c>
      <c r="E307" s="836">
        <v>1100</v>
      </c>
      <c r="F307" s="836">
        <v>1200</v>
      </c>
      <c r="G307" s="836">
        <v>1300</v>
      </c>
      <c r="H307" s="836">
        <v>1400</v>
      </c>
      <c r="I307" s="836">
        <v>1500</v>
      </c>
      <c r="J307" s="836">
        <v>1600</v>
      </c>
      <c r="K307" s="836">
        <v>1700</v>
      </c>
      <c r="L307" s="836">
        <v>1800</v>
      </c>
      <c r="M307" s="836">
        <v>1900</v>
      </c>
      <c r="N307" s="836">
        <v>2000</v>
      </c>
      <c r="O307" s="835"/>
      <c r="P307" s="828"/>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row>
    <row r="308" spans="1:49" s="193" customFormat="1" ht="12.95" hidden="1" customHeight="1" outlineLevel="1" x14ac:dyDescent="0.2">
      <c r="A308" s="820"/>
      <c r="B308" s="833"/>
      <c r="C308" s="837"/>
      <c r="D308" s="57" t="s">
        <v>257</v>
      </c>
      <c r="E308" s="838">
        <v>2100</v>
      </c>
      <c r="F308" s="838">
        <v>2200</v>
      </c>
      <c r="G308" s="838">
        <v>2300</v>
      </c>
      <c r="H308" s="838">
        <v>2400</v>
      </c>
      <c r="I308" s="838">
        <v>2500</v>
      </c>
      <c r="J308" s="838">
        <v>2600</v>
      </c>
      <c r="K308" s="838">
        <v>2700</v>
      </c>
      <c r="L308" s="838">
        <v>2800</v>
      </c>
      <c r="M308" s="838">
        <v>2900</v>
      </c>
      <c r="N308" s="838">
        <v>3000</v>
      </c>
      <c r="O308" s="835"/>
      <c r="P308" s="828"/>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row>
    <row r="309" spans="1:49" s="193" customFormat="1" ht="12.95" hidden="1" customHeight="1" outlineLevel="1" x14ac:dyDescent="0.2">
      <c r="A309" s="820"/>
      <c r="B309" s="833"/>
      <c r="C309" s="837"/>
      <c r="D309" s="57" t="s">
        <v>258</v>
      </c>
      <c r="E309" s="838" t="s">
        <v>20</v>
      </c>
      <c r="F309" s="838" t="s">
        <v>20</v>
      </c>
      <c r="G309" s="838" t="s">
        <v>20</v>
      </c>
      <c r="H309" s="838" t="s">
        <v>20</v>
      </c>
      <c r="I309" s="838" t="s">
        <v>20</v>
      </c>
      <c r="J309" s="838" t="s">
        <v>20</v>
      </c>
      <c r="K309" s="838" t="s">
        <v>20</v>
      </c>
      <c r="L309" s="838" t="s">
        <v>20</v>
      </c>
      <c r="M309" s="838" t="s">
        <v>20</v>
      </c>
      <c r="N309" s="838" t="s">
        <v>20</v>
      </c>
      <c r="O309" s="835"/>
      <c r="P309" s="828"/>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row>
    <row r="310" spans="1:49" s="193" customFormat="1" ht="12.95" hidden="1" customHeight="1" outlineLevel="1" x14ac:dyDescent="0.2">
      <c r="A310" s="820"/>
      <c r="B310" s="833"/>
      <c r="C310" s="837"/>
      <c r="D310" s="57" t="s">
        <v>259</v>
      </c>
      <c r="E310" s="838">
        <v>4100</v>
      </c>
      <c r="F310" s="838">
        <v>4200</v>
      </c>
      <c r="G310" s="838">
        <v>4300</v>
      </c>
      <c r="H310" s="838">
        <v>4400</v>
      </c>
      <c r="I310" s="838">
        <v>4500</v>
      </c>
      <c r="J310" s="838">
        <v>4600</v>
      </c>
      <c r="K310" s="838">
        <v>4700</v>
      </c>
      <c r="L310" s="838">
        <v>4800</v>
      </c>
      <c r="M310" s="838">
        <v>4900</v>
      </c>
      <c r="N310" s="838">
        <v>5000</v>
      </c>
      <c r="O310" s="835"/>
      <c r="P310" s="828"/>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row>
    <row r="311" spans="1:49" s="193" customFormat="1" ht="12.95" hidden="1" customHeight="1" outlineLevel="1" x14ac:dyDescent="0.2">
      <c r="A311" s="820"/>
      <c r="B311" s="833"/>
      <c r="C311" s="837"/>
      <c r="D311" s="57" t="s">
        <v>260</v>
      </c>
      <c r="E311" s="838" t="s">
        <v>20</v>
      </c>
      <c r="F311" s="838" t="s">
        <v>20</v>
      </c>
      <c r="G311" s="838" t="s">
        <v>20</v>
      </c>
      <c r="H311" s="838" t="s">
        <v>20</v>
      </c>
      <c r="I311" s="838" t="s">
        <v>20</v>
      </c>
      <c r="J311" s="838" t="s">
        <v>20</v>
      </c>
      <c r="K311" s="838" t="s">
        <v>20</v>
      </c>
      <c r="L311" s="838" t="s">
        <v>20</v>
      </c>
      <c r="M311" s="838" t="s">
        <v>20</v>
      </c>
      <c r="N311" s="838" t="s">
        <v>20</v>
      </c>
      <c r="O311" s="835"/>
      <c r="P311" s="828"/>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row>
    <row r="312" spans="1:49" s="193" customFormat="1" ht="12.95" hidden="1" customHeight="1" outlineLevel="1" x14ac:dyDescent="0.2">
      <c r="A312" s="820"/>
      <c r="B312" s="833"/>
      <c r="C312" s="837"/>
      <c r="D312" s="57" t="s">
        <v>261</v>
      </c>
      <c r="E312" s="838">
        <v>7100</v>
      </c>
      <c r="F312" s="838">
        <v>7200</v>
      </c>
      <c r="G312" s="838">
        <v>7300</v>
      </c>
      <c r="H312" s="838">
        <v>7400</v>
      </c>
      <c r="I312" s="838">
        <v>7500</v>
      </c>
      <c r="J312" s="838">
        <v>7600</v>
      </c>
      <c r="K312" s="838">
        <v>7700</v>
      </c>
      <c r="L312" s="838">
        <v>7800</v>
      </c>
      <c r="M312" s="838">
        <v>7900</v>
      </c>
      <c r="N312" s="838">
        <v>8000</v>
      </c>
      <c r="O312" s="835"/>
      <c r="P312" s="828"/>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row>
    <row r="313" spans="1:49" s="193" customFormat="1" ht="12.95" hidden="1" customHeight="1" outlineLevel="1" x14ac:dyDescent="0.2">
      <c r="A313" s="820"/>
      <c r="B313" s="833"/>
      <c r="C313" s="837"/>
      <c r="D313" s="57" t="s">
        <v>262</v>
      </c>
      <c r="E313" s="838" t="s">
        <v>20</v>
      </c>
      <c r="F313" s="838" t="s">
        <v>20</v>
      </c>
      <c r="G313" s="838" t="s">
        <v>20</v>
      </c>
      <c r="H313" s="838" t="s">
        <v>20</v>
      </c>
      <c r="I313" s="838" t="s">
        <v>20</v>
      </c>
      <c r="J313" s="838" t="s">
        <v>20</v>
      </c>
      <c r="K313" s="838" t="s">
        <v>20</v>
      </c>
      <c r="L313" s="838" t="s">
        <v>20</v>
      </c>
      <c r="M313" s="838" t="s">
        <v>20</v>
      </c>
      <c r="N313" s="838" t="s">
        <v>20</v>
      </c>
      <c r="O313" s="835"/>
      <c r="P313" s="828"/>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row>
    <row r="314" spans="1:49" s="193" customFormat="1" ht="12.95" hidden="1" customHeight="1" outlineLevel="1" x14ac:dyDescent="0.2">
      <c r="A314" s="820"/>
      <c r="B314" s="833"/>
      <c r="C314" s="837"/>
      <c r="D314" s="57" t="s">
        <v>263</v>
      </c>
      <c r="E314" s="838">
        <v>9000</v>
      </c>
      <c r="F314" s="838">
        <v>10000</v>
      </c>
      <c r="G314" s="838">
        <v>11000</v>
      </c>
      <c r="H314" s="838">
        <v>12000</v>
      </c>
      <c r="I314" s="838">
        <v>13000</v>
      </c>
      <c r="J314" s="838">
        <v>14000</v>
      </c>
      <c r="K314" s="838">
        <v>15000</v>
      </c>
      <c r="L314" s="838">
        <v>16000</v>
      </c>
      <c r="M314" s="838">
        <v>17000</v>
      </c>
      <c r="N314" s="838">
        <v>18000</v>
      </c>
      <c r="O314" s="835"/>
      <c r="P314" s="828"/>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row>
    <row r="315" spans="1:49" s="193" customFormat="1" ht="12.95" hidden="1" customHeight="1" outlineLevel="1" x14ac:dyDescent="0.2">
      <c r="A315" s="820"/>
      <c r="B315" s="833"/>
      <c r="C315" s="837"/>
      <c r="D315" s="60" t="s">
        <v>113</v>
      </c>
      <c r="E315" s="159">
        <f t="shared" ref="E315:H315" si="62">SUM(E307:E314)</f>
        <v>23400</v>
      </c>
      <c r="F315" s="159">
        <f t="shared" si="62"/>
        <v>24800</v>
      </c>
      <c r="G315" s="159">
        <f t="shared" si="62"/>
        <v>26200</v>
      </c>
      <c r="H315" s="159">
        <f t="shared" si="62"/>
        <v>27600</v>
      </c>
      <c r="I315" s="159">
        <f t="shared" ref="I315:N315" si="63">SUM(I307:I314)</f>
        <v>29000</v>
      </c>
      <c r="J315" s="159">
        <f t="shared" si="63"/>
        <v>30400</v>
      </c>
      <c r="K315" s="159">
        <f t="shared" si="63"/>
        <v>31800</v>
      </c>
      <c r="L315" s="159">
        <f t="shared" si="63"/>
        <v>33200</v>
      </c>
      <c r="M315" s="159">
        <f t="shared" si="63"/>
        <v>34600</v>
      </c>
      <c r="N315" s="159">
        <f t="shared" si="63"/>
        <v>36000</v>
      </c>
      <c r="O315" s="285" t="s">
        <v>539</v>
      </c>
      <c r="P315" s="828"/>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row>
    <row r="316" spans="1:49" s="193" customFormat="1" ht="12.75" hidden="1" outlineLevel="1" x14ac:dyDescent="0.2">
      <c r="A316" s="820"/>
      <c r="B316" s="833"/>
      <c r="C316" s="837"/>
      <c r="D316" s="234" t="str">
        <f>"Total "&amp;FleetTypeE&amp;" FLEET HM Records Generated pa"</f>
        <v>Total B747-400 FLEET HM Records Generated pa</v>
      </c>
      <c r="E316" s="232">
        <f t="shared" ref="E316:N316" si="64">E315/FleetCycleHvy_E*FleetSize_E</f>
        <v>29250</v>
      </c>
      <c r="F316" s="232">
        <f t="shared" si="64"/>
        <v>26571.428571428569</v>
      </c>
      <c r="G316" s="232">
        <f t="shared" si="64"/>
        <v>24562.5</v>
      </c>
      <c r="H316" s="232">
        <f t="shared" si="64"/>
        <v>29571.428571428569</v>
      </c>
      <c r="I316" s="232">
        <f t="shared" si="64"/>
        <v>31071.428571428572</v>
      </c>
      <c r="J316" s="232">
        <f t="shared" si="64"/>
        <v>32571.428571428572</v>
      </c>
      <c r="K316" s="232">
        <f t="shared" si="64"/>
        <v>34071.428571428572</v>
      </c>
      <c r="L316" s="232">
        <f t="shared" si="64"/>
        <v>35571.428571428572</v>
      </c>
      <c r="M316" s="232">
        <f t="shared" si="64"/>
        <v>37071.428571428572</v>
      </c>
      <c r="N316" s="232">
        <f t="shared" si="64"/>
        <v>38571.428571428572</v>
      </c>
      <c r="O316" s="285" t="s">
        <v>531</v>
      </c>
      <c r="P316" s="828"/>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row>
    <row r="317" spans="1:49" s="712" customFormat="1" ht="12.75" hidden="1" outlineLevel="1" x14ac:dyDescent="0.2">
      <c r="A317" s="820"/>
      <c r="B317" s="820"/>
      <c r="C317" s="837"/>
      <c r="D317" s="30"/>
      <c r="E317" s="30"/>
      <c r="F317" s="30"/>
      <c r="G317" s="30"/>
      <c r="H317" s="30"/>
      <c r="I317" s="30"/>
      <c r="J317" s="30"/>
      <c r="K317" s="30"/>
      <c r="L317" s="30"/>
      <c r="M317" s="30"/>
      <c r="N317" s="30"/>
      <c r="O317" s="839"/>
      <c r="P317" s="828"/>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row>
    <row r="318" spans="1:49" s="712" customFormat="1" ht="12.75" hidden="1" outlineLevel="1" x14ac:dyDescent="0.2">
      <c r="A318" s="820"/>
      <c r="B318" s="820"/>
      <c r="C318" s="837"/>
      <c r="D318" s="484" t="str">
        <f>FleetTypeE &amp;" Line Maintenance (LM)"</f>
        <v>B747-400 Line Maintenance (LM)</v>
      </c>
      <c r="E318" s="840"/>
      <c r="F318" s="840"/>
      <c r="G318" s="840"/>
      <c r="H318" s="840"/>
      <c r="I318" s="840"/>
      <c r="J318" s="840"/>
      <c r="K318" s="840"/>
      <c r="L318" s="840"/>
      <c r="M318" s="840"/>
      <c r="N318" s="840"/>
      <c r="O318" s="839"/>
      <c r="P318" s="828"/>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row>
    <row r="319" spans="1:49" s="712" customFormat="1" ht="12.75" hidden="1" outlineLevel="1" x14ac:dyDescent="0.2">
      <c r="A319" s="820"/>
      <c r="B319" s="841"/>
      <c r="C319" s="837"/>
      <c r="D319" s="233" t="str">
        <f>FleetTypeE&amp; " LM Per AIRCRAFT Records Generated pa"</f>
        <v>B747-400 LM Per AIRCRAFT Records Generated pa</v>
      </c>
      <c r="E319" s="842">
        <v>10001</v>
      </c>
      <c r="F319" s="842">
        <v>10002</v>
      </c>
      <c r="G319" s="842">
        <v>10003</v>
      </c>
      <c r="H319" s="842">
        <v>10004</v>
      </c>
      <c r="I319" s="842">
        <v>10005</v>
      </c>
      <c r="J319" s="842">
        <v>10006</v>
      </c>
      <c r="K319" s="842">
        <v>10007</v>
      </c>
      <c r="L319" s="842">
        <v>10008</v>
      </c>
      <c r="M319" s="842">
        <v>10009</v>
      </c>
      <c r="N319" s="842">
        <v>10010</v>
      </c>
      <c r="O319" s="839"/>
      <c r="P319" s="828"/>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row>
    <row r="320" spans="1:49" s="712" customFormat="1" ht="12.75" hidden="1" outlineLevel="1" x14ac:dyDescent="0.2">
      <c r="A320" s="820"/>
      <c r="B320" s="841"/>
      <c r="C320" s="843"/>
      <c r="D320" s="234" t="str">
        <f>"Total "&amp;FleetTypeE&amp;" FLEET LM Records Generated pa"</f>
        <v>Total B747-400 FLEET LM Records Generated pa</v>
      </c>
      <c r="E320" s="231">
        <f t="shared" ref="E320:N320" si="65">E319*FleetSize_E</f>
        <v>150015</v>
      </c>
      <c r="F320" s="231">
        <f t="shared" si="65"/>
        <v>150030</v>
      </c>
      <c r="G320" s="231">
        <f t="shared" si="65"/>
        <v>150045</v>
      </c>
      <c r="H320" s="231">
        <f t="shared" si="65"/>
        <v>150060</v>
      </c>
      <c r="I320" s="231">
        <f t="shared" si="65"/>
        <v>150075</v>
      </c>
      <c r="J320" s="231">
        <f t="shared" si="65"/>
        <v>150090</v>
      </c>
      <c r="K320" s="231">
        <f t="shared" si="65"/>
        <v>150105</v>
      </c>
      <c r="L320" s="231">
        <f t="shared" si="65"/>
        <v>150120</v>
      </c>
      <c r="M320" s="231">
        <f t="shared" si="65"/>
        <v>150135</v>
      </c>
      <c r="N320" s="231">
        <f t="shared" si="65"/>
        <v>150150</v>
      </c>
      <c r="O320" s="285" t="s">
        <v>483</v>
      </c>
      <c r="P320" s="828"/>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row>
    <row r="321" spans="1:49" s="712" customFormat="1" ht="12.75" hidden="1" outlineLevel="1" x14ac:dyDescent="0.2">
      <c r="A321" s="820"/>
      <c r="B321" s="820"/>
      <c r="C321" s="843"/>
      <c r="D321" s="30"/>
      <c r="E321" s="30"/>
      <c r="F321" s="30"/>
      <c r="G321" s="30"/>
      <c r="H321" s="30"/>
      <c r="I321" s="30"/>
      <c r="J321" s="30"/>
      <c r="K321" s="30"/>
      <c r="L321" s="30"/>
      <c r="M321" s="30"/>
      <c r="N321" s="30"/>
      <c r="O321" s="839"/>
      <c r="P321" s="828"/>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row>
    <row r="322" spans="1:49" s="712" customFormat="1" ht="12.75" hidden="1" outlineLevel="1" x14ac:dyDescent="0.2">
      <c r="A322" s="820"/>
      <c r="B322" s="820"/>
      <c r="C322" s="843"/>
      <c r="D322" s="484" t="str">
        <f>FleetTypeE &amp;" Engineering (Eng)"</f>
        <v>B747-400 Engineering (Eng)</v>
      </c>
      <c r="E322" s="840"/>
      <c r="F322" s="840"/>
      <c r="G322" s="840"/>
      <c r="H322" s="840"/>
      <c r="I322" s="840"/>
      <c r="J322" s="840"/>
      <c r="K322" s="840"/>
      <c r="L322" s="840"/>
      <c r="M322" s="840"/>
      <c r="N322" s="840"/>
      <c r="O322" s="839"/>
      <c r="P322" s="828"/>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row>
    <row r="323" spans="1:49" s="712" customFormat="1" ht="12.75" hidden="1" outlineLevel="1" x14ac:dyDescent="0.2">
      <c r="A323" s="820"/>
      <c r="B323" s="820"/>
      <c r="C323" s="843"/>
      <c r="D323" s="233" t="str">
        <f>FleetTypeE&amp;" Eng Per AIRCRAFT Records Generated pa"</f>
        <v>B747-400 Eng Per AIRCRAFT Records Generated pa</v>
      </c>
      <c r="E323" s="842">
        <v>11001</v>
      </c>
      <c r="F323" s="842">
        <v>11002</v>
      </c>
      <c r="G323" s="842">
        <v>11003</v>
      </c>
      <c r="H323" s="842">
        <v>11004</v>
      </c>
      <c r="I323" s="842">
        <v>11005</v>
      </c>
      <c r="J323" s="842">
        <v>11006</v>
      </c>
      <c r="K323" s="842">
        <v>11007</v>
      </c>
      <c r="L323" s="842">
        <v>11008</v>
      </c>
      <c r="M323" s="842">
        <v>11009</v>
      </c>
      <c r="N323" s="842">
        <v>11010</v>
      </c>
      <c r="O323" s="839"/>
      <c r="P323" s="828"/>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row>
    <row r="324" spans="1:49" s="712" customFormat="1" ht="15.75" hidden="1" customHeight="1" outlineLevel="1" x14ac:dyDescent="0.2">
      <c r="A324" s="820"/>
      <c r="B324" s="820"/>
      <c r="C324" s="843"/>
      <c r="D324" s="234" t="str">
        <f>"Total "&amp;FleetTypeE&amp;" FLEET Eng Records Generated pa"</f>
        <v>Total B747-400 FLEET Eng Records Generated pa</v>
      </c>
      <c r="E324" s="231">
        <f t="shared" ref="E324:N324" si="66">E323*FleetSize_E</f>
        <v>165015</v>
      </c>
      <c r="F324" s="231">
        <f t="shared" si="66"/>
        <v>165030</v>
      </c>
      <c r="G324" s="231">
        <f t="shared" si="66"/>
        <v>165045</v>
      </c>
      <c r="H324" s="231">
        <f t="shared" si="66"/>
        <v>165060</v>
      </c>
      <c r="I324" s="231">
        <f t="shared" si="66"/>
        <v>165075</v>
      </c>
      <c r="J324" s="231">
        <f t="shared" si="66"/>
        <v>165090</v>
      </c>
      <c r="K324" s="231">
        <f t="shared" si="66"/>
        <v>165105</v>
      </c>
      <c r="L324" s="231">
        <f t="shared" si="66"/>
        <v>165120</v>
      </c>
      <c r="M324" s="231">
        <f t="shared" si="66"/>
        <v>165135</v>
      </c>
      <c r="N324" s="231">
        <f t="shared" si="66"/>
        <v>165150</v>
      </c>
      <c r="O324" s="285" t="s">
        <v>878</v>
      </c>
      <c r="P324" s="828"/>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row>
    <row r="325" spans="1:49" s="712" customFormat="1" ht="15.75" hidden="1" customHeight="1" outlineLevel="1" x14ac:dyDescent="0.2">
      <c r="A325" s="820"/>
      <c r="B325" s="820"/>
      <c r="C325" s="843"/>
      <c r="D325" s="844"/>
      <c r="E325" s="845"/>
      <c r="F325" s="845"/>
      <c r="G325" s="845"/>
      <c r="H325" s="845"/>
      <c r="I325" s="845"/>
      <c r="J325" s="845"/>
      <c r="K325" s="845"/>
      <c r="L325" s="845"/>
      <c r="M325" s="845"/>
      <c r="N325" s="845"/>
      <c r="O325" s="285"/>
      <c r="P325" s="828"/>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row>
    <row r="326" spans="1:49" s="712" customFormat="1" ht="12.75" hidden="1" outlineLevel="1" x14ac:dyDescent="0.2">
      <c r="A326" s="820"/>
      <c r="B326" s="820"/>
      <c r="C326" s="843"/>
      <c r="D326" s="484" t="str">
        <f>FleetTypeE &amp;" Planning (Plg)"</f>
        <v>B747-400 Planning (Plg)</v>
      </c>
      <c r="E326" s="840"/>
      <c r="F326" s="840"/>
      <c r="G326" s="840"/>
      <c r="H326" s="840"/>
      <c r="I326" s="840"/>
      <c r="J326" s="840"/>
      <c r="K326" s="840"/>
      <c r="L326" s="840"/>
      <c r="M326" s="840"/>
      <c r="N326" s="840"/>
      <c r="O326" s="839"/>
      <c r="P326" s="828"/>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row>
    <row r="327" spans="1:49" s="712" customFormat="1" ht="12.75" hidden="1" outlineLevel="1" x14ac:dyDescent="0.2">
      <c r="A327" s="820"/>
      <c r="B327" s="820"/>
      <c r="C327" s="843"/>
      <c r="D327" s="233" t="str">
        <f>FleetTypeE&amp;" Plg AIRCRAFT Records Generated pa"</f>
        <v>B747-400 Plg AIRCRAFT Records Generated pa</v>
      </c>
      <c r="E327" s="842">
        <v>11001</v>
      </c>
      <c r="F327" s="842">
        <v>11002</v>
      </c>
      <c r="G327" s="842">
        <v>11003</v>
      </c>
      <c r="H327" s="842">
        <v>11004</v>
      </c>
      <c r="I327" s="842">
        <v>11005</v>
      </c>
      <c r="J327" s="842">
        <v>11006</v>
      </c>
      <c r="K327" s="842">
        <v>11007</v>
      </c>
      <c r="L327" s="842">
        <v>11008</v>
      </c>
      <c r="M327" s="842">
        <v>11009</v>
      </c>
      <c r="N327" s="842">
        <v>11010</v>
      </c>
      <c r="O327" s="839"/>
      <c r="P327" s="828"/>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row>
    <row r="328" spans="1:49" s="712" customFormat="1" ht="15.75" hidden="1" customHeight="1" outlineLevel="1" x14ac:dyDescent="0.2">
      <c r="A328" s="820"/>
      <c r="B328" s="820"/>
      <c r="C328" s="843"/>
      <c r="D328" s="234" t="str">
        <f>"Total "&amp;FleetTypeE&amp;" FLEET Plg Records Generated pa"</f>
        <v>Total B747-400 FLEET Plg Records Generated pa</v>
      </c>
      <c r="E328" s="231">
        <f t="shared" ref="E328:N328" si="67">E327*FleetSize_E</f>
        <v>165015</v>
      </c>
      <c r="F328" s="231">
        <f t="shared" si="67"/>
        <v>165030</v>
      </c>
      <c r="G328" s="231">
        <f t="shared" si="67"/>
        <v>165045</v>
      </c>
      <c r="H328" s="231">
        <f t="shared" si="67"/>
        <v>165060</v>
      </c>
      <c r="I328" s="231">
        <f t="shared" si="67"/>
        <v>165075</v>
      </c>
      <c r="J328" s="231">
        <f t="shared" si="67"/>
        <v>165090</v>
      </c>
      <c r="K328" s="231">
        <f t="shared" si="67"/>
        <v>165105</v>
      </c>
      <c r="L328" s="231">
        <f t="shared" si="67"/>
        <v>165120</v>
      </c>
      <c r="M328" s="231">
        <f t="shared" si="67"/>
        <v>165135</v>
      </c>
      <c r="N328" s="231">
        <f t="shared" si="67"/>
        <v>165150</v>
      </c>
      <c r="O328" s="285" t="s">
        <v>879</v>
      </c>
      <c r="P328" s="828"/>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row>
    <row r="329" spans="1:49" s="712" customFormat="1" ht="15.75" hidden="1" customHeight="1" outlineLevel="1" x14ac:dyDescent="0.2">
      <c r="A329" s="820"/>
      <c r="B329" s="820"/>
      <c r="C329" s="843"/>
      <c r="D329" s="844"/>
      <c r="E329" s="845"/>
      <c r="F329" s="845"/>
      <c r="G329" s="845"/>
      <c r="H329" s="845"/>
      <c r="I329" s="845"/>
      <c r="J329" s="845"/>
      <c r="K329" s="845"/>
      <c r="L329" s="845"/>
      <c r="M329" s="845"/>
      <c r="N329" s="845"/>
      <c r="O329" s="285"/>
      <c r="P329" s="828"/>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row>
    <row r="330" spans="1:49" s="712" customFormat="1" ht="12.75" hidden="1" outlineLevel="1" x14ac:dyDescent="0.2">
      <c r="A330" s="820"/>
      <c r="B330" s="820"/>
      <c r="C330" s="843"/>
      <c r="D330" s="484" t="str">
        <f>FleetTypeE &amp;" Clerical, Records &amp; Tech Pubs (CRT)"</f>
        <v>B747-400 Clerical, Records &amp; Tech Pubs (CRT)</v>
      </c>
      <c r="E330" s="840"/>
      <c r="F330" s="840"/>
      <c r="G330" s="840"/>
      <c r="H330" s="840"/>
      <c r="I330" s="840"/>
      <c r="J330" s="840"/>
      <c r="K330" s="840"/>
      <c r="L330" s="840"/>
      <c r="M330" s="840"/>
      <c r="N330" s="840"/>
      <c r="O330" s="839"/>
      <c r="P330" s="828"/>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row>
    <row r="331" spans="1:49" s="712" customFormat="1" ht="12.75" hidden="1" outlineLevel="1" x14ac:dyDescent="0.2">
      <c r="A331" s="820"/>
      <c r="B331" s="820"/>
      <c r="C331" s="256"/>
      <c r="D331" s="233" t="str">
        <f>FleetTypeE&amp;" SCL Per AIRCRAFT CRT Records Generated pa"</f>
        <v>B747-400 SCL Per AIRCRAFT CRT Records Generated pa</v>
      </c>
      <c r="E331" s="842">
        <v>12001</v>
      </c>
      <c r="F331" s="842">
        <v>12002</v>
      </c>
      <c r="G331" s="842">
        <v>12003</v>
      </c>
      <c r="H331" s="842">
        <v>12004</v>
      </c>
      <c r="I331" s="842">
        <v>12005</v>
      </c>
      <c r="J331" s="842">
        <v>12006</v>
      </c>
      <c r="K331" s="842">
        <v>12007</v>
      </c>
      <c r="L331" s="842">
        <v>12008</v>
      </c>
      <c r="M331" s="842">
        <v>12009</v>
      </c>
      <c r="N331" s="842">
        <v>12010</v>
      </c>
      <c r="O331" s="839"/>
      <c r="P331" s="828"/>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row>
    <row r="332" spans="1:49" s="712" customFormat="1" ht="12.75" hidden="1" outlineLevel="1" x14ac:dyDescent="0.2">
      <c r="A332" s="820"/>
      <c r="B332" s="820"/>
      <c r="C332" s="843"/>
      <c r="D332" s="234" t="str">
        <f>"Total "&amp;FleetTypeE&amp;" FLEET CRT Records Generated pa"</f>
        <v>Total B747-400 FLEET CRT Records Generated pa</v>
      </c>
      <c r="E332" s="231">
        <f t="shared" ref="E332:N332" si="68">E331*FleetSize_E</f>
        <v>180015</v>
      </c>
      <c r="F332" s="231">
        <f t="shared" si="68"/>
        <v>180030</v>
      </c>
      <c r="G332" s="231">
        <f t="shared" si="68"/>
        <v>180045</v>
      </c>
      <c r="H332" s="231">
        <f t="shared" si="68"/>
        <v>180060</v>
      </c>
      <c r="I332" s="231">
        <f t="shared" si="68"/>
        <v>180075</v>
      </c>
      <c r="J332" s="231">
        <f t="shared" si="68"/>
        <v>180090</v>
      </c>
      <c r="K332" s="231">
        <f t="shared" si="68"/>
        <v>180105</v>
      </c>
      <c r="L332" s="231">
        <f t="shared" si="68"/>
        <v>180120</v>
      </c>
      <c r="M332" s="231">
        <f t="shared" si="68"/>
        <v>180135</v>
      </c>
      <c r="N332" s="231">
        <f t="shared" si="68"/>
        <v>180150</v>
      </c>
      <c r="O332" s="285" t="s">
        <v>532</v>
      </c>
      <c r="P332" s="828"/>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row>
    <row r="333" spans="1:49" s="712" customFormat="1" ht="12.75" hidden="1" outlineLevel="1" x14ac:dyDescent="0.2">
      <c r="A333" s="820"/>
      <c r="B333" s="820"/>
      <c r="C333" s="843"/>
      <c r="D333" s="820"/>
      <c r="E333" s="840"/>
      <c r="F333" s="840"/>
      <c r="G333" s="840"/>
      <c r="H333" s="840"/>
      <c r="I333" s="840"/>
      <c r="J333" s="840"/>
      <c r="K333" s="840"/>
      <c r="L333" s="840"/>
      <c r="M333" s="840"/>
      <c r="N333" s="840"/>
      <c r="O333" s="839"/>
      <c r="P333" s="828"/>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row>
    <row r="334" spans="1:49" s="712" customFormat="1" ht="12.75" hidden="1" outlineLevel="1" x14ac:dyDescent="0.2">
      <c r="A334" s="820"/>
      <c r="B334" s="820"/>
      <c r="C334" s="843"/>
      <c r="D334" s="484" t="str">
        <f>FleetTypeE &amp;" Supply Chain &amp; Logistics (SCL)"</f>
        <v>B747-400 Supply Chain &amp; Logistics (SCL)</v>
      </c>
      <c r="E334" s="840"/>
      <c r="F334" s="840"/>
      <c r="G334" s="840"/>
      <c r="H334" s="840"/>
      <c r="I334" s="840"/>
      <c r="J334" s="840"/>
      <c r="K334" s="840"/>
      <c r="L334" s="840"/>
      <c r="M334" s="840"/>
      <c r="N334" s="840"/>
      <c r="O334" s="839"/>
      <c r="P334" s="828"/>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row>
    <row r="335" spans="1:49" s="712" customFormat="1" ht="12.75" hidden="1" outlineLevel="1" x14ac:dyDescent="0.2">
      <c r="A335" s="820"/>
      <c r="B335" s="820"/>
      <c r="C335" s="256"/>
      <c r="D335" s="233" t="str">
        <f>FleetTypeE&amp;" SCL Per AIRCRAFT OEMV Records Generated pa"</f>
        <v>B747-400 SCL Per AIRCRAFT OEMV Records Generated pa</v>
      </c>
      <c r="E335" s="842">
        <v>13001</v>
      </c>
      <c r="F335" s="842">
        <v>13002</v>
      </c>
      <c r="G335" s="842">
        <v>13003</v>
      </c>
      <c r="H335" s="842">
        <v>13004</v>
      </c>
      <c r="I335" s="842">
        <v>13005</v>
      </c>
      <c r="J335" s="842">
        <v>13006</v>
      </c>
      <c r="K335" s="842">
        <v>13007</v>
      </c>
      <c r="L335" s="842">
        <v>13008</v>
      </c>
      <c r="M335" s="842">
        <v>13009</v>
      </c>
      <c r="N335" s="842">
        <v>13010</v>
      </c>
      <c r="O335" s="839"/>
      <c r="P335" s="828"/>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row>
    <row r="336" spans="1:49" s="712" customFormat="1" ht="12.75" hidden="1" outlineLevel="1" x14ac:dyDescent="0.2">
      <c r="A336" s="820"/>
      <c r="B336" s="820"/>
      <c r="C336" s="843"/>
      <c r="D336" s="234" t="str">
        <f>"Total "&amp;FleetTypeE&amp;" FLEET SCL Records Generated pa"</f>
        <v>Total B747-400 FLEET SCL Records Generated pa</v>
      </c>
      <c r="E336" s="231">
        <f t="shared" ref="E336:N336" si="69">E335*FleetSize_E</f>
        <v>195015</v>
      </c>
      <c r="F336" s="231">
        <f t="shared" si="69"/>
        <v>195030</v>
      </c>
      <c r="G336" s="231">
        <f t="shared" si="69"/>
        <v>195045</v>
      </c>
      <c r="H336" s="231">
        <f t="shared" si="69"/>
        <v>195060</v>
      </c>
      <c r="I336" s="231">
        <f t="shared" si="69"/>
        <v>195075</v>
      </c>
      <c r="J336" s="231">
        <f t="shared" si="69"/>
        <v>195090</v>
      </c>
      <c r="K336" s="231">
        <f t="shared" si="69"/>
        <v>195105</v>
      </c>
      <c r="L336" s="231">
        <f t="shared" si="69"/>
        <v>195120</v>
      </c>
      <c r="M336" s="231">
        <f t="shared" si="69"/>
        <v>195135</v>
      </c>
      <c r="N336" s="231">
        <f t="shared" si="69"/>
        <v>195150</v>
      </c>
      <c r="O336" s="285" t="s">
        <v>533</v>
      </c>
      <c r="P336" s="828"/>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row>
    <row r="337" spans="1:49" s="712" customFormat="1" ht="12.75" hidden="1" outlineLevel="1" x14ac:dyDescent="0.2">
      <c r="A337" s="820"/>
      <c r="B337" s="820"/>
      <c r="C337" s="846"/>
      <c r="D337" s="820"/>
      <c r="E337" s="840"/>
      <c r="F337" s="840"/>
      <c r="G337" s="840"/>
      <c r="H337" s="840"/>
      <c r="I337" s="840"/>
      <c r="J337" s="840"/>
      <c r="K337" s="840"/>
      <c r="L337" s="840"/>
      <c r="M337" s="840"/>
      <c r="N337" s="840"/>
      <c r="O337" s="839"/>
      <c r="P337" s="828"/>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row>
    <row r="338" spans="1:49" s="712" customFormat="1" ht="12.75" hidden="1" outlineLevel="1" x14ac:dyDescent="0.2">
      <c r="A338" s="820"/>
      <c r="B338" s="820"/>
      <c r="C338" s="846"/>
      <c r="D338" s="484" t="str">
        <f>FleetTypeE &amp;" Quality, Safety &amp; Compliance (QSC)"</f>
        <v>B747-400 Quality, Safety &amp; Compliance (QSC)</v>
      </c>
      <c r="E338" s="840"/>
      <c r="F338" s="840"/>
      <c r="G338" s="840"/>
      <c r="H338" s="840"/>
      <c r="I338" s="840"/>
      <c r="J338" s="840"/>
      <c r="K338" s="840"/>
      <c r="L338" s="840"/>
      <c r="M338" s="840"/>
      <c r="N338" s="840"/>
      <c r="O338" s="839"/>
      <c r="P338" s="828"/>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row>
    <row r="339" spans="1:49" s="712" customFormat="1" ht="12.75" hidden="1" outlineLevel="1" x14ac:dyDescent="0.2">
      <c r="A339" s="820"/>
      <c r="B339" s="820"/>
      <c r="C339" s="256"/>
      <c r="D339" s="233" t="str">
        <f>FleetTypeE&amp;" QSC Per AIRCRAFT Records Generated pa"</f>
        <v>B747-400 QSC Per AIRCRAFT Records Generated pa</v>
      </c>
      <c r="E339" s="842">
        <v>14001</v>
      </c>
      <c r="F339" s="842">
        <v>14002</v>
      </c>
      <c r="G339" s="842">
        <v>14003</v>
      </c>
      <c r="H339" s="842">
        <v>14004</v>
      </c>
      <c r="I339" s="842">
        <v>14005</v>
      </c>
      <c r="J339" s="842">
        <v>14006</v>
      </c>
      <c r="K339" s="842">
        <v>14007</v>
      </c>
      <c r="L339" s="842">
        <v>14008</v>
      </c>
      <c r="M339" s="842">
        <v>14009</v>
      </c>
      <c r="N339" s="842">
        <v>14010</v>
      </c>
      <c r="O339" s="839"/>
      <c r="P339" s="828"/>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row>
    <row r="340" spans="1:49" s="712" customFormat="1" ht="15.75" hidden="1" customHeight="1" outlineLevel="1" x14ac:dyDescent="0.2">
      <c r="A340" s="820"/>
      <c r="B340" s="820"/>
      <c r="C340" s="843"/>
      <c r="D340" s="234" t="str">
        <f>"Total "&amp;FleetTypeE&amp;" FLEET QSC Records Generated pa"</f>
        <v>Total B747-400 FLEET QSC Records Generated pa</v>
      </c>
      <c r="E340" s="231">
        <f t="shared" ref="E340:N340" si="70">E339*FleetSize_E</f>
        <v>210015</v>
      </c>
      <c r="F340" s="231">
        <f t="shared" si="70"/>
        <v>210030</v>
      </c>
      <c r="G340" s="231">
        <f t="shared" si="70"/>
        <v>210045</v>
      </c>
      <c r="H340" s="231">
        <f t="shared" si="70"/>
        <v>210060</v>
      </c>
      <c r="I340" s="231">
        <f t="shared" si="70"/>
        <v>210075</v>
      </c>
      <c r="J340" s="231">
        <f t="shared" si="70"/>
        <v>210090</v>
      </c>
      <c r="K340" s="231">
        <f t="shared" si="70"/>
        <v>210105</v>
      </c>
      <c r="L340" s="231">
        <f t="shared" si="70"/>
        <v>210120</v>
      </c>
      <c r="M340" s="231">
        <f t="shared" si="70"/>
        <v>210135</v>
      </c>
      <c r="N340" s="231">
        <f t="shared" si="70"/>
        <v>210150</v>
      </c>
      <c r="O340" s="285" t="s">
        <v>534</v>
      </c>
      <c r="P340" s="828"/>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row>
    <row r="341" spans="1:49" s="712" customFormat="1" ht="12.75" hidden="1" outlineLevel="1" x14ac:dyDescent="0.2">
      <c r="A341" s="820"/>
      <c r="B341" s="820"/>
      <c r="C341" s="847"/>
      <c r="D341" s="820"/>
      <c r="E341" s="840"/>
      <c r="F341" s="840"/>
      <c r="G341" s="840"/>
      <c r="H341" s="840"/>
      <c r="I341" s="840"/>
      <c r="J341" s="840"/>
      <c r="K341" s="840"/>
      <c r="L341" s="840"/>
      <c r="M341" s="840"/>
      <c r="N341" s="840"/>
      <c r="O341" s="835"/>
      <c r="P341" s="828"/>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row>
    <row r="342" spans="1:49" s="712" customFormat="1" ht="12.75" hidden="1" outlineLevel="1" x14ac:dyDescent="0.2">
      <c r="A342" s="820"/>
      <c r="B342" s="820"/>
      <c r="C342" s="847"/>
      <c r="D342" s="484" t="str">
        <f>FleetTypeE &amp;" Engine Maintenance (EM)"</f>
        <v>B747-400 Engine Maintenance (EM)</v>
      </c>
      <c r="E342" s="840"/>
      <c r="F342" s="840"/>
      <c r="G342" s="840"/>
      <c r="H342" s="840"/>
      <c r="I342" s="840"/>
      <c r="J342" s="840"/>
      <c r="K342" s="840"/>
      <c r="L342" s="840"/>
      <c r="M342" s="840"/>
      <c r="N342" s="840"/>
      <c r="O342" s="835"/>
      <c r="P342" s="828"/>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row>
    <row r="343" spans="1:49" s="712" customFormat="1" ht="12.75" hidden="1" outlineLevel="1" x14ac:dyDescent="0.2">
      <c r="A343" s="820"/>
      <c r="B343" s="820"/>
      <c r="C343" s="256"/>
      <c r="D343" s="233" t="str">
        <f>FleetTypeE&amp;" EM Per AIRCRAFT Records Generated pa"</f>
        <v>B747-400 EM Per AIRCRAFT Records Generated pa</v>
      </c>
      <c r="E343" s="842">
        <v>15001</v>
      </c>
      <c r="F343" s="842">
        <v>15002</v>
      </c>
      <c r="G343" s="842">
        <v>15003</v>
      </c>
      <c r="H343" s="842">
        <v>15004</v>
      </c>
      <c r="I343" s="842">
        <v>15005</v>
      </c>
      <c r="J343" s="842">
        <v>15006</v>
      </c>
      <c r="K343" s="842">
        <v>15007</v>
      </c>
      <c r="L343" s="842">
        <v>15008</v>
      </c>
      <c r="M343" s="842">
        <v>15009</v>
      </c>
      <c r="N343" s="842">
        <v>15010</v>
      </c>
      <c r="O343" s="835"/>
      <c r="P343" s="828"/>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row>
    <row r="344" spans="1:49" s="712" customFormat="1" ht="15.75" hidden="1" customHeight="1" outlineLevel="1" x14ac:dyDescent="0.2">
      <c r="A344" s="820"/>
      <c r="B344" s="820"/>
      <c r="C344" s="256"/>
      <c r="D344" s="234" t="str">
        <f>"Total "&amp;FleetTypeE&amp;" FLEET EM Records Generated pa"</f>
        <v>Total B747-400 FLEET EM Records Generated pa</v>
      </c>
      <c r="E344" s="231">
        <f t="shared" ref="E344:N344" si="71">E343*FleetSize_E</f>
        <v>225015</v>
      </c>
      <c r="F344" s="231">
        <f t="shared" si="71"/>
        <v>225030</v>
      </c>
      <c r="G344" s="231">
        <f t="shared" si="71"/>
        <v>225045</v>
      </c>
      <c r="H344" s="231">
        <f t="shared" si="71"/>
        <v>225060</v>
      </c>
      <c r="I344" s="231">
        <f t="shared" si="71"/>
        <v>225075</v>
      </c>
      <c r="J344" s="231">
        <f t="shared" si="71"/>
        <v>225090</v>
      </c>
      <c r="K344" s="231">
        <f t="shared" si="71"/>
        <v>225105</v>
      </c>
      <c r="L344" s="231">
        <f t="shared" si="71"/>
        <v>225120</v>
      </c>
      <c r="M344" s="231">
        <f t="shared" si="71"/>
        <v>225135</v>
      </c>
      <c r="N344" s="231">
        <f t="shared" si="71"/>
        <v>225150</v>
      </c>
      <c r="O344" s="285" t="s">
        <v>535</v>
      </c>
      <c r="P344" s="828"/>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row>
    <row r="345" spans="1:49" s="712" customFormat="1" ht="12.75" hidden="1" outlineLevel="1" x14ac:dyDescent="0.2">
      <c r="A345" s="820"/>
      <c r="B345" s="820"/>
      <c r="C345" s="256"/>
      <c r="D345" s="30"/>
      <c r="E345" s="30"/>
      <c r="F345" s="30"/>
      <c r="G345" s="30"/>
      <c r="H345" s="30"/>
      <c r="I345" s="30"/>
      <c r="J345" s="30"/>
      <c r="K345" s="30"/>
      <c r="L345" s="30"/>
      <c r="M345" s="30"/>
      <c r="N345" s="30"/>
      <c r="O345" s="839"/>
      <c r="P345" s="828"/>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row>
    <row r="346" spans="1:49" s="712" customFormat="1" ht="12.75" hidden="1" outlineLevel="1" x14ac:dyDescent="0.2">
      <c r="A346" s="820"/>
      <c r="B346" s="820"/>
      <c r="C346" s="847"/>
      <c r="D346" s="484" t="str">
        <f>FleetTypeE &amp;" Component Maintenance (CM)"</f>
        <v>B747-400 Component Maintenance (CM)</v>
      </c>
      <c r="E346" s="840"/>
      <c r="F346" s="840"/>
      <c r="G346" s="840"/>
      <c r="H346" s="840"/>
      <c r="I346" s="840"/>
      <c r="J346" s="840"/>
      <c r="K346" s="840"/>
      <c r="L346" s="840"/>
      <c r="M346" s="840"/>
      <c r="N346" s="840"/>
      <c r="O346" s="835"/>
      <c r="P346" s="828"/>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row>
    <row r="347" spans="1:49" s="712" customFormat="1" ht="12.75" hidden="1" outlineLevel="1" x14ac:dyDescent="0.2">
      <c r="A347" s="820"/>
      <c r="B347" s="820"/>
      <c r="C347" s="256"/>
      <c r="D347" s="233" t="str">
        <f>FleetTypeE&amp;" CM Per AIRCRAFT Records Generated pa"</f>
        <v>B747-400 CM Per AIRCRAFT Records Generated pa</v>
      </c>
      <c r="E347" s="842">
        <v>15001</v>
      </c>
      <c r="F347" s="842">
        <v>15002</v>
      </c>
      <c r="G347" s="842">
        <v>15003</v>
      </c>
      <c r="H347" s="842">
        <v>15004</v>
      </c>
      <c r="I347" s="842">
        <v>15005</v>
      </c>
      <c r="J347" s="842">
        <v>15006</v>
      </c>
      <c r="K347" s="842">
        <v>15007</v>
      </c>
      <c r="L347" s="842">
        <v>15008</v>
      </c>
      <c r="M347" s="842">
        <v>15009</v>
      </c>
      <c r="N347" s="842">
        <v>15010</v>
      </c>
      <c r="O347" s="835"/>
      <c r="P347" s="828"/>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row>
    <row r="348" spans="1:49" s="712" customFormat="1" ht="15.75" hidden="1" customHeight="1" outlineLevel="1" x14ac:dyDescent="0.2">
      <c r="A348" s="820"/>
      <c r="B348" s="820"/>
      <c r="C348" s="256"/>
      <c r="D348" s="234" t="str">
        <f>"Total "&amp;FleetTypeE&amp;" FLEET CM Records Generated pa"</f>
        <v>Total B747-400 FLEET CM Records Generated pa</v>
      </c>
      <c r="E348" s="231">
        <f t="shared" ref="E348:N348" si="72">E347*FleetSize_E</f>
        <v>225015</v>
      </c>
      <c r="F348" s="231">
        <f t="shared" si="72"/>
        <v>225030</v>
      </c>
      <c r="G348" s="231">
        <f t="shared" si="72"/>
        <v>225045</v>
      </c>
      <c r="H348" s="231">
        <f t="shared" si="72"/>
        <v>225060</v>
      </c>
      <c r="I348" s="231">
        <f t="shared" si="72"/>
        <v>225075</v>
      </c>
      <c r="J348" s="231">
        <f t="shared" si="72"/>
        <v>225090</v>
      </c>
      <c r="K348" s="231">
        <f t="shared" si="72"/>
        <v>225105</v>
      </c>
      <c r="L348" s="231">
        <f t="shared" si="72"/>
        <v>225120</v>
      </c>
      <c r="M348" s="231">
        <f t="shared" si="72"/>
        <v>225135</v>
      </c>
      <c r="N348" s="231">
        <f t="shared" si="72"/>
        <v>225150</v>
      </c>
      <c r="O348" s="285" t="s">
        <v>536</v>
      </c>
      <c r="P348" s="828"/>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row>
    <row r="349" spans="1:49" s="712" customFormat="1" ht="12.75" hidden="1" outlineLevel="1" x14ac:dyDescent="0.2">
      <c r="A349" s="820"/>
      <c r="B349" s="820"/>
      <c r="C349" s="256"/>
      <c r="D349" s="30"/>
      <c r="E349" s="30"/>
      <c r="F349" s="30"/>
      <c r="G349" s="30"/>
      <c r="H349" s="30"/>
      <c r="I349" s="30"/>
      <c r="J349" s="30"/>
      <c r="K349" s="30"/>
      <c r="L349" s="30"/>
      <c r="M349" s="30"/>
      <c r="N349" s="30"/>
      <c r="O349" s="839"/>
      <c r="P349" s="828"/>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row>
    <row r="350" spans="1:49" s="712" customFormat="1" ht="15.75" hidden="1" customHeight="1" outlineLevel="1" x14ac:dyDescent="0.2">
      <c r="A350" s="820"/>
      <c r="B350" s="820"/>
      <c r="C350" s="847"/>
      <c r="D350" s="484" t="str">
        <f>FleetTypeE &amp;" Sheetmetal &amp; Composite Structures (SMCS)"</f>
        <v>B747-400 Sheetmetal &amp; Composite Structures (SMCS)</v>
      </c>
      <c r="E350" s="840"/>
      <c r="F350" s="840"/>
      <c r="G350" s="840"/>
      <c r="H350" s="840"/>
      <c r="I350" s="840"/>
      <c r="J350" s="840"/>
      <c r="K350" s="840"/>
      <c r="L350" s="840"/>
      <c r="M350" s="840"/>
      <c r="N350" s="840"/>
      <c r="O350" s="835"/>
      <c r="P350" s="828"/>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row>
    <row r="351" spans="1:49" s="712" customFormat="1" ht="12.75" hidden="1" outlineLevel="1" x14ac:dyDescent="0.2">
      <c r="A351" s="820"/>
      <c r="B351" s="820"/>
      <c r="C351" s="256"/>
      <c r="D351" s="233" t="str">
        <f>FleetTypeE&amp;" SMCS Per AIRCRAFT Records Generated pa"</f>
        <v>B747-400 SMCS Per AIRCRAFT Records Generated pa</v>
      </c>
      <c r="E351" s="842">
        <v>15001</v>
      </c>
      <c r="F351" s="842">
        <v>15002</v>
      </c>
      <c r="G351" s="842">
        <v>15003</v>
      </c>
      <c r="H351" s="842">
        <v>15004</v>
      </c>
      <c r="I351" s="842">
        <v>15005</v>
      </c>
      <c r="J351" s="842">
        <v>15006</v>
      </c>
      <c r="K351" s="842">
        <v>15007</v>
      </c>
      <c r="L351" s="842">
        <v>15008</v>
      </c>
      <c r="M351" s="842">
        <v>15009</v>
      </c>
      <c r="N351" s="842">
        <v>15010</v>
      </c>
      <c r="O351" s="835"/>
      <c r="P351" s="828"/>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row>
    <row r="352" spans="1:49" s="712" customFormat="1" ht="15.75" hidden="1" customHeight="1" outlineLevel="1" x14ac:dyDescent="0.2">
      <c r="A352" s="820"/>
      <c r="B352" s="820"/>
      <c r="C352" s="256"/>
      <c r="D352" s="234" t="str">
        <f>"Total "&amp;FleetTypeE&amp;" FLEET SMCS Records Generated pa"</f>
        <v>Total B747-400 FLEET SMCS Records Generated pa</v>
      </c>
      <c r="E352" s="231">
        <f t="shared" ref="E352:N352" si="73">E351*FleetSize_E</f>
        <v>225015</v>
      </c>
      <c r="F352" s="231">
        <f t="shared" si="73"/>
        <v>225030</v>
      </c>
      <c r="G352" s="231">
        <f t="shared" si="73"/>
        <v>225045</v>
      </c>
      <c r="H352" s="231">
        <f t="shared" si="73"/>
        <v>225060</v>
      </c>
      <c r="I352" s="231">
        <f t="shared" si="73"/>
        <v>225075</v>
      </c>
      <c r="J352" s="231">
        <f t="shared" si="73"/>
        <v>225090</v>
      </c>
      <c r="K352" s="231">
        <f t="shared" si="73"/>
        <v>225105</v>
      </c>
      <c r="L352" s="231">
        <f t="shared" si="73"/>
        <v>225120</v>
      </c>
      <c r="M352" s="231">
        <f t="shared" si="73"/>
        <v>225135</v>
      </c>
      <c r="N352" s="231">
        <f t="shared" si="73"/>
        <v>225150</v>
      </c>
      <c r="O352" s="285" t="s">
        <v>537</v>
      </c>
      <c r="P352" s="828"/>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row>
    <row r="353" spans="1:49" s="712" customFormat="1" ht="12.75" hidden="1" outlineLevel="1" x14ac:dyDescent="0.2">
      <c r="A353" s="820"/>
      <c r="B353" s="820"/>
      <c r="C353" s="256"/>
      <c r="D353" s="30"/>
      <c r="E353" s="30"/>
      <c r="F353" s="30"/>
      <c r="G353" s="30"/>
      <c r="H353" s="30"/>
      <c r="I353" s="30"/>
      <c r="J353" s="30"/>
      <c r="K353" s="30"/>
      <c r="L353" s="30"/>
      <c r="M353" s="30"/>
      <c r="N353" s="30"/>
      <c r="O353" s="839"/>
      <c r="P353" s="828"/>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row>
    <row r="354" spans="1:49" s="712" customFormat="1" ht="12.75" hidden="1" outlineLevel="1" x14ac:dyDescent="0.2">
      <c r="A354" s="820"/>
      <c r="B354" s="820"/>
      <c r="C354" s="847"/>
      <c r="D354" s="484" t="str">
        <f>FleetTypeE &amp;" Other 1 (O1)"</f>
        <v>B747-400 Other 1 (O1)</v>
      </c>
      <c r="E354" s="840"/>
      <c r="F354" s="840"/>
      <c r="G354" s="840"/>
      <c r="H354" s="840"/>
      <c r="I354" s="840"/>
      <c r="J354" s="840"/>
      <c r="K354" s="840"/>
      <c r="L354" s="840"/>
      <c r="M354" s="840"/>
      <c r="N354" s="840"/>
      <c r="O354" s="835"/>
      <c r="P354" s="828"/>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row>
    <row r="355" spans="1:49" s="712" customFormat="1" ht="12.75" hidden="1" outlineLevel="1" x14ac:dyDescent="0.2">
      <c r="A355" s="820"/>
      <c r="B355" s="820"/>
      <c r="C355" s="256"/>
      <c r="D355" s="233" t="str">
        <f>FleetTypeE&amp;" O1 Per AIRCRAFT Records Generated pa"</f>
        <v>B747-400 O1 Per AIRCRAFT Records Generated pa</v>
      </c>
      <c r="E355" s="842">
        <v>15001</v>
      </c>
      <c r="F355" s="842">
        <v>15002</v>
      </c>
      <c r="G355" s="842">
        <v>15003</v>
      </c>
      <c r="H355" s="842">
        <v>15004</v>
      </c>
      <c r="I355" s="842">
        <v>15005</v>
      </c>
      <c r="J355" s="842">
        <v>15006</v>
      </c>
      <c r="K355" s="842">
        <v>15007</v>
      </c>
      <c r="L355" s="842">
        <v>15008</v>
      </c>
      <c r="M355" s="842">
        <v>15009</v>
      </c>
      <c r="N355" s="842">
        <v>15010</v>
      </c>
      <c r="O355" s="835"/>
      <c r="P355" s="828"/>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row>
    <row r="356" spans="1:49" s="712" customFormat="1" ht="15.75" hidden="1" customHeight="1" outlineLevel="1" x14ac:dyDescent="0.2">
      <c r="A356" s="820"/>
      <c r="B356" s="820"/>
      <c r="C356" s="256"/>
      <c r="D356" s="234" t="str">
        <f>"Total "&amp;FleetTypeE&amp;" FLEET O1 Records Generated pa"</f>
        <v>Total B747-400 FLEET O1 Records Generated pa</v>
      </c>
      <c r="E356" s="231">
        <f t="shared" ref="E356:N356" si="74">E355*FleetSize_E</f>
        <v>225015</v>
      </c>
      <c r="F356" s="231">
        <f t="shared" si="74"/>
        <v>225030</v>
      </c>
      <c r="G356" s="231">
        <f t="shared" si="74"/>
        <v>225045</v>
      </c>
      <c r="H356" s="231">
        <f t="shared" si="74"/>
        <v>225060</v>
      </c>
      <c r="I356" s="231">
        <f t="shared" si="74"/>
        <v>225075</v>
      </c>
      <c r="J356" s="231">
        <f t="shared" si="74"/>
        <v>225090</v>
      </c>
      <c r="K356" s="231">
        <f t="shared" si="74"/>
        <v>225105</v>
      </c>
      <c r="L356" s="231">
        <f t="shared" si="74"/>
        <v>225120</v>
      </c>
      <c r="M356" s="231">
        <f t="shared" si="74"/>
        <v>225135</v>
      </c>
      <c r="N356" s="231">
        <f t="shared" si="74"/>
        <v>225150</v>
      </c>
      <c r="O356" s="285" t="s">
        <v>538</v>
      </c>
      <c r="P356" s="828"/>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row>
    <row r="357" spans="1:49" s="712" customFormat="1" ht="12.75" hidden="1" outlineLevel="1" x14ac:dyDescent="0.2">
      <c r="A357" s="820"/>
      <c r="B357" s="820"/>
      <c r="C357" s="256"/>
      <c r="D357" s="30"/>
      <c r="E357" s="30"/>
      <c r="F357" s="30"/>
      <c r="G357" s="30"/>
      <c r="H357" s="30"/>
      <c r="I357" s="30"/>
      <c r="J357" s="30"/>
      <c r="K357" s="30"/>
      <c r="L357" s="30"/>
      <c r="M357" s="30"/>
      <c r="N357" s="30"/>
      <c r="O357" s="839"/>
      <c r="P357" s="828"/>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row>
    <row r="358" spans="1:49" s="712" customFormat="1" ht="12.75" hidden="1" outlineLevel="1" x14ac:dyDescent="0.2">
      <c r="A358" s="820"/>
      <c r="B358" s="820"/>
      <c r="C358" s="847"/>
      <c r="D358" s="484" t="str">
        <f>FleetTypeE &amp;" Other 2 (O2)"</f>
        <v>B747-400 Other 2 (O2)</v>
      </c>
      <c r="E358" s="840"/>
      <c r="F358" s="840"/>
      <c r="G358" s="840"/>
      <c r="H358" s="840"/>
      <c r="I358" s="840"/>
      <c r="J358" s="840"/>
      <c r="K358" s="840"/>
      <c r="L358" s="840"/>
      <c r="M358" s="840"/>
      <c r="N358" s="840"/>
      <c r="O358" s="835"/>
      <c r="P358" s="828"/>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row>
    <row r="359" spans="1:49" s="712" customFormat="1" ht="12.75" hidden="1" outlineLevel="1" x14ac:dyDescent="0.2">
      <c r="A359" s="820"/>
      <c r="B359" s="820"/>
      <c r="C359" s="256"/>
      <c r="D359" s="233" t="str">
        <f>FleetTypeE&amp;" O2 Per AIRCRAFT Records Generated pa"</f>
        <v>B747-400 O2 Per AIRCRAFT Records Generated pa</v>
      </c>
      <c r="E359" s="842">
        <v>15001</v>
      </c>
      <c r="F359" s="842">
        <v>15002</v>
      </c>
      <c r="G359" s="842">
        <v>15003</v>
      </c>
      <c r="H359" s="842">
        <v>15004</v>
      </c>
      <c r="I359" s="842">
        <v>15005</v>
      </c>
      <c r="J359" s="842">
        <v>15006</v>
      </c>
      <c r="K359" s="842">
        <v>15007</v>
      </c>
      <c r="L359" s="842">
        <v>15008</v>
      </c>
      <c r="M359" s="842">
        <v>15009</v>
      </c>
      <c r="N359" s="842">
        <v>15010</v>
      </c>
      <c r="O359" s="835"/>
      <c r="P359" s="828"/>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row>
    <row r="360" spans="1:49" s="712" customFormat="1" ht="15.75" hidden="1" customHeight="1" outlineLevel="1" x14ac:dyDescent="0.2">
      <c r="A360" s="820"/>
      <c r="B360" s="820"/>
      <c r="C360" s="256"/>
      <c r="D360" s="234" t="str">
        <f>"Total "&amp;FleetTypeE&amp;" FLEET O2 Records Generated pa"</f>
        <v>Total B747-400 FLEET O2 Records Generated pa</v>
      </c>
      <c r="E360" s="231">
        <f t="shared" ref="E360:N360" si="75">E359*FleetSize_E</f>
        <v>225015</v>
      </c>
      <c r="F360" s="231">
        <f t="shared" si="75"/>
        <v>225030</v>
      </c>
      <c r="G360" s="231">
        <f t="shared" si="75"/>
        <v>225045</v>
      </c>
      <c r="H360" s="231">
        <f t="shared" si="75"/>
        <v>225060</v>
      </c>
      <c r="I360" s="231">
        <f t="shared" si="75"/>
        <v>225075</v>
      </c>
      <c r="J360" s="231">
        <f t="shared" si="75"/>
        <v>225090</v>
      </c>
      <c r="K360" s="231">
        <f t="shared" si="75"/>
        <v>225105</v>
      </c>
      <c r="L360" s="231">
        <f t="shared" si="75"/>
        <v>225120</v>
      </c>
      <c r="M360" s="231">
        <f t="shared" si="75"/>
        <v>225135</v>
      </c>
      <c r="N360" s="231">
        <f t="shared" si="75"/>
        <v>225150</v>
      </c>
      <c r="O360" s="285" t="s">
        <v>540</v>
      </c>
      <c r="P360" s="828"/>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row>
    <row r="361" spans="1:49" s="712" customFormat="1" ht="12.75" hidden="1" outlineLevel="1" x14ac:dyDescent="0.2">
      <c r="A361" s="820"/>
      <c r="B361" s="820"/>
      <c r="C361" s="256"/>
      <c r="D361" s="30"/>
      <c r="E361" s="30"/>
      <c r="F361" s="30"/>
      <c r="G361" s="30"/>
      <c r="H361" s="30"/>
      <c r="I361" s="30"/>
      <c r="J361" s="30"/>
      <c r="K361" s="30"/>
      <c r="L361" s="30"/>
      <c r="M361" s="30"/>
      <c r="N361" s="30"/>
      <c r="O361" s="839"/>
      <c r="P361" s="828"/>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row>
    <row r="362" spans="1:49" s="712" customFormat="1" ht="21.75" hidden="1" customHeight="1" outlineLevel="1" x14ac:dyDescent="0.2">
      <c r="A362" s="820"/>
      <c r="B362" s="820"/>
      <c r="C362" s="848"/>
      <c r="D362" s="849" t="str">
        <f>"Grand Total ("&amp;(FleetTypeE)&amp;") "&amp;"Records Generated pa"</f>
        <v>Grand Total (B747-400) Records Generated pa</v>
      </c>
      <c r="E362" s="713">
        <f t="shared" ref="E362:N362" si="76">SUM(RecordsHMFleetTotalpa_E+RecordsLMFleetTotalpa_E+RecordsEngFleetTotalpa_E+RecordsPlgFleetTotalpa_E+RecordsCRTFleetTotalpa_E+RecordsSCLFleetTotalpa_E+RecordsQSCFleetTotalpa_E+RecordsEMFleetTotalpa_E+RecordsCMFleetTotalpa_E+RecordsSMCSFleetTotalpa_E+RecordsO1FleetTotalpa_E+RecordsO2FleetTotalpa_E)</f>
        <v>2219415</v>
      </c>
      <c r="F362" s="713">
        <f t="shared" si="76"/>
        <v>2216901.4285714286</v>
      </c>
      <c r="G362" s="713">
        <f t="shared" si="76"/>
        <v>2215057.5</v>
      </c>
      <c r="H362" s="713">
        <f t="shared" si="76"/>
        <v>2220231.4285714286</v>
      </c>
      <c r="I362" s="713">
        <f t="shared" si="76"/>
        <v>2221896.4285714286</v>
      </c>
      <c r="J362" s="713">
        <f t="shared" si="76"/>
        <v>2223561.4285714286</v>
      </c>
      <c r="K362" s="713">
        <f t="shared" si="76"/>
        <v>2225226.4285714286</v>
      </c>
      <c r="L362" s="713">
        <f t="shared" si="76"/>
        <v>2226891.4285714286</v>
      </c>
      <c r="M362" s="713">
        <f t="shared" si="76"/>
        <v>2228556.4285714286</v>
      </c>
      <c r="N362" s="713">
        <f t="shared" si="76"/>
        <v>2230221.4285714286</v>
      </c>
      <c r="O362" s="285" t="s">
        <v>541</v>
      </c>
      <c r="P362" s="828"/>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row>
    <row r="363" spans="1:49" s="193" customFormat="1" ht="12.75" hidden="1" outlineLevel="1" x14ac:dyDescent="0.2">
      <c r="A363" s="820"/>
      <c r="B363" s="833"/>
      <c r="C363" s="837"/>
      <c r="D363" s="30"/>
      <c r="E363" s="833"/>
      <c r="F363" s="833"/>
      <c r="G363" s="833"/>
      <c r="H363" s="833"/>
      <c r="I363" s="833"/>
      <c r="J363" s="833"/>
      <c r="K363" s="833"/>
      <c r="L363" s="833"/>
      <c r="M363" s="833"/>
      <c r="N363" s="833"/>
      <c r="O363" s="861"/>
      <c r="P363" s="828"/>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row>
    <row r="364" spans="1:49" s="193" customFormat="1" ht="13.5" hidden="1" outlineLevel="1" thickBot="1" x14ac:dyDescent="0.25">
      <c r="A364" s="820"/>
      <c r="B364" s="833"/>
      <c r="C364" s="170"/>
      <c r="D364" s="278"/>
      <c r="E364" s="278"/>
      <c r="F364" s="278"/>
      <c r="G364" s="278"/>
      <c r="H364" s="278"/>
      <c r="I364" s="278"/>
      <c r="J364" s="278"/>
      <c r="K364" s="278"/>
      <c r="L364" s="278"/>
      <c r="M364" s="278"/>
      <c r="N364" s="278"/>
      <c r="O364" s="850"/>
      <c r="P364" s="828"/>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row>
    <row r="365" spans="1:49" s="193" customFormat="1" ht="12.75" hidden="1" outlineLevel="1" x14ac:dyDescent="0.2">
      <c r="A365" s="820"/>
      <c r="B365" s="833"/>
      <c r="C365" s="30"/>
      <c r="D365" s="30"/>
      <c r="E365" s="30"/>
      <c r="F365" s="30"/>
      <c r="G365" s="30"/>
      <c r="H365" s="30"/>
      <c r="I365" s="30"/>
      <c r="J365" s="30"/>
      <c r="K365" s="30"/>
      <c r="L365" s="30"/>
      <c r="M365" s="30"/>
      <c r="N365" s="30"/>
      <c r="O365" s="862"/>
      <c r="P365" s="828"/>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row>
    <row r="366" spans="1:49" s="122" customFormat="1" ht="15.75" collapsed="1" x14ac:dyDescent="0.2">
      <c r="A366" s="1043">
        <v>7</v>
      </c>
      <c r="B366" s="1039"/>
      <c r="C366" s="1039"/>
      <c r="D366" s="1039"/>
      <c r="E366" s="1039"/>
      <c r="F366" s="1039"/>
      <c r="G366" s="1039"/>
      <c r="H366" s="1039"/>
      <c r="I366" s="1039"/>
      <c r="J366" s="1039"/>
      <c r="K366" s="1039"/>
      <c r="L366" s="1039"/>
      <c r="M366" s="1039"/>
      <c r="N366" s="1039"/>
      <c r="O366" s="1039"/>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row>
    <row r="367" spans="1:49" s="712" customFormat="1" ht="13.5" thickBot="1" x14ac:dyDescent="0.25">
      <c r="A367" s="820"/>
      <c r="B367" s="180"/>
      <c r="C367" s="852"/>
      <c r="D367" s="820"/>
      <c r="E367" s="840"/>
      <c r="F367" s="840"/>
      <c r="G367" s="840"/>
      <c r="H367" s="840"/>
      <c r="I367" s="840"/>
      <c r="J367" s="840"/>
      <c r="K367" s="840"/>
      <c r="L367" s="840"/>
      <c r="M367" s="840"/>
      <c r="N367" s="840"/>
      <c r="O367" s="828"/>
      <c r="P367" s="828"/>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row>
    <row r="368" spans="1:49" s="712" customFormat="1" ht="31.5" x14ac:dyDescent="0.2">
      <c r="A368" s="1342" t="str">
        <f>"Purpose - To calculate Total Records generated by 'FleetTypeF'          " &amp; (FleetTypeF)</f>
        <v>Purpose - To calculate Total Records generated by 'FleetTypeF'          B787-800</v>
      </c>
      <c r="B368" s="180"/>
      <c r="C368" s="1343" t="str">
        <f>FleetTypeF &amp;" (FleetTypeF) Records
Generated pa"</f>
        <v>B787-800 (FleetTypeF) Records
Generated pa</v>
      </c>
      <c r="D368" s="853"/>
      <c r="E368" s="853"/>
      <c r="F368" s="853"/>
      <c r="G368" s="853"/>
      <c r="H368" s="853"/>
      <c r="I368" s="853"/>
      <c r="J368" s="853"/>
      <c r="K368" s="853"/>
      <c r="L368" s="853"/>
      <c r="M368" s="853"/>
      <c r="N368" s="853"/>
      <c r="O368" s="854"/>
      <c r="P368" s="828"/>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row>
    <row r="369" spans="1:49" s="193" customFormat="1" ht="12.75" x14ac:dyDescent="0.2">
      <c r="A369" s="820"/>
      <c r="B369" s="833"/>
      <c r="C369" s="833"/>
      <c r="D369" s="30"/>
      <c r="E369" s="833"/>
      <c r="F369" s="833"/>
      <c r="G369" s="833"/>
      <c r="H369" s="833"/>
      <c r="I369" s="833"/>
      <c r="J369" s="833"/>
      <c r="K369" s="833"/>
      <c r="L369" s="833"/>
      <c r="M369" s="833"/>
      <c r="N369" s="833"/>
      <c r="O369" s="833"/>
      <c r="P369" s="828"/>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row>
    <row r="370" spans="1:49" s="193" customFormat="1" ht="13.5" hidden="1" outlineLevel="1" collapsed="1" thickBot="1" x14ac:dyDescent="0.25">
      <c r="A370" s="820"/>
      <c r="B370" s="833"/>
      <c r="C370" s="30"/>
      <c r="D370" s="30"/>
      <c r="E370" s="30"/>
      <c r="F370" s="30"/>
      <c r="G370" s="30"/>
      <c r="H370" s="30"/>
      <c r="I370" s="30"/>
      <c r="J370" s="30"/>
      <c r="K370" s="30"/>
      <c r="L370" s="30"/>
      <c r="M370" s="30"/>
      <c r="N370" s="30"/>
      <c r="O370" s="828"/>
      <c r="P370" s="828"/>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row>
    <row r="371" spans="1:49" s="712" customFormat="1" ht="20.100000000000001" hidden="1" customHeight="1" outlineLevel="1" x14ac:dyDescent="0.2">
      <c r="A371" s="820"/>
      <c r="B371" s="180"/>
      <c r="C371" s="1344"/>
      <c r="D371" s="853"/>
      <c r="E371" s="853"/>
      <c r="F371" s="853"/>
      <c r="G371" s="853"/>
      <c r="H371" s="853"/>
      <c r="I371" s="853"/>
      <c r="J371" s="853"/>
      <c r="K371" s="853"/>
      <c r="L371" s="853"/>
      <c r="M371" s="853"/>
      <c r="N371" s="853"/>
      <c r="O371" s="854"/>
      <c r="P371" s="828"/>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row>
    <row r="372" spans="1:49" s="193" customFormat="1" ht="20.25" hidden="1" customHeight="1" outlineLevel="1" x14ac:dyDescent="0.2">
      <c r="A372" s="820"/>
      <c r="B372" s="180"/>
      <c r="C372" s="256"/>
      <c r="D372" s="484" t="str">
        <f>FleetTypeF &amp;" Heavy Maintenance (HM)"</f>
        <v>B787-800 Heavy Maintenance (HM)</v>
      </c>
      <c r="E372" s="820"/>
      <c r="F372" s="39"/>
      <c r="G372" s="822"/>
      <c r="H372" s="822"/>
      <c r="I372" s="822"/>
      <c r="J372" s="822"/>
      <c r="K372" s="822"/>
      <c r="L372" s="822"/>
      <c r="M372" s="822"/>
      <c r="N372" s="822"/>
      <c r="O372" s="829"/>
      <c r="P372" s="828"/>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row>
    <row r="373" spans="1:49" s="193" customFormat="1" ht="15" hidden="1" customHeight="1" outlineLevel="1" x14ac:dyDescent="0.2">
      <c r="A373" s="820"/>
      <c r="B373" s="830"/>
      <c r="C373" s="831"/>
      <c r="D373" s="234" t="str">
        <f>FleetTypeF&amp;" HM Cycle (Years)"</f>
        <v>B787-800 HM Cycle (Years)</v>
      </c>
      <c r="E373" s="832">
        <v>12</v>
      </c>
      <c r="F373" s="832">
        <v>14</v>
      </c>
      <c r="G373" s="832">
        <v>16</v>
      </c>
      <c r="H373" s="832">
        <v>14</v>
      </c>
      <c r="I373" s="832">
        <v>14</v>
      </c>
      <c r="J373" s="832">
        <v>14</v>
      </c>
      <c r="K373" s="832">
        <v>14</v>
      </c>
      <c r="L373" s="832">
        <v>14</v>
      </c>
      <c r="M373" s="832">
        <v>14</v>
      </c>
      <c r="N373" s="832">
        <v>14</v>
      </c>
      <c r="O373" s="257" t="s">
        <v>108</v>
      </c>
      <c r="P373" s="828"/>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row>
    <row r="374" spans="1:49" s="193" customFormat="1" ht="12.95" hidden="1" customHeight="1" outlineLevel="1" x14ac:dyDescent="0.2">
      <c r="A374" s="820"/>
      <c r="B374" s="833"/>
      <c r="C374" s="834"/>
      <c r="D374" s="820"/>
      <c r="E374" s="833"/>
      <c r="F374" s="833"/>
      <c r="G374" s="833"/>
      <c r="H374" s="833"/>
      <c r="I374" s="833"/>
      <c r="J374" s="833"/>
      <c r="K374" s="833"/>
      <c r="L374" s="833"/>
      <c r="M374" s="833"/>
      <c r="N374" s="833"/>
      <c r="O374" s="835"/>
      <c r="P374" s="828"/>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row>
    <row r="375" spans="1:49" s="193" customFormat="1" ht="12.75" hidden="1" customHeight="1" outlineLevel="1" x14ac:dyDescent="0.2">
      <c r="A375" s="820"/>
      <c r="B375" s="30"/>
      <c r="C375" s="256"/>
      <c r="D375" s="57" t="s">
        <v>256</v>
      </c>
      <c r="E375" s="836">
        <v>1100</v>
      </c>
      <c r="F375" s="836">
        <v>1200</v>
      </c>
      <c r="G375" s="836">
        <v>1300</v>
      </c>
      <c r="H375" s="836">
        <v>1400</v>
      </c>
      <c r="I375" s="836">
        <v>1500</v>
      </c>
      <c r="J375" s="836">
        <v>1600</v>
      </c>
      <c r="K375" s="836">
        <v>1700</v>
      </c>
      <c r="L375" s="836">
        <v>1800</v>
      </c>
      <c r="M375" s="836">
        <v>1900</v>
      </c>
      <c r="N375" s="836">
        <v>2000</v>
      </c>
      <c r="O375" s="835"/>
      <c r="P375" s="828"/>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row>
    <row r="376" spans="1:49" s="193" customFormat="1" ht="12.95" hidden="1" customHeight="1" outlineLevel="1" x14ac:dyDescent="0.2">
      <c r="A376" s="820"/>
      <c r="B376" s="833"/>
      <c r="C376" s="837"/>
      <c r="D376" s="57" t="s">
        <v>257</v>
      </c>
      <c r="E376" s="838">
        <v>2100</v>
      </c>
      <c r="F376" s="838">
        <v>2200</v>
      </c>
      <c r="G376" s="838">
        <v>2300</v>
      </c>
      <c r="H376" s="838">
        <v>2400</v>
      </c>
      <c r="I376" s="838">
        <v>2500</v>
      </c>
      <c r="J376" s="838">
        <v>2600</v>
      </c>
      <c r="K376" s="838">
        <v>2700</v>
      </c>
      <c r="L376" s="838">
        <v>2800</v>
      </c>
      <c r="M376" s="838">
        <v>2900</v>
      </c>
      <c r="N376" s="838">
        <v>3000</v>
      </c>
      <c r="O376" s="835"/>
      <c r="P376" s="828"/>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row>
    <row r="377" spans="1:49" s="193" customFormat="1" ht="12.95" hidden="1" customHeight="1" outlineLevel="1" x14ac:dyDescent="0.2">
      <c r="A377" s="820"/>
      <c r="B377" s="833"/>
      <c r="C377" s="837"/>
      <c r="D377" s="57" t="s">
        <v>258</v>
      </c>
      <c r="E377" s="838" t="s">
        <v>20</v>
      </c>
      <c r="F377" s="838" t="s">
        <v>20</v>
      </c>
      <c r="G377" s="838" t="s">
        <v>20</v>
      </c>
      <c r="H377" s="838" t="s">
        <v>20</v>
      </c>
      <c r="I377" s="838" t="s">
        <v>20</v>
      </c>
      <c r="J377" s="838" t="s">
        <v>20</v>
      </c>
      <c r="K377" s="838" t="s">
        <v>20</v>
      </c>
      <c r="L377" s="838" t="s">
        <v>20</v>
      </c>
      <c r="M377" s="838" t="s">
        <v>20</v>
      </c>
      <c r="N377" s="838" t="s">
        <v>20</v>
      </c>
      <c r="O377" s="835"/>
      <c r="P377" s="828"/>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row>
    <row r="378" spans="1:49" s="193" customFormat="1" ht="12.95" hidden="1" customHeight="1" outlineLevel="1" x14ac:dyDescent="0.2">
      <c r="A378" s="820"/>
      <c r="B378" s="833"/>
      <c r="C378" s="837"/>
      <c r="D378" s="57" t="s">
        <v>259</v>
      </c>
      <c r="E378" s="838">
        <v>4100</v>
      </c>
      <c r="F378" s="838">
        <v>4200</v>
      </c>
      <c r="G378" s="838">
        <v>4300</v>
      </c>
      <c r="H378" s="838">
        <v>4400</v>
      </c>
      <c r="I378" s="838">
        <v>4500</v>
      </c>
      <c r="J378" s="838">
        <v>4600</v>
      </c>
      <c r="K378" s="838">
        <v>4700</v>
      </c>
      <c r="L378" s="838">
        <v>4800</v>
      </c>
      <c r="M378" s="838">
        <v>4900</v>
      </c>
      <c r="N378" s="838">
        <v>5000</v>
      </c>
      <c r="O378" s="835"/>
      <c r="P378" s="828"/>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row>
    <row r="379" spans="1:49" s="193" customFormat="1" ht="12.95" hidden="1" customHeight="1" outlineLevel="1" x14ac:dyDescent="0.2">
      <c r="A379" s="820"/>
      <c r="B379" s="833"/>
      <c r="C379" s="837"/>
      <c r="D379" s="57" t="s">
        <v>260</v>
      </c>
      <c r="E379" s="838" t="s">
        <v>20</v>
      </c>
      <c r="F379" s="838" t="s">
        <v>20</v>
      </c>
      <c r="G379" s="838" t="s">
        <v>20</v>
      </c>
      <c r="H379" s="838" t="s">
        <v>20</v>
      </c>
      <c r="I379" s="838" t="s">
        <v>20</v>
      </c>
      <c r="J379" s="838" t="s">
        <v>20</v>
      </c>
      <c r="K379" s="838" t="s">
        <v>20</v>
      </c>
      <c r="L379" s="838" t="s">
        <v>20</v>
      </c>
      <c r="M379" s="838" t="s">
        <v>20</v>
      </c>
      <c r="N379" s="838" t="s">
        <v>20</v>
      </c>
      <c r="O379" s="835"/>
      <c r="P379" s="828"/>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row>
    <row r="380" spans="1:49" s="193" customFormat="1" ht="12.95" hidden="1" customHeight="1" outlineLevel="1" x14ac:dyDescent="0.2">
      <c r="A380" s="820"/>
      <c r="B380" s="833"/>
      <c r="C380" s="837"/>
      <c r="D380" s="57" t="s">
        <v>261</v>
      </c>
      <c r="E380" s="838">
        <v>7100</v>
      </c>
      <c r="F380" s="838">
        <v>7200</v>
      </c>
      <c r="G380" s="838">
        <v>7300</v>
      </c>
      <c r="H380" s="838">
        <v>7400</v>
      </c>
      <c r="I380" s="838">
        <v>7500</v>
      </c>
      <c r="J380" s="838">
        <v>7600</v>
      </c>
      <c r="K380" s="838">
        <v>7700</v>
      </c>
      <c r="L380" s="838">
        <v>7800</v>
      </c>
      <c r="M380" s="838">
        <v>7900</v>
      </c>
      <c r="N380" s="838">
        <v>8000</v>
      </c>
      <c r="O380" s="835"/>
      <c r="P380" s="828"/>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row>
    <row r="381" spans="1:49" s="193" customFormat="1" ht="12.95" hidden="1" customHeight="1" outlineLevel="1" x14ac:dyDescent="0.2">
      <c r="A381" s="820"/>
      <c r="B381" s="833"/>
      <c r="C381" s="837"/>
      <c r="D381" s="57" t="s">
        <v>262</v>
      </c>
      <c r="E381" s="838" t="s">
        <v>20</v>
      </c>
      <c r="F381" s="838" t="s">
        <v>20</v>
      </c>
      <c r="G381" s="838" t="s">
        <v>20</v>
      </c>
      <c r="H381" s="838" t="s">
        <v>20</v>
      </c>
      <c r="I381" s="838" t="s">
        <v>20</v>
      </c>
      <c r="J381" s="838" t="s">
        <v>20</v>
      </c>
      <c r="K381" s="838" t="s">
        <v>20</v>
      </c>
      <c r="L381" s="838" t="s">
        <v>20</v>
      </c>
      <c r="M381" s="838" t="s">
        <v>20</v>
      </c>
      <c r="N381" s="838" t="s">
        <v>20</v>
      </c>
      <c r="O381" s="835"/>
      <c r="P381" s="828"/>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row>
    <row r="382" spans="1:49" s="193" customFormat="1" ht="12.95" hidden="1" customHeight="1" outlineLevel="1" x14ac:dyDescent="0.2">
      <c r="A382" s="820"/>
      <c r="B382" s="833"/>
      <c r="C382" s="837"/>
      <c r="D382" s="57" t="s">
        <v>263</v>
      </c>
      <c r="E382" s="838">
        <v>9000</v>
      </c>
      <c r="F382" s="838">
        <v>10000</v>
      </c>
      <c r="G382" s="838">
        <v>11000</v>
      </c>
      <c r="H382" s="838">
        <v>12000</v>
      </c>
      <c r="I382" s="838">
        <v>13000</v>
      </c>
      <c r="J382" s="838">
        <v>14000</v>
      </c>
      <c r="K382" s="838">
        <v>15000</v>
      </c>
      <c r="L382" s="838">
        <v>16000</v>
      </c>
      <c r="M382" s="838">
        <v>17000</v>
      </c>
      <c r="N382" s="838">
        <v>18000</v>
      </c>
      <c r="O382" s="835"/>
      <c r="P382" s="828"/>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row>
    <row r="383" spans="1:49" s="193" customFormat="1" ht="12.95" hidden="1" customHeight="1" outlineLevel="1" x14ac:dyDescent="0.2">
      <c r="A383" s="820"/>
      <c r="B383" s="833"/>
      <c r="C383" s="837"/>
      <c r="D383" s="60" t="s">
        <v>113</v>
      </c>
      <c r="E383" s="159">
        <f t="shared" ref="E383:H383" si="77">SUM(E375:E382)</f>
        <v>23400</v>
      </c>
      <c r="F383" s="159">
        <f t="shared" si="77"/>
        <v>24800</v>
      </c>
      <c r="G383" s="159">
        <f t="shared" si="77"/>
        <v>26200</v>
      </c>
      <c r="H383" s="159">
        <f t="shared" si="77"/>
        <v>27600</v>
      </c>
      <c r="I383" s="159">
        <f t="shared" ref="I383:N383" si="78">SUM(I375:I382)</f>
        <v>29000</v>
      </c>
      <c r="J383" s="159">
        <f t="shared" si="78"/>
        <v>30400</v>
      </c>
      <c r="K383" s="159">
        <f t="shared" si="78"/>
        <v>31800</v>
      </c>
      <c r="L383" s="159">
        <f t="shared" si="78"/>
        <v>33200</v>
      </c>
      <c r="M383" s="159">
        <f t="shared" si="78"/>
        <v>34600</v>
      </c>
      <c r="N383" s="159">
        <f t="shared" si="78"/>
        <v>36000</v>
      </c>
      <c r="O383" s="285" t="s">
        <v>550</v>
      </c>
      <c r="P383" s="828"/>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row>
    <row r="384" spans="1:49" s="193" customFormat="1" ht="12.75" hidden="1" outlineLevel="1" x14ac:dyDescent="0.2">
      <c r="A384" s="820"/>
      <c r="B384" s="833"/>
      <c r="C384" s="837"/>
      <c r="D384" s="234" t="str">
        <f>"Total "&amp;FleetTypeF&amp;" FLEET HM Records Generated pa"</f>
        <v>Total B787-800 FLEET HM Records Generated pa</v>
      </c>
      <c r="E384" s="232">
        <f t="shared" ref="E384:N384" si="79">E383/FleetCycleHvy_F*FleetSize_F</f>
        <v>29250</v>
      </c>
      <c r="F384" s="232">
        <f t="shared" si="79"/>
        <v>26571.428571428569</v>
      </c>
      <c r="G384" s="232">
        <f t="shared" si="79"/>
        <v>24562.5</v>
      </c>
      <c r="H384" s="232">
        <f t="shared" si="79"/>
        <v>29571.428571428569</v>
      </c>
      <c r="I384" s="232">
        <f t="shared" si="79"/>
        <v>31071.428571428572</v>
      </c>
      <c r="J384" s="232">
        <f t="shared" si="79"/>
        <v>32571.428571428572</v>
      </c>
      <c r="K384" s="232">
        <f t="shared" si="79"/>
        <v>34071.428571428572</v>
      </c>
      <c r="L384" s="232">
        <f t="shared" si="79"/>
        <v>35571.428571428572</v>
      </c>
      <c r="M384" s="232">
        <f t="shared" si="79"/>
        <v>37071.428571428572</v>
      </c>
      <c r="N384" s="232">
        <f t="shared" si="79"/>
        <v>38571.428571428572</v>
      </c>
      <c r="O384" s="285" t="s">
        <v>542</v>
      </c>
      <c r="P384" s="828"/>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row>
    <row r="385" spans="1:49" s="712" customFormat="1" ht="12.75" hidden="1" outlineLevel="1" x14ac:dyDescent="0.2">
      <c r="A385" s="820"/>
      <c r="B385" s="820"/>
      <c r="C385" s="837"/>
      <c r="D385" s="30"/>
      <c r="E385" s="30"/>
      <c r="F385" s="30"/>
      <c r="G385" s="30"/>
      <c r="H385" s="30"/>
      <c r="I385" s="30"/>
      <c r="J385" s="30"/>
      <c r="K385" s="30"/>
      <c r="L385" s="30"/>
      <c r="M385" s="30"/>
      <c r="N385" s="30"/>
      <c r="O385" s="839"/>
      <c r="P385" s="828"/>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row>
    <row r="386" spans="1:49" s="712" customFormat="1" ht="12.75" hidden="1" outlineLevel="1" x14ac:dyDescent="0.2">
      <c r="A386" s="820"/>
      <c r="B386" s="820"/>
      <c r="C386" s="837"/>
      <c r="D386" s="484" t="str">
        <f>FleetTypeF &amp;" Line Maintenance (LM)"</f>
        <v>B787-800 Line Maintenance (LM)</v>
      </c>
      <c r="E386" s="840"/>
      <c r="F386" s="840"/>
      <c r="G386" s="840"/>
      <c r="H386" s="840"/>
      <c r="I386" s="840"/>
      <c r="J386" s="840"/>
      <c r="K386" s="840"/>
      <c r="L386" s="840"/>
      <c r="M386" s="840"/>
      <c r="N386" s="840"/>
      <c r="O386" s="839"/>
      <c r="P386" s="828"/>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row>
    <row r="387" spans="1:49" s="712" customFormat="1" ht="12.75" hidden="1" outlineLevel="1" x14ac:dyDescent="0.2">
      <c r="A387" s="820"/>
      <c r="B387" s="841"/>
      <c r="C387" s="837"/>
      <c r="D387" s="233" t="str">
        <f>FleetTypeF&amp; " LM Per AIRCRAFT Records Generated pa"</f>
        <v>B787-800 LM Per AIRCRAFT Records Generated pa</v>
      </c>
      <c r="E387" s="842">
        <v>10001</v>
      </c>
      <c r="F387" s="842">
        <v>10002</v>
      </c>
      <c r="G387" s="842">
        <v>10003</v>
      </c>
      <c r="H387" s="842">
        <v>10004</v>
      </c>
      <c r="I387" s="842">
        <v>10005</v>
      </c>
      <c r="J387" s="842">
        <v>10006</v>
      </c>
      <c r="K387" s="842">
        <v>10007</v>
      </c>
      <c r="L387" s="842">
        <v>10008</v>
      </c>
      <c r="M387" s="842">
        <v>10009</v>
      </c>
      <c r="N387" s="842">
        <v>10010</v>
      </c>
      <c r="O387" s="839"/>
      <c r="P387" s="828"/>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row>
    <row r="388" spans="1:49" s="712" customFormat="1" ht="12.75" hidden="1" outlineLevel="1" x14ac:dyDescent="0.2">
      <c r="A388" s="820"/>
      <c r="B388" s="841"/>
      <c r="C388" s="843"/>
      <c r="D388" s="234" t="str">
        <f>"Total "&amp;FleetTypeF&amp;" FLEET LM Records Generated pa"</f>
        <v>Total B787-800 FLEET LM Records Generated pa</v>
      </c>
      <c r="E388" s="231">
        <f t="shared" ref="E388:N388" si="80">E387*FleetSize_F</f>
        <v>150015</v>
      </c>
      <c r="F388" s="231">
        <f t="shared" si="80"/>
        <v>150030</v>
      </c>
      <c r="G388" s="231">
        <f t="shared" si="80"/>
        <v>150045</v>
      </c>
      <c r="H388" s="231">
        <f t="shared" si="80"/>
        <v>150060</v>
      </c>
      <c r="I388" s="231">
        <f t="shared" si="80"/>
        <v>150075</v>
      </c>
      <c r="J388" s="231">
        <f t="shared" si="80"/>
        <v>150090</v>
      </c>
      <c r="K388" s="231">
        <f t="shared" si="80"/>
        <v>150105</v>
      </c>
      <c r="L388" s="231">
        <f t="shared" si="80"/>
        <v>150120</v>
      </c>
      <c r="M388" s="231">
        <f t="shared" si="80"/>
        <v>150135</v>
      </c>
      <c r="N388" s="231">
        <f t="shared" si="80"/>
        <v>150150</v>
      </c>
      <c r="O388" s="285" t="s">
        <v>484</v>
      </c>
      <c r="P388" s="828"/>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row>
    <row r="389" spans="1:49" s="712" customFormat="1" ht="12.75" hidden="1" outlineLevel="1" x14ac:dyDescent="0.2">
      <c r="A389" s="820"/>
      <c r="B389" s="820"/>
      <c r="C389" s="843"/>
      <c r="D389" s="30"/>
      <c r="E389" s="30"/>
      <c r="F389" s="30"/>
      <c r="G389" s="30"/>
      <c r="H389" s="30"/>
      <c r="I389" s="30"/>
      <c r="J389" s="30"/>
      <c r="K389" s="30"/>
      <c r="L389" s="30"/>
      <c r="M389" s="30"/>
      <c r="N389" s="30"/>
      <c r="O389" s="839"/>
      <c r="P389" s="828"/>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row>
    <row r="390" spans="1:49" s="712" customFormat="1" ht="12.75" hidden="1" outlineLevel="1" x14ac:dyDescent="0.2">
      <c r="A390" s="820"/>
      <c r="B390" s="820"/>
      <c r="C390" s="843"/>
      <c r="D390" s="484" t="str">
        <f>FleetTypeF &amp;" Engineering (Eng)"</f>
        <v>B787-800 Engineering (Eng)</v>
      </c>
      <c r="E390" s="840"/>
      <c r="F390" s="840"/>
      <c r="G390" s="840"/>
      <c r="H390" s="840"/>
      <c r="I390" s="840"/>
      <c r="J390" s="840"/>
      <c r="K390" s="840"/>
      <c r="L390" s="840"/>
      <c r="M390" s="840"/>
      <c r="N390" s="840"/>
      <c r="O390" s="839"/>
      <c r="P390" s="828"/>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row>
    <row r="391" spans="1:49" s="712" customFormat="1" ht="12.75" hidden="1" outlineLevel="1" x14ac:dyDescent="0.2">
      <c r="A391" s="820"/>
      <c r="B391" s="820"/>
      <c r="C391" s="843"/>
      <c r="D391" s="233" t="str">
        <f>FleetTypeF&amp;" Eng Per AIRCRAFT Records Generated pa"</f>
        <v>B787-800 Eng Per AIRCRAFT Records Generated pa</v>
      </c>
      <c r="E391" s="842">
        <v>11001</v>
      </c>
      <c r="F391" s="842">
        <v>11002</v>
      </c>
      <c r="G391" s="842">
        <v>11003</v>
      </c>
      <c r="H391" s="842">
        <v>11004</v>
      </c>
      <c r="I391" s="842">
        <v>11005</v>
      </c>
      <c r="J391" s="842">
        <v>11006</v>
      </c>
      <c r="K391" s="842">
        <v>11007</v>
      </c>
      <c r="L391" s="842">
        <v>11008</v>
      </c>
      <c r="M391" s="842">
        <v>11009</v>
      </c>
      <c r="N391" s="842">
        <v>11010</v>
      </c>
      <c r="O391" s="839"/>
      <c r="P391" s="828"/>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row>
    <row r="392" spans="1:49" s="712" customFormat="1" ht="15.75" hidden="1" customHeight="1" outlineLevel="1" x14ac:dyDescent="0.2">
      <c r="A392" s="820"/>
      <c r="B392" s="820"/>
      <c r="C392" s="843"/>
      <c r="D392" s="234" t="str">
        <f>"Total "&amp;FleetTypeF&amp;" FLEET Eng Records Generated pa"</f>
        <v>Total B787-800 FLEET Eng Records Generated pa</v>
      </c>
      <c r="E392" s="231">
        <f t="shared" ref="E392:N392" si="81">E391*FleetSize_F</f>
        <v>165015</v>
      </c>
      <c r="F392" s="231">
        <f t="shared" si="81"/>
        <v>165030</v>
      </c>
      <c r="G392" s="231">
        <f t="shared" si="81"/>
        <v>165045</v>
      </c>
      <c r="H392" s="231">
        <f t="shared" si="81"/>
        <v>165060</v>
      </c>
      <c r="I392" s="231">
        <f t="shared" si="81"/>
        <v>165075</v>
      </c>
      <c r="J392" s="231">
        <f t="shared" si="81"/>
        <v>165090</v>
      </c>
      <c r="K392" s="231">
        <f t="shared" si="81"/>
        <v>165105</v>
      </c>
      <c r="L392" s="231">
        <f t="shared" si="81"/>
        <v>165120</v>
      </c>
      <c r="M392" s="231">
        <f t="shared" si="81"/>
        <v>165135</v>
      </c>
      <c r="N392" s="231">
        <f t="shared" si="81"/>
        <v>165150</v>
      </c>
      <c r="O392" s="285" t="s">
        <v>880</v>
      </c>
      <c r="P392" s="828"/>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row>
    <row r="393" spans="1:49" s="712" customFormat="1" ht="15.75" hidden="1" customHeight="1" outlineLevel="1" x14ac:dyDescent="0.2">
      <c r="A393" s="820"/>
      <c r="B393" s="820"/>
      <c r="C393" s="843"/>
      <c r="D393" s="844"/>
      <c r="E393" s="845"/>
      <c r="F393" s="845"/>
      <c r="G393" s="845"/>
      <c r="H393" s="845"/>
      <c r="I393" s="845"/>
      <c r="J393" s="845"/>
      <c r="K393" s="845"/>
      <c r="L393" s="845"/>
      <c r="M393" s="845"/>
      <c r="N393" s="845"/>
      <c r="O393" s="285"/>
      <c r="P393" s="828"/>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row>
    <row r="394" spans="1:49" s="712" customFormat="1" ht="12.75" hidden="1" outlineLevel="1" x14ac:dyDescent="0.2">
      <c r="A394" s="820"/>
      <c r="B394" s="820"/>
      <c r="C394" s="843"/>
      <c r="D394" s="484" t="str">
        <f>FleetTypeF &amp;" Planning (Plg)"</f>
        <v>B787-800 Planning (Plg)</v>
      </c>
      <c r="E394" s="840"/>
      <c r="F394" s="840"/>
      <c r="G394" s="840"/>
      <c r="H394" s="840"/>
      <c r="I394" s="840"/>
      <c r="J394" s="840"/>
      <c r="K394" s="840"/>
      <c r="L394" s="840"/>
      <c r="M394" s="840"/>
      <c r="N394" s="840"/>
      <c r="O394" s="839"/>
      <c r="P394" s="828"/>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row>
    <row r="395" spans="1:49" s="712" customFormat="1" ht="12.75" hidden="1" outlineLevel="1" x14ac:dyDescent="0.2">
      <c r="A395" s="820"/>
      <c r="B395" s="820"/>
      <c r="C395" s="843"/>
      <c r="D395" s="233" t="str">
        <f>FleetTypeF&amp;" Plg AIRCRAFT Records Generated pa"</f>
        <v>B787-800 Plg AIRCRAFT Records Generated pa</v>
      </c>
      <c r="E395" s="842">
        <v>11001</v>
      </c>
      <c r="F395" s="842">
        <v>11002</v>
      </c>
      <c r="G395" s="842">
        <v>11003</v>
      </c>
      <c r="H395" s="842">
        <v>11004</v>
      </c>
      <c r="I395" s="842">
        <v>11005</v>
      </c>
      <c r="J395" s="842">
        <v>11006</v>
      </c>
      <c r="K395" s="842">
        <v>11007</v>
      </c>
      <c r="L395" s="842">
        <v>11008</v>
      </c>
      <c r="M395" s="842">
        <v>11009</v>
      </c>
      <c r="N395" s="842">
        <v>11010</v>
      </c>
      <c r="O395" s="839"/>
      <c r="P395" s="828"/>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row>
    <row r="396" spans="1:49" s="712" customFormat="1" ht="15.75" hidden="1" customHeight="1" outlineLevel="1" x14ac:dyDescent="0.2">
      <c r="A396" s="820"/>
      <c r="B396" s="820"/>
      <c r="C396" s="843"/>
      <c r="D396" s="234" t="str">
        <f>"Total "&amp;FleetTypeF&amp;" FLEET Plg Records Generated pa"</f>
        <v>Total B787-800 FLEET Plg Records Generated pa</v>
      </c>
      <c r="E396" s="231">
        <f t="shared" ref="E396:N396" si="82">E395*FleetSize_F</f>
        <v>165015</v>
      </c>
      <c r="F396" s="231">
        <f t="shared" si="82"/>
        <v>165030</v>
      </c>
      <c r="G396" s="231">
        <f t="shared" si="82"/>
        <v>165045</v>
      </c>
      <c r="H396" s="231">
        <f t="shared" si="82"/>
        <v>165060</v>
      </c>
      <c r="I396" s="231">
        <f t="shared" si="82"/>
        <v>165075</v>
      </c>
      <c r="J396" s="231">
        <f t="shared" si="82"/>
        <v>165090</v>
      </c>
      <c r="K396" s="231">
        <f t="shared" si="82"/>
        <v>165105</v>
      </c>
      <c r="L396" s="231">
        <f t="shared" si="82"/>
        <v>165120</v>
      </c>
      <c r="M396" s="231">
        <f t="shared" si="82"/>
        <v>165135</v>
      </c>
      <c r="N396" s="231">
        <f t="shared" si="82"/>
        <v>165150</v>
      </c>
      <c r="O396" s="285" t="s">
        <v>881</v>
      </c>
      <c r="P396" s="828"/>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row>
    <row r="397" spans="1:49" s="712" customFormat="1" ht="12.75" hidden="1" outlineLevel="1" x14ac:dyDescent="0.2">
      <c r="A397" s="820"/>
      <c r="B397" s="820"/>
      <c r="C397" s="843"/>
      <c r="D397" s="30"/>
      <c r="E397" s="30"/>
      <c r="F397" s="30"/>
      <c r="G397" s="30"/>
      <c r="H397" s="30"/>
      <c r="I397" s="30"/>
      <c r="J397" s="30"/>
      <c r="K397" s="30"/>
      <c r="L397" s="30"/>
      <c r="M397" s="30"/>
      <c r="N397" s="30"/>
      <c r="O397" s="839"/>
      <c r="P397" s="828"/>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row>
    <row r="398" spans="1:49" s="712" customFormat="1" ht="12.75" hidden="1" outlineLevel="1" x14ac:dyDescent="0.2">
      <c r="A398" s="820"/>
      <c r="B398" s="820"/>
      <c r="C398" s="843"/>
      <c r="D398" s="484" t="str">
        <f>FleetTypeF &amp;" Clerical, Records &amp; Tech Pubs (CRT)"</f>
        <v>B787-800 Clerical, Records &amp; Tech Pubs (CRT)</v>
      </c>
      <c r="E398" s="840"/>
      <c r="F398" s="840"/>
      <c r="G398" s="840"/>
      <c r="H398" s="840"/>
      <c r="I398" s="840"/>
      <c r="J398" s="840"/>
      <c r="K398" s="840"/>
      <c r="L398" s="840"/>
      <c r="M398" s="840"/>
      <c r="N398" s="840"/>
      <c r="O398" s="839"/>
      <c r="P398" s="828"/>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row>
    <row r="399" spans="1:49" s="712" customFormat="1" ht="12.75" hidden="1" outlineLevel="1" x14ac:dyDescent="0.2">
      <c r="A399" s="820"/>
      <c r="B399" s="820"/>
      <c r="C399" s="256"/>
      <c r="D399" s="233" t="str">
        <f>FleetTypeF&amp;" SCL Per AIRCRAFT CRT Records Generated pa"</f>
        <v>B787-800 SCL Per AIRCRAFT CRT Records Generated pa</v>
      </c>
      <c r="E399" s="842">
        <v>12001</v>
      </c>
      <c r="F399" s="842">
        <v>12002</v>
      </c>
      <c r="G399" s="842">
        <v>12003</v>
      </c>
      <c r="H399" s="842">
        <v>12004</v>
      </c>
      <c r="I399" s="842">
        <v>12005</v>
      </c>
      <c r="J399" s="842">
        <v>12006</v>
      </c>
      <c r="K399" s="842">
        <v>12007</v>
      </c>
      <c r="L399" s="842">
        <v>12008</v>
      </c>
      <c r="M399" s="842">
        <v>12009</v>
      </c>
      <c r="N399" s="842">
        <v>12010</v>
      </c>
      <c r="O399" s="839"/>
      <c r="P399" s="828"/>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row>
    <row r="400" spans="1:49" s="712" customFormat="1" ht="12.75" hidden="1" outlineLevel="1" x14ac:dyDescent="0.2">
      <c r="A400" s="820"/>
      <c r="B400" s="820"/>
      <c r="C400" s="843"/>
      <c r="D400" s="234" t="str">
        <f>"Total "&amp;FleetTypeF&amp;" FLEET CRT Records Generated pa"</f>
        <v>Total B787-800 FLEET CRT Records Generated pa</v>
      </c>
      <c r="E400" s="231">
        <f t="shared" ref="E400:N400" si="83">E399*FleetSize_F</f>
        <v>180015</v>
      </c>
      <c r="F400" s="231">
        <f t="shared" si="83"/>
        <v>180030</v>
      </c>
      <c r="G400" s="231">
        <f t="shared" si="83"/>
        <v>180045</v>
      </c>
      <c r="H400" s="231">
        <f t="shared" si="83"/>
        <v>180060</v>
      </c>
      <c r="I400" s="231">
        <f t="shared" si="83"/>
        <v>180075</v>
      </c>
      <c r="J400" s="231">
        <f t="shared" si="83"/>
        <v>180090</v>
      </c>
      <c r="K400" s="231">
        <f t="shared" si="83"/>
        <v>180105</v>
      </c>
      <c r="L400" s="231">
        <f t="shared" si="83"/>
        <v>180120</v>
      </c>
      <c r="M400" s="231">
        <f t="shared" si="83"/>
        <v>180135</v>
      </c>
      <c r="N400" s="231">
        <f t="shared" si="83"/>
        <v>180150</v>
      </c>
      <c r="O400" s="285" t="s">
        <v>543</v>
      </c>
      <c r="P400" s="828"/>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row>
    <row r="401" spans="1:49" s="712" customFormat="1" ht="12.75" hidden="1" outlineLevel="1" x14ac:dyDescent="0.2">
      <c r="A401" s="820"/>
      <c r="B401" s="820"/>
      <c r="C401" s="843"/>
      <c r="D401" s="820"/>
      <c r="E401" s="840"/>
      <c r="F401" s="840"/>
      <c r="G401" s="840"/>
      <c r="H401" s="840"/>
      <c r="I401" s="840"/>
      <c r="J401" s="840"/>
      <c r="K401" s="840"/>
      <c r="L401" s="840"/>
      <c r="M401" s="840"/>
      <c r="N401" s="840"/>
      <c r="O401" s="839"/>
      <c r="P401" s="828"/>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row>
    <row r="402" spans="1:49" s="712" customFormat="1" ht="12.75" hidden="1" outlineLevel="1" x14ac:dyDescent="0.2">
      <c r="A402" s="820"/>
      <c r="B402" s="820"/>
      <c r="C402" s="843"/>
      <c r="D402" s="484" t="str">
        <f>FleetTypeF &amp;" Supply Chain &amp; Logistics (SCL)"</f>
        <v>B787-800 Supply Chain &amp; Logistics (SCL)</v>
      </c>
      <c r="E402" s="840"/>
      <c r="F402" s="840"/>
      <c r="G402" s="840"/>
      <c r="H402" s="840"/>
      <c r="I402" s="840"/>
      <c r="J402" s="840"/>
      <c r="K402" s="840"/>
      <c r="L402" s="840"/>
      <c r="M402" s="840"/>
      <c r="N402" s="840"/>
      <c r="O402" s="839"/>
      <c r="P402" s="828"/>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row>
    <row r="403" spans="1:49" s="712" customFormat="1" ht="12.75" hidden="1" outlineLevel="1" x14ac:dyDescent="0.2">
      <c r="A403" s="820"/>
      <c r="B403" s="820"/>
      <c r="C403" s="256"/>
      <c r="D403" s="233" t="str">
        <f>FleetTypeF&amp;" SCL Per AIRCRAFT OEMV Records Generated pa"</f>
        <v>B787-800 SCL Per AIRCRAFT OEMV Records Generated pa</v>
      </c>
      <c r="E403" s="842">
        <v>13001</v>
      </c>
      <c r="F403" s="842">
        <v>13002</v>
      </c>
      <c r="G403" s="842">
        <v>13003</v>
      </c>
      <c r="H403" s="842">
        <v>13004</v>
      </c>
      <c r="I403" s="842">
        <v>13005</v>
      </c>
      <c r="J403" s="842">
        <v>13006</v>
      </c>
      <c r="K403" s="842">
        <v>13007</v>
      </c>
      <c r="L403" s="842">
        <v>13008</v>
      </c>
      <c r="M403" s="842">
        <v>13009</v>
      </c>
      <c r="N403" s="842">
        <v>13010</v>
      </c>
      <c r="O403" s="839"/>
      <c r="P403" s="828"/>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row>
    <row r="404" spans="1:49" s="712" customFormat="1" ht="12.75" hidden="1" outlineLevel="1" x14ac:dyDescent="0.2">
      <c r="A404" s="820"/>
      <c r="B404" s="820"/>
      <c r="C404" s="843"/>
      <c r="D404" s="234" t="str">
        <f>"Total "&amp;FleetTypeF&amp;" FLEET SCL Records Generated pa"</f>
        <v>Total B787-800 FLEET SCL Records Generated pa</v>
      </c>
      <c r="E404" s="231">
        <f t="shared" ref="E404:N404" si="84">E403*FleetSize_F</f>
        <v>195015</v>
      </c>
      <c r="F404" s="231">
        <f t="shared" si="84"/>
        <v>195030</v>
      </c>
      <c r="G404" s="231">
        <f t="shared" si="84"/>
        <v>195045</v>
      </c>
      <c r="H404" s="231">
        <f t="shared" si="84"/>
        <v>195060</v>
      </c>
      <c r="I404" s="231">
        <f t="shared" si="84"/>
        <v>195075</v>
      </c>
      <c r="J404" s="231">
        <f t="shared" si="84"/>
        <v>195090</v>
      </c>
      <c r="K404" s="231">
        <f t="shared" si="84"/>
        <v>195105</v>
      </c>
      <c r="L404" s="231">
        <f t="shared" si="84"/>
        <v>195120</v>
      </c>
      <c r="M404" s="231">
        <f t="shared" si="84"/>
        <v>195135</v>
      </c>
      <c r="N404" s="231">
        <f t="shared" si="84"/>
        <v>195150</v>
      </c>
      <c r="O404" s="285" t="s">
        <v>544</v>
      </c>
      <c r="P404" s="828"/>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row>
    <row r="405" spans="1:49" s="712" customFormat="1" ht="12.75" hidden="1" outlineLevel="1" x14ac:dyDescent="0.2">
      <c r="A405" s="820"/>
      <c r="B405" s="820"/>
      <c r="C405" s="846"/>
      <c r="D405" s="820"/>
      <c r="E405" s="840"/>
      <c r="F405" s="840"/>
      <c r="G405" s="840"/>
      <c r="H405" s="840"/>
      <c r="I405" s="840"/>
      <c r="J405" s="840"/>
      <c r="K405" s="840"/>
      <c r="L405" s="840"/>
      <c r="M405" s="840"/>
      <c r="N405" s="840"/>
      <c r="O405" s="839"/>
      <c r="P405" s="828"/>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row>
    <row r="406" spans="1:49" s="712" customFormat="1" ht="12.75" hidden="1" outlineLevel="1" x14ac:dyDescent="0.2">
      <c r="A406" s="820"/>
      <c r="B406" s="820"/>
      <c r="C406" s="846"/>
      <c r="D406" s="484" t="str">
        <f>FleetTypeF &amp;" Quality, Safety &amp; Compliance (QSC)"</f>
        <v>B787-800 Quality, Safety &amp; Compliance (QSC)</v>
      </c>
      <c r="E406" s="840"/>
      <c r="F406" s="840"/>
      <c r="G406" s="840"/>
      <c r="H406" s="840"/>
      <c r="I406" s="840"/>
      <c r="J406" s="840"/>
      <c r="K406" s="840"/>
      <c r="L406" s="840"/>
      <c r="M406" s="840"/>
      <c r="N406" s="840"/>
      <c r="O406" s="839"/>
      <c r="P406" s="828"/>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row>
    <row r="407" spans="1:49" s="712" customFormat="1" ht="12.75" hidden="1" outlineLevel="1" x14ac:dyDescent="0.2">
      <c r="A407" s="820"/>
      <c r="B407" s="820"/>
      <c r="C407" s="256"/>
      <c r="D407" s="233" t="str">
        <f>FleetTypeF&amp;" QSC Per AIRCRAFT Records Generated pa"</f>
        <v>B787-800 QSC Per AIRCRAFT Records Generated pa</v>
      </c>
      <c r="E407" s="842">
        <v>14001</v>
      </c>
      <c r="F407" s="842">
        <v>14002</v>
      </c>
      <c r="G407" s="842">
        <v>14003</v>
      </c>
      <c r="H407" s="842">
        <v>14004</v>
      </c>
      <c r="I407" s="842">
        <v>14005</v>
      </c>
      <c r="J407" s="842">
        <v>14006</v>
      </c>
      <c r="K407" s="842">
        <v>14007</v>
      </c>
      <c r="L407" s="842">
        <v>14008</v>
      </c>
      <c r="M407" s="842">
        <v>14009</v>
      </c>
      <c r="N407" s="842">
        <v>14010</v>
      </c>
      <c r="O407" s="839"/>
      <c r="P407" s="828"/>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row>
    <row r="408" spans="1:49" s="712" customFormat="1" ht="15.75" hidden="1" customHeight="1" outlineLevel="1" x14ac:dyDescent="0.2">
      <c r="A408" s="820"/>
      <c r="B408" s="820"/>
      <c r="C408" s="843"/>
      <c r="D408" s="234" t="str">
        <f>"Total "&amp;FleetTypeF&amp;" FLEET QSC Records Generated pa"</f>
        <v>Total B787-800 FLEET QSC Records Generated pa</v>
      </c>
      <c r="E408" s="231">
        <f t="shared" ref="E408:N408" si="85">E407*FleetSize_F</f>
        <v>210015</v>
      </c>
      <c r="F408" s="231">
        <f t="shared" si="85"/>
        <v>210030</v>
      </c>
      <c r="G408" s="231">
        <f t="shared" si="85"/>
        <v>210045</v>
      </c>
      <c r="H408" s="231">
        <f t="shared" si="85"/>
        <v>210060</v>
      </c>
      <c r="I408" s="231">
        <f t="shared" si="85"/>
        <v>210075</v>
      </c>
      <c r="J408" s="231">
        <f t="shared" si="85"/>
        <v>210090</v>
      </c>
      <c r="K408" s="231">
        <f t="shared" si="85"/>
        <v>210105</v>
      </c>
      <c r="L408" s="231">
        <f t="shared" si="85"/>
        <v>210120</v>
      </c>
      <c r="M408" s="231">
        <f t="shared" si="85"/>
        <v>210135</v>
      </c>
      <c r="N408" s="231">
        <f t="shared" si="85"/>
        <v>210150</v>
      </c>
      <c r="O408" s="285" t="s">
        <v>545</v>
      </c>
      <c r="P408" s="828"/>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row>
    <row r="409" spans="1:49" s="712" customFormat="1" ht="12.75" hidden="1" outlineLevel="1" x14ac:dyDescent="0.2">
      <c r="A409" s="820"/>
      <c r="B409" s="820"/>
      <c r="C409" s="847"/>
      <c r="D409" s="820"/>
      <c r="E409" s="840"/>
      <c r="F409" s="840"/>
      <c r="G409" s="840"/>
      <c r="H409" s="840"/>
      <c r="I409" s="840"/>
      <c r="J409" s="840"/>
      <c r="K409" s="840"/>
      <c r="L409" s="840"/>
      <c r="M409" s="840"/>
      <c r="N409" s="840"/>
      <c r="O409" s="835"/>
      <c r="P409" s="828"/>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row>
    <row r="410" spans="1:49" s="712" customFormat="1" ht="12.75" hidden="1" outlineLevel="1" x14ac:dyDescent="0.2">
      <c r="A410" s="820"/>
      <c r="B410" s="820"/>
      <c r="C410" s="847"/>
      <c r="D410" s="484" t="str">
        <f>FleetTypeF &amp;" Engine Maintenance (EM)"</f>
        <v>B787-800 Engine Maintenance (EM)</v>
      </c>
      <c r="E410" s="840"/>
      <c r="F410" s="840"/>
      <c r="G410" s="840"/>
      <c r="H410" s="840"/>
      <c r="I410" s="840"/>
      <c r="J410" s="840"/>
      <c r="K410" s="840"/>
      <c r="L410" s="840"/>
      <c r="M410" s="840"/>
      <c r="N410" s="840"/>
      <c r="O410" s="835"/>
      <c r="P410" s="828"/>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row>
    <row r="411" spans="1:49" s="712" customFormat="1" ht="12.75" hidden="1" outlineLevel="1" x14ac:dyDescent="0.2">
      <c r="A411" s="820"/>
      <c r="B411" s="820"/>
      <c r="C411" s="256"/>
      <c r="D411" s="233" t="str">
        <f>FleetTypeF&amp;" EM Per AIRCRAFT Records Generated pa"</f>
        <v>B787-800 EM Per AIRCRAFT Records Generated pa</v>
      </c>
      <c r="E411" s="842">
        <v>15001</v>
      </c>
      <c r="F411" s="842">
        <v>15002</v>
      </c>
      <c r="G411" s="842">
        <v>15003</v>
      </c>
      <c r="H411" s="842">
        <v>15004</v>
      </c>
      <c r="I411" s="842">
        <v>15005</v>
      </c>
      <c r="J411" s="842">
        <v>15006</v>
      </c>
      <c r="K411" s="842">
        <v>15007</v>
      </c>
      <c r="L411" s="842">
        <v>15008</v>
      </c>
      <c r="M411" s="842">
        <v>15009</v>
      </c>
      <c r="N411" s="842">
        <v>15010</v>
      </c>
      <c r="O411" s="835"/>
      <c r="P411" s="828"/>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row>
    <row r="412" spans="1:49" s="712" customFormat="1" ht="15.75" hidden="1" customHeight="1" outlineLevel="1" x14ac:dyDescent="0.2">
      <c r="A412" s="820"/>
      <c r="B412" s="820"/>
      <c r="C412" s="256"/>
      <c r="D412" s="234" t="str">
        <f>"Total "&amp;FleetTypeF&amp;" FLEET EM Records Generated pa"</f>
        <v>Total B787-800 FLEET EM Records Generated pa</v>
      </c>
      <c r="E412" s="231">
        <f t="shared" ref="E412:N412" si="86">E411*FleetSize_F</f>
        <v>225015</v>
      </c>
      <c r="F412" s="231">
        <f t="shared" si="86"/>
        <v>225030</v>
      </c>
      <c r="G412" s="231">
        <f t="shared" si="86"/>
        <v>225045</v>
      </c>
      <c r="H412" s="231">
        <f t="shared" si="86"/>
        <v>225060</v>
      </c>
      <c r="I412" s="231">
        <f t="shared" si="86"/>
        <v>225075</v>
      </c>
      <c r="J412" s="231">
        <f t="shared" si="86"/>
        <v>225090</v>
      </c>
      <c r="K412" s="231">
        <f t="shared" si="86"/>
        <v>225105</v>
      </c>
      <c r="L412" s="231">
        <f t="shared" si="86"/>
        <v>225120</v>
      </c>
      <c r="M412" s="231">
        <f t="shared" si="86"/>
        <v>225135</v>
      </c>
      <c r="N412" s="231">
        <f t="shared" si="86"/>
        <v>225150</v>
      </c>
      <c r="O412" s="285" t="s">
        <v>546</v>
      </c>
      <c r="P412" s="828"/>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row>
    <row r="413" spans="1:49" s="712" customFormat="1" ht="12.75" hidden="1" outlineLevel="1" x14ac:dyDescent="0.2">
      <c r="A413" s="820"/>
      <c r="B413" s="820"/>
      <c r="C413" s="256"/>
      <c r="D413" s="30"/>
      <c r="E413" s="30"/>
      <c r="F413" s="30"/>
      <c r="G413" s="30"/>
      <c r="H413" s="30"/>
      <c r="I413" s="30"/>
      <c r="J413" s="30"/>
      <c r="K413" s="30"/>
      <c r="L413" s="30"/>
      <c r="M413" s="30"/>
      <c r="N413" s="30"/>
      <c r="O413" s="839"/>
      <c r="P413" s="828"/>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row>
    <row r="414" spans="1:49" s="712" customFormat="1" ht="12.75" hidden="1" outlineLevel="1" x14ac:dyDescent="0.2">
      <c r="A414" s="820"/>
      <c r="B414" s="820"/>
      <c r="C414" s="847"/>
      <c r="D414" s="484" t="str">
        <f>FleetTypeF &amp;" Component Maintenance (CM)"</f>
        <v>B787-800 Component Maintenance (CM)</v>
      </c>
      <c r="E414" s="840"/>
      <c r="F414" s="840"/>
      <c r="G414" s="840"/>
      <c r="H414" s="840"/>
      <c r="I414" s="840"/>
      <c r="J414" s="840"/>
      <c r="K414" s="840"/>
      <c r="L414" s="840"/>
      <c r="M414" s="840"/>
      <c r="N414" s="840"/>
      <c r="O414" s="835"/>
      <c r="P414" s="828"/>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row>
    <row r="415" spans="1:49" s="712" customFormat="1" ht="12.75" hidden="1" outlineLevel="1" x14ac:dyDescent="0.2">
      <c r="A415" s="820"/>
      <c r="B415" s="820"/>
      <c r="C415" s="256"/>
      <c r="D415" s="233" t="str">
        <f>FleetTypeF&amp;" CM Per AIRCRAFT Records Generated pa"</f>
        <v>B787-800 CM Per AIRCRAFT Records Generated pa</v>
      </c>
      <c r="E415" s="842">
        <v>15001</v>
      </c>
      <c r="F415" s="842">
        <v>15002</v>
      </c>
      <c r="G415" s="842">
        <v>15003</v>
      </c>
      <c r="H415" s="842">
        <v>15004</v>
      </c>
      <c r="I415" s="842">
        <v>15005</v>
      </c>
      <c r="J415" s="842">
        <v>15006</v>
      </c>
      <c r="K415" s="842">
        <v>15007</v>
      </c>
      <c r="L415" s="842">
        <v>15008</v>
      </c>
      <c r="M415" s="842">
        <v>15009</v>
      </c>
      <c r="N415" s="842">
        <v>15010</v>
      </c>
      <c r="O415" s="835"/>
      <c r="P415" s="828"/>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row>
    <row r="416" spans="1:49" s="712" customFormat="1" ht="15.75" hidden="1" customHeight="1" outlineLevel="1" x14ac:dyDescent="0.2">
      <c r="A416" s="820"/>
      <c r="B416" s="820"/>
      <c r="C416" s="256"/>
      <c r="D416" s="234" t="str">
        <f>"Total "&amp;FleetTypeF&amp;" FLEET CM Records Generated pa"</f>
        <v>Total B787-800 FLEET CM Records Generated pa</v>
      </c>
      <c r="E416" s="231">
        <f t="shared" ref="E416:N416" si="87">E415*FleetSize_F</f>
        <v>225015</v>
      </c>
      <c r="F416" s="231">
        <f t="shared" si="87"/>
        <v>225030</v>
      </c>
      <c r="G416" s="231">
        <f t="shared" si="87"/>
        <v>225045</v>
      </c>
      <c r="H416" s="231">
        <f t="shared" si="87"/>
        <v>225060</v>
      </c>
      <c r="I416" s="231">
        <f t="shared" si="87"/>
        <v>225075</v>
      </c>
      <c r="J416" s="231">
        <f t="shared" si="87"/>
        <v>225090</v>
      </c>
      <c r="K416" s="231">
        <f t="shared" si="87"/>
        <v>225105</v>
      </c>
      <c r="L416" s="231">
        <f t="shared" si="87"/>
        <v>225120</v>
      </c>
      <c r="M416" s="231">
        <f t="shared" si="87"/>
        <v>225135</v>
      </c>
      <c r="N416" s="231">
        <f t="shared" si="87"/>
        <v>225150</v>
      </c>
      <c r="O416" s="285" t="s">
        <v>547</v>
      </c>
      <c r="P416" s="828"/>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row>
    <row r="417" spans="1:49" s="712" customFormat="1" ht="12.75" hidden="1" outlineLevel="1" x14ac:dyDescent="0.2">
      <c r="A417" s="820"/>
      <c r="B417" s="820"/>
      <c r="C417" s="256"/>
      <c r="D417" s="30"/>
      <c r="E417" s="30"/>
      <c r="F417" s="30"/>
      <c r="G417" s="30"/>
      <c r="H417" s="30"/>
      <c r="I417" s="30"/>
      <c r="J417" s="30"/>
      <c r="K417" s="30"/>
      <c r="L417" s="30"/>
      <c r="M417" s="30"/>
      <c r="N417" s="30"/>
      <c r="O417" s="839"/>
      <c r="P417" s="828"/>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row>
    <row r="418" spans="1:49" s="712" customFormat="1" ht="15.75" hidden="1" customHeight="1" outlineLevel="1" x14ac:dyDescent="0.2">
      <c r="A418" s="820"/>
      <c r="B418" s="820"/>
      <c r="C418" s="847"/>
      <c r="D418" s="484" t="str">
        <f>FleetTypeF &amp;" Sheetmetal &amp; Composite Structures (SMCS)"</f>
        <v>B787-800 Sheetmetal &amp; Composite Structures (SMCS)</v>
      </c>
      <c r="E418" s="840"/>
      <c r="F418" s="840"/>
      <c r="G418" s="840"/>
      <c r="H418" s="840"/>
      <c r="I418" s="840"/>
      <c r="J418" s="840"/>
      <c r="K418" s="840"/>
      <c r="L418" s="840"/>
      <c r="M418" s="840"/>
      <c r="N418" s="840"/>
      <c r="O418" s="835"/>
      <c r="P418" s="828"/>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row>
    <row r="419" spans="1:49" s="712" customFormat="1" ht="12.75" hidden="1" outlineLevel="1" x14ac:dyDescent="0.2">
      <c r="A419" s="820"/>
      <c r="B419" s="820"/>
      <c r="C419" s="256"/>
      <c r="D419" s="233" t="str">
        <f>FleetTypeF&amp;" SMCS Per AIRCRAFT Records Generated pa"</f>
        <v>B787-800 SMCS Per AIRCRAFT Records Generated pa</v>
      </c>
      <c r="E419" s="842">
        <v>15001</v>
      </c>
      <c r="F419" s="842">
        <v>15002</v>
      </c>
      <c r="G419" s="842">
        <v>15003</v>
      </c>
      <c r="H419" s="842">
        <v>15004</v>
      </c>
      <c r="I419" s="842">
        <v>15005</v>
      </c>
      <c r="J419" s="842">
        <v>15006</v>
      </c>
      <c r="K419" s="842">
        <v>15007</v>
      </c>
      <c r="L419" s="842">
        <v>15008</v>
      </c>
      <c r="M419" s="842">
        <v>15009</v>
      </c>
      <c r="N419" s="842">
        <v>15010</v>
      </c>
      <c r="O419" s="835"/>
      <c r="P419" s="828"/>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row>
    <row r="420" spans="1:49" s="712" customFormat="1" ht="15.75" hidden="1" customHeight="1" outlineLevel="1" x14ac:dyDescent="0.2">
      <c r="A420" s="820"/>
      <c r="B420" s="820"/>
      <c r="C420" s="256"/>
      <c r="D420" s="234" t="str">
        <f>"Total "&amp;FleetTypeF&amp;" FLEET SMCS Records Generated pa"</f>
        <v>Total B787-800 FLEET SMCS Records Generated pa</v>
      </c>
      <c r="E420" s="231">
        <f t="shared" ref="E420:N420" si="88">E419*FleetSize_F</f>
        <v>225015</v>
      </c>
      <c r="F420" s="231">
        <f t="shared" si="88"/>
        <v>225030</v>
      </c>
      <c r="G420" s="231">
        <f t="shared" si="88"/>
        <v>225045</v>
      </c>
      <c r="H420" s="231">
        <f t="shared" si="88"/>
        <v>225060</v>
      </c>
      <c r="I420" s="231">
        <f t="shared" si="88"/>
        <v>225075</v>
      </c>
      <c r="J420" s="231">
        <f t="shared" si="88"/>
        <v>225090</v>
      </c>
      <c r="K420" s="231">
        <f t="shared" si="88"/>
        <v>225105</v>
      </c>
      <c r="L420" s="231">
        <f t="shared" si="88"/>
        <v>225120</v>
      </c>
      <c r="M420" s="231">
        <f t="shared" si="88"/>
        <v>225135</v>
      </c>
      <c r="N420" s="231">
        <f t="shared" si="88"/>
        <v>225150</v>
      </c>
      <c r="O420" s="285" t="s">
        <v>548</v>
      </c>
      <c r="P420" s="828"/>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row>
    <row r="421" spans="1:49" s="712" customFormat="1" ht="12.75" hidden="1" outlineLevel="1" x14ac:dyDescent="0.2">
      <c r="A421" s="820"/>
      <c r="B421" s="820"/>
      <c r="C421" s="256"/>
      <c r="D421" s="30"/>
      <c r="E421" s="30"/>
      <c r="F421" s="30"/>
      <c r="G421" s="30"/>
      <c r="H421" s="30"/>
      <c r="I421" s="30"/>
      <c r="J421" s="30"/>
      <c r="K421" s="30"/>
      <c r="L421" s="30"/>
      <c r="M421" s="30"/>
      <c r="N421" s="30"/>
      <c r="O421" s="839"/>
      <c r="P421" s="828"/>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row>
    <row r="422" spans="1:49" s="712" customFormat="1" ht="12.75" hidden="1" outlineLevel="1" x14ac:dyDescent="0.2">
      <c r="A422" s="820"/>
      <c r="B422" s="820"/>
      <c r="C422" s="847"/>
      <c r="D422" s="484" t="str">
        <f>FleetTypeF &amp;" Other 1 (O1)"</f>
        <v>B787-800 Other 1 (O1)</v>
      </c>
      <c r="E422" s="840"/>
      <c r="F422" s="840"/>
      <c r="G422" s="840"/>
      <c r="H422" s="840"/>
      <c r="I422" s="840"/>
      <c r="J422" s="840"/>
      <c r="K422" s="840"/>
      <c r="L422" s="840"/>
      <c r="M422" s="840"/>
      <c r="N422" s="840"/>
      <c r="O422" s="835"/>
      <c r="P422" s="828"/>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row>
    <row r="423" spans="1:49" s="712" customFormat="1" ht="12.75" hidden="1" outlineLevel="1" x14ac:dyDescent="0.2">
      <c r="A423" s="820"/>
      <c r="B423" s="820"/>
      <c r="C423" s="256"/>
      <c r="D423" s="233" t="str">
        <f>FleetTypeF&amp;" O1 Per AIRCRAFT Records Generated pa"</f>
        <v>B787-800 O1 Per AIRCRAFT Records Generated pa</v>
      </c>
      <c r="E423" s="842">
        <v>15001</v>
      </c>
      <c r="F423" s="842">
        <v>15002</v>
      </c>
      <c r="G423" s="842">
        <v>15003</v>
      </c>
      <c r="H423" s="842">
        <v>15004</v>
      </c>
      <c r="I423" s="842">
        <v>15005</v>
      </c>
      <c r="J423" s="842">
        <v>15006</v>
      </c>
      <c r="K423" s="842">
        <v>15007</v>
      </c>
      <c r="L423" s="842">
        <v>15008</v>
      </c>
      <c r="M423" s="842">
        <v>15009</v>
      </c>
      <c r="N423" s="842">
        <v>15010</v>
      </c>
      <c r="O423" s="835"/>
      <c r="P423" s="828"/>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row>
    <row r="424" spans="1:49" s="712" customFormat="1" ht="15.75" hidden="1" customHeight="1" outlineLevel="1" x14ac:dyDescent="0.2">
      <c r="A424" s="820"/>
      <c r="B424" s="820"/>
      <c r="C424" s="256"/>
      <c r="D424" s="234" t="str">
        <f>"Total "&amp;FleetTypeF&amp;" FLEET O1 Records Generated pa"</f>
        <v>Total B787-800 FLEET O1 Records Generated pa</v>
      </c>
      <c r="E424" s="231">
        <f t="shared" ref="E424:N424" si="89">E423*FleetSize_F</f>
        <v>225015</v>
      </c>
      <c r="F424" s="231">
        <f t="shared" si="89"/>
        <v>225030</v>
      </c>
      <c r="G424" s="231">
        <f t="shared" si="89"/>
        <v>225045</v>
      </c>
      <c r="H424" s="231">
        <f t="shared" si="89"/>
        <v>225060</v>
      </c>
      <c r="I424" s="231">
        <f t="shared" si="89"/>
        <v>225075</v>
      </c>
      <c r="J424" s="231">
        <f t="shared" si="89"/>
        <v>225090</v>
      </c>
      <c r="K424" s="231">
        <f t="shared" si="89"/>
        <v>225105</v>
      </c>
      <c r="L424" s="231">
        <f t="shared" si="89"/>
        <v>225120</v>
      </c>
      <c r="M424" s="231">
        <f t="shared" si="89"/>
        <v>225135</v>
      </c>
      <c r="N424" s="231">
        <f t="shared" si="89"/>
        <v>225150</v>
      </c>
      <c r="O424" s="285" t="s">
        <v>549</v>
      </c>
      <c r="P424" s="828"/>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row>
    <row r="425" spans="1:49" s="712" customFormat="1" ht="12.75" hidden="1" outlineLevel="1" x14ac:dyDescent="0.2">
      <c r="A425" s="820"/>
      <c r="B425" s="820"/>
      <c r="C425" s="256"/>
      <c r="D425" s="30"/>
      <c r="E425" s="30"/>
      <c r="F425" s="30"/>
      <c r="G425" s="30"/>
      <c r="H425" s="30"/>
      <c r="I425" s="30"/>
      <c r="J425" s="30"/>
      <c r="K425" s="30"/>
      <c r="L425" s="30"/>
      <c r="M425" s="30"/>
      <c r="N425" s="30"/>
      <c r="O425" s="839"/>
      <c r="P425" s="828"/>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row>
    <row r="426" spans="1:49" s="712" customFormat="1" ht="12.75" hidden="1" outlineLevel="1" x14ac:dyDescent="0.2">
      <c r="A426" s="820"/>
      <c r="B426" s="820"/>
      <c r="C426" s="847"/>
      <c r="D426" s="484" t="str">
        <f>FleetTypeF &amp;" Other 2 (O2)"</f>
        <v>B787-800 Other 2 (O2)</v>
      </c>
      <c r="E426" s="840"/>
      <c r="F426" s="840"/>
      <c r="G426" s="840"/>
      <c r="H426" s="840"/>
      <c r="I426" s="840"/>
      <c r="J426" s="840"/>
      <c r="K426" s="840"/>
      <c r="L426" s="840"/>
      <c r="M426" s="840"/>
      <c r="N426" s="840"/>
      <c r="O426" s="835"/>
      <c r="P426" s="828"/>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row>
    <row r="427" spans="1:49" s="712" customFormat="1" ht="12.75" hidden="1" outlineLevel="1" x14ac:dyDescent="0.2">
      <c r="A427" s="820"/>
      <c r="B427" s="820"/>
      <c r="C427" s="256"/>
      <c r="D427" s="233" t="str">
        <f>FleetTypeF&amp;" O2 Per AIRCRAFT Records Generated pa"</f>
        <v>B787-800 O2 Per AIRCRAFT Records Generated pa</v>
      </c>
      <c r="E427" s="842">
        <v>15001</v>
      </c>
      <c r="F427" s="842">
        <v>15002</v>
      </c>
      <c r="G427" s="842">
        <v>15003</v>
      </c>
      <c r="H427" s="842">
        <v>15004</v>
      </c>
      <c r="I427" s="842">
        <v>15005</v>
      </c>
      <c r="J427" s="842">
        <v>15006</v>
      </c>
      <c r="K427" s="842">
        <v>15007</v>
      </c>
      <c r="L427" s="842">
        <v>15008</v>
      </c>
      <c r="M427" s="842">
        <v>15009</v>
      </c>
      <c r="N427" s="842">
        <v>15010</v>
      </c>
      <c r="O427" s="835"/>
      <c r="P427" s="828"/>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row>
    <row r="428" spans="1:49" s="712" customFormat="1" ht="15.75" hidden="1" customHeight="1" outlineLevel="1" x14ac:dyDescent="0.2">
      <c r="A428" s="820"/>
      <c r="B428" s="820"/>
      <c r="C428" s="256"/>
      <c r="D428" s="234" t="str">
        <f>"Total "&amp;FleetTypeF&amp;" FLEET O2 Records Generated pa"</f>
        <v>Total B787-800 FLEET O2 Records Generated pa</v>
      </c>
      <c r="E428" s="231">
        <f t="shared" ref="E428:N428" si="90">E427*FleetSize_F</f>
        <v>225015</v>
      </c>
      <c r="F428" s="231">
        <f t="shared" si="90"/>
        <v>225030</v>
      </c>
      <c r="G428" s="231">
        <f t="shared" si="90"/>
        <v>225045</v>
      </c>
      <c r="H428" s="231">
        <f t="shared" si="90"/>
        <v>225060</v>
      </c>
      <c r="I428" s="231">
        <f t="shared" si="90"/>
        <v>225075</v>
      </c>
      <c r="J428" s="231">
        <f t="shared" si="90"/>
        <v>225090</v>
      </c>
      <c r="K428" s="231">
        <f t="shared" si="90"/>
        <v>225105</v>
      </c>
      <c r="L428" s="231">
        <f t="shared" si="90"/>
        <v>225120</v>
      </c>
      <c r="M428" s="231">
        <f t="shared" si="90"/>
        <v>225135</v>
      </c>
      <c r="N428" s="231">
        <f t="shared" si="90"/>
        <v>225150</v>
      </c>
      <c r="O428" s="285" t="s">
        <v>551</v>
      </c>
      <c r="P428" s="828"/>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row>
    <row r="429" spans="1:49" s="712" customFormat="1" ht="12.75" hidden="1" outlineLevel="1" x14ac:dyDescent="0.2">
      <c r="A429" s="820"/>
      <c r="B429" s="820"/>
      <c r="C429" s="256"/>
      <c r="D429" s="30"/>
      <c r="E429" s="30"/>
      <c r="F429" s="30"/>
      <c r="G429" s="30"/>
      <c r="H429" s="30"/>
      <c r="I429" s="30"/>
      <c r="J429" s="30"/>
      <c r="K429" s="30"/>
      <c r="L429" s="30"/>
      <c r="M429" s="30"/>
      <c r="N429" s="30"/>
      <c r="O429" s="839"/>
      <c r="P429" s="828"/>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row>
    <row r="430" spans="1:49" s="712" customFormat="1" ht="21.75" hidden="1" customHeight="1" outlineLevel="1" x14ac:dyDescent="0.2">
      <c r="A430" s="820"/>
      <c r="B430" s="820"/>
      <c r="C430" s="848"/>
      <c r="D430" s="849" t="str">
        <f>"Grand Total ("&amp;(FleetTypeF)&amp;") "&amp;"Records Generated pa"</f>
        <v>Grand Total (B787-800) Records Generated pa</v>
      </c>
      <c r="E430" s="713">
        <f t="shared" ref="E430:N430" si="91">SUM(RecordsHMFleetTotalpa_F+RecordsLMFleetTotalpa_F+RecordsEngFleetTotalpa_F+RecordsPlgFleetTotalpa_F+RecordsCRTFleetTotalpa_F+RecordsSCLFleetTotalpa_F+RecordsQSCFleetTotalpa_F+RecordsEMFleetTotalpa_F+RecordsCMFleetTotalpa_F+RecordsSMCSFleetTotalpa_F+RecordsO1FleetTotalpa_F+RecordsO2FleetTotalpa_F)</f>
        <v>2219415</v>
      </c>
      <c r="F430" s="713">
        <f t="shared" si="91"/>
        <v>2216901.4285714286</v>
      </c>
      <c r="G430" s="713">
        <f t="shared" si="91"/>
        <v>2215057.5</v>
      </c>
      <c r="H430" s="713">
        <f t="shared" si="91"/>
        <v>2220231.4285714286</v>
      </c>
      <c r="I430" s="713">
        <f t="shared" si="91"/>
        <v>2221896.4285714286</v>
      </c>
      <c r="J430" s="713">
        <f t="shared" si="91"/>
        <v>2223561.4285714286</v>
      </c>
      <c r="K430" s="713">
        <f t="shared" si="91"/>
        <v>2225226.4285714286</v>
      </c>
      <c r="L430" s="713">
        <f t="shared" si="91"/>
        <v>2226891.4285714286</v>
      </c>
      <c r="M430" s="713">
        <f t="shared" si="91"/>
        <v>2228556.4285714286</v>
      </c>
      <c r="N430" s="713">
        <f t="shared" si="91"/>
        <v>2230221.4285714286</v>
      </c>
      <c r="O430" s="285" t="s">
        <v>552</v>
      </c>
      <c r="P430" s="828"/>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row>
    <row r="431" spans="1:49" s="193" customFormat="1" ht="12.75" hidden="1" outlineLevel="1" x14ac:dyDescent="0.2">
      <c r="A431" s="820"/>
      <c r="B431" s="833"/>
      <c r="C431" s="837"/>
      <c r="D431" s="30"/>
      <c r="E431" s="833"/>
      <c r="F431" s="833"/>
      <c r="G431" s="833"/>
      <c r="H431" s="833"/>
      <c r="I431" s="833"/>
      <c r="J431" s="833"/>
      <c r="K431" s="833"/>
      <c r="L431" s="833"/>
      <c r="M431" s="833"/>
      <c r="N431" s="833"/>
      <c r="O431" s="861"/>
      <c r="P431" s="828"/>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row>
    <row r="432" spans="1:49" s="193" customFormat="1" ht="13.5" hidden="1" outlineLevel="1" thickBot="1" x14ac:dyDescent="0.25">
      <c r="A432" s="820"/>
      <c r="B432" s="833"/>
      <c r="C432" s="170"/>
      <c r="D432" s="278"/>
      <c r="E432" s="278"/>
      <c r="F432" s="278"/>
      <c r="G432" s="278"/>
      <c r="H432" s="278"/>
      <c r="I432" s="278"/>
      <c r="J432" s="278"/>
      <c r="K432" s="278"/>
      <c r="L432" s="278"/>
      <c r="M432" s="278"/>
      <c r="N432" s="278"/>
      <c r="O432" s="850"/>
      <c r="P432" s="828"/>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row>
    <row r="433" spans="1:49" s="193" customFormat="1" ht="12.75" hidden="1" outlineLevel="1" x14ac:dyDescent="0.2">
      <c r="A433" s="820"/>
      <c r="B433" s="833"/>
      <c r="C433" s="30"/>
      <c r="D433" s="30"/>
      <c r="E433" s="30"/>
      <c r="F433" s="30"/>
      <c r="G433" s="30"/>
      <c r="H433" s="30"/>
      <c r="I433" s="30"/>
      <c r="J433" s="30"/>
      <c r="K433" s="30"/>
      <c r="L433" s="30"/>
      <c r="M433" s="30"/>
      <c r="N433" s="30"/>
      <c r="O433" s="862"/>
      <c r="P433" s="828"/>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row>
    <row r="434" spans="1:49" s="122" customFormat="1" ht="15.75" collapsed="1" x14ac:dyDescent="0.2">
      <c r="A434" s="1043">
        <v>8</v>
      </c>
      <c r="B434" s="1039"/>
      <c r="C434" s="1039"/>
      <c r="D434" s="1039"/>
      <c r="E434" s="1039"/>
      <c r="F434" s="1039"/>
      <c r="G434" s="1039"/>
      <c r="H434" s="1039"/>
      <c r="I434" s="1039"/>
      <c r="J434" s="1039"/>
      <c r="K434" s="1039"/>
      <c r="L434" s="1039"/>
      <c r="M434" s="1039"/>
      <c r="N434" s="1039"/>
      <c r="O434" s="1039"/>
      <c r="P434" s="206"/>
      <c r="Q434" s="206"/>
      <c r="R434" s="206"/>
      <c r="S434" s="206"/>
      <c r="T434" s="206"/>
      <c r="U434" s="206"/>
      <c r="V434" s="206"/>
      <c r="W434" s="206"/>
      <c r="X434" s="206"/>
      <c r="Y434" s="206"/>
      <c r="Z434" s="206"/>
      <c r="AA434" s="206"/>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row>
    <row r="435" spans="1:49" s="712" customFormat="1" ht="13.5" thickBot="1" x14ac:dyDescent="0.25">
      <c r="A435" s="820"/>
      <c r="B435" s="180"/>
      <c r="C435" s="852"/>
      <c r="D435" s="820"/>
      <c r="E435" s="840"/>
      <c r="F435" s="840"/>
      <c r="G435" s="840"/>
      <c r="H435" s="840"/>
      <c r="I435" s="840"/>
      <c r="J435" s="840"/>
      <c r="K435" s="840"/>
      <c r="L435" s="840"/>
      <c r="M435" s="840"/>
      <c r="N435" s="840"/>
      <c r="O435" s="828"/>
      <c r="P435" s="828"/>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row>
    <row r="436" spans="1:49" s="712" customFormat="1" ht="31.5" x14ac:dyDescent="0.2">
      <c r="A436" s="1342" t="str">
        <f>"Purpose - To calculate Total Records generated by 'FleetTypeG'          " &amp; (FleetTypeG)</f>
        <v>Purpose - To calculate Total Records generated by 'FleetTypeG'          B787-900</v>
      </c>
      <c r="B436" s="180"/>
      <c r="C436" s="1343" t="str">
        <f>FleetTypeG &amp;" (FleetTypeG) Records
Generated pa"</f>
        <v>B787-900 (FleetTypeG) Records
Generated pa</v>
      </c>
      <c r="D436" s="853"/>
      <c r="E436" s="853"/>
      <c r="F436" s="853"/>
      <c r="G436" s="853"/>
      <c r="H436" s="853"/>
      <c r="I436" s="853"/>
      <c r="J436" s="853"/>
      <c r="K436" s="853"/>
      <c r="L436" s="853"/>
      <c r="M436" s="853"/>
      <c r="N436" s="853"/>
      <c r="O436" s="854"/>
      <c r="P436" s="828"/>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row>
    <row r="437" spans="1:49" s="193" customFormat="1" ht="12.75" x14ac:dyDescent="0.2">
      <c r="A437" s="820"/>
      <c r="B437" s="833"/>
      <c r="C437" s="833"/>
      <c r="D437" s="30"/>
      <c r="E437" s="833"/>
      <c r="F437" s="833"/>
      <c r="G437" s="833"/>
      <c r="H437" s="833"/>
      <c r="I437" s="833"/>
      <c r="J437" s="833"/>
      <c r="K437" s="833"/>
      <c r="L437" s="833"/>
      <c r="M437" s="833"/>
      <c r="N437" s="833"/>
      <c r="O437" s="833"/>
      <c r="P437" s="828"/>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row>
    <row r="438" spans="1:49" s="193" customFormat="1" ht="13.5" hidden="1" outlineLevel="1" collapsed="1" thickBot="1" x14ac:dyDescent="0.25">
      <c r="A438" s="820"/>
      <c r="B438" s="833"/>
      <c r="C438" s="30"/>
      <c r="D438" s="30"/>
      <c r="E438" s="30"/>
      <c r="F438" s="30"/>
      <c r="G438" s="30"/>
      <c r="H438" s="30"/>
      <c r="I438" s="30"/>
      <c r="J438" s="30"/>
      <c r="K438" s="30"/>
      <c r="L438" s="30"/>
      <c r="M438" s="30"/>
      <c r="N438" s="30"/>
      <c r="O438" s="862"/>
      <c r="P438" s="828"/>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row>
    <row r="439" spans="1:49" s="712" customFormat="1" ht="20.100000000000001" hidden="1" customHeight="1" outlineLevel="1" x14ac:dyDescent="0.2">
      <c r="A439" s="820"/>
      <c r="B439" s="180"/>
      <c r="C439" s="1344"/>
      <c r="D439" s="853"/>
      <c r="E439" s="853"/>
      <c r="F439" s="853"/>
      <c r="G439" s="853"/>
      <c r="H439" s="853"/>
      <c r="I439" s="853"/>
      <c r="J439" s="853"/>
      <c r="K439" s="853"/>
      <c r="L439" s="853"/>
      <c r="M439" s="853"/>
      <c r="N439" s="853"/>
      <c r="O439" s="854"/>
      <c r="P439" s="828"/>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row>
    <row r="440" spans="1:49" s="193" customFormat="1" ht="20.25" hidden="1" customHeight="1" outlineLevel="1" x14ac:dyDescent="0.2">
      <c r="A440" s="820"/>
      <c r="B440" s="180"/>
      <c r="C440" s="256"/>
      <c r="D440" s="484" t="str">
        <f>FleetTypeG &amp;" Heavy Maintenance (HM)"</f>
        <v>B787-900 Heavy Maintenance (HM)</v>
      </c>
      <c r="E440" s="820"/>
      <c r="F440" s="39"/>
      <c r="G440" s="822"/>
      <c r="H440" s="822"/>
      <c r="I440" s="822"/>
      <c r="J440" s="822"/>
      <c r="K440" s="822"/>
      <c r="L440" s="822"/>
      <c r="M440" s="822"/>
      <c r="N440" s="822"/>
      <c r="O440" s="829"/>
      <c r="P440" s="828"/>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row>
    <row r="441" spans="1:49" s="193" customFormat="1" ht="15" hidden="1" customHeight="1" outlineLevel="1" x14ac:dyDescent="0.2">
      <c r="A441" s="820"/>
      <c r="B441" s="830"/>
      <c r="C441" s="831"/>
      <c r="D441" s="234" t="str">
        <f>FleetTypeG&amp;" HM Cycle (Years)"</f>
        <v>B787-900 HM Cycle (Years)</v>
      </c>
      <c r="E441" s="832">
        <v>12</v>
      </c>
      <c r="F441" s="832">
        <v>14</v>
      </c>
      <c r="G441" s="832">
        <v>16</v>
      </c>
      <c r="H441" s="832">
        <v>14</v>
      </c>
      <c r="I441" s="832">
        <v>14</v>
      </c>
      <c r="J441" s="832">
        <v>14</v>
      </c>
      <c r="K441" s="832">
        <v>14</v>
      </c>
      <c r="L441" s="832">
        <v>14</v>
      </c>
      <c r="M441" s="832">
        <v>14</v>
      </c>
      <c r="N441" s="832">
        <v>14</v>
      </c>
      <c r="O441" s="257" t="s">
        <v>109</v>
      </c>
      <c r="P441" s="828"/>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row>
    <row r="442" spans="1:49" s="193" customFormat="1" ht="12.95" hidden="1" customHeight="1" outlineLevel="1" x14ac:dyDescent="0.2">
      <c r="A442" s="820"/>
      <c r="B442" s="833"/>
      <c r="C442" s="834"/>
      <c r="D442" s="820"/>
      <c r="E442" s="833"/>
      <c r="F442" s="833"/>
      <c r="G442" s="833"/>
      <c r="H442" s="833"/>
      <c r="I442" s="833"/>
      <c r="J442" s="833"/>
      <c r="K442" s="833"/>
      <c r="L442" s="833"/>
      <c r="M442" s="833"/>
      <c r="N442" s="833"/>
      <c r="O442" s="835"/>
      <c r="P442" s="828"/>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row>
    <row r="443" spans="1:49" s="193" customFormat="1" ht="12.75" hidden="1" customHeight="1" outlineLevel="1" x14ac:dyDescent="0.2">
      <c r="A443" s="820"/>
      <c r="B443" s="30"/>
      <c r="C443" s="256"/>
      <c r="D443" s="57" t="s">
        <v>256</v>
      </c>
      <c r="E443" s="836">
        <v>1100</v>
      </c>
      <c r="F443" s="836">
        <v>1200</v>
      </c>
      <c r="G443" s="836">
        <v>1300</v>
      </c>
      <c r="H443" s="836">
        <v>1400</v>
      </c>
      <c r="I443" s="836">
        <v>1500</v>
      </c>
      <c r="J443" s="836">
        <v>1600</v>
      </c>
      <c r="K443" s="836">
        <v>1700</v>
      </c>
      <c r="L443" s="836">
        <v>1800</v>
      </c>
      <c r="M443" s="836">
        <v>1900</v>
      </c>
      <c r="N443" s="836">
        <v>2000</v>
      </c>
      <c r="O443" s="835"/>
      <c r="P443" s="828"/>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row>
    <row r="444" spans="1:49" s="193" customFormat="1" ht="12.95" hidden="1" customHeight="1" outlineLevel="1" x14ac:dyDescent="0.2">
      <c r="A444" s="820"/>
      <c r="B444" s="833"/>
      <c r="C444" s="837"/>
      <c r="D444" s="57" t="s">
        <v>257</v>
      </c>
      <c r="E444" s="838">
        <v>2100</v>
      </c>
      <c r="F444" s="838">
        <v>2200</v>
      </c>
      <c r="G444" s="838">
        <v>2300</v>
      </c>
      <c r="H444" s="838">
        <v>2400</v>
      </c>
      <c r="I444" s="838">
        <v>2500</v>
      </c>
      <c r="J444" s="838">
        <v>2600</v>
      </c>
      <c r="K444" s="838">
        <v>2700</v>
      </c>
      <c r="L444" s="838">
        <v>2800</v>
      </c>
      <c r="M444" s="838">
        <v>2900</v>
      </c>
      <c r="N444" s="838">
        <v>3000</v>
      </c>
      <c r="O444" s="835"/>
      <c r="P444" s="828"/>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row>
    <row r="445" spans="1:49" s="193" customFormat="1" ht="12.95" hidden="1" customHeight="1" outlineLevel="1" x14ac:dyDescent="0.2">
      <c r="A445" s="820"/>
      <c r="B445" s="833"/>
      <c r="C445" s="837"/>
      <c r="D445" s="57" t="s">
        <v>258</v>
      </c>
      <c r="E445" s="838" t="s">
        <v>20</v>
      </c>
      <c r="F445" s="838" t="s">
        <v>20</v>
      </c>
      <c r="G445" s="838" t="s">
        <v>20</v>
      </c>
      <c r="H445" s="838" t="s">
        <v>20</v>
      </c>
      <c r="I445" s="838" t="s">
        <v>20</v>
      </c>
      <c r="J445" s="838" t="s">
        <v>20</v>
      </c>
      <c r="K445" s="838" t="s">
        <v>20</v>
      </c>
      <c r="L445" s="838" t="s">
        <v>20</v>
      </c>
      <c r="M445" s="838" t="s">
        <v>20</v>
      </c>
      <c r="N445" s="838" t="s">
        <v>20</v>
      </c>
      <c r="O445" s="835"/>
      <c r="P445" s="828"/>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row>
    <row r="446" spans="1:49" s="193" customFormat="1" ht="12.95" hidden="1" customHeight="1" outlineLevel="1" x14ac:dyDescent="0.2">
      <c r="A446" s="820"/>
      <c r="B446" s="833"/>
      <c r="C446" s="837"/>
      <c r="D446" s="57" t="s">
        <v>259</v>
      </c>
      <c r="E446" s="838">
        <v>4100</v>
      </c>
      <c r="F446" s="838">
        <v>4200</v>
      </c>
      <c r="G446" s="838">
        <v>4300</v>
      </c>
      <c r="H446" s="838">
        <v>4400</v>
      </c>
      <c r="I446" s="838">
        <v>4500</v>
      </c>
      <c r="J446" s="838">
        <v>4600</v>
      </c>
      <c r="K446" s="838">
        <v>4700</v>
      </c>
      <c r="L446" s="838">
        <v>4800</v>
      </c>
      <c r="M446" s="838">
        <v>4900</v>
      </c>
      <c r="N446" s="838">
        <v>5000</v>
      </c>
      <c r="O446" s="835"/>
      <c r="P446" s="828"/>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row>
    <row r="447" spans="1:49" s="193" customFormat="1" ht="12.95" hidden="1" customHeight="1" outlineLevel="1" x14ac:dyDescent="0.2">
      <c r="A447" s="820"/>
      <c r="B447" s="833"/>
      <c r="C447" s="837"/>
      <c r="D447" s="57" t="s">
        <v>260</v>
      </c>
      <c r="E447" s="838" t="s">
        <v>20</v>
      </c>
      <c r="F447" s="838" t="s">
        <v>20</v>
      </c>
      <c r="G447" s="838" t="s">
        <v>20</v>
      </c>
      <c r="H447" s="838" t="s">
        <v>20</v>
      </c>
      <c r="I447" s="838" t="s">
        <v>20</v>
      </c>
      <c r="J447" s="838" t="s">
        <v>20</v>
      </c>
      <c r="K447" s="838" t="s">
        <v>20</v>
      </c>
      <c r="L447" s="838" t="s">
        <v>20</v>
      </c>
      <c r="M447" s="838" t="s">
        <v>20</v>
      </c>
      <c r="N447" s="838" t="s">
        <v>20</v>
      </c>
      <c r="O447" s="835"/>
      <c r="P447" s="828"/>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row>
    <row r="448" spans="1:49" s="193" customFormat="1" ht="12.95" hidden="1" customHeight="1" outlineLevel="1" x14ac:dyDescent="0.2">
      <c r="A448" s="820"/>
      <c r="B448" s="833"/>
      <c r="C448" s="837"/>
      <c r="D448" s="57" t="s">
        <v>261</v>
      </c>
      <c r="E448" s="838">
        <v>7100</v>
      </c>
      <c r="F448" s="838">
        <v>7200</v>
      </c>
      <c r="G448" s="838">
        <v>7300</v>
      </c>
      <c r="H448" s="838">
        <v>7400</v>
      </c>
      <c r="I448" s="838">
        <v>7500</v>
      </c>
      <c r="J448" s="838">
        <v>7600</v>
      </c>
      <c r="K448" s="838">
        <v>7700</v>
      </c>
      <c r="L448" s="838">
        <v>7800</v>
      </c>
      <c r="M448" s="838">
        <v>7900</v>
      </c>
      <c r="N448" s="838">
        <v>8000</v>
      </c>
      <c r="O448" s="835"/>
      <c r="P448" s="828"/>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row>
    <row r="449" spans="1:49" s="193" customFormat="1" ht="12.95" hidden="1" customHeight="1" outlineLevel="1" x14ac:dyDescent="0.2">
      <c r="A449" s="820"/>
      <c r="B449" s="833"/>
      <c r="C449" s="837"/>
      <c r="D449" s="57" t="s">
        <v>262</v>
      </c>
      <c r="E449" s="838" t="s">
        <v>20</v>
      </c>
      <c r="F449" s="838" t="s">
        <v>20</v>
      </c>
      <c r="G449" s="838" t="s">
        <v>20</v>
      </c>
      <c r="H449" s="838" t="s">
        <v>20</v>
      </c>
      <c r="I449" s="838" t="s">
        <v>20</v>
      </c>
      <c r="J449" s="838" t="s">
        <v>20</v>
      </c>
      <c r="K449" s="838" t="s">
        <v>20</v>
      </c>
      <c r="L449" s="838" t="s">
        <v>20</v>
      </c>
      <c r="M449" s="838" t="s">
        <v>20</v>
      </c>
      <c r="N449" s="838" t="s">
        <v>20</v>
      </c>
      <c r="O449" s="835"/>
      <c r="P449" s="828"/>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row>
    <row r="450" spans="1:49" s="193" customFormat="1" ht="12.95" hidden="1" customHeight="1" outlineLevel="1" x14ac:dyDescent="0.2">
      <c r="A450" s="820"/>
      <c r="B450" s="833"/>
      <c r="C450" s="837"/>
      <c r="D450" s="57" t="s">
        <v>263</v>
      </c>
      <c r="E450" s="838">
        <v>9000</v>
      </c>
      <c r="F450" s="838">
        <v>10000</v>
      </c>
      <c r="G450" s="838">
        <v>11000</v>
      </c>
      <c r="H450" s="838">
        <v>12000</v>
      </c>
      <c r="I450" s="838">
        <v>13000</v>
      </c>
      <c r="J450" s="838">
        <v>14000</v>
      </c>
      <c r="K450" s="838">
        <v>15000</v>
      </c>
      <c r="L450" s="838">
        <v>16000</v>
      </c>
      <c r="M450" s="838">
        <v>17000</v>
      </c>
      <c r="N450" s="838">
        <v>18000</v>
      </c>
      <c r="O450" s="835"/>
      <c r="P450" s="828"/>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row>
    <row r="451" spans="1:49" s="193" customFormat="1" ht="12.95" hidden="1" customHeight="1" outlineLevel="1" x14ac:dyDescent="0.2">
      <c r="A451" s="820"/>
      <c r="B451" s="833"/>
      <c r="C451" s="837"/>
      <c r="D451" s="60" t="s">
        <v>113</v>
      </c>
      <c r="E451" s="159">
        <f t="shared" ref="E451:H451" si="92">SUM(E443:E450)</f>
        <v>23400</v>
      </c>
      <c r="F451" s="159">
        <f t="shared" si="92"/>
        <v>24800</v>
      </c>
      <c r="G451" s="159">
        <f t="shared" si="92"/>
        <v>26200</v>
      </c>
      <c r="H451" s="159">
        <f t="shared" si="92"/>
        <v>27600</v>
      </c>
      <c r="I451" s="159">
        <f t="shared" ref="I451:N451" si="93">SUM(I443:I450)</f>
        <v>29000</v>
      </c>
      <c r="J451" s="159">
        <f t="shared" si="93"/>
        <v>30400</v>
      </c>
      <c r="K451" s="159">
        <f t="shared" si="93"/>
        <v>31800</v>
      </c>
      <c r="L451" s="159">
        <f t="shared" si="93"/>
        <v>33200</v>
      </c>
      <c r="M451" s="159">
        <f t="shared" si="93"/>
        <v>34600</v>
      </c>
      <c r="N451" s="159">
        <f t="shared" si="93"/>
        <v>36000</v>
      </c>
      <c r="O451" s="285" t="s">
        <v>561</v>
      </c>
      <c r="P451" s="828"/>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row>
    <row r="452" spans="1:49" s="193" customFormat="1" ht="12.75" hidden="1" outlineLevel="1" x14ac:dyDescent="0.2">
      <c r="A452" s="820"/>
      <c r="B452" s="833"/>
      <c r="C452" s="837"/>
      <c r="D452" s="234" t="str">
        <f>"Total "&amp;FleetTypeG&amp;" FLEET HM Records Generated pa"</f>
        <v>Total B787-900 FLEET HM Records Generated pa</v>
      </c>
      <c r="E452" s="232">
        <f t="shared" ref="E452:N452" si="94">E451/FleetCycleHvy_G*FleetSize_G</f>
        <v>9750</v>
      </c>
      <c r="F452" s="232">
        <f t="shared" si="94"/>
        <v>8857.1428571428569</v>
      </c>
      <c r="G452" s="232">
        <f t="shared" si="94"/>
        <v>8187.5</v>
      </c>
      <c r="H452" s="232">
        <f t="shared" si="94"/>
        <v>9857.1428571428569</v>
      </c>
      <c r="I452" s="232">
        <f t="shared" si="94"/>
        <v>10357.142857142859</v>
      </c>
      <c r="J452" s="232">
        <f t="shared" si="94"/>
        <v>10857.142857142859</v>
      </c>
      <c r="K452" s="232">
        <f t="shared" si="94"/>
        <v>11357.142857142859</v>
      </c>
      <c r="L452" s="232">
        <f t="shared" si="94"/>
        <v>11857.142857142859</v>
      </c>
      <c r="M452" s="232">
        <f t="shared" si="94"/>
        <v>12357.142857142859</v>
      </c>
      <c r="N452" s="232">
        <f t="shared" si="94"/>
        <v>12857.142857142859</v>
      </c>
      <c r="O452" s="285" t="s">
        <v>553</v>
      </c>
      <c r="P452" s="828"/>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row>
    <row r="453" spans="1:49" s="712" customFormat="1" ht="12.75" hidden="1" outlineLevel="1" x14ac:dyDescent="0.2">
      <c r="A453" s="820"/>
      <c r="B453" s="820"/>
      <c r="C453" s="837"/>
      <c r="D453" s="30"/>
      <c r="E453" s="30"/>
      <c r="F453" s="30"/>
      <c r="G453" s="30"/>
      <c r="H453" s="30"/>
      <c r="I453" s="30"/>
      <c r="J453" s="30"/>
      <c r="K453" s="30"/>
      <c r="L453" s="30"/>
      <c r="M453" s="30"/>
      <c r="N453" s="30"/>
      <c r="O453" s="839"/>
      <c r="P453" s="828"/>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row>
    <row r="454" spans="1:49" s="712" customFormat="1" ht="12.75" hidden="1" outlineLevel="1" x14ac:dyDescent="0.2">
      <c r="A454" s="820"/>
      <c r="B454" s="820"/>
      <c r="C454" s="837"/>
      <c r="D454" s="484" t="str">
        <f>FleetTypeG &amp;" Line Maintenance (LM)"</f>
        <v>B787-900 Line Maintenance (LM)</v>
      </c>
      <c r="E454" s="840"/>
      <c r="F454" s="840"/>
      <c r="G454" s="840"/>
      <c r="H454" s="840"/>
      <c r="I454" s="840"/>
      <c r="J454" s="840"/>
      <c r="K454" s="840"/>
      <c r="L454" s="840"/>
      <c r="M454" s="840"/>
      <c r="N454" s="840"/>
      <c r="O454" s="839"/>
      <c r="P454" s="828"/>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row>
    <row r="455" spans="1:49" s="712" customFormat="1" ht="12.75" hidden="1" outlineLevel="1" x14ac:dyDescent="0.2">
      <c r="A455" s="820"/>
      <c r="B455" s="841"/>
      <c r="C455" s="837"/>
      <c r="D455" s="233" t="str">
        <f>FleetTypeG&amp; " LM Per AIRCRAFT Records Generated pa"</f>
        <v>B787-900 LM Per AIRCRAFT Records Generated pa</v>
      </c>
      <c r="E455" s="842">
        <v>10001</v>
      </c>
      <c r="F455" s="842">
        <v>10002</v>
      </c>
      <c r="G455" s="842">
        <v>10003</v>
      </c>
      <c r="H455" s="842">
        <v>10004</v>
      </c>
      <c r="I455" s="842">
        <v>10005</v>
      </c>
      <c r="J455" s="842">
        <v>10006</v>
      </c>
      <c r="K455" s="842">
        <v>10007</v>
      </c>
      <c r="L455" s="842">
        <v>10008</v>
      </c>
      <c r="M455" s="842">
        <v>10009</v>
      </c>
      <c r="N455" s="842">
        <v>10010</v>
      </c>
      <c r="O455" s="839"/>
      <c r="P455" s="828"/>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row>
    <row r="456" spans="1:49" s="712" customFormat="1" ht="12.75" hidden="1" outlineLevel="1" x14ac:dyDescent="0.2">
      <c r="A456" s="820"/>
      <c r="B456" s="841"/>
      <c r="C456" s="843"/>
      <c r="D456" s="234" t="str">
        <f>"Total "&amp;FleetTypeG&amp;" FLEET LM Records Generated pa"</f>
        <v>Total B787-900 FLEET LM Records Generated pa</v>
      </c>
      <c r="E456" s="231">
        <f t="shared" ref="E456:N456" si="95">E455*FleetSize_G</f>
        <v>50005</v>
      </c>
      <c r="F456" s="231">
        <f t="shared" si="95"/>
        <v>50010</v>
      </c>
      <c r="G456" s="231">
        <f t="shared" si="95"/>
        <v>50015</v>
      </c>
      <c r="H456" s="231">
        <f t="shared" si="95"/>
        <v>50020</v>
      </c>
      <c r="I456" s="231">
        <f t="shared" si="95"/>
        <v>50025</v>
      </c>
      <c r="J456" s="231">
        <f t="shared" si="95"/>
        <v>50030</v>
      </c>
      <c r="K456" s="231">
        <f t="shared" si="95"/>
        <v>50035</v>
      </c>
      <c r="L456" s="231">
        <f t="shared" si="95"/>
        <v>50040</v>
      </c>
      <c r="M456" s="231">
        <f t="shared" si="95"/>
        <v>50045</v>
      </c>
      <c r="N456" s="231">
        <f t="shared" si="95"/>
        <v>50050</v>
      </c>
      <c r="O456" s="285" t="s">
        <v>485</v>
      </c>
      <c r="P456" s="828"/>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row>
    <row r="457" spans="1:49" s="712" customFormat="1" ht="12.75" hidden="1" outlineLevel="1" x14ac:dyDescent="0.2">
      <c r="A457" s="820"/>
      <c r="B457" s="820"/>
      <c r="C457" s="843"/>
      <c r="D457" s="30"/>
      <c r="E457" s="30"/>
      <c r="F457" s="30"/>
      <c r="G457" s="30"/>
      <c r="H457" s="30"/>
      <c r="I457" s="30"/>
      <c r="J457" s="30"/>
      <c r="K457" s="30"/>
      <c r="L457" s="30"/>
      <c r="M457" s="30"/>
      <c r="N457" s="30"/>
      <c r="O457" s="839"/>
      <c r="P457" s="828"/>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row>
    <row r="458" spans="1:49" s="712" customFormat="1" ht="12.75" hidden="1" outlineLevel="1" x14ac:dyDescent="0.2">
      <c r="A458" s="820"/>
      <c r="B458" s="820"/>
      <c r="C458" s="843"/>
      <c r="D458" s="484" t="str">
        <f>FleetTypeG &amp;" Engineering (Eng)"</f>
        <v>B787-900 Engineering (Eng)</v>
      </c>
      <c r="E458" s="840"/>
      <c r="F458" s="840"/>
      <c r="G458" s="840"/>
      <c r="H458" s="840"/>
      <c r="I458" s="840"/>
      <c r="J458" s="840"/>
      <c r="K458" s="840"/>
      <c r="L458" s="840"/>
      <c r="M458" s="840"/>
      <c r="N458" s="840"/>
      <c r="O458" s="839"/>
      <c r="P458" s="828"/>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row>
    <row r="459" spans="1:49" s="712" customFormat="1" ht="12.75" hidden="1" outlineLevel="1" x14ac:dyDescent="0.2">
      <c r="A459" s="820"/>
      <c r="B459" s="820"/>
      <c r="C459" s="843"/>
      <c r="D459" s="233" t="str">
        <f>FleetTypeG&amp;" Eng Per AIRCRAFT Records Generated pa"</f>
        <v>B787-900 Eng Per AIRCRAFT Records Generated pa</v>
      </c>
      <c r="E459" s="842">
        <v>11001</v>
      </c>
      <c r="F459" s="842">
        <v>11002</v>
      </c>
      <c r="G459" s="842">
        <v>11003</v>
      </c>
      <c r="H459" s="842">
        <v>11004</v>
      </c>
      <c r="I459" s="842">
        <v>11005</v>
      </c>
      <c r="J459" s="842">
        <v>11006</v>
      </c>
      <c r="K459" s="842">
        <v>11007</v>
      </c>
      <c r="L459" s="842">
        <v>11008</v>
      </c>
      <c r="M459" s="842">
        <v>11009</v>
      </c>
      <c r="N459" s="842">
        <v>11010</v>
      </c>
      <c r="O459" s="839"/>
      <c r="P459" s="828"/>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row>
    <row r="460" spans="1:49" s="712" customFormat="1" ht="15.75" hidden="1" customHeight="1" outlineLevel="1" x14ac:dyDescent="0.2">
      <c r="A460" s="820"/>
      <c r="B460" s="820"/>
      <c r="C460" s="843"/>
      <c r="D460" s="234" t="str">
        <f>"Total "&amp;FleetTypeG&amp;" FLEET Eng Records Generated pa"</f>
        <v>Total B787-900 FLEET Eng Records Generated pa</v>
      </c>
      <c r="E460" s="231">
        <f t="shared" ref="E460:N460" si="96">E459*FleetSize_G</f>
        <v>55005</v>
      </c>
      <c r="F460" s="231">
        <f t="shared" si="96"/>
        <v>55010</v>
      </c>
      <c r="G460" s="231">
        <f t="shared" si="96"/>
        <v>55015</v>
      </c>
      <c r="H460" s="231">
        <f t="shared" si="96"/>
        <v>55020</v>
      </c>
      <c r="I460" s="231">
        <f t="shared" si="96"/>
        <v>55025</v>
      </c>
      <c r="J460" s="231">
        <f t="shared" si="96"/>
        <v>55030</v>
      </c>
      <c r="K460" s="231">
        <f t="shared" si="96"/>
        <v>55035</v>
      </c>
      <c r="L460" s="231">
        <f t="shared" si="96"/>
        <v>55040</v>
      </c>
      <c r="M460" s="231">
        <f t="shared" si="96"/>
        <v>55045</v>
      </c>
      <c r="N460" s="231">
        <f t="shared" si="96"/>
        <v>55050</v>
      </c>
      <c r="O460" s="285" t="s">
        <v>882</v>
      </c>
      <c r="P460" s="828"/>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row>
    <row r="461" spans="1:49" s="712" customFormat="1" ht="15.75" hidden="1" customHeight="1" outlineLevel="1" x14ac:dyDescent="0.2">
      <c r="A461" s="820"/>
      <c r="B461" s="820"/>
      <c r="C461" s="843"/>
      <c r="D461" s="844"/>
      <c r="E461" s="845"/>
      <c r="F461" s="845"/>
      <c r="G461" s="845"/>
      <c r="H461" s="845"/>
      <c r="I461" s="845"/>
      <c r="J461" s="845"/>
      <c r="K461" s="845"/>
      <c r="L461" s="845"/>
      <c r="M461" s="845"/>
      <c r="N461" s="845"/>
      <c r="O461" s="285"/>
      <c r="P461" s="828"/>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row>
    <row r="462" spans="1:49" s="712" customFormat="1" ht="12.75" hidden="1" outlineLevel="1" x14ac:dyDescent="0.2">
      <c r="A462" s="820"/>
      <c r="B462" s="820"/>
      <c r="C462" s="843"/>
      <c r="D462" s="484" t="str">
        <f>FleetTypeG &amp;" Planning (Plg)"</f>
        <v>B787-900 Planning (Plg)</v>
      </c>
      <c r="E462" s="840"/>
      <c r="F462" s="840"/>
      <c r="G462" s="840"/>
      <c r="H462" s="840"/>
      <c r="I462" s="840"/>
      <c r="J462" s="840"/>
      <c r="K462" s="840"/>
      <c r="L462" s="840"/>
      <c r="M462" s="840"/>
      <c r="N462" s="840"/>
      <c r="O462" s="839"/>
      <c r="P462" s="828"/>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row>
    <row r="463" spans="1:49" s="712" customFormat="1" ht="12.75" hidden="1" outlineLevel="1" x14ac:dyDescent="0.2">
      <c r="A463" s="820"/>
      <c r="B463" s="820"/>
      <c r="C463" s="843"/>
      <c r="D463" s="233" t="str">
        <f>FleetTypeG&amp;" Plg AIRCRAFT Records Generated pa"</f>
        <v>B787-900 Plg AIRCRAFT Records Generated pa</v>
      </c>
      <c r="E463" s="842">
        <v>11001</v>
      </c>
      <c r="F463" s="842">
        <v>11002</v>
      </c>
      <c r="G463" s="842">
        <v>11003</v>
      </c>
      <c r="H463" s="842">
        <v>11004</v>
      </c>
      <c r="I463" s="842">
        <v>11005</v>
      </c>
      <c r="J463" s="842">
        <v>11006</v>
      </c>
      <c r="K463" s="842">
        <v>11007</v>
      </c>
      <c r="L463" s="842">
        <v>11008</v>
      </c>
      <c r="M463" s="842">
        <v>11009</v>
      </c>
      <c r="N463" s="842">
        <v>11010</v>
      </c>
      <c r="O463" s="839"/>
      <c r="P463" s="828"/>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row>
    <row r="464" spans="1:49" s="712" customFormat="1" ht="15.75" hidden="1" customHeight="1" outlineLevel="1" x14ac:dyDescent="0.2">
      <c r="A464" s="820"/>
      <c r="B464" s="820"/>
      <c r="C464" s="843"/>
      <c r="D464" s="234" t="str">
        <f>"Total "&amp;FleetTypeG&amp;" FLEET Plg Records Generated pa"</f>
        <v>Total B787-900 FLEET Plg Records Generated pa</v>
      </c>
      <c r="E464" s="231">
        <f t="shared" ref="E464:N464" si="97">E463*FleetSize_G</f>
        <v>55005</v>
      </c>
      <c r="F464" s="231">
        <f t="shared" si="97"/>
        <v>55010</v>
      </c>
      <c r="G464" s="231">
        <f t="shared" si="97"/>
        <v>55015</v>
      </c>
      <c r="H464" s="231">
        <f t="shared" si="97"/>
        <v>55020</v>
      </c>
      <c r="I464" s="231">
        <f t="shared" si="97"/>
        <v>55025</v>
      </c>
      <c r="J464" s="231">
        <f t="shared" si="97"/>
        <v>55030</v>
      </c>
      <c r="K464" s="231">
        <f t="shared" si="97"/>
        <v>55035</v>
      </c>
      <c r="L464" s="231">
        <f t="shared" si="97"/>
        <v>55040</v>
      </c>
      <c r="M464" s="231">
        <f t="shared" si="97"/>
        <v>55045</v>
      </c>
      <c r="N464" s="231">
        <f t="shared" si="97"/>
        <v>55050</v>
      </c>
      <c r="O464" s="285" t="s">
        <v>883</v>
      </c>
      <c r="P464" s="828"/>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row>
    <row r="465" spans="1:49" s="712" customFormat="1" ht="12.75" hidden="1" outlineLevel="1" x14ac:dyDescent="0.2">
      <c r="A465" s="820"/>
      <c r="B465" s="820"/>
      <c r="C465" s="843"/>
      <c r="D465" s="30"/>
      <c r="E465" s="30"/>
      <c r="F465" s="30"/>
      <c r="G465" s="30"/>
      <c r="H465" s="30"/>
      <c r="I465" s="30"/>
      <c r="J465" s="30"/>
      <c r="K465" s="30"/>
      <c r="L465" s="30"/>
      <c r="M465" s="30"/>
      <c r="N465" s="30"/>
      <c r="O465" s="839"/>
      <c r="P465" s="828"/>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row>
    <row r="466" spans="1:49" s="712" customFormat="1" ht="12.75" hidden="1" outlineLevel="1" x14ac:dyDescent="0.2">
      <c r="A466" s="820"/>
      <c r="B466" s="820"/>
      <c r="C466" s="843"/>
      <c r="D466" s="484" t="str">
        <f>FleetTypeG &amp;" Clerical, Records &amp; Tech Pubs (CRT)"</f>
        <v>B787-900 Clerical, Records &amp; Tech Pubs (CRT)</v>
      </c>
      <c r="E466" s="840"/>
      <c r="F466" s="840"/>
      <c r="G466" s="840"/>
      <c r="H466" s="840"/>
      <c r="I466" s="840"/>
      <c r="J466" s="840"/>
      <c r="K466" s="840"/>
      <c r="L466" s="840"/>
      <c r="M466" s="840"/>
      <c r="N466" s="840"/>
      <c r="O466" s="839"/>
      <c r="P466" s="828"/>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row>
    <row r="467" spans="1:49" s="712" customFormat="1" ht="12.75" hidden="1" outlineLevel="1" x14ac:dyDescent="0.2">
      <c r="A467" s="820"/>
      <c r="B467" s="820"/>
      <c r="C467" s="256"/>
      <c r="D467" s="233" t="str">
        <f>FleetTypeG&amp;" SCL Per AIRCRAFT CRT Records Generated pa"</f>
        <v>B787-900 SCL Per AIRCRAFT CRT Records Generated pa</v>
      </c>
      <c r="E467" s="842">
        <v>12001</v>
      </c>
      <c r="F467" s="842">
        <v>12002</v>
      </c>
      <c r="G467" s="842">
        <v>12003</v>
      </c>
      <c r="H467" s="842">
        <v>12004</v>
      </c>
      <c r="I467" s="842">
        <v>12005</v>
      </c>
      <c r="J467" s="842">
        <v>12006</v>
      </c>
      <c r="K467" s="842">
        <v>12007</v>
      </c>
      <c r="L467" s="842">
        <v>12008</v>
      </c>
      <c r="M467" s="842">
        <v>12009</v>
      </c>
      <c r="N467" s="842">
        <v>12010</v>
      </c>
      <c r="O467" s="839"/>
      <c r="P467" s="828"/>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row>
    <row r="468" spans="1:49" s="712" customFormat="1" ht="12.75" hidden="1" outlineLevel="1" x14ac:dyDescent="0.2">
      <c r="A468" s="820"/>
      <c r="B468" s="820"/>
      <c r="C468" s="843"/>
      <c r="D468" s="234" t="str">
        <f>"Total "&amp;FleetTypeG&amp;" FLEET CRT Records Generated pa"</f>
        <v>Total B787-900 FLEET CRT Records Generated pa</v>
      </c>
      <c r="E468" s="231">
        <f t="shared" ref="E468:N468" si="98">E467*FleetSize_G</f>
        <v>60005</v>
      </c>
      <c r="F468" s="231">
        <f t="shared" si="98"/>
        <v>60010</v>
      </c>
      <c r="G468" s="231">
        <f t="shared" si="98"/>
        <v>60015</v>
      </c>
      <c r="H468" s="231">
        <f t="shared" si="98"/>
        <v>60020</v>
      </c>
      <c r="I468" s="231">
        <f t="shared" si="98"/>
        <v>60025</v>
      </c>
      <c r="J468" s="231">
        <f t="shared" si="98"/>
        <v>60030</v>
      </c>
      <c r="K468" s="231">
        <f t="shared" si="98"/>
        <v>60035</v>
      </c>
      <c r="L468" s="231">
        <f t="shared" si="98"/>
        <v>60040</v>
      </c>
      <c r="M468" s="231">
        <f t="shared" si="98"/>
        <v>60045</v>
      </c>
      <c r="N468" s="231">
        <f t="shared" si="98"/>
        <v>60050</v>
      </c>
      <c r="O468" s="285" t="s">
        <v>554</v>
      </c>
      <c r="P468" s="828"/>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row>
    <row r="469" spans="1:49" s="712" customFormat="1" ht="12.75" hidden="1" outlineLevel="1" x14ac:dyDescent="0.2">
      <c r="A469" s="820"/>
      <c r="B469" s="820"/>
      <c r="C469" s="843"/>
      <c r="D469" s="820"/>
      <c r="E469" s="840"/>
      <c r="F469" s="840"/>
      <c r="G469" s="840"/>
      <c r="H469" s="840"/>
      <c r="I469" s="840"/>
      <c r="J469" s="840"/>
      <c r="K469" s="840"/>
      <c r="L469" s="840"/>
      <c r="M469" s="840"/>
      <c r="N469" s="840"/>
      <c r="O469" s="839"/>
      <c r="P469" s="828"/>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row>
    <row r="470" spans="1:49" s="712" customFormat="1" ht="12.75" hidden="1" outlineLevel="1" x14ac:dyDescent="0.2">
      <c r="A470" s="820"/>
      <c r="B470" s="820"/>
      <c r="C470" s="843"/>
      <c r="D470" s="484" t="str">
        <f>FleetTypeG &amp;" Supply Chain &amp; Logistics (SCL)"</f>
        <v>B787-900 Supply Chain &amp; Logistics (SCL)</v>
      </c>
      <c r="E470" s="840"/>
      <c r="F470" s="840"/>
      <c r="G470" s="840"/>
      <c r="H470" s="840"/>
      <c r="I470" s="840"/>
      <c r="J470" s="840"/>
      <c r="K470" s="840"/>
      <c r="L470" s="840"/>
      <c r="M470" s="840"/>
      <c r="N470" s="840"/>
      <c r="O470" s="839"/>
      <c r="P470" s="828"/>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row>
    <row r="471" spans="1:49" s="712" customFormat="1" ht="12.75" hidden="1" outlineLevel="1" x14ac:dyDescent="0.2">
      <c r="A471" s="820"/>
      <c r="B471" s="820"/>
      <c r="C471" s="256"/>
      <c r="D471" s="233" t="str">
        <f>FleetTypeG&amp;" SCL Per AIRCRAFT OEMV Records Generated pa"</f>
        <v>B787-900 SCL Per AIRCRAFT OEMV Records Generated pa</v>
      </c>
      <c r="E471" s="842">
        <v>13001</v>
      </c>
      <c r="F471" s="842">
        <v>13002</v>
      </c>
      <c r="G471" s="842">
        <v>13003</v>
      </c>
      <c r="H471" s="842">
        <v>13004</v>
      </c>
      <c r="I471" s="842">
        <v>13005</v>
      </c>
      <c r="J471" s="842">
        <v>13006</v>
      </c>
      <c r="K471" s="842">
        <v>13007</v>
      </c>
      <c r="L471" s="842">
        <v>13008</v>
      </c>
      <c r="M471" s="842">
        <v>13009</v>
      </c>
      <c r="N471" s="842">
        <v>13010</v>
      </c>
      <c r="O471" s="839"/>
      <c r="P471" s="828"/>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row>
    <row r="472" spans="1:49" s="712" customFormat="1" ht="12.75" hidden="1" outlineLevel="1" x14ac:dyDescent="0.2">
      <c r="A472" s="820"/>
      <c r="B472" s="820"/>
      <c r="C472" s="843"/>
      <c r="D472" s="234" t="str">
        <f>"Total "&amp;FleetTypeG&amp;" FLEET SCL Records Generated pa"</f>
        <v>Total B787-900 FLEET SCL Records Generated pa</v>
      </c>
      <c r="E472" s="231">
        <f t="shared" ref="E472:N472" si="99">E471*FleetSize_G</f>
        <v>65005</v>
      </c>
      <c r="F472" s="231">
        <f t="shared" si="99"/>
        <v>65010</v>
      </c>
      <c r="G472" s="231">
        <f t="shared" si="99"/>
        <v>65015</v>
      </c>
      <c r="H472" s="231">
        <f t="shared" si="99"/>
        <v>65020</v>
      </c>
      <c r="I472" s="231">
        <f t="shared" si="99"/>
        <v>65025</v>
      </c>
      <c r="J472" s="231">
        <f t="shared" si="99"/>
        <v>65030</v>
      </c>
      <c r="K472" s="231">
        <f t="shared" si="99"/>
        <v>65035</v>
      </c>
      <c r="L472" s="231">
        <f t="shared" si="99"/>
        <v>65040</v>
      </c>
      <c r="M472" s="231">
        <f t="shared" si="99"/>
        <v>65045</v>
      </c>
      <c r="N472" s="231">
        <f t="shared" si="99"/>
        <v>65050</v>
      </c>
      <c r="O472" s="285" t="s">
        <v>555</v>
      </c>
      <c r="P472" s="828"/>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row>
    <row r="473" spans="1:49" s="712" customFormat="1" ht="12.75" hidden="1" outlineLevel="1" x14ac:dyDescent="0.2">
      <c r="A473" s="820"/>
      <c r="B473" s="820"/>
      <c r="C473" s="846"/>
      <c r="D473" s="820"/>
      <c r="E473" s="840"/>
      <c r="F473" s="840"/>
      <c r="G473" s="840"/>
      <c r="H473" s="840"/>
      <c r="I473" s="840"/>
      <c r="J473" s="840"/>
      <c r="K473" s="840"/>
      <c r="L473" s="840"/>
      <c r="M473" s="840"/>
      <c r="N473" s="840"/>
      <c r="O473" s="839"/>
      <c r="P473" s="828"/>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row>
    <row r="474" spans="1:49" s="712" customFormat="1" ht="12.75" hidden="1" outlineLevel="1" x14ac:dyDescent="0.2">
      <c r="A474" s="820"/>
      <c r="B474" s="820"/>
      <c r="C474" s="846"/>
      <c r="D474" s="484" t="str">
        <f>FleetTypeG &amp;" Quality, Safety &amp; Compliance (QSC)"</f>
        <v>B787-900 Quality, Safety &amp; Compliance (QSC)</v>
      </c>
      <c r="E474" s="840"/>
      <c r="F474" s="840"/>
      <c r="G474" s="840"/>
      <c r="H474" s="840"/>
      <c r="I474" s="840"/>
      <c r="J474" s="840"/>
      <c r="K474" s="840"/>
      <c r="L474" s="840"/>
      <c r="M474" s="840"/>
      <c r="N474" s="840"/>
      <c r="O474" s="839"/>
      <c r="P474" s="828"/>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row>
    <row r="475" spans="1:49" s="712" customFormat="1" ht="12.75" hidden="1" outlineLevel="1" x14ac:dyDescent="0.2">
      <c r="A475" s="820"/>
      <c r="B475" s="820"/>
      <c r="C475" s="256"/>
      <c r="D475" s="233" t="str">
        <f>FleetTypeG&amp;" QSC Per AIRCRAFT Records Generated pa"</f>
        <v>B787-900 QSC Per AIRCRAFT Records Generated pa</v>
      </c>
      <c r="E475" s="842">
        <v>14001</v>
      </c>
      <c r="F475" s="842">
        <v>14002</v>
      </c>
      <c r="G475" s="842">
        <v>14003</v>
      </c>
      <c r="H475" s="842">
        <v>14004</v>
      </c>
      <c r="I475" s="842">
        <v>14005</v>
      </c>
      <c r="J475" s="842">
        <v>14006</v>
      </c>
      <c r="K475" s="842">
        <v>14007</v>
      </c>
      <c r="L475" s="842">
        <v>14008</v>
      </c>
      <c r="M475" s="842">
        <v>14009</v>
      </c>
      <c r="N475" s="842">
        <v>14010</v>
      </c>
      <c r="O475" s="839"/>
      <c r="P475" s="828"/>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row>
    <row r="476" spans="1:49" s="712" customFormat="1" ht="15.75" hidden="1" customHeight="1" outlineLevel="1" x14ac:dyDescent="0.2">
      <c r="A476" s="820"/>
      <c r="B476" s="820"/>
      <c r="C476" s="843"/>
      <c r="D476" s="234" t="str">
        <f>"Total "&amp;FleetTypeG&amp;" FLEET QSC Records Generated pa"</f>
        <v>Total B787-900 FLEET QSC Records Generated pa</v>
      </c>
      <c r="E476" s="231">
        <f t="shared" ref="E476:N476" si="100">E475*FleetSize_G</f>
        <v>70005</v>
      </c>
      <c r="F476" s="231">
        <f t="shared" si="100"/>
        <v>70010</v>
      </c>
      <c r="G476" s="231">
        <f t="shared" si="100"/>
        <v>70015</v>
      </c>
      <c r="H476" s="231">
        <f t="shared" si="100"/>
        <v>70020</v>
      </c>
      <c r="I476" s="231">
        <f t="shared" si="100"/>
        <v>70025</v>
      </c>
      <c r="J476" s="231">
        <f t="shared" si="100"/>
        <v>70030</v>
      </c>
      <c r="K476" s="231">
        <f t="shared" si="100"/>
        <v>70035</v>
      </c>
      <c r="L476" s="231">
        <f t="shared" si="100"/>
        <v>70040</v>
      </c>
      <c r="M476" s="231">
        <f t="shared" si="100"/>
        <v>70045</v>
      </c>
      <c r="N476" s="231">
        <f t="shared" si="100"/>
        <v>70050</v>
      </c>
      <c r="O476" s="285" t="s">
        <v>556</v>
      </c>
      <c r="P476" s="828"/>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row>
    <row r="477" spans="1:49" s="712" customFormat="1" ht="12.75" hidden="1" outlineLevel="1" x14ac:dyDescent="0.2">
      <c r="A477" s="820"/>
      <c r="B477" s="820"/>
      <c r="C477" s="847"/>
      <c r="D477" s="820"/>
      <c r="E477" s="840"/>
      <c r="F477" s="840"/>
      <c r="G477" s="840"/>
      <c r="H477" s="840"/>
      <c r="I477" s="840"/>
      <c r="J477" s="840"/>
      <c r="K477" s="840"/>
      <c r="L477" s="840"/>
      <c r="M477" s="840"/>
      <c r="N477" s="840"/>
      <c r="O477" s="835"/>
      <c r="P477" s="828"/>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row>
    <row r="478" spans="1:49" s="712" customFormat="1" ht="12.75" hidden="1" outlineLevel="1" x14ac:dyDescent="0.2">
      <c r="A478" s="820"/>
      <c r="B478" s="820"/>
      <c r="C478" s="847"/>
      <c r="D478" s="484" t="str">
        <f>FleetTypeG &amp;" Engine Maintenance (EM)"</f>
        <v>B787-900 Engine Maintenance (EM)</v>
      </c>
      <c r="E478" s="840"/>
      <c r="F478" s="840"/>
      <c r="G478" s="840"/>
      <c r="H478" s="840"/>
      <c r="I478" s="840"/>
      <c r="J478" s="840"/>
      <c r="K478" s="840"/>
      <c r="L478" s="840"/>
      <c r="M478" s="840"/>
      <c r="N478" s="840"/>
      <c r="O478" s="835"/>
      <c r="P478" s="828"/>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row>
    <row r="479" spans="1:49" s="712" customFormat="1" ht="12.75" hidden="1" outlineLevel="1" x14ac:dyDescent="0.2">
      <c r="A479" s="820"/>
      <c r="B479" s="820"/>
      <c r="C479" s="256"/>
      <c r="D479" s="233" t="str">
        <f>FleetTypeG&amp;" EM Per AIRCRAFT Records Generated pa"</f>
        <v>B787-900 EM Per AIRCRAFT Records Generated pa</v>
      </c>
      <c r="E479" s="842">
        <v>15001</v>
      </c>
      <c r="F479" s="842">
        <v>15002</v>
      </c>
      <c r="G479" s="842">
        <v>15003</v>
      </c>
      <c r="H479" s="842">
        <v>15004</v>
      </c>
      <c r="I479" s="842">
        <v>15005</v>
      </c>
      <c r="J479" s="842">
        <v>15006</v>
      </c>
      <c r="K479" s="842">
        <v>15007</v>
      </c>
      <c r="L479" s="842">
        <v>15008</v>
      </c>
      <c r="M479" s="842">
        <v>15009</v>
      </c>
      <c r="N479" s="842">
        <v>15010</v>
      </c>
      <c r="O479" s="835"/>
      <c r="P479" s="828"/>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row>
    <row r="480" spans="1:49" s="712" customFormat="1" ht="15.75" hidden="1" customHeight="1" outlineLevel="1" x14ac:dyDescent="0.2">
      <c r="A480" s="820"/>
      <c r="B480" s="820"/>
      <c r="C480" s="256"/>
      <c r="D480" s="234" t="str">
        <f>"Total "&amp;FleetTypeG&amp;" FLEET EM Records Generated pa"</f>
        <v>Total B787-900 FLEET EM Records Generated pa</v>
      </c>
      <c r="E480" s="231">
        <f t="shared" ref="E480:N480" si="101">E479*FleetSize_G</f>
        <v>75005</v>
      </c>
      <c r="F480" s="231">
        <f t="shared" si="101"/>
        <v>75010</v>
      </c>
      <c r="G480" s="231">
        <f t="shared" si="101"/>
        <v>75015</v>
      </c>
      <c r="H480" s="231">
        <f t="shared" si="101"/>
        <v>75020</v>
      </c>
      <c r="I480" s="231">
        <f t="shared" si="101"/>
        <v>75025</v>
      </c>
      <c r="J480" s="231">
        <f t="shared" si="101"/>
        <v>75030</v>
      </c>
      <c r="K480" s="231">
        <f t="shared" si="101"/>
        <v>75035</v>
      </c>
      <c r="L480" s="231">
        <f t="shared" si="101"/>
        <v>75040</v>
      </c>
      <c r="M480" s="231">
        <f t="shared" si="101"/>
        <v>75045</v>
      </c>
      <c r="N480" s="231">
        <f t="shared" si="101"/>
        <v>75050</v>
      </c>
      <c r="O480" s="285" t="s">
        <v>557</v>
      </c>
      <c r="P480" s="828"/>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row>
    <row r="481" spans="1:49" s="712" customFormat="1" ht="12.75" hidden="1" outlineLevel="1" x14ac:dyDescent="0.2">
      <c r="A481" s="820"/>
      <c r="B481" s="820"/>
      <c r="C481" s="256"/>
      <c r="D481" s="30"/>
      <c r="E481" s="30"/>
      <c r="F481" s="30"/>
      <c r="G481" s="30"/>
      <c r="H481" s="30"/>
      <c r="I481" s="30"/>
      <c r="J481" s="30"/>
      <c r="K481" s="30"/>
      <c r="L481" s="30"/>
      <c r="M481" s="30"/>
      <c r="N481" s="30"/>
      <c r="O481" s="839"/>
      <c r="P481" s="828"/>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row>
    <row r="482" spans="1:49" s="712" customFormat="1" ht="12.75" hidden="1" outlineLevel="1" x14ac:dyDescent="0.2">
      <c r="A482" s="820"/>
      <c r="B482" s="820"/>
      <c r="C482" s="847"/>
      <c r="D482" s="484" t="str">
        <f>FleetTypeG &amp;" Component Maintenance (CM)"</f>
        <v>B787-900 Component Maintenance (CM)</v>
      </c>
      <c r="E482" s="840"/>
      <c r="F482" s="840"/>
      <c r="G482" s="840"/>
      <c r="H482" s="840"/>
      <c r="I482" s="840"/>
      <c r="J482" s="840"/>
      <c r="K482" s="840"/>
      <c r="L482" s="840"/>
      <c r="M482" s="840"/>
      <c r="N482" s="840"/>
      <c r="O482" s="835"/>
      <c r="P482" s="828"/>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row>
    <row r="483" spans="1:49" s="712" customFormat="1" ht="12.75" hidden="1" outlineLevel="1" x14ac:dyDescent="0.2">
      <c r="A483" s="820"/>
      <c r="B483" s="820"/>
      <c r="C483" s="256"/>
      <c r="D483" s="233" t="str">
        <f>FleetTypeG&amp;" CM Per AIRCRAFT Records Generated pa"</f>
        <v>B787-900 CM Per AIRCRAFT Records Generated pa</v>
      </c>
      <c r="E483" s="842">
        <v>15001</v>
      </c>
      <c r="F483" s="842">
        <v>15002</v>
      </c>
      <c r="G483" s="842">
        <v>15003</v>
      </c>
      <c r="H483" s="842">
        <v>15004</v>
      </c>
      <c r="I483" s="842">
        <v>15005</v>
      </c>
      <c r="J483" s="842">
        <v>15006</v>
      </c>
      <c r="K483" s="842">
        <v>15007</v>
      </c>
      <c r="L483" s="842">
        <v>15008</v>
      </c>
      <c r="M483" s="842">
        <v>15009</v>
      </c>
      <c r="N483" s="842">
        <v>15010</v>
      </c>
      <c r="O483" s="835"/>
      <c r="P483" s="828"/>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row>
    <row r="484" spans="1:49" s="712" customFormat="1" ht="15.75" hidden="1" customHeight="1" outlineLevel="1" x14ac:dyDescent="0.2">
      <c r="A484" s="820"/>
      <c r="B484" s="820"/>
      <c r="C484" s="256"/>
      <c r="D484" s="234" t="str">
        <f>"Total "&amp;FleetTypeG&amp;" FLEET CM Records Generated pa"</f>
        <v>Total B787-900 FLEET CM Records Generated pa</v>
      </c>
      <c r="E484" s="231">
        <f t="shared" ref="E484:N484" si="102">E483*FleetSize_G</f>
        <v>75005</v>
      </c>
      <c r="F484" s="231">
        <f t="shared" si="102"/>
        <v>75010</v>
      </c>
      <c r="G484" s="231">
        <f t="shared" si="102"/>
        <v>75015</v>
      </c>
      <c r="H484" s="231">
        <f t="shared" si="102"/>
        <v>75020</v>
      </c>
      <c r="I484" s="231">
        <f t="shared" si="102"/>
        <v>75025</v>
      </c>
      <c r="J484" s="231">
        <f t="shared" si="102"/>
        <v>75030</v>
      </c>
      <c r="K484" s="231">
        <f t="shared" si="102"/>
        <v>75035</v>
      </c>
      <c r="L484" s="231">
        <f t="shared" si="102"/>
        <v>75040</v>
      </c>
      <c r="M484" s="231">
        <f t="shared" si="102"/>
        <v>75045</v>
      </c>
      <c r="N484" s="231">
        <f t="shared" si="102"/>
        <v>75050</v>
      </c>
      <c r="O484" s="285" t="s">
        <v>558</v>
      </c>
      <c r="P484" s="828"/>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row>
    <row r="485" spans="1:49" s="712" customFormat="1" ht="12.75" hidden="1" outlineLevel="1" x14ac:dyDescent="0.2">
      <c r="A485" s="820"/>
      <c r="B485" s="820"/>
      <c r="C485" s="256"/>
      <c r="D485" s="30"/>
      <c r="E485" s="30"/>
      <c r="F485" s="30"/>
      <c r="G485" s="30"/>
      <c r="H485" s="30"/>
      <c r="I485" s="30"/>
      <c r="J485" s="30"/>
      <c r="K485" s="30"/>
      <c r="L485" s="30"/>
      <c r="M485" s="30"/>
      <c r="N485" s="30"/>
      <c r="O485" s="839"/>
      <c r="P485" s="828"/>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row>
    <row r="486" spans="1:49" s="712" customFormat="1" ht="15.75" hidden="1" customHeight="1" outlineLevel="1" x14ac:dyDescent="0.2">
      <c r="A486" s="820"/>
      <c r="B486" s="820"/>
      <c r="C486" s="847"/>
      <c r="D486" s="484" t="str">
        <f>FleetTypeG &amp;" Sheetmetal &amp; Composite Structures (SMCS)"</f>
        <v>B787-900 Sheetmetal &amp; Composite Structures (SMCS)</v>
      </c>
      <c r="E486" s="840"/>
      <c r="F486" s="840"/>
      <c r="G486" s="840"/>
      <c r="H486" s="840"/>
      <c r="I486" s="840"/>
      <c r="J486" s="840"/>
      <c r="K486" s="840"/>
      <c r="L486" s="840"/>
      <c r="M486" s="840"/>
      <c r="N486" s="840"/>
      <c r="O486" s="835"/>
      <c r="P486" s="828"/>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row>
    <row r="487" spans="1:49" s="712" customFormat="1" ht="12.75" hidden="1" outlineLevel="1" x14ac:dyDescent="0.2">
      <c r="A487" s="820"/>
      <c r="B487" s="820"/>
      <c r="C487" s="256"/>
      <c r="D487" s="233" t="str">
        <f>FleetTypeG&amp;" SMCS Per AIRCRAFT Records Generated pa"</f>
        <v>B787-900 SMCS Per AIRCRAFT Records Generated pa</v>
      </c>
      <c r="E487" s="842">
        <v>15001</v>
      </c>
      <c r="F487" s="842">
        <v>15002</v>
      </c>
      <c r="G487" s="842">
        <v>15003</v>
      </c>
      <c r="H487" s="842">
        <v>15004</v>
      </c>
      <c r="I487" s="842">
        <v>15005</v>
      </c>
      <c r="J487" s="842">
        <v>15006</v>
      </c>
      <c r="K487" s="842">
        <v>15007</v>
      </c>
      <c r="L487" s="842">
        <v>15008</v>
      </c>
      <c r="M487" s="842">
        <v>15009</v>
      </c>
      <c r="N487" s="842">
        <v>15010</v>
      </c>
      <c r="O487" s="835"/>
      <c r="P487" s="828"/>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row>
    <row r="488" spans="1:49" s="712" customFormat="1" ht="15.75" hidden="1" customHeight="1" outlineLevel="1" x14ac:dyDescent="0.2">
      <c r="A488" s="820"/>
      <c r="B488" s="820"/>
      <c r="C488" s="256"/>
      <c r="D488" s="234" t="str">
        <f>"Total "&amp;FleetTypeG&amp;" FLEET SMCS Records Generated pa"</f>
        <v>Total B787-900 FLEET SMCS Records Generated pa</v>
      </c>
      <c r="E488" s="231">
        <f t="shared" ref="E488:N488" si="103">E487*FleetSize_G</f>
        <v>75005</v>
      </c>
      <c r="F488" s="231">
        <f t="shared" si="103"/>
        <v>75010</v>
      </c>
      <c r="G488" s="231">
        <f t="shared" si="103"/>
        <v>75015</v>
      </c>
      <c r="H488" s="231">
        <f t="shared" si="103"/>
        <v>75020</v>
      </c>
      <c r="I488" s="231">
        <f t="shared" si="103"/>
        <v>75025</v>
      </c>
      <c r="J488" s="231">
        <f t="shared" si="103"/>
        <v>75030</v>
      </c>
      <c r="K488" s="231">
        <f t="shared" si="103"/>
        <v>75035</v>
      </c>
      <c r="L488" s="231">
        <f t="shared" si="103"/>
        <v>75040</v>
      </c>
      <c r="M488" s="231">
        <f t="shared" si="103"/>
        <v>75045</v>
      </c>
      <c r="N488" s="231">
        <f t="shared" si="103"/>
        <v>75050</v>
      </c>
      <c r="O488" s="285" t="s">
        <v>559</v>
      </c>
      <c r="P488" s="828"/>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row>
    <row r="489" spans="1:49" s="712" customFormat="1" ht="12.75" hidden="1" outlineLevel="1" x14ac:dyDescent="0.2">
      <c r="A489" s="820"/>
      <c r="B489" s="820"/>
      <c r="C489" s="256"/>
      <c r="D489" s="30"/>
      <c r="E489" s="30"/>
      <c r="F489" s="30"/>
      <c r="G489" s="30"/>
      <c r="H489" s="30"/>
      <c r="I489" s="30"/>
      <c r="J489" s="30"/>
      <c r="K489" s="30"/>
      <c r="L489" s="30"/>
      <c r="M489" s="30"/>
      <c r="N489" s="30"/>
      <c r="O489" s="839"/>
      <c r="P489" s="828"/>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row>
    <row r="490" spans="1:49" s="712" customFormat="1" ht="12.75" hidden="1" outlineLevel="1" x14ac:dyDescent="0.2">
      <c r="A490" s="820"/>
      <c r="B490" s="820"/>
      <c r="C490" s="847"/>
      <c r="D490" s="484" t="str">
        <f>FleetTypeG &amp;" Other 1 (O1)"</f>
        <v>B787-900 Other 1 (O1)</v>
      </c>
      <c r="E490" s="840"/>
      <c r="F490" s="840"/>
      <c r="G490" s="840"/>
      <c r="H490" s="840"/>
      <c r="I490" s="840"/>
      <c r="J490" s="840"/>
      <c r="K490" s="840"/>
      <c r="L490" s="840"/>
      <c r="M490" s="840"/>
      <c r="N490" s="840"/>
      <c r="O490" s="835"/>
      <c r="P490" s="828"/>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row>
    <row r="491" spans="1:49" s="712" customFormat="1" ht="12.75" hidden="1" outlineLevel="1" x14ac:dyDescent="0.2">
      <c r="A491" s="820"/>
      <c r="B491" s="820"/>
      <c r="C491" s="256"/>
      <c r="D491" s="233" t="str">
        <f>FleetTypeG&amp;" O1 Per AIRCRAFT Records Generated pa"</f>
        <v>B787-900 O1 Per AIRCRAFT Records Generated pa</v>
      </c>
      <c r="E491" s="842">
        <v>15001</v>
      </c>
      <c r="F491" s="842">
        <v>15002</v>
      </c>
      <c r="G491" s="842">
        <v>15003</v>
      </c>
      <c r="H491" s="842">
        <v>15004</v>
      </c>
      <c r="I491" s="842">
        <v>15005</v>
      </c>
      <c r="J491" s="842">
        <v>15006</v>
      </c>
      <c r="K491" s="842">
        <v>15007</v>
      </c>
      <c r="L491" s="842">
        <v>15008</v>
      </c>
      <c r="M491" s="842">
        <v>15009</v>
      </c>
      <c r="N491" s="842">
        <v>15010</v>
      </c>
      <c r="O491" s="835"/>
      <c r="P491" s="828"/>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row>
    <row r="492" spans="1:49" s="712" customFormat="1" ht="15.75" hidden="1" customHeight="1" outlineLevel="1" x14ac:dyDescent="0.2">
      <c r="A492" s="820"/>
      <c r="B492" s="820"/>
      <c r="C492" s="256"/>
      <c r="D492" s="234" t="str">
        <f>"Total "&amp;FleetTypeG&amp;" FLEET O1 Records Generated pa"</f>
        <v>Total B787-900 FLEET O1 Records Generated pa</v>
      </c>
      <c r="E492" s="231">
        <f t="shared" ref="E492:N492" si="104">E491*FleetSize_G</f>
        <v>75005</v>
      </c>
      <c r="F492" s="231">
        <f t="shared" si="104"/>
        <v>75010</v>
      </c>
      <c r="G492" s="231">
        <f t="shared" si="104"/>
        <v>75015</v>
      </c>
      <c r="H492" s="231">
        <f t="shared" si="104"/>
        <v>75020</v>
      </c>
      <c r="I492" s="231">
        <f t="shared" si="104"/>
        <v>75025</v>
      </c>
      <c r="J492" s="231">
        <f t="shared" si="104"/>
        <v>75030</v>
      </c>
      <c r="K492" s="231">
        <f t="shared" si="104"/>
        <v>75035</v>
      </c>
      <c r="L492" s="231">
        <f t="shared" si="104"/>
        <v>75040</v>
      </c>
      <c r="M492" s="231">
        <f t="shared" si="104"/>
        <v>75045</v>
      </c>
      <c r="N492" s="231">
        <f t="shared" si="104"/>
        <v>75050</v>
      </c>
      <c r="O492" s="285" t="s">
        <v>560</v>
      </c>
      <c r="P492" s="828"/>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row>
    <row r="493" spans="1:49" s="712" customFormat="1" ht="12.75" hidden="1" outlineLevel="1" x14ac:dyDescent="0.2">
      <c r="A493" s="820"/>
      <c r="B493" s="820"/>
      <c r="C493" s="256"/>
      <c r="D493" s="30"/>
      <c r="E493" s="30"/>
      <c r="F493" s="30"/>
      <c r="G493" s="30"/>
      <c r="H493" s="30"/>
      <c r="I493" s="30"/>
      <c r="J493" s="30"/>
      <c r="K493" s="30"/>
      <c r="L493" s="30"/>
      <c r="M493" s="30"/>
      <c r="N493" s="30"/>
      <c r="O493" s="839"/>
      <c r="P493" s="828"/>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row>
    <row r="494" spans="1:49" s="712" customFormat="1" ht="12.75" hidden="1" outlineLevel="1" x14ac:dyDescent="0.2">
      <c r="A494" s="820"/>
      <c r="B494" s="820"/>
      <c r="C494" s="847"/>
      <c r="D494" s="484" t="str">
        <f>FleetTypeG &amp;" Other 2 (O2)"</f>
        <v>B787-900 Other 2 (O2)</v>
      </c>
      <c r="E494" s="840"/>
      <c r="F494" s="840"/>
      <c r="G494" s="840"/>
      <c r="H494" s="840"/>
      <c r="I494" s="840"/>
      <c r="J494" s="840"/>
      <c r="K494" s="840"/>
      <c r="L494" s="840"/>
      <c r="M494" s="840"/>
      <c r="N494" s="840"/>
      <c r="O494" s="835"/>
      <c r="P494" s="828"/>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row>
    <row r="495" spans="1:49" s="712" customFormat="1" ht="12.75" hidden="1" outlineLevel="1" x14ac:dyDescent="0.2">
      <c r="A495" s="820"/>
      <c r="B495" s="820"/>
      <c r="C495" s="256"/>
      <c r="D495" s="233" t="str">
        <f>FleetTypeG&amp;" O2 Per AIRCRAFT Records Generated pa"</f>
        <v>B787-900 O2 Per AIRCRAFT Records Generated pa</v>
      </c>
      <c r="E495" s="842">
        <v>15001</v>
      </c>
      <c r="F495" s="842">
        <v>15002</v>
      </c>
      <c r="G495" s="842">
        <v>15003</v>
      </c>
      <c r="H495" s="842">
        <v>15004</v>
      </c>
      <c r="I495" s="842">
        <v>15005</v>
      </c>
      <c r="J495" s="842">
        <v>15006</v>
      </c>
      <c r="K495" s="842">
        <v>15007</v>
      </c>
      <c r="L495" s="842">
        <v>15008</v>
      </c>
      <c r="M495" s="842">
        <v>15009</v>
      </c>
      <c r="N495" s="842">
        <v>15010</v>
      </c>
      <c r="O495" s="835"/>
      <c r="P495" s="828"/>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row>
    <row r="496" spans="1:49" s="712" customFormat="1" ht="15.75" hidden="1" customHeight="1" outlineLevel="1" x14ac:dyDescent="0.2">
      <c r="A496" s="820"/>
      <c r="B496" s="820"/>
      <c r="C496" s="256"/>
      <c r="D496" s="234" t="str">
        <f>"Total "&amp;FleetTypeG&amp;" FLEET O2 Records Generated pa"</f>
        <v>Total B787-900 FLEET O2 Records Generated pa</v>
      </c>
      <c r="E496" s="231">
        <f t="shared" ref="E496:N496" si="105">E495*FleetSize_G</f>
        <v>75005</v>
      </c>
      <c r="F496" s="231">
        <f t="shared" si="105"/>
        <v>75010</v>
      </c>
      <c r="G496" s="231">
        <f t="shared" si="105"/>
        <v>75015</v>
      </c>
      <c r="H496" s="231">
        <f t="shared" si="105"/>
        <v>75020</v>
      </c>
      <c r="I496" s="231">
        <f t="shared" si="105"/>
        <v>75025</v>
      </c>
      <c r="J496" s="231">
        <f t="shared" si="105"/>
        <v>75030</v>
      </c>
      <c r="K496" s="231">
        <f t="shared" si="105"/>
        <v>75035</v>
      </c>
      <c r="L496" s="231">
        <f t="shared" si="105"/>
        <v>75040</v>
      </c>
      <c r="M496" s="231">
        <f t="shared" si="105"/>
        <v>75045</v>
      </c>
      <c r="N496" s="231">
        <f t="shared" si="105"/>
        <v>75050</v>
      </c>
      <c r="O496" s="285" t="s">
        <v>562</v>
      </c>
      <c r="P496" s="828"/>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row>
    <row r="497" spans="1:49" s="712" customFormat="1" ht="12.75" hidden="1" outlineLevel="1" x14ac:dyDescent="0.2">
      <c r="A497" s="820"/>
      <c r="B497" s="820"/>
      <c r="C497" s="256"/>
      <c r="D497" s="30"/>
      <c r="E497" s="30"/>
      <c r="F497" s="30"/>
      <c r="G497" s="30"/>
      <c r="H497" s="30"/>
      <c r="I497" s="30"/>
      <c r="J497" s="30"/>
      <c r="K497" s="30"/>
      <c r="L497" s="30"/>
      <c r="M497" s="30"/>
      <c r="N497" s="30"/>
      <c r="O497" s="839"/>
      <c r="P497" s="828"/>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row>
    <row r="498" spans="1:49" s="712" customFormat="1" ht="21.75" hidden="1" customHeight="1" outlineLevel="1" x14ac:dyDescent="0.2">
      <c r="A498" s="820"/>
      <c r="B498" s="820"/>
      <c r="C498" s="848"/>
      <c r="D498" s="849" t="str">
        <f>"Grand Total ("&amp;(FleetTypeG)&amp;") "&amp;"Records Generated pa"</f>
        <v>Grand Total (B787-900) Records Generated pa</v>
      </c>
      <c r="E498" s="713">
        <f t="shared" ref="E498:N498" si="106">SUM(RecordsHMFleetTotalpa_G+RecordsLMFleetTotalpa_G+RecordsEngFleetTotalpa_G+RecordsPlgFleetTotalpa_G+RecordsCRTFleetTotalpa_G+RecordsSCLFleetTotalpa_G+RecordsQSCFleetTotalpa_G+RecordsEMFleetTotalpa_G+RecordsCMFleetTotalpa_G+RecordsSMCSFleetTotalpa_G+RecordsO1FleetTotalpa_G+RecordsO2FleetTotalpa_G)</f>
        <v>739805</v>
      </c>
      <c r="F498" s="713">
        <f t="shared" si="106"/>
        <v>738967.14285714284</v>
      </c>
      <c r="G498" s="713">
        <f t="shared" si="106"/>
        <v>738352.5</v>
      </c>
      <c r="H498" s="713">
        <f t="shared" si="106"/>
        <v>740077.14285714284</v>
      </c>
      <c r="I498" s="713">
        <f t="shared" si="106"/>
        <v>740632.14285714284</v>
      </c>
      <c r="J498" s="713">
        <f t="shared" si="106"/>
        <v>741187.14285714284</v>
      </c>
      <c r="K498" s="713">
        <f t="shared" si="106"/>
        <v>741742.14285714284</v>
      </c>
      <c r="L498" s="713">
        <f t="shared" si="106"/>
        <v>742297.14285714284</v>
      </c>
      <c r="M498" s="713">
        <f t="shared" si="106"/>
        <v>742852.14285714284</v>
      </c>
      <c r="N498" s="713">
        <f t="shared" si="106"/>
        <v>743407.14285714284</v>
      </c>
      <c r="O498" s="285" t="s">
        <v>563</v>
      </c>
      <c r="P498" s="828"/>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row>
    <row r="499" spans="1:49" s="193" customFormat="1" ht="12.75" hidden="1" outlineLevel="1" x14ac:dyDescent="0.2">
      <c r="A499" s="820"/>
      <c r="B499" s="833"/>
      <c r="C499" s="837"/>
      <c r="D499" s="30"/>
      <c r="E499" s="833"/>
      <c r="F499" s="833"/>
      <c r="G499" s="833"/>
      <c r="H499" s="833"/>
      <c r="I499" s="833"/>
      <c r="J499" s="833"/>
      <c r="K499" s="833"/>
      <c r="L499" s="833"/>
      <c r="M499" s="833"/>
      <c r="N499" s="833"/>
      <c r="O499" s="861"/>
      <c r="P499" s="828"/>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row>
    <row r="500" spans="1:49" s="193" customFormat="1" ht="13.5" hidden="1" outlineLevel="1" thickBot="1" x14ac:dyDescent="0.25">
      <c r="A500" s="820"/>
      <c r="B500" s="833"/>
      <c r="C500" s="170"/>
      <c r="D500" s="278"/>
      <c r="E500" s="278"/>
      <c r="F500" s="278"/>
      <c r="G500" s="278"/>
      <c r="H500" s="278"/>
      <c r="I500" s="278"/>
      <c r="J500" s="278"/>
      <c r="K500" s="278"/>
      <c r="L500" s="278"/>
      <c r="M500" s="278"/>
      <c r="N500" s="278"/>
      <c r="O500" s="850"/>
      <c r="P500" s="828"/>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row>
    <row r="501" spans="1:49" s="193" customFormat="1" ht="12.75" hidden="1" outlineLevel="1" x14ac:dyDescent="0.2">
      <c r="A501" s="820"/>
      <c r="B501" s="833"/>
      <c r="C501" s="30"/>
      <c r="D501" s="30"/>
      <c r="E501" s="30"/>
      <c r="F501" s="30"/>
      <c r="G501" s="30"/>
      <c r="H501" s="30"/>
      <c r="I501" s="30"/>
      <c r="J501" s="30"/>
      <c r="K501" s="30"/>
      <c r="L501" s="30"/>
      <c r="M501" s="30"/>
      <c r="N501" s="30"/>
      <c r="O501" s="862"/>
      <c r="P501" s="828"/>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row>
    <row r="502" spans="1:49" s="122" customFormat="1" ht="15.75" collapsed="1" x14ac:dyDescent="0.2">
      <c r="A502" s="1043">
        <v>9</v>
      </c>
      <c r="B502" s="1039"/>
      <c r="C502" s="1039"/>
      <c r="D502" s="1039"/>
      <c r="E502" s="1039"/>
      <c r="F502" s="1039"/>
      <c r="G502" s="1039"/>
      <c r="H502" s="1039"/>
      <c r="I502" s="1039"/>
      <c r="J502" s="1039"/>
      <c r="K502" s="1039"/>
      <c r="L502" s="1039"/>
      <c r="M502" s="1039"/>
      <c r="N502" s="1039"/>
      <c r="O502" s="1039"/>
      <c r="P502" s="206"/>
      <c r="Q502" s="206"/>
      <c r="R502" s="206"/>
      <c r="S502" s="206"/>
      <c r="T502" s="206"/>
      <c r="U502" s="206"/>
      <c r="V502" s="206"/>
      <c r="W502" s="206"/>
      <c r="X502" s="206"/>
      <c r="Y502" s="206"/>
      <c r="Z502" s="206"/>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row>
    <row r="503" spans="1:49" s="712" customFormat="1" ht="13.5" thickBot="1" x14ac:dyDescent="0.25">
      <c r="A503" s="820"/>
      <c r="B503" s="180"/>
      <c r="C503" s="852"/>
      <c r="D503" s="820"/>
      <c r="E503" s="840"/>
      <c r="F503" s="840"/>
      <c r="G503" s="840"/>
      <c r="H503" s="840"/>
      <c r="I503" s="840"/>
      <c r="J503" s="840"/>
      <c r="K503" s="840"/>
      <c r="L503" s="840"/>
      <c r="M503" s="840"/>
      <c r="N503" s="840"/>
      <c r="O503" s="828"/>
      <c r="P503" s="828"/>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row>
    <row r="504" spans="1:49" s="712" customFormat="1" ht="31.5" x14ac:dyDescent="0.2">
      <c r="A504" s="1342" t="str">
        <f>"Purpose - To calculate Total Records generated by 'FleetTypeH'          " &amp; (FleetTypeH)</f>
        <v>Purpose - To calculate Total Records generated by 'FleetTypeH'          A320</v>
      </c>
      <c r="B504" s="180"/>
      <c r="C504" s="1343" t="str">
        <f>FleetTypeH &amp;" (FleetTypeH) Records
Generated pa"</f>
        <v>A320 (FleetTypeH) Records
Generated pa</v>
      </c>
      <c r="D504" s="853"/>
      <c r="E504" s="853"/>
      <c r="F504" s="853"/>
      <c r="G504" s="853"/>
      <c r="H504" s="853"/>
      <c r="I504" s="853"/>
      <c r="J504" s="853"/>
      <c r="K504" s="853"/>
      <c r="L504" s="853"/>
      <c r="M504" s="853"/>
      <c r="N504" s="853"/>
      <c r="O504" s="854"/>
      <c r="P504" s="828"/>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row>
    <row r="505" spans="1:49" s="193" customFormat="1" ht="12.75" x14ac:dyDescent="0.2">
      <c r="A505" s="820"/>
      <c r="B505" s="833"/>
      <c r="C505" s="833"/>
      <c r="D505" s="30"/>
      <c r="E505" s="833"/>
      <c r="F505" s="833"/>
      <c r="G505" s="833"/>
      <c r="H505" s="833"/>
      <c r="I505" s="833"/>
      <c r="J505" s="833"/>
      <c r="K505" s="833"/>
      <c r="L505" s="833"/>
      <c r="M505" s="833"/>
      <c r="N505" s="833"/>
      <c r="O505" s="833"/>
      <c r="P505" s="828"/>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row>
    <row r="506" spans="1:49" s="193" customFormat="1" ht="13.5" hidden="1" outlineLevel="1" collapsed="1" thickBot="1" x14ac:dyDescent="0.25">
      <c r="A506" s="820"/>
      <c r="B506" s="833"/>
      <c r="C506" s="30"/>
      <c r="D506" s="30"/>
      <c r="E506" s="30"/>
      <c r="F506" s="30"/>
      <c r="G506" s="30"/>
      <c r="H506" s="30"/>
      <c r="I506" s="30"/>
      <c r="J506" s="30"/>
      <c r="K506" s="30"/>
      <c r="L506" s="30"/>
      <c r="M506" s="30"/>
      <c r="N506" s="30"/>
      <c r="O506" s="862"/>
      <c r="P506" s="828"/>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row>
    <row r="507" spans="1:49" s="712" customFormat="1" ht="20.100000000000001" hidden="1" customHeight="1" outlineLevel="1" x14ac:dyDescent="0.2">
      <c r="A507" s="820"/>
      <c r="B507" s="180"/>
      <c r="C507" s="1344"/>
      <c r="D507" s="853"/>
      <c r="E507" s="853"/>
      <c r="F507" s="853"/>
      <c r="G507" s="853"/>
      <c r="H507" s="853"/>
      <c r="I507" s="853"/>
      <c r="J507" s="853"/>
      <c r="K507" s="853"/>
      <c r="L507" s="853"/>
      <c r="M507" s="853"/>
      <c r="N507" s="853"/>
      <c r="O507" s="854"/>
      <c r="P507" s="828"/>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row>
    <row r="508" spans="1:49" s="193" customFormat="1" ht="20.25" hidden="1" customHeight="1" outlineLevel="1" x14ac:dyDescent="0.2">
      <c r="A508" s="820"/>
      <c r="B508" s="180"/>
      <c r="C508" s="256"/>
      <c r="D508" s="484" t="str">
        <f>FleetTypeH &amp;" Heavy Maintenance (HM)"</f>
        <v>A320 Heavy Maintenance (HM)</v>
      </c>
      <c r="E508" s="820"/>
      <c r="F508" s="39"/>
      <c r="G508" s="822"/>
      <c r="H508" s="822"/>
      <c r="I508" s="822"/>
      <c r="J508" s="822"/>
      <c r="K508" s="822"/>
      <c r="L508" s="822"/>
      <c r="M508" s="822"/>
      <c r="N508" s="822"/>
      <c r="O508" s="829"/>
      <c r="P508" s="828"/>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row>
    <row r="509" spans="1:49" s="193" customFormat="1" ht="15" hidden="1" customHeight="1" outlineLevel="1" x14ac:dyDescent="0.2">
      <c r="A509" s="820"/>
      <c r="B509" s="830"/>
      <c r="C509" s="831"/>
      <c r="D509" s="501" t="str">
        <f>FleetTypeH&amp;" HM Cycle (Years)"</f>
        <v>A320 HM Cycle (Years)</v>
      </c>
      <c r="E509" s="855">
        <v>12</v>
      </c>
      <c r="F509" s="855">
        <v>14</v>
      </c>
      <c r="G509" s="855">
        <v>16</v>
      </c>
      <c r="H509" s="855">
        <v>14</v>
      </c>
      <c r="I509" s="855">
        <v>14</v>
      </c>
      <c r="J509" s="855">
        <v>14</v>
      </c>
      <c r="K509" s="855">
        <v>14</v>
      </c>
      <c r="L509" s="855">
        <v>14</v>
      </c>
      <c r="M509" s="855">
        <v>14</v>
      </c>
      <c r="N509" s="855">
        <v>14</v>
      </c>
      <c r="O509" s="257" t="s">
        <v>564</v>
      </c>
      <c r="P509" s="828"/>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row>
    <row r="510" spans="1:49" s="193" customFormat="1" ht="12.95" hidden="1" customHeight="1" outlineLevel="1" x14ac:dyDescent="0.2">
      <c r="A510" s="820"/>
      <c r="B510" s="833"/>
      <c r="C510" s="834"/>
      <c r="D510" s="820"/>
      <c r="E510" s="833"/>
      <c r="F510" s="833"/>
      <c r="G510" s="833"/>
      <c r="H510" s="833"/>
      <c r="I510" s="833"/>
      <c r="J510" s="833"/>
      <c r="K510" s="833"/>
      <c r="L510" s="833"/>
      <c r="M510" s="833"/>
      <c r="N510" s="833"/>
      <c r="O510" s="835"/>
      <c r="P510" s="828"/>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row>
    <row r="511" spans="1:49" s="193" customFormat="1" ht="12.75" hidden="1" customHeight="1" outlineLevel="1" x14ac:dyDescent="0.2">
      <c r="A511" s="820"/>
      <c r="B511" s="30"/>
      <c r="C511" s="256"/>
      <c r="D511" s="57" t="s">
        <v>256</v>
      </c>
      <c r="E511" s="856">
        <v>1100</v>
      </c>
      <c r="F511" s="856">
        <v>1200</v>
      </c>
      <c r="G511" s="856">
        <v>1300</v>
      </c>
      <c r="H511" s="856">
        <v>1400</v>
      </c>
      <c r="I511" s="856">
        <v>1500</v>
      </c>
      <c r="J511" s="856">
        <v>1600</v>
      </c>
      <c r="K511" s="856">
        <v>1700</v>
      </c>
      <c r="L511" s="856">
        <v>1800</v>
      </c>
      <c r="M511" s="856">
        <v>1900</v>
      </c>
      <c r="N511" s="856">
        <v>2000</v>
      </c>
      <c r="O511" s="835"/>
      <c r="P511" s="828"/>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row>
    <row r="512" spans="1:49" s="193" customFormat="1" ht="12.95" hidden="1" customHeight="1" outlineLevel="1" x14ac:dyDescent="0.2">
      <c r="A512" s="820"/>
      <c r="B512" s="833"/>
      <c r="C512" s="837"/>
      <c r="D512" s="57" t="s">
        <v>257</v>
      </c>
      <c r="E512" s="857">
        <v>2100</v>
      </c>
      <c r="F512" s="857">
        <v>2200</v>
      </c>
      <c r="G512" s="857">
        <v>2300</v>
      </c>
      <c r="H512" s="857">
        <v>2400</v>
      </c>
      <c r="I512" s="857">
        <v>2500</v>
      </c>
      <c r="J512" s="857">
        <v>2600</v>
      </c>
      <c r="K512" s="857">
        <v>2700</v>
      </c>
      <c r="L512" s="857">
        <v>2800</v>
      </c>
      <c r="M512" s="857">
        <v>2900</v>
      </c>
      <c r="N512" s="857">
        <v>3000</v>
      </c>
      <c r="O512" s="835"/>
      <c r="P512" s="828"/>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row>
    <row r="513" spans="1:49" s="193" customFormat="1" ht="12.95" hidden="1" customHeight="1" outlineLevel="1" x14ac:dyDescent="0.2">
      <c r="A513" s="820"/>
      <c r="B513" s="833"/>
      <c r="C513" s="837"/>
      <c r="D513" s="57" t="s">
        <v>258</v>
      </c>
      <c r="E513" s="857" t="s">
        <v>20</v>
      </c>
      <c r="F513" s="857" t="s">
        <v>20</v>
      </c>
      <c r="G513" s="857" t="s">
        <v>20</v>
      </c>
      <c r="H513" s="857" t="s">
        <v>20</v>
      </c>
      <c r="I513" s="857" t="s">
        <v>20</v>
      </c>
      <c r="J513" s="857" t="s">
        <v>20</v>
      </c>
      <c r="K513" s="857" t="s">
        <v>20</v>
      </c>
      <c r="L513" s="857" t="s">
        <v>20</v>
      </c>
      <c r="M513" s="857" t="s">
        <v>20</v>
      </c>
      <c r="N513" s="857" t="s">
        <v>20</v>
      </c>
      <c r="O513" s="835"/>
      <c r="P513" s="828"/>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row>
    <row r="514" spans="1:49" s="193" customFormat="1" ht="12.95" hidden="1" customHeight="1" outlineLevel="1" x14ac:dyDescent="0.2">
      <c r="A514" s="820"/>
      <c r="B514" s="833"/>
      <c r="C514" s="837"/>
      <c r="D514" s="57" t="s">
        <v>259</v>
      </c>
      <c r="E514" s="857">
        <v>4100</v>
      </c>
      <c r="F514" s="857">
        <v>4200</v>
      </c>
      <c r="G514" s="857">
        <v>4300</v>
      </c>
      <c r="H514" s="857">
        <v>4400</v>
      </c>
      <c r="I514" s="857">
        <v>4500</v>
      </c>
      <c r="J514" s="857">
        <v>4600</v>
      </c>
      <c r="K514" s="857">
        <v>4700</v>
      </c>
      <c r="L514" s="857">
        <v>4800</v>
      </c>
      <c r="M514" s="857">
        <v>4900</v>
      </c>
      <c r="N514" s="857">
        <v>5000</v>
      </c>
      <c r="O514" s="835"/>
      <c r="P514" s="828"/>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row>
    <row r="515" spans="1:49" s="193" customFormat="1" ht="12.95" hidden="1" customHeight="1" outlineLevel="1" x14ac:dyDescent="0.2">
      <c r="A515" s="820"/>
      <c r="B515" s="833"/>
      <c r="C515" s="837"/>
      <c r="D515" s="57" t="s">
        <v>260</v>
      </c>
      <c r="E515" s="857" t="s">
        <v>20</v>
      </c>
      <c r="F515" s="857" t="s">
        <v>20</v>
      </c>
      <c r="G515" s="857" t="s">
        <v>20</v>
      </c>
      <c r="H515" s="857" t="s">
        <v>20</v>
      </c>
      <c r="I515" s="857" t="s">
        <v>20</v>
      </c>
      <c r="J515" s="857" t="s">
        <v>20</v>
      </c>
      <c r="K515" s="857" t="s">
        <v>20</v>
      </c>
      <c r="L515" s="857" t="s">
        <v>20</v>
      </c>
      <c r="M515" s="857" t="s">
        <v>20</v>
      </c>
      <c r="N515" s="857" t="s">
        <v>20</v>
      </c>
      <c r="O515" s="835"/>
      <c r="P515" s="828"/>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row>
    <row r="516" spans="1:49" s="193" customFormat="1" ht="12.95" hidden="1" customHeight="1" outlineLevel="1" x14ac:dyDescent="0.2">
      <c r="A516" s="820"/>
      <c r="B516" s="833"/>
      <c r="C516" s="837"/>
      <c r="D516" s="57" t="s">
        <v>261</v>
      </c>
      <c r="E516" s="857">
        <v>7100</v>
      </c>
      <c r="F516" s="857">
        <v>7200</v>
      </c>
      <c r="G516" s="857">
        <v>7300</v>
      </c>
      <c r="H516" s="857">
        <v>7400</v>
      </c>
      <c r="I516" s="857">
        <v>7500</v>
      </c>
      <c r="J516" s="857">
        <v>7600</v>
      </c>
      <c r="K516" s="857">
        <v>7700</v>
      </c>
      <c r="L516" s="857">
        <v>7800</v>
      </c>
      <c r="M516" s="857">
        <v>7900</v>
      </c>
      <c r="N516" s="857">
        <v>8000</v>
      </c>
      <c r="O516" s="835"/>
      <c r="P516" s="828"/>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row>
    <row r="517" spans="1:49" s="193" customFormat="1" ht="12.95" hidden="1" customHeight="1" outlineLevel="1" x14ac:dyDescent="0.2">
      <c r="A517" s="820"/>
      <c r="B517" s="833"/>
      <c r="C517" s="837"/>
      <c r="D517" s="57" t="s">
        <v>262</v>
      </c>
      <c r="E517" s="857" t="s">
        <v>20</v>
      </c>
      <c r="F517" s="857" t="s">
        <v>20</v>
      </c>
      <c r="G517" s="857" t="s">
        <v>20</v>
      </c>
      <c r="H517" s="857" t="s">
        <v>20</v>
      </c>
      <c r="I517" s="857" t="s">
        <v>20</v>
      </c>
      <c r="J517" s="857" t="s">
        <v>20</v>
      </c>
      <c r="K517" s="857" t="s">
        <v>20</v>
      </c>
      <c r="L517" s="857" t="s">
        <v>20</v>
      </c>
      <c r="M517" s="857" t="s">
        <v>20</v>
      </c>
      <c r="N517" s="857" t="s">
        <v>20</v>
      </c>
      <c r="O517" s="835"/>
      <c r="P517" s="828"/>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row>
    <row r="518" spans="1:49" s="193" customFormat="1" ht="12.95" hidden="1" customHeight="1" outlineLevel="1" x14ac:dyDescent="0.2">
      <c r="A518" s="820"/>
      <c r="B518" s="833"/>
      <c r="C518" s="837"/>
      <c r="D518" s="57" t="s">
        <v>263</v>
      </c>
      <c r="E518" s="857">
        <v>9000</v>
      </c>
      <c r="F518" s="857">
        <v>10000</v>
      </c>
      <c r="G518" s="857">
        <v>11000</v>
      </c>
      <c r="H518" s="857">
        <v>12000</v>
      </c>
      <c r="I518" s="857">
        <v>13000</v>
      </c>
      <c r="J518" s="857">
        <v>14000</v>
      </c>
      <c r="K518" s="857">
        <v>15000</v>
      </c>
      <c r="L518" s="857">
        <v>16000</v>
      </c>
      <c r="M518" s="857">
        <v>17000</v>
      </c>
      <c r="N518" s="857">
        <v>18000</v>
      </c>
      <c r="O518" s="835"/>
      <c r="P518" s="828"/>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row>
    <row r="519" spans="1:49" s="193" customFormat="1" ht="12.95" hidden="1" customHeight="1" outlineLevel="1" x14ac:dyDescent="0.2">
      <c r="A519" s="820"/>
      <c r="B519" s="833"/>
      <c r="C519" s="837"/>
      <c r="D519" s="60" t="s">
        <v>113</v>
      </c>
      <c r="E519" s="502">
        <f t="shared" ref="E519:H519" si="107">SUM(E511:E518)</f>
        <v>23400</v>
      </c>
      <c r="F519" s="502">
        <f t="shared" si="107"/>
        <v>24800</v>
      </c>
      <c r="G519" s="502">
        <f t="shared" si="107"/>
        <v>26200</v>
      </c>
      <c r="H519" s="502">
        <f t="shared" si="107"/>
        <v>27600</v>
      </c>
      <c r="I519" s="502">
        <f t="shared" ref="I519:N519" si="108">SUM(I511:I518)</f>
        <v>29000</v>
      </c>
      <c r="J519" s="502">
        <f t="shared" si="108"/>
        <v>30400</v>
      </c>
      <c r="K519" s="502">
        <f t="shared" si="108"/>
        <v>31800</v>
      </c>
      <c r="L519" s="502">
        <f t="shared" si="108"/>
        <v>33200</v>
      </c>
      <c r="M519" s="502">
        <f t="shared" si="108"/>
        <v>34600</v>
      </c>
      <c r="N519" s="502">
        <f t="shared" si="108"/>
        <v>36000</v>
      </c>
      <c r="O519" s="285" t="s">
        <v>573</v>
      </c>
      <c r="P519" s="828"/>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row>
    <row r="520" spans="1:49" s="193" customFormat="1" ht="12.75" hidden="1" outlineLevel="1" x14ac:dyDescent="0.2">
      <c r="A520" s="820"/>
      <c r="B520" s="833"/>
      <c r="C520" s="837"/>
      <c r="D520" s="501" t="str">
        <f>"Total "&amp;FleetTypeH&amp;" FLEET HM Records Generated pa"</f>
        <v>Total A320 FLEET HM Records Generated pa</v>
      </c>
      <c r="E520" s="503">
        <f t="shared" ref="E520:N520" si="109">E519/FleetCycleHvy_H*FleetSize_H</f>
        <v>1950</v>
      </c>
      <c r="F520" s="503">
        <f t="shared" si="109"/>
        <v>1771.4285714285713</v>
      </c>
      <c r="G520" s="503">
        <f t="shared" si="109"/>
        <v>1637.5</v>
      </c>
      <c r="H520" s="503">
        <f t="shared" si="109"/>
        <v>1971.4285714285713</v>
      </c>
      <c r="I520" s="503">
        <f t="shared" si="109"/>
        <v>2071.4285714285716</v>
      </c>
      <c r="J520" s="503">
        <f t="shared" si="109"/>
        <v>2171.4285714285716</v>
      </c>
      <c r="K520" s="503">
        <f t="shared" si="109"/>
        <v>2271.4285714285716</v>
      </c>
      <c r="L520" s="503">
        <f t="shared" si="109"/>
        <v>2371.4285714285716</v>
      </c>
      <c r="M520" s="503">
        <f t="shared" si="109"/>
        <v>2471.4285714285716</v>
      </c>
      <c r="N520" s="503">
        <f t="shared" si="109"/>
        <v>2571.4285714285716</v>
      </c>
      <c r="O520" s="285" t="s">
        <v>565</v>
      </c>
      <c r="P520" s="828"/>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row>
    <row r="521" spans="1:49" s="712" customFormat="1" ht="12.75" hidden="1" outlineLevel="1" x14ac:dyDescent="0.2">
      <c r="A521" s="820"/>
      <c r="B521" s="820"/>
      <c r="C521" s="837"/>
      <c r="D521" s="30"/>
      <c r="E521" s="30"/>
      <c r="F521" s="30"/>
      <c r="G521" s="30"/>
      <c r="H521" s="30"/>
      <c r="I521" s="30"/>
      <c r="J521" s="30"/>
      <c r="K521" s="30"/>
      <c r="L521" s="30"/>
      <c r="M521" s="30"/>
      <c r="N521" s="30"/>
      <c r="O521" s="839"/>
      <c r="P521" s="828"/>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row>
    <row r="522" spans="1:49" s="712" customFormat="1" ht="12.75" hidden="1" outlineLevel="1" x14ac:dyDescent="0.2">
      <c r="A522" s="820"/>
      <c r="B522" s="820"/>
      <c r="C522" s="837"/>
      <c r="D522" s="484" t="str">
        <f>FleetTypeH &amp;" Line Maintenance (LM)"</f>
        <v>A320 Line Maintenance (LM)</v>
      </c>
      <c r="E522" s="840"/>
      <c r="F522" s="840"/>
      <c r="G522" s="840"/>
      <c r="H522" s="840"/>
      <c r="I522" s="840"/>
      <c r="J522" s="840"/>
      <c r="K522" s="840"/>
      <c r="L522" s="840"/>
      <c r="M522" s="840"/>
      <c r="N522" s="840"/>
      <c r="O522" s="839"/>
      <c r="P522" s="828"/>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row>
    <row r="523" spans="1:49" s="712" customFormat="1" ht="12.75" hidden="1" outlineLevel="1" x14ac:dyDescent="0.2">
      <c r="A523" s="820"/>
      <c r="B523" s="841"/>
      <c r="C523" s="837"/>
      <c r="D523" s="233" t="str">
        <f>FleetTypeH&amp; " LM Per AIRCRAFT Records Generated pa"</f>
        <v>A320 LM Per AIRCRAFT Records Generated pa</v>
      </c>
      <c r="E523" s="596">
        <v>10001</v>
      </c>
      <c r="F523" s="596">
        <v>10002</v>
      </c>
      <c r="G523" s="596">
        <v>10003</v>
      </c>
      <c r="H523" s="596">
        <v>10004</v>
      </c>
      <c r="I523" s="596">
        <v>10005</v>
      </c>
      <c r="J523" s="596">
        <v>10006</v>
      </c>
      <c r="K523" s="596">
        <v>10007</v>
      </c>
      <c r="L523" s="596">
        <v>10008</v>
      </c>
      <c r="M523" s="596">
        <v>10009</v>
      </c>
      <c r="N523" s="596">
        <v>10010</v>
      </c>
      <c r="O523" s="839"/>
      <c r="P523" s="828"/>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row>
    <row r="524" spans="1:49" s="712" customFormat="1" ht="12.75" hidden="1" outlineLevel="1" x14ac:dyDescent="0.2">
      <c r="A524" s="820"/>
      <c r="B524" s="841"/>
      <c r="C524" s="843"/>
      <c r="D524" s="501" t="str">
        <f>"Total "&amp;FleetTypeH&amp;" FLEET LM Records Generated pa"</f>
        <v>Total A320 FLEET LM Records Generated pa</v>
      </c>
      <c r="E524" s="505">
        <f t="shared" ref="E524:N524" si="110">E523*FleetSize_H</f>
        <v>10001</v>
      </c>
      <c r="F524" s="505">
        <f t="shared" si="110"/>
        <v>10002</v>
      </c>
      <c r="G524" s="505">
        <f t="shared" si="110"/>
        <v>10003</v>
      </c>
      <c r="H524" s="505">
        <f t="shared" si="110"/>
        <v>10004</v>
      </c>
      <c r="I524" s="505">
        <f t="shared" si="110"/>
        <v>10005</v>
      </c>
      <c r="J524" s="505">
        <f t="shared" si="110"/>
        <v>10006</v>
      </c>
      <c r="K524" s="505">
        <f t="shared" si="110"/>
        <v>10007</v>
      </c>
      <c r="L524" s="505">
        <f t="shared" si="110"/>
        <v>10008</v>
      </c>
      <c r="M524" s="505">
        <f t="shared" si="110"/>
        <v>10009</v>
      </c>
      <c r="N524" s="505">
        <f t="shared" si="110"/>
        <v>10010</v>
      </c>
      <c r="O524" s="285" t="s">
        <v>486</v>
      </c>
      <c r="P524" s="828"/>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row>
    <row r="525" spans="1:49" s="712" customFormat="1" ht="12.75" hidden="1" outlineLevel="1" x14ac:dyDescent="0.2">
      <c r="A525" s="820"/>
      <c r="B525" s="820"/>
      <c r="C525" s="843"/>
      <c r="D525" s="30"/>
      <c r="E525" s="30"/>
      <c r="F525" s="30"/>
      <c r="G525" s="30"/>
      <c r="H525" s="30"/>
      <c r="I525" s="30"/>
      <c r="J525" s="30"/>
      <c r="K525" s="30"/>
      <c r="L525" s="30"/>
      <c r="M525" s="30"/>
      <c r="N525" s="30"/>
      <c r="O525" s="839"/>
      <c r="P525" s="828"/>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row>
    <row r="526" spans="1:49" s="712" customFormat="1" ht="12.75" hidden="1" outlineLevel="1" x14ac:dyDescent="0.2">
      <c r="A526" s="820"/>
      <c r="B526" s="820"/>
      <c r="C526" s="843"/>
      <c r="D526" s="484" t="str">
        <f>FleetTypeH &amp;" Engineering (Eng)"</f>
        <v>A320 Engineering (Eng)</v>
      </c>
      <c r="E526" s="840"/>
      <c r="F526" s="840"/>
      <c r="G526" s="840"/>
      <c r="H526" s="840"/>
      <c r="I526" s="840"/>
      <c r="J526" s="840"/>
      <c r="K526" s="840"/>
      <c r="L526" s="840"/>
      <c r="M526" s="840"/>
      <c r="N526" s="840"/>
      <c r="O526" s="839"/>
      <c r="P526" s="828"/>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row>
    <row r="527" spans="1:49" s="712" customFormat="1" ht="12.75" hidden="1" outlineLevel="1" x14ac:dyDescent="0.2">
      <c r="A527" s="820"/>
      <c r="B527" s="820"/>
      <c r="C527" s="843"/>
      <c r="D527" s="233" t="str">
        <f>FleetTypeH&amp;" Eng Per AIRCRAFT Records Generated pa"</f>
        <v>A320 Eng Per AIRCRAFT Records Generated pa</v>
      </c>
      <c r="E527" s="842">
        <v>11001</v>
      </c>
      <c r="F527" s="842">
        <v>11002</v>
      </c>
      <c r="G527" s="842">
        <v>11003</v>
      </c>
      <c r="H527" s="842">
        <v>11004</v>
      </c>
      <c r="I527" s="842">
        <v>11005</v>
      </c>
      <c r="J527" s="842">
        <v>11006</v>
      </c>
      <c r="K527" s="842">
        <v>11007</v>
      </c>
      <c r="L527" s="842">
        <v>11008</v>
      </c>
      <c r="M527" s="842">
        <v>11009</v>
      </c>
      <c r="N527" s="842">
        <v>11010</v>
      </c>
      <c r="O527" s="839"/>
      <c r="P527" s="828"/>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row>
    <row r="528" spans="1:49" s="712" customFormat="1" ht="15.75" hidden="1" customHeight="1" outlineLevel="1" x14ac:dyDescent="0.2">
      <c r="A528" s="820"/>
      <c r="B528" s="820"/>
      <c r="C528" s="843"/>
      <c r="D528" s="234" t="str">
        <f>"Total "&amp;FleetTypeH&amp;" FLEET Eng Records Generated pa"</f>
        <v>Total A320 FLEET Eng Records Generated pa</v>
      </c>
      <c r="E528" s="231">
        <f t="shared" ref="E528:N528" si="111">E527*FleetSize_H</f>
        <v>11001</v>
      </c>
      <c r="F528" s="231">
        <f t="shared" si="111"/>
        <v>11002</v>
      </c>
      <c r="G528" s="231">
        <f t="shared" si="111"/>
        <v>11003</v>
      </c>
      <c r="H528" s="231">
        <f t="shared" si="111"/>
        <v>11004</v>
      </c>
      <c r="I528" s="231">
        <f t="shared" si="111"/>
        <v>11005</v>
      </c>
      <c r="J528" s="231">
        <f t="shared" si="111"/>
        <v>11006</v>
      </c>
      <c r="K528" s="231">
        <f t="shared" si="111"/>
        <v>11007</v>
      </c>
      <c r="L528" s="231">
        <f t="shared" si="111"/>
        <v>11008</v>
      </c>
      <c r="M528" s="231">
        <f t="shared" si="111"/>
        <v>11009</v>
      </c>
      <c r="N528" s="231">
        <f t="shared" si="111"/>
        <v>11010</v>
      </c>
      <c r="O528" s="285" t="s">
        <v>884</v>
      </c>
      <c r="P528" s="828"/>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row>
    <row r="529" spans="1:49" s="712" customFormat="1" ht="15.75" hidden="1" customHeight="1" outlineLevel="1" x14ac:dyDescent="0.2">
      <c r="A529" s="820"/>
      <c r="B529" s="820"/>
      <c r="C529" s="843"/>
      <c r="D529" s="844"/>
      <c r="E529" s="845"/>
      <c r="F529" s="845"/>
      <c r="G529" s="845"/>
      <c r="H529" s="845"/>
      <c r="I529" s="845"/>
      <c r="J529" s="845"/>
      <c r="K529" s="845"/>
      <c r="L529" s="845"/>
      <c r="M529" s="845"/>
      <c r="N529" s="845"/>
      <c r="O529" s="285"/>
      <c r="P529" s="828"/>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row>
    <row r="530" spans="1:49" s="712" customFormat="1" ht="12.75" hidden="1" outlineLevel="1" x14ac:dyDescent="0.2">
      <c r="A530" s="820"/>
      <c r="B530" s="820"/>
      <c r="C530" s="843"/>
      <c r="D530" s="484" t="str">
        <f>FleetTypeH &amp;" Planning (Plg)"</f>
        <v>A320 Planning (Plg)</v>
      </c>
      <c r="E530" s="840"/>
      <c r="F530" s="840"/>
      <c r="G530" s="840"/>
      <c r="H530" s="840"/>
      <c r="I530" s="840"/>
      <c r="J530" s="840"/>
      <c r="K530" s="840"/>
      <c r="L530" s="840"/>
      <c r="M530" s="840"/>
      <c r="N530" s="840"/>
      <c r="O530" s="839"/>
      <c r="P530" s="828"/>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row>
    <row r="531" spans="1:49" s="712" customFormat="1" ht="12.75" hidden="1" outlineLevel="1" x14ac:dyDescent="0.2">
      <c r="A531" s="820"/>
      <c r="B531" s="820"/>
      <c r="C531" s="843"/>
      <c r="D531" s="233" t="str">
        <f>FleetTypeH&amp;" Plg AIRCRAFT Records Generated pa"</f>
        <v>A320 Plg AIRCRAFT Records Generated pa</v>
      </c>
      <c r="E531" s="842">
        <v>11001</v>
      </c>
      <c r="F531" s="842">
        <v>11002</v>
      </c>
      <c r="G531" s="842">
        <v>11003</v>
      </c>
      <c r="H531" s="842">
        <v>11004</v>
      </c>
      <c r="I531" s="842">
        <v>11005</v>
      </c>
      <c r="J531" s="842">
        <v>11006</v>
      </c>
      <c r="K531" s="842">
        <v>11007</v>
      </c>
      <c r="L531" s="842">
        <v>11008</v>
      </c>
      <c r="M531" s="842">
        <v>11009</v>
      </c>
      <c r="N531" s="842">
        <v>11010</v>
      </c>
      <c r="O531" s="839"/>
      <c r="P531" s="828"/>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row>
    <row r="532" spans="1:49" s="712" customFormat="1" ht="15.75" hidden="1" customHeight="1" outlineLevel="1" x14ac:dyDescent="0.2">
      <c r="A532" s="820"/>
      <c r="B532" s="820"/>
      <c r="C532" s="843"/>
      <c r="D532" s="234" t="str">
        <f>"Total "&amp;FleetTypeH&amp;" FLEET Plg Records Generated pa"</f>
        <v>Total A320 FLEET Plg Records Generated pa</v>
      </c>
      <c r="E532" s="231">
        <f t="shared" ref="E532:N532" si="112">E531*FleetSize_H</f>
        <v>11001</v>
      </c>
      <c r="F532" s="231">
        <f t="shared" si="112"/>
        <v>11002</v>
      </c>
      <c r="G532" s="231">
        <f t="shared" si="112"/>
        <v>11003</v>
      </c>
      <c r="H532" s="231">
        <f t="shared" si="112"/>
        <v>11004</v>
      </c>
      <c r="I532" s="231">
        <f t="shared" si="112"/>
        <v>11005</v>
      </c>
      <c r="J532" s="231">
        <f t="shared" si="112"/>
        <v>11006</v>
      </c>
      <c r="K532" s="231">
        <f t="shared" si="112"/>
        <v>11007</v>
      </c>
      <c r="L532" s="231">
        <f t="shared" si="112"/>
        <v>11008</v>
      </c>
      <c r="M532" s="231">
        <f t="shared" si="112"/>
        <v>11009</v>
      </c>
      <c r="N532" s="231">
        <f t="shared" si="112"/>
        <v>11010</v>
      </c>
      <c r="O532" s="285" t="s">
        <v>885</v>
      </c>
      <c r="P532" s="828"/>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row>
    <row r="533" spans="1:49" s="712" customFormat="1" ht="12.75" hidden="1" outlineLevel="1" x14ac:dyDescent="0.2">
      <c r="A533" s="820"/>
      <c r="B533" s="820"/>
      <c r="C533" s="843"/>
      <c r="D533" s="30"/>
      <c r="E533" s="30"/>
      <c r="F533" s="30"/>
      <c r="G533" s="30"/>
      <c r="H533" s="30"/>
      <c r="I533" s="30"/>
      <c r="J533" s="30"/>
      <c r="K533" s="30"/>
      <c r="L533" s="30"/>
      <c r="M533" s="30"/>
      <c r="N533" s="30"/>
      <c r="O533" s="839"/>
      <c r="P533" s="828"/>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row>
    <row r="534" spans="1:49" s="712" customFormat="1" ht="12.75" hidden="1" outlineLevel="1" x14ac:dyDescent="0.2">
      <c r="A534" s="820"/>
      <c r="B534" s="820"/>
      <c r="C534" s="843"/>
      <c r="D534" s="484" t="str">
        <f>FleetTypeH &amp;" Clerical, Records &amp; Tech Pubs (CRT)"</f>
        <v>A320 Clerical, Records &amp; Tech Pubs (CRT)</v>
      </c>
      <c r="E534" s="840"/>
      <c r="F534" s="840"/>
      <c r="G534" s="840"/>
      <c r="H534" s="840"/>
      <c r="I534" s="840"/>
      <c r="J534" s="840"/>
      <c r="K534" s="840"/>
      <c r="L534" s="840"/>
      <c r="M534" s="840"/>
      <c r="N534" s="840"/>
      <c r="O534" s="839"/>
      <c r="P534" s="828"/>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row>
    <row r="535" spans="1:49" s="712" customFormat="1" ht="12.75" hidden="1" outlineLevel="1" x14ac:dyDescent="0.2">
      <c r="A535" s="820"/>
      <c r="B535" s="820"/>
      <c r="C535" s="256"/>
      <c r="D535" s="233" t="str">
        <f>FleetTypeH&amp;" SCL Per AIRCRAFT CRT Records Generated pa"</f>
        <v>A320 SCL Per AIRCRAFT CRT Records Generated pa</v>
      </c>
      <c r="E535" s="596">
        <v>12001</v>
      </c>
      <c r="F535" s="596">
        <v>12002</v>
      </c>
      <c r="G535" s="596">
        <v>12003</v>
      </c>
      <c r="H535" s="596">
        <v>12004</v>
      </c>
      <c r="I535" s="596">
        <v>12005</v>
      </c>
      <c r="J535" s="596">
        <v>12006</v>
      </c>
      <c r="K535" s="596">
        <v>12007</v>
      </c>
      <c r="L535" s="596">
        <v>12008</v>
      </c>
      <c r="M535" s="596">
        <v>12009</v>
      </c>
      <c r="N535" s="596">
        <v>12010</v>
      </c>
      <c r="O535" s="839"/>
      <c r="P535" s="828"/>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row>
    <row r="536" spans="1:49" s="712" customFormat="1" ht="12.75" hidden="1" outlineLevel="1" x14ac:dyDescent="0.2">
      <c r="A536" s="820"/>
      <c r="B536" s="820"/>
      <c r="C536" s="843"/>
      <c r="D536" s="501" t="str">
        <f>"Total "&amp;FleetTypeH&amp;" FLEET CRT Records Generated pa"</f>
        <v>Total A320 FLEET CRT Records Generated pa</v>
      </c>
      <c r="E536" s="505">
        <f t="shared" ref="E536:N536" si="113">E535*FleetSize_H</f>
        <v>12001</v>
      </c>
      <c r="F536" s="505">
        <f t="shared" si="113"/>
        <v>12002</v>
      </c>
      <c r="G536" s="505">
        <f t="shared" si="113"/>
        <v>12003</v>
      </c>
      <c r="H536" s="505">
        <f t="shared" si="113"/>
        <v>12004</v>
      </c>
      <c r="I536" s="505">
        <f t="shared" si="113"/>
        <v>12005</v>
      </c>
      <c r="J536" s="505">
        <f t="shared" si="113"/>
        <v>12006</v>
      </c>
      <c r="K536" s="505">
        <f t="shared" si="113"/>
        <v>12007</v>
      </c>
      <c r="L536" s="505">
        <f t="shared" si="113"/>
        <v>12008</v>
      </c>
      <c r="M536" s="505">
        <f t="shared" si="113"/>
        <v>12009</v>
      </c>
      <c r="N536" s="505">
        <f t="shared" si="113"/>
        <v>12010</v>
      </c>
      <c r="O536" s="285" t="s">
        <v>566</v>
      </c>
      <c r="P536" s="828"/>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row>
    <row r="537" spans="1:49" s="712" customFormat="1" ht="12.75" hidden="1" outlineLevel="1" x14ac:dyDescent="0.2">
      <c r="A537" s="820"/>
      <c r="B537" s="820"/>
      <c r="C537" s="843"/>
      <c r="D537" s="820"/>
      <c r="E537" s="840"/>
      <c r="F537" s="840"/>
      <c r="G537" s="840"/>
      <c r="H537" s="840"/>
      <c r="I537" s="840"/>
      <c r="J537" s="840"/>
      <c r="K537" s="840"/>
      <c r="L537" s="840"/>
      <c r="M537" s="840"/>
      <c r="N537" s="840"/>
      <c r="O537" s="839"/>
      <c r="P537" s="828"/>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row>
    <row r="538" spans="1:49" s="712" customFormat="1" ht="12.75" hidden="1" outlineLevel="1" x14ac:dyDescent="0.2">
      <c r="A538" s="820"/>
      <c r="B538" s="820"/>
      <c r="C538" s="843"/>
      <c r="D538" s="484" t="str">
        <f>FleetTypeH &amp;" Supply Chain &amp; Logistics (SCL)"</f>
        <v>A320 Supply Chain &amp; Logistics (SCL)</v>
      </c>
      <c r="E538" s="840"/>
      <c r="F538" s="840"/>
      <c r="G538" s="840"/>
      <c r="H538" s="840"/>
      <c r="I538" s="840"/>
      <c r="J538" s="840"/>
      <c r="K538" s="840"/>
      <c r="L538" s="840"/>
      <c r="M538" s="840"/>
      <c r="N538" s="840"/>
      <c r="O538" s="839"/>
      <c r="P538" s="828"/>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row>
    <row r="539" spans="1:49" s="712" customFormat="1" ht="12.75" hidden="1" outlineLevel="1" x14ac:dyDescent="0.2">
      <c r="A539" s="820"/>
      <c r="B539" s="820"/>
      <c r="C539" s="256"/>
      <c r="D539" s="233" t="str">
        <f>FleetTypeH&amp;" SCL Per AIRCRAFT OEMV Records Generated pa"</f>
        <v>A320 SCL Per AIRCRAFT OEMV Records Generated pa</v>
      </c>
      <c r="E539" s="596">
        <v>13001</v>
      </c>
      <c r="F539" s="596">
        <v>13002</v>
      </c>
      <c r="G539" s="596">
        <v>13003</v>
      </c>
      <c r="H539" s="596">
        <v>13004</v>
      </c>
      <c r="I539" s="596">
        <v>13005</v>
      </c>
      <c r="J539" s="596">
        <v>13006</v>
      </c>
      <c r="K539" s="596">
        <v>13007</v>
      </c>
      <c r="L539" s="596">
        <v>13008</v>
      </c>
      <c r="M539" s="596">
        <v>13009</v>
      </c>
      <c r="N539" s="596">
        <v>13010</v>
      </c>
      <c r="O539" s="839"/>
      <c r="P539" s="828"/>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row>
    <row r="540" spans="1:49" s="712" customFormat="1" ht="12.75" hidden="1" outlineLevel="1" x14ac:dyDescent="0.2">
      <c r="A540" s="820"/>
      <c r="B540" s="820"/>
      <c r="C540" s="843"/>
      <c r="D540" s="501" t="str">
        <f>"Total "&amp;FleetTypeH&amp;" FLEET SCL Records Generated pa"</f>
        <v>Total A320 FLEET SCL Records Generated pa</v>
      </c>
      <c r="E540" s="505">
        <f t="shared" ref="E540:N540" si="114">E539*FleetSize_H</f>
        <v>13001</v>
      </c>
      <c r="F540" s="505">
        <f t="shared" si="114"/>
        <v>13002</v>
      </c>
      <c r="G540" s="505">
        <f t="shared" si="114"/>
        <v>13003</v>
      </c>
      <c r="H540" s="505">
        <f t="shared" si="114"/>
        <v>13004</v>
      </c>
      <c r="I540" s="505">
        <f t="shared" si="114"/>
        <v>13005</v>
      </c>
      <c r="J540" s="505">
        <f t="shared" si="114"/>
        <v>13006</v>
      </c>
      <c r="K540" s="505">
        <f t="shared" si="114"/>
        <v>13007</v>
      </c>
      <c r="L540" s="505">
        <f t="shared" si="114"/>
        <v>13008</v>
      </c>
      <c r="M540" s="505">
        <f t="shared" si="114"/>
        <v>13009</v>
      </c>
      <c r="N540" s="505">
        <f t="shared" si="114"/>
        <v>13010</v>
      </c>
      <c r="O540" s="285" t="s">
        <v>567</v>
      </c>
      <c r="P540" s="828"/>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row>
    <row r="541" spans="1:49" s="712" customFormat="1" ht="12.75" hidden="1" outlineLevel="1" x14ac:dyDescent="0.2">
      <c r="A541" s="820"/>
      <c r="B541" s="820"/>
      <c r="C541" s="846"/>
      <c r="D541" s="820"/>
      <c r="E541" s="840"/>
      <c r="F541" s="840"/>
      <c r="G541" s="840"/>
      <c r="H541" s="840"/>
      <c r="I541" s="840"/>
      <c r="J541" s="840"/>
      <c r="K541" s="840"/>
      <c r="L541" s="840"/>
      <c r="M541" s="840"/>
      <c r="N541" s="840"/>
      <c r="O541" s="839"/>
      <c r="P541" s="828"/>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row>
    <row r="542" spans="1:49" s="712" customFormat="1" ht="12.75" hidden="1" outlineLevel="1" x14ac:dyDescent="0.2">
      <c r="A542" s="820"/>
      <c r="B542" s="820"/>
      <c r="C542" s="846"/>
      <c r="D542" s="484" t="str">
        <f>FleetTypeH &amp;" Quality, Safety &amp; Compliance (QSC)"</f>
        <v>A320 Quality, Safety &amp; Compliance (QSC)</v>
      </c>
      <c r="E542" s="840"/>
      <c r="F542" s="840"/>
      <c r="G542" s="840"/>
      <c r="H542" s="840"/>
      <c r="I542" s="840"/>
      <c r="J542" s="840"/>
      <c r="K542" s="840"/>
      <c r="L542" s="840"/>
      <c r="M542" s="840"/>
      <c r="N542" s="840"/>
      <c r="O542" s="839"/>
      <c r="P542" s="828"/>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row>
    <row r="543" spans="1:49" s="712" customFormat="1" ht="12.75" hidden="1" outlineLevel="1" x14ac:dyDescent="0.2">
      <c r="A543" s="820"/>
      <c r="B543" s="820"/>
      <c r="C543" s="256"/>
      <c r="D543" s="233" t="str">
        <f>FleetTypeH&amp;" QSC Per AIRCRAFT Records Generated pa"</f>
        <v>A320 QSC Per AIRCRAFT Records Generated pa</v>
      </c>
      <c r="E543" s="596">
        <v>14001</v>
      </c>
      <c r="F543" s="596">
        <v>14002</v>
      </c>
      <c r="G543" s="596">
        <v>14003</v>
      </c>
      <c r="H543" s="596">
        <v>14004</v>
      </c>
      <c r="I543" s="596">
        <v>14005</v>
      </c>
      <c r="J543" s="596">
        <v>14006</v>
      </c>
      <c r="K543" s="596">
        <v>14007</v>
      </c>
      <c r="L543" s="596">
        <v>14008</v>
      </c>
      <c r="M543" s="596">
        <v>14009</v>
      </c>
      <c r="N543" s="596">
        <v>14010</v>
      </c>
      <c r="O543" s="839"/>
      <c r="P543" s="828"/>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row>
    <row r="544" spans="1:49" s="712" customFormat="1" ht="15.75" hidden="1" customHeight="1" outlineLevel="1" x14ac:dyDescent="0.2">
      <c r="A544" s="820"/>
      <c r="B544" s="820"/>
      <c r="C544" s="843"/>
      <c r="D544" s="501" t="str">
        <f>"Total "&amp;FleetTypeH&amp;" FLEET QSC Records Generated pa"</f>
        <v>Total A320 FLEET QSC Records Generated pa</v>
      </c>
      <c r="E544" s="505">
        <f t="shared" ref="E544:N544" si="115">E543*FleetSize_H</f>
        <v>14001</v>
      </c>
      <c r="F544" s="505">
        <f t="shared" si="115"/>
        <v>14002</v>
      </c>
      <c r="G544" s="505">
        <f t="shared" si="115"/>
        <v>14003</v>
      </c>
      <c r="H544" s="505">
        <f t="shared" si="115"/>
        <v>14004</v>
      </c>
      <c r="I544" s="505">
        <f t="shared" si="115"/>
        <v>14005</v>
      </c>
      <c r="J544" s="505">
        <f t="shared" si="115"/>
        <v>14006</v>
      </c>
      <c r="K544" s="505">
        <f t="shared" si="115"/>
        <v>14007</v>
      </c>
      <c r="L544" s="505">
        <f t="shared" si="115"/>
        <v>14008</v>
      </c>
      <c r="M544" s="505">
        <f t="shared" si="115"/>
        <v>14009</v>
      </c>
      <c r="N544" s="505">
        <f t="shared" si="115"/>
        <v>14010</v>
      </c>
      <c r="O544" s="285" t="s">
        <v>568</v>
      </c>
      <c r="P544" s="828"/>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row>
    <row r="545" spans="1:49" s="712" customFormat="1" ht="12.75" hidden="1" outlineLevel="1" x14ac:dyDescent="0.2">
      <c r="A545" s="820"/>
      <c r="B545" s="820"/>
      <c r="C545" s="847"/>
      <c r="D545" s="820"/>
      <c r="E545" s="840"/>
      <c r="F545" s="840"/>
      <c r="G545" s="840"/>
      <c r="H545" s="840"/>
      <c r="I545" s="840"/>
      <c r="J545" s="840"/>
      <c r="K545" s="840"/>
      <c r="L545" s="840"/>
      <c r="M545" s="840"/>
      <c r="N545" s="840"/>
      <c r="O545" s="835"/>
      <c r="P545" s="828"/>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row>
    <row r="546" spans="1:49" s="712" customFormat="1" ht="12.75" hidden="1" outlineLevel="1" x14ac:dyDescent="0.2">
      <c r="A546" s="820"/>
      <c r="B546" s="820"/>
      <c r="C546" s="847"/>
      <c r="D546" s="484" t="str">
        <f>FleetTypeH &amp;" Engine Maintenance (EM)"</f>
        <v>A320 Engine Maintenance (EM)</v>
      </c>
      <c r="E546" s="840"/>
      <c r="F546" s="840"/>
      <c r="G546" s="840"/>
      <c r="H546" s="840"/>
      <c r="I546" s="840"/>
      <c r="J546" s="840"/>
      <c r="K546" s="840"/>
      <c r="L546" s="840"/>
      <c r="M546" s="840"/>
      <c r="N546" s="840"/>
      <c r="O546" s="835"/>
      <c r="P546" s="828"/>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row>
    <row r="547" spans="1:49" s="712" customFormat="1" ht="12.75" hidden="1" outlineLevel="1" x14ac:dyDescent="0.2">
      <c r="A547" s="820"/>
      <c r="B547" s="820"/>
      <c r="C547" s="256"/>
      <c r="D547" s="233" t="str">
        <f>FleetTypeH&amp;" EM Per AIRCRAFT Records Generated pa"</f>
        <v>A320 EM Per AIRCRAFT Records Generated pa</v>
      </c>
      <c r="E547" s="596">
        <v>15001</v>
      </c>
      <c r="F547" s="596">
        <v>15002</v>
      </c>
      <c r="G547" s="596">
        <v>15003</v>
      </c>
      <c r="H547" s="596">
        <v>15004</v>
      </c>
      <c r="I547" s="596">
        <v>15005</v>
      </c>
      <c r="J547" s="596">
        <v>15006</v>
      </c>
      <c r="K547" s="596">
        <v>15007</v>
      </c>
      <c r="L547" s="596">
        <v>15008</v>
      </c>
      <c r="M547" s="596">
        <v>15009</v>
      </c>
      <c r="N547" s="596">
        <v>15010</v>
      </c>
      <c r="O547" s="835"/>
      <c r="P547" s="828"/>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row>
    <row r="548" spans="1:49" s="712" customFormat="1" ht="15.75" hidden="1" customHeight="1" outlineLevel="1" x14ac:dyDescent="0.2">
      <c r="A548" s="820"/>
      <c r="B548" s="820"/>
      <c r="C548" s="256"/>
      <c r="D548" s="501" t="str">
        <f>"Total "&amp;FleetTypeH&amp;" FLEET EM Records Generated pa"</f>
        <v>Total A320 FLEET EM Records Generated pa</v>
      </c>
      <c r="E548" s="505">
        <f t="shared" ref="E548:N548" si="116">E547*FleetSize_H</f>
        <v>15001</v>
      </c>
      <c r="F548" s="505">
        <f t="shared" si="116"/>
        <v>15002</v>
      </c>
      <c r="G548" s="505">
        <f t="shared" si="116"/>
        <v>15003</v>
      </c>
      <c r="H548" s="505">
        <f t="shared" si="116"/>
        <v>15004</v>
      </c>
      <c r="I548" s="505">
        <f t="shared" si="116"/>
        <v>15005</v>
      </c>
      <c r="J548" s="505">
        <f t="shared" si="116"/>
        <v>15006</v>
      </c>
      <c r="K548" s="505">
        <f t="shared" si="116"/>
        <v>15007</v>
      </c>
      <c r="L548" s="505">
        <f t="shared" si="116"/>
        <v>15008</v>
      </c>
      <c r="M548" s="505">
        <f t="shared" si="116"/>
        <v>15009</v>
      </c>
      <c r="N548" s="505">
        <f t="shared" si="116"/>
        <v>15010</v>
      </c>
      <c r="O548" s="285" t="s">
        <v>569</v>
      </c>
      <c r="P548" s="828"/>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row>
    <row r="549" spans="1:49" s="712" customFormat="1" ht="12.75" hidden="1" outlineLevel="1" x14ac:dyDescent="0.2">
      <c r="A549" s="820"/>
      <c r="B549" s="820"/>
      <c r="C549" s="256"/>
      <c r="D549" s="30"/>
      <c r="E549" s="30"/>
      <c r="F549" s="30"/>
      <c r="G549" s="30"/>
      <c r="H549" s="30"/>
      <c r="I549" s="30"/>
      <c r="J549" s="30"/>
      <c r="K549" s="30"/>
      <c r="L549" s="30"/>
      <c r="M549" s="30"/>
      <c r="N549" s="30"/>
      <c r="O549" s="839"/>
      <c r="P549" s="828"/>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row>
    <row r="550" spans="1:49" s="712" customFormat="1" ht="12.75" hidden="1" outlineLevel="1" x14ac:dyDescent="0.2">
      <c r="A550" s="820"/>
      <c r="B550" s="820"/>
      <c r="C550" s="847"/>
      <c r="D550" s="484" t="str">
        <f>FleetTypeH &amp;" Component Maintenance (CM)"</f>
        <v>A320 Component Maintenance (CM)</v>
      </c>
      <c r="E550" s="840"/>
      <c r="F550" s="840"/>
      <c r="G550" s="840"/>
      <c r="H550" s="840"/>
      <c r="I550" s="840"/>
      <c r="J550" s="840"/>
      <c r="K550" s="840"/>
      <c r="L550" s="840"/>
      <c r="M550" s="840"/>
      <c r="N550" s="840"/>
      <c r="O550" s="835"/>
      <c r="P550" s="828"/>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row>
    <row r="551" spans="1:49" s="712" customFormat="1" ht="12.75" hidden="1" outlineLevel="1" x14ac:dyDescent="0.2">
      <c r="A551" s="820"/>
      <c r="B551" s="820"/>
      <c r="C551" s="256"/>
      <c r="D551" s="233" t="str">
        <f>FleetTypeH&amp;" CM Per AIRCRAFT Records Generated pa"</f>
        <v>A320 CM Per AIRCRAFT Records Generated pa</v>
      </c>
      <c r="E551" s="596">
        <v>15001</v>
      </c>
      <c r="F551" s="596">
        <v>15002</v>
      </c>
      <c r="G551" s="596">
        <v>15003</v>
      </c>
      <c r="H551" s="596">
        <v>15004</v>
      </c>
      <c r="I551" s="596">
        <v>15005</v>
      </c>
      <c r="J551" s="596">
        <v>15006</v>
      </c>
      <c r="K551" s="596">
        <v>15007</v>
      </c>
      <c r="L551" s="596">
        <v>15008</v>
      </c>
      <c r="M551" s="596">
        <v>15009</v>
      </c>
      <c r="N551" s="596">
        <v>15010</v>
      </c>
      <c r="O551" s="835"/>
      <c r="P551" s="828"/>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row>
    <row r="552" spans="1:49" s="712" customFormat="1" ht="15.75" hidden="1" customHeight="1" outlineLevel="1" x14ac:dyDescent="0.2">
      <c r="A552" s="820"/>
      <c r="B552" s="820"/>
      <c r="C552" s="256"/>
      <c r="D552" s="501" t="str">
        <f>"Total "&amp;FleetTypeH&amp;" FLEET CM Records Generated pa"</f>
        <v>Total A320 FLEET CM Records Generated pa</v>
      </c>
      <c r="E552" s="505">
        <f t="shared" ref="E552:N552" si="117">E551*FleetSize_H</f>
        <v>15001</v>
      </c>
      <c r="F552" s="505">
        <f t="shared" si="117"/>
        <v>15002</v>
      </c>
      <c r="G552" s="505">
        <f t="shared" si="117"/>
        <v>15003</v>
      </c>
      <c r="H552" s="505">
        <f t="shared" si="117"/>
        <v>15004</v>
      </c>
      <c r="I552" s="505">
        <f t="shared" si="117"/>
        <v>15005</v>
      </c>
      <c r="J552" s="505">
        <f t="shared" si="117"/>
        <v>15006</v>
      </c>
      <c r="K552" s="505">
        <f t="shared" si="117"/>
        <v>15007</v>
      </c>
      <c r="L552" s="505">
        <f t="shared" si="117"/>
        <v>15008</v>
      </c>
      <c r="M552" s="505">
        <f t="shared" si="117"/>
        <v>15009</v>
      </c>
      <c r="N552" s="505">
        <f t="shared" si="117"/>
        <v>15010</v>
      </c>
      <c r="O552" s="285" t="s">
        <v>570</v>
      </c>
      <c r="P552" s="828"/>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row>
    <row r="553" spans="1:49" s="712" customFormat="1" ht="12.75" hidden="1" outlineLevel="1" x14ac:dyDescent="0.2">
      <c r="A553" s="820"/>
      <c r="B553" s="820"/>
      <c r="C553" s="256"/>
      <c r="D553" s="30"/>
      <c r="E553" s="30"/>
      <c r="F553" s="30"/>
      <c r="G553" s="30"/>
      <c r="H553" s="30"/>
      <c r="I553" s="30"/>
      <c r="J553" s="30"/>
      <c r="K553" s="30"/>
      <c r="L553" s="30"/>
      <c r="M553" s="30"/>
      <c r="N553" s="30"/>
      <c r="O553" s="839"/>
      <c r="P553" s="828"/>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row>
    <row r="554" spans="1:49" s="712" customFormat="1" ht="15.75" hidden="1" customHeight="1" outlineLevel="1" x14ac:dyDescent="0.2">
      <c r="A554" s="820"/>
      <c r="B554" s="820"/>
      <c r="C554" s="847"/>
      <c r="D554" s="484" t="str">
        <f>FleetTypeH &amp;" Sheetmetal &amp; Composite Structures (SMCS)"</f>
        <v>A320 Sheetmetal &amp; Composite Structures (SMCS)</v>
      </c>
      <c r="E554" s="840"/>
      <c r="F554" s="840"/>
      <c r="G554" s="840"/>
      <c r="H554" s="840"/>
      <c r="I554" s="840"/>
      <c r="J554" s="840"/>
      <c r="K554" s="840"/>
      <c r="L554" s="840"/>
      <c r="M554" s="840"/>
      <c r="N554" s="840"/>
      <c r="O554" s="835"/>
      <c r="P554" s="828"/>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row>
    <row r="555" spans="1:49" s="712" customFormat="1" ht="12.75" hidden="1" outlineLevel="1" x14ac:dyDescent="0.2">
      <c r="A555" s="820"/>
      <c r="B555" s="820"/>
      <c r="C555" s="256"/>
      <c r="D555" s="233" t="str">
        <f>FleetTypeH&amp;" SMCS Per AIRCRAFT Records Generated pa"</f>
        <v>A320 SMCS Per AIRCRAFT Records Generated pa</v>
      </c>
      <c r="E555" s="596">
        <v>15001</v>
      </c>
      <c r="F555" s="596">
        <v>15002</v>
      </c>
      <c r="G555" s="596">
        <v>15003</v>
      </c>
      <c r="H555" s="596">
        <v>15004</v>
      </c>
      <c r="I555" s="596">
        <v>15005</v>
      </c>
      <c r="J555" s="596">
        <v>15006</v>
      </c>
      <c r="K555" s="596">
        <v>15007</v>
      </c>
      <c r="L555" s="596">
        <v>15008</v>
      </c>
      <c r="M555" s="596">
        <v>15009</v>
      </c>
      <c r="N555" s="596">
        <v>15010</v>
      </c>
      <c r="O555" s="835"/>
      <c r="P555" s="828"/>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row>
    <row r="556" spans="1:49" s="712" customFormat="1" ht="15.75" hidden="1" customHeight="1" outlineLevel="1" x14ac:dyDescent="0.2">
      <c r="A556" s="820"/>
      <c r="B556" s="820"/>
      <c r="C556" s="256"/>
      <c r="D556" s="501" t="str">
        <f>"Total "&amp;FleetTypeH&amp;" FLEET SMCS Records Generated pa"</f>
        <v>Total A320 FLEET SMCS Records Generated pa</v>
      </c>
      <c r="E556" s="505">
        <f t="shared" ref="E556:N556" si="118">E555*FleetSize_H</f>
        <v>15001</v>
      </c>
      <c r="F556" s="505">
        <f t="shared" si="118"/>
        <v>15002</v>
      </c>
      <c r="G556" s="505">
        <f t="shared" si="118"/>
        <v>15003</v>
      </c>
      <c r="H556" s="505">
        <f t="shared" si="118"/>
        <v>15004</v>
      </c>
      <c r="I556" s="505">
        <f t="shared" si="118"/>
        <v>15005</v>
      </c>
      <c r="J556" s="505">
        <f t="shared" si="118"/>
        <v>15006</v>
      </c>
      <c r="K556" s="505">
        <f t="shared" si="118"/>
        <v>15007</v>
      </c>
      <c r="L556" s="505">
        <f t="shared" si="118"/>
        <v>15008</v>
      </c>
      <c r="M556" s="505">
        <f t="shared" si="118"/>
        <v>15009</v>
      </c>
      <c r="N556" s="505">
        <f t="shared" si="118"/>
        <v>15010</v>
      </c>
      <c r="O556" s="285" t="s">
        <v>571</v>
      </c>
      <c r="P556" s="828"/>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row>
    <row r="557" spans="1:49" s="712" customFormat="1" ht="12.75" hidden="1" outlineLevel="1" x14ac:dyDescent="0.2">
      <c r="A557" s="820"/>
      <c r="B557" s="820"/>
      <c r="C557" s="256"/>
      <c r="D557" s="30"/>
      <c r="E557" s="30"/>
      <c r="F557" s="30"/>
      <c r="G557" s="30"/>
      <c r="H557" s="30"/>
      <c r="I557" s="30"/>
      <c r="J557" s="30"/>
      <c r="K557" s="30"/>
      <c r="L557" s="30"/>
      <c r="M557" s="30"/>
      <c r="N557" s="30"/>
      <c r="O557" s="839"/>
      <c r="P557" s="828"/>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row>
    <row r="558" spans="1:49" s="712" customFormat="1" ht="12.75" hidden="1" outlineLevel="1" x14ac:dyDescent="0.2">
      <c r="A558" s="820"/>
      <c r="B558" s="820"/>
      <c r="C558" s="847"/>
      <c r="D558" s="484" t="str">
        <f>FleetTypeH &amp;" Other 1 (O1)"</f>
        <v>A320 Other 1 (O1)</v>
      </c>
      <c r="E558" s="840"/>
      <c r="F558" s="840"/>
      <c r="G558" s="840"/>
      <c r="H558" s="840"/>
      <c r="I558" s="840"/>
      <c r="J558" s="840"/>
      <c r="K558" s="840"/>
      <c r="L558" s="840"/>
      <c r="M558" s="840"/>
      <c r="N558" s="840"/>
      <c r="O558" s="835"/>
      <c r="P558" s="828"/>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row>
    <row r="559" spans="1:49" s="712" customFormat="1" ht="12.75" hidden="1" outlineLevel="1" x14ac:dyDescent="0.2">
      <c r="A559" s="820"/>
      <c r="B559" s="820"/>
      <c r="C559" s="256"/>
      <c r="D559" s="233" t="str">
        <f>FleetTypeH&amp;" O1 Per AIRCRAFT Records Generated pa"</f>
        <v>A320 O1 Per AIRCRAFT Records Generated pa</v>
      </c>
      <c r="E559" s="596">
        <v>15001</v>
      </c>
      <c r="F559" s="596">
        <v>15002</v>
      </c>
      <c r="G559" s="596">
        <v>15003</v>
      </c>
      <c r="H559" s="596">
        <v>15004</v>
      </c>
      <c r="I559" s="596">
        <v>15005</v>
      </c>
      <c r="J559" s="596">
        <v>15006</v>
      </c>
      <c r="K559" s="596">
        <v>15007</v>
      </c>
      <c r="L559" s="596">
        <v>15008</v>
      </c>
      <c r="M559" s="596">
        <v>15009</v>
      </c>
      <c r="N559" s="596">
        <v>15010</v>
      </c>
      <c r="O559" s="835"/>
      <c r="P559" s="828"/>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row>
    <row r="560" spans="1:49" s="712" customFormat="1" ht="15.75" hidden="1" customHeight="1" outlineLevel="1" x14ac:dyDescent="0.2">
      <c r="A560" s="820"/>
      <c r="B560" s="820"/>
      <c r="C560" s="256"/>
      <c r="D560" s="501" t="str">
        <f>"Total "&amp;FleetTypeH&amp;" FLEET O1 Records Generated pa"</f>
        <v>Total A320 FLEET O1 Records Generated pa</v>
      </c>
      <c r="E560" s="505">
        <f t="shared" ref="E560:N560" si="119">E559*FleetSize_H</f>
        <v>15001</v>
      </c>
      <c r="F560" s="505">
        <f t="shared" si="119"/>
        <v>15002</v>
      </c>
      <c r="G560" s="505">
        <f t="shared" si="119"/>
        <v>15003</v>
      </c>
      <c r="H560" s="505">
        <f t="shared" si="119"/>
        <v>15004</v>
      </c>
      <c r="I560" s="505">
        <f t="shared" si="119"/>
        <v>15005</v>
      </c>
      <c r="J560" s="505">
        <f t="shared" si="119"/>
        <v>15006</v>
      </c>
      <c r="K560" s="505">
        <f t="shared" si="119"/>
        <v>15007</v>
      </c>
      <c r="L560" s="505">
        <f t="shared" si="119"/>
        <v>15008</v>
      </c>
      <c r="M560" s="505">
        <f t="shared" si="119"/>
        <v>15009</v>
      </c>
      <c r="N560" s="505">
        <f t="shared" si="119"/>
        <v>15010</v>
      </c>
      <c r="O560" s="285" t="s">
        <v>572</v>
      </c>
      <c r="P560" s="828"/>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row>
    <row r="561" spans="1:49" s="712" customFormat="1" ht="12.75" hidden="1" outlineLevel="1" x14ac:dyDescent="0.2">
      <c r="A561" s="820"/>
      <c r="B561" s="820"/>
      <c r="C561" s="256"/>
      <c r="D561" s="30"/>
      <c r="E561" s="30"/>
      <c r="F561" s="30"/>
      <c r="G561" s="30"/>
      <c r="H561" s="30"/>
      <c r="I561" s="30"/>
      <c r="J561" s="30"/>
      <c r="K561" s="30"/>
      <c r="L561" s="30"/>
      <c r="M561" s="30"/>
      <c r="N561" s="30"/>
      <c r="O561" s="839"/>
      <c r="P561" s="828"/>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row>
    <row r="562" spans="1:49" s="712" customFormat="1" ht="12.75" hidden="1" outlineLevel="1" x14ac:dyDescent="0.2">
      <c r="A562" s="820"/>
      <c r="B562" s="820"/>
      <c r="C562" s="847"/>
      <c r="D562" s="484" t="str">
        <f>FleetTypeH &amp;" Other 2 (O2)"</f>
        <v>A320 Other 2 (O2)</v>
      </c>
      <c r="E562" s="840"/>
      <c r="F562" s="840"/>
      <c r="G562" s="840"/>
      <c r="H562" s="840"/>
      <c r="I562" s="840"/>
      <c r="J562" s="840"/>
      <c r="K562" s="840"/>
      <c r="L562" s="840"/>
      <c r="M562" s="840"/>
      <c r="N562" s="840"/>
      <c r="O562" s="835"/>
      <c r="P562" s="828"/>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row>
    <row r="563" spans="1:49" s="712" customFormat="1" ht="12.75" hidden="1" outlineLevel="1" x14ac:dyDescent="0.2">
      <c r="A563" s="820"/>
      <c r="B563" s="820"/>
      <c r="C563" s="256"/>
      <c r="D563" s="233" t="str">
        <f>FleetTypeH&amp;" O2 Per AIRCRAFT Records Generated pa"</f>
        <v>A320 O2 Per AIRCRAFT Records Generated pa</v>
      </c>
      <c r="E563" s="596">
        <v>15001</v>
      </c>
      <c r="F563" s="596">
        <v>15002</v>
      </c>
      <c r="G563" s="596">
        <v>15003</v>
      </c>
      <c r="H563" s="596">
        <v>15004</v>
      </c>
      <c r="I563" s="596">
        <v>15005</v>
      </c>
      <c r="J563" s="596">
        <v>15006</v>
      </c>
      <c r="K563" s="596">
        <v>15007</v>
      </c>
      <c r="L563" s="596">
        <v>15008</v>
      </c>
      <c r="M563" s="596">
        <v>15009</v>
      </c>
      <c r="N563" s="596">
        <v>15010</v>
      </c>
      <c r="O563" s="835"/>
      <c r="P563" s="828"/>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row>
    <row r="564" spans="1:49" s="712" customFormat="1" ht="15.75" hidden="1" customHeight="1" outlineLevel="1" x14ac:dyDescent="0.2">
      <c r="A564" s="820"/>
      <c r="B564" s="820"/>
      <c r="C564" s="256"/>
      <c r="D564" s="501" t="str">
        <f>"Total "&amp;FleetTypeH&amp;" FLEET O2 Records Generated pa"</f>
        <v>Total A320 FLEET O2 Records Generated pa</v>
      </c>
      <c r="E564" s="505">
        <f t="shared" ref="E564:N564" si="120">E563*FleetSize_H</f>
        <v>15001</v>
      </c>
      <c r="F564" s="505">
        <f t="shared" si="120"/>
        <v>15002</v>
      </c>
      <c r="G564" s="505">
        <f t="shared" si="120"/>
        <v>15003</v>
      </c>
      <c r="H564" s="505">
        <f t="shared" si="120"/>
        <v>15004</v>
      </c>
      <c r="I564" s="505">
        <f t="shared" si="120"/>
        <v>15005</v>
      </c>
      <c r="J564" s="505">
        <f t="shared" si="120"/>
        <v>15006</v>
      </c>
      <c r="K564" s="505">
        <f t="shared" si="120"/>
        <v>15007</v>
      </c>
      <c r="L564" s="505">
        <f t="shared" si="120"/>
        <v>15008</v>
      </c>
      <c r="M564" s="505">
        <f t="shared" si="120"/>
        <v>15009</v>
      </c>
      <c r="N564" s="505">
        <f t="shared" si="120"/>
        <v>15010</v>
      </c>
      <c r="O564" s="285" t="s">
        <v>574</v>
      </c>
      <c r="P564" s="828"/>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row>
    <row r="565" spans="1:49" s="712" customFormat="1" ht="12.75" hidden="1" outlineLevel="1" x14ac:dyDescent="0.2">
      <c r="A565" s="820"/>
      <c r="B565" s="820"/>
      <c r="C565" s="256"/>
      <c r="D565" s="30"/>
      <c r="E565" s="30"/>
      <c r="F565" s="30"/>
      <c r="G565" s="30"/>
      <c r="H565" s="30"/>
      <c r="I565" s="30"/>
      <c r="J565" s="30"/>
      <c r="K565" s="30"/>
      <c r="L565" s="30"/>
      <c r="M565" s="30"/>
      <c r="N565" s="30"/>
      <c r="O565" s="839"/>
      <c r="P565" s="828"/>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row>
    <row r="566" spans="1:49" s="712" customFormat="1" ht="21.75" hidden="1" customHeight="1" outlineLevel="1" x14ac:dyDescent="0.2">
      <c r="A566" s="820"/>
      <c r="B566" s="820"/>
      <c r="C566" s="848"/>
      <c r="D566" s="849" t="str">
        <f>"Grand Total ("&amp;(FleetTypeH)&amp;") "&amp;"Records Generated pa"</f>
        <v>Grand Total (A320) Records Generated pa</v>
      </c>
      <c r="E566" s="714">
        <f t="shared" ref="E566:N566" si="121">SUM(RecordsHMFleetTotalpa_H+RecordsLMFleetTotalpa_H+RecordsEngFleetTotalpa_H+RecordsPlgFleetTotalpa_H+RecordsCRTFleetTotalpa_H+RecordsSCLFleetTotalpa_H+RecordsQSCFleetTotalpa_H+RecordsEMFleetTotalpa_H+RecordsCMFleetTotalpa_H+RecordsSMCSFleetTotalpa_H+RecordsO1FleetTotalpa_H+RecordsO2FleetTotalpa_H)</f>
        <v>147961</v>
      </c>
      <c r="F566" s="714">
        <f t="shared" si="121"/>
        <v>147793.42857142858</v>
      </c>
      <c r="G566" s="714">
        <f t="shared" si="121"/>
        <v>147670.5</v>
      </c>
      <c r="H566" s="714">
        <f t="shared" si="121"/>
        <v>148015.42857142858</v>
      </c>
      <c r="I566" s="714">
        <f t="shared" si="121"/>
        <v>148126.42857142858</v>
      </c>
      <c r="J566" s="714">
        <f t="shared" si="121"/>
        <v>148237.42857142858</v>
      </c>
      <c r="K566" s="714">
        <f t="shared" si="121"/>
        <v>148348.42857142858</v>
      </c>
      <c r="L566" s="714">
        <f t="shared" si="121"/>
        <v>148459.42857142858</v>
      </c>
      <c r="M566" s="714">
        <f t="shared" si="121"/>
        <v>148570.42857142858</v>
      </c>
      <c r="N566" s="714">
        <f t="shared" si="121"/>
        <v>148681.42857142858</v>
      </c>
      <c r="O566" s="285" t="s">
        <v>575</v>
      </c>
      <c r="P566" s="828"/>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row>
    <row r="567" spans="1:49" s="193" customFormat="1" ht="13.5" hidden="1" outlineLevel="1" thickBot="1" x14ac:dyDescent="0.25">
      <c r="A567" s="820"/>
      <c r="B567" s="833"/>
      <c r="C567" s="858"/>
      <c r="D567" s="529"/>
      <c r="E567" s="859"/>
      <c r="F567" s="859"/>
      <c r="G567" s="859"/>
      <c r="H567" s="859"/>
      <c r="I567" s="859"/>
      <c r="J567" s="859"/>
      <c r="K567" s="859"/>
      <c r="L567" s="859"/>
      <c r="M567" s="859"/>
      <c r="N567" s="859"/>
      <c r="O567" s="860"/>
      <c r="P567" s="828"/>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row>
    <row r="568" spans="1:49" s="193" customFormat="1" ht="12.75" hidden="1" outlineLevel="1" x14ac:dyDescent="0.2">
      <c r="A568" s="820"/>
      <c r="B568" s="833"/>
      <c r="C568" s="833"/>
      <c r="D568" s="30"/>
      <c r="E568" s="833"/>
      <c r="F568" s="833"/>
      <c r="G568" s="833"/>
      <c r="H568" s="833"/>
      <c r="I568" s="833"/>
      <c r="J568" s="833"/>
      <c r="K568" s="833"/>
      <c r="L568" s="833"/>
      <c r="M568" s="833"/>
      <c r="N568" s="833"/>
      <c r="O568" s="833"/>
      <c r="P568" s="828"/>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row>
    <row r="569" spans="1:49" s="122" customFormat="1" ht="15.75" collapsed="1" x14ac:dyDescent="0.2">
      <c r="A569" s="1043">
        <v>10</v>
      </c>
      <c r="B569" s="1039"/>
      <c r="C569" s="1039"/>
      <c r="D569" s="1039"/>
      <c r="E569" s="1039"/>
      <c r="F569" s="1039"/>
      <c r="G569" s="1039"/>
      <c r="H569" s="1039"/>
      <c r="I569" s="1039"/>
      <c r="J569" s="1039"/>
      <c r="K569" s="1039"/>
      <c r="L569" s="1039"/>
      <c r="M569" s="1039"/>
      <c r="N569" s="1039"/>
      <c r="O569" s="1039"/>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row>
    <row r="570" spans="1:49" s="712" customFormat="1" ht="13.5" thickBot="1" x14ac:dyDescent="0.25">
      <c r="A570" s="820"/>
      <c r="B570" s="180"/>
      <c r="C570" s="852"/>
      <c r="D570" s="820"/>
      <c r="E570" s="840"/>
      <c r="F570" s="840"/>
      <c r="G570" s="840"/>
      <c r="H570" s="840"/>
      <c r="I570" s="840"/>
      <c r="J570" s="840"/>
      <c r="K570" s="840"/>
      <c r="L570" s="840"/>
      <c r="M570" s="840"/>
      <c r="N570" s="840"/>
      <c r="O570" s="828"/>
      <c r="P570" s="828"/>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row>
    <row r="571" spans="1:49" s="712" customFormat="1" ht="31.5" x14ac:dyDescent="0.2">
      <c r="A571" s="1342" t="str">
        <f>"Purpose - To calculate Total Records generated by 'FleetTypeI'          " &amp; (FleetTypeI)</f>
        <v>Purpose - To calculate Total Records generated by 'FleetTypeI'          A321</v>
      </c>
      <c r="B571" s="180"/>
      <c r="C571" s="1343" t="str">
        <f>FleetTypeI &amp;" (FleetTypeI) Records
Generated pa"</f>
        <v>A321 (FleetTypeI) Records
Generated pa</v>
      </c>
      <c r="D571" s="853"/>
      <c r="E571" s="853"/>
      <c r="F571" s="853"/>
      <c r="G571" s="853"/>
      <c r="H571" s="853"/>
      <c r="I571" s="853"/>
      <c r="J571" s="853"/>
      <c r="K571" s="853"/>
      <c r="L571" s="853"/>
      <c r="M571" s="853"/>
      <c r="N571" s="853"/>
      <c r="O571" s="854"/>
      <c r="P571" s="828"/>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row>
    <row r="572" spans="1:49" s="193" customFormat="1" ht="12.75" x14ac:dyDescent="0.2">
      <c r="A572" s="820"/>
      <c r="B572" s="833"/>
      <c r="C572" s="833"/>
      <c r="D572" s="30"/>
      <c r="E572" s="833"/>
      <c r="F572" s="833"/>
      <c r="G572" s="833"/>
      <c r="H572" s="833"/>
      <c r="I572" s="833"/>
      <c r="J572" s="833"/>
      <c r="K572" s="833"/>
      <c r="L572" s="833"/>
      <c r="M572" s="833"/>
      <c r="N572" s="833"/>
      <c r="O572" s="833"/>
      <c r="P572" s="828"/>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row>
    <row r="573" spans="1:49" s="193" customFormat="1" ht="13.5" hidden="1" outlineLevel="1" collapsed="1" thickBot="1" x14ac:dyDescent="0.25">
      <c r="A573" s="820"/>
      <c r="B573" s="820"/>
      <c r="C573" s="820"/>
      <c r="D573" s="278"/>
      <c r="E573" s="278"/>
      <c r="F573" s="278"/>
      <c r="G573" s="278"/>
      <c r="H573" s="278"/>
      <c r="I573" s="278"/>
      <c r="J573" s="278"/>
      <c r="K573" s="278"/>
      <c r="L573" s="278"/>
      <c r="M573" s="278"/>
      <c r="N573" s="278"/>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row>
    <row r="574" spans="1:49" s="712" customFormat="1" ht="20.100000000000001" hidden="1" customHeight="1" outlineLevel="1" x14ac:dyDescent="0.2">
      <c r="A574" s="820"/>
      <c r="B574" s="180"/>
      <c r="C574" s="1344"/>
      <c r="D574" s="853"/>
      <c r="E574" s="853"/>
      <c r="F574" s="853"/>
      <c r="G574" s="853"/>
      <c r="H574" s="853"/>
      <c r="I574" s="853"/>
      <c r="J574" s="853"/>
      <c r="K574" s="853"/>
      <c r="L574" s="853"/>
      <c r="M574" s="853"/>
      <c r="N574" s="853"/>
      <c r="O574" s="854"/>
      <c r="P574" s="828"/>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row>
    <row r="575" spans="1:49" s="193" customFormat="1" ht="20.25" hidden="1" customHeight="1" outlineLevel="1" x14ac:dyDescent="0.2">
      <c r="A575" s="820"/>
      <c r="B575" s="180"/>
      <c r="C575" s="256"/>
      <c r="D575" s="484" t="str">
        <f>FleetTypeI &amp;" Heavy Maintenance (HM)"</f>
        <v>A321 Heavy Maintenance (HM)</v>
      </c>
      <c r="E575" s="820"/>
      <c r="F575" s="39"/>
      <c r="G575" s="822"/>
      <c r="H575" s="822"/>
      <c r="I575" s="822"/>
      <c r="J575" s="822"/>
      <c r="K575" s="822"/>
      <c r="L575" s="822"/>
      <c r="M575" s="822"/>
      <c r="N575" s="822"/>
      <c r="O575" s="829"/>
      <c r="P575" s="828"/>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row>
    <row r="576" spans="1:49" s="193" customFormat="1" ht="15" hidden="1" customHeight="1" outlineLevel="1" x14ac:dyDescent="0.2">
      <c r="A576" s="820"/>
      <c r="B576" s="830"/>
      <c r="C576" s="831"/>
      <c r="D576" s="501" t="str">
        <f>FleetTypeI&amp;" HM Cycle (Years)"</f>
        <v>A321 HM Cycle (Years)</v>
      </c>
      <c r="E576" s="855">
        <v>12</v>
      </c>
      <c r="F576" s="855">
        <v>14</v>
      </c>
      <c r="G576" s="855">
        <v>16</v>
      </c>
      <c r="H576" s="855">
        <v>14</v>
      </c>
      <c r="I576" s="855">
        <v>14</v>
      </c>
      <c r="J576" s="855">
        <v>14</v>
      </c>
      <c r="K576" s="855">
        <v>14</v>
      </c>
      <c r="L576" s="855">
        <v>14</v>
      </c>
      <c r="M576" s="855">
        <v>14</v>
      </c>
      <c r="N576" s="855">
        <v>14</v>
      </c>
      <c r="O576" s="257" t="s">
        <v>488</v>
      </c>
      <c r="P576" s="828"/>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row>
    <row r="577" spans="1:49" s="193" customFormat="1" ht="12.95" hidden="1" customHeight="1" outlineLevel="1" x14ac:dyDescent="0.2">
      <c r="A577" s="820"/>
      <c r="B577" s="833"/>
      <c r="C577" s="834"/>
      <c r="D577" s="820"/>
      <c r="E577" s="833"/>
      <c r="F577" s="833"/>
      <c r="G577" s="833"/>
      <c r="H577" s="833"/>
      <c r="I577" s="833"/>
      <c r="J577" s="833"/>
      <c r="K577" s="833"/>
      <c r="L577" s="833"/>
      <c r="M577" s="833"/>
      <c r="N577" s="833"/>
      <c r="O577" s="835"/>
      <c r="P577" s="828"/>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row>
    <row r="578" spans="1:49" s="193" customFormat="1" ht="12.75" hidden="1" customHeight="1" outlineLevel="1" x14ac:dyDescent="0.2">
      <c r="A578" s="820"/>
      <c r="B578" s="30"/>
      <c r="C578" s="256"/>
      <c r="D578" s="57" t="s">
        <v>256</v>
      </c>
      <c r="E578" s="856">
        <v>1100</v>
      </c>
      <c r="F578" s="856">
        <v>1200</v>
      </c>
      <c r="G578" s="856">
        <v>1300</v>
      </c>
      <c r="H578" s="856">
        <v>1400</v>
      </c>
      <c r="I578" s="856">
        <v>1500</v>
      </c>
      <c r="J578" s="856">
        <v>1600</v>
      </c>
      <c r="K578" s="856">
        <v>1700</v>
      </c>
      <c r="L578" s="856">
        <v>1800</v>
      </c>
      <c r="M578" s="856">
        <v>1900</v>
      </c>
      <c r="N578" s="856">
        <v>2000</v>
      </c>
      <c r="O578" s="835"/>
      <c r="P578" s="828"/>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row>
    <row r="579" spans="1:49" s="193" customFormat="1" ht="12.95" hidden="1" customHeight="1" outlineLevel="1" x14ac:dyDescent="0.2">
      <c r="A579" s="820"/>
      <c r="B579" s="833"/>
      <c r="C579" s="837"/>
      <c r="D579" s="57" t="s">
        <v>257</v>
      </c>
      <c r="E579" s="857">
        <v>2100</v>
      </c>
      <c r="F579" s="857">
        <v>2200</v>
      </c>
      <c r="G579" s="857">
        <v>2300</v>
      </c>
      <c r="H579" s="857">
        <v>2400</v>
      </c>
      <c r="I579" s="857">
        <v>2500</v>
      </c>
      <c r="J579" s="857">
        <v>2600</v>
      </c>
      <c r="K579" s="857">
        <v>2700</v>
      </c>
      <c r="L579" s="857">
        <v>2800</v>
      </c>
      <c r="M579" s="857">
        <v>2900</v>
      </c>
      <c r="N579" s="857">
        <v>3000</v>
      </c>
      <c r="O579" s="835"/>
      <c r="P579" s="828"/>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row>
    <row r="580" spans="1:49" s="193" customFormat="1" ht="12.95" hidden="1" customHeight="1" outlineLevel="1" x14ac:dyDescent="0.2">
      <c r="A580" s="820"/>
      <c r="B580" s="833"/>
      <c r="C580" s="837"/>
      <c r="D580" s="57" t="s">
        <v>258</v>
      </c>
      <c r="E580" s="857" t="s">
        <v>20</v>
      </c>
      <c r="F580" s="857" t="s">
        <v>20</v>
      </c>
      <c r="G580" s="857" t="s">
        <v>20</v>
      </c>
      <c r="H580" s="857" t="s">
        <v>20</v>
      </c>
      <c r="I580" s="857" t="s">
        <v>20</v>
      </c>
      <c r="J580" s="857" t="s">
        <v>20</v>
      </c>
      <c r="K580" s="857" t="s">
        <v>20</v>
      </c>
      <c r="L580" s="857" t="s">
        <v>20</v>
      </c>
      <c r="M580" s="857" t="s">
        <v>20</v>
      </c>
      <c r="N580" s="857" t="s">
        <v>20</v>
      </c>
      <c r="O580" s="835"/>
      <c r="P580" s="828"/>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row>
    <row r="581" spans="1:49" s="193" customFormat="1" ht="12.95" hidden="1" customHeight="1" outlineLevel="1" x14ac:dyDescent="0.2">
      <c r="A581" s="820"/>
      <c r="B581" s="833"/>
      <c r="C581" s="837"/>
      <c r="D581" s="57" t="s">
        <v>259</v>
      </c>
      <c r="E581" s="857">
        <v>4100</v>
      </c>
      <c r="F581" s="857">
        <v>4200</v>
      </c>
      <c r="G581" s="857">
        <v>4300</v>
      </c>
      <c r="H581" s="857">
        <v>4400</v>
      </c>
      <c r="I581" s="857">
        <v>4500</v>
      </c>
      <c r="J581" s="857">
        <v>4600</v>
      </c>
      <c r="K581" s="857">
        <v>4700</v>
      </c>
      <c r="L581" s="857">
        <v>4800</v>
      </c>
      <c r="M581" s="857">
        <v>4900</v>
      </c>
      <c r="N581" s="857">
        <v>5000</v>
      </c>
      <c r="O581" s="835"/>
      <c r="P581" s="828"/>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row>
    <row r="582" spans="1:49" s="193" customFormat="1" ht="12.95" hidden="1" customHeight="1" outlineLevel="1" x14ac:dyDescent="0.2">
      <c r="A582" s="820"/>
      <c r="B582" s="833"/>
      <c r="C582" s="837"/>
      <c r="D582" s="57" t="s">
        <v>260</v>
      </c>
      <c r="E582" s="857" t="s">
        <v>20</v>
      </c>
      <c r="F582" s="857" t="s">
        <v>20</v>
      </c>
      <c r="G582" s="857" t="s">
        <v>20</v>
      </c>
      <c r="H582" s="857" t="s">
        <v>20</v>
      </c>
      <c r="I582" s="857" t="s">
        <v>20</v>
      </c>
      <c r="J582" s="857" t="s">
        <v>20</v>
      </c>
      <c r="K582" s="857" t="s">
        <v>20</v>
      </c>
      <c r="L582" s="857" t="s">
        <v>20</v>
      </c>
      <c r="M582" s="857" t="s">
        <v>20</v>
      </c>
      <c r="N582" s="857" t="s">
        <v>20</v>
      </c>
      <c r="O582" s="835"/>
      <c r="P582" s="828"/>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row>
    <row r="583" spans="1:49" s="193" customFormat="1" ht="12.95" hidden="1" customHeight="1" outlineLevel="1" x14ac:dyDescent="0.2">
      <c r="A583" s="820"/>
      <c r="B583" s="833"/>
      <c r="C583" s="837"/>
      <c r="D583" s="57" t="s">
        <v>261</v>
      </c>
      <c r="E583" s="857">
        <v>7100</v>
      </c>
      <c r="F583" s="857">
        <v>7200</v>
      </c>
      <c r="G583" s="857">
        <v>7300</v>
      </c>
      <c r="H583" s="857">
        <v>7400</v>
      </c>
      <c r="I583" s="857">
        <v>7500</v>
      </c>
      <c r="J583" s="857">
        <v>7600</v>
      </c>
      <c r="K583" s="857">
        <v>7700</v>
      </c>
      <c r="L583" s="857">
        <v>7800</v>
      </c>
      <c r="M583" s="857">
        <v>7900</v>
      </c>
      <c r="N583" s="857">
        <v>8000</v>
      </c>
      <c r="O583" s="835"/>
      <c r="P583" s="828"/>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row>
    <row r="584" spans="1:49" s="193" customFormat="1" ht="12.95" hidden="1" customHeight="1" outlineLevel="1" x14ac:dyDescent="0.2">
      <c r="A584" s="820"/>
      <c r="B584" s="833"/>
      <c r="C584" s="837"/>
      <c r="D584" s="57" t="s">
        <v>262</v>
      </c>
      <c r="E584" s="857" t="s">
        <v>20</v>
      </c>
      <c r="F584" s="857" t="s">
        <v>20</v>
      </c>
      <c r="G584" s="857" t="s">
        <v>20</v>
      </c>
      <c r="H584" s="857" t="s">
        <v>20</v>
      </c>
      <c r="I584" s="857" t="s">
        <v>20</v>
      </c>
      <c r="J584" s="857" t="s">
        <v>20</v>
      </c>
      <c r="K584" s="857" t="s">
        <v>20</v>
      </c>
      <c r="L584" s="857" t="s">
        <v>20</v>
      </c>
      <c r="M584" s="857" t="s">
        <v>20</v>
      </c>
      <c r="N584" s="857" t="s">
        <v>20</v>
      </c>
      <c r="O584" s="835"/>
      <c r="P584" s="828"/>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row>
    <row r="585" spans="1:49" s="193" customFormat="1" ht="12.95" hidden="1" customHeight="1" outlineLevel="1" x14ac:dyDescent="0.2">
      <c r="A585" s="820"/>
      <c r="B585" s="833"/>
      <c r="C585" s="837"/>
      <c r="D585" s="57" t="s">
        <v>263</v>
      </c>
      <c r="E585" s="857">
        <v>9000</v>
      </c>
      <c r="F585" s="857">
        <v>10000</v>
      </c>
      <c r="G585" s="857">
        <v>11000</v>
      </c>
      <c r="H585" s="857">
        <v>12000</v>
      </c>
      <c r="I585" s="857">
        <v>13000</v>
      </c>
      <c r="J585" s="857">
        <v>14000</v>
      </c>
      <c r="K585" s="857">
        <v>15000</v>
      </c>
      <c r="L585" s="857">
        <v>16000</v>
      </c>
      <c r="M585" s="857">
        <v>17000</v>
      </c>
      <c r="N585" s="857">
        <v>18000</v>
      </c>
      <c r="O585" s="835"/>
      <c r="P585" s="828"/>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row>
    <row r="586" spans="1:49" s="193" customFormat="1" ht="12.95" hidden="1" customHeight="1" outlineLevel="1" x14ac:dyDescent="0.2">
      <c r="A586" s="820"/>
      <c r="B586" s="833"/>
      <c r="C586" s="837"/>
      <c r="D586" s="60" t="s">
        <v>113</v>
      </c>
      <c r="E586" s="502">
        <f t="shared" ref="E586:H586" si="122">SUM(E578:E585)</f>
        <v>23400</v>
      </c>
      <c r="F586" s="502">
        <f t="shared" si="122"/>
        <v>24800</v>
      </c>
      <c r="G586" s="502">
        <f t="shared" si="122"/>
        <v>26200</v>
      </c>
      <c r="H586" s="502">
        <f t="shared" si="122"/>
        <v>27600</v>
      </c>
      <c r="I586" s="502">
        <f t="shared" ref="I586:N586" si="123">SUM(I578:I585)</f>
        <v>29000</v>
      </c>
      <c r="J586" s="502">
        <f t="shared" si="123"/>
        <v>30400</v>
      </c>
      <c r="K586" s="502">
        <f t="shared" si="123"/>
        <v>31800</v>
      </c>
      <c r="L586" s="502">
        <f t="shared" si="123"/>
        <v>33200</v>
      </c>
      <c r="M586" s="502">
        <f t="shared" si="123"/>
        <v>34600</v>
      </c>
      <c r="N586" s="502">
        <f t="shared" si="123"/>
        <v>36000</v>
      </c>
      <c r="O586" s="285" t="s">
        <v>584</v>
      </c>
      <c r="P586" s="828"/>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row>
    <row r="587" spans="1:49" s="193" customFormat="1" ht="12.75" hidden="1" outlineLevel="1" x14ac:dyDescent="0.2">
      <c r="A587" s="820"/>
      <c r="B587" s="833"/>
      <c r="C587" s="837"/>
      <c r="D587" s="501" t="str">
        <f>"Total "&amp;FleetTypeI&amp;" FLEET HM Records Generated pa"</f>
        <v>Total A321 FLEET HM Records Generated pa</v>
      </c>
      <c r="E587" s="503">
        <f t="shared" ref="E587:N587" si="124">E586/FleetCycleHvy_I*FleetSize_I</f>
        <v>3900</v>
      </c>
      <c r="F587" s="503">
        <f t="shared" si="124"/>
        <v>3542.8571428571427</v>
      </c>
      <c r="G587" s="503">
        <f t="shared" si="124"/>
        <v>3275</v>
      </c>
      <c r="H587" s="503">
        <f t="shared" si="124"/>
        <v>3942.8571428571427</v>
      </c>
      <c r="I587" s="503">
        <f t="shared" si="124"/>
        <v>4142.8571428571431</v>
      </c>
      <c r="J587" s="503">
        <f t="shared" si="124"/>
        <v>4342.8571428571431</v>
      </c>
      <c r="K587" s="503">
        <f t="shared" si="124"/>
        <v>4542.8571428571431</v>
      </c>
      <c r="L587" s="503">
        <f t="shared" si="124"/>
        <v>4742.8571428571431</v>
      </c>
      <c r="M587" s="503">
        <f t="shared" si="124"/>
        <v>4942.8571428571431</v>
      </c>
      <c r="N587" s="503">
        <f t="shared" si="124"/>
        <v>5142.8571428571431</v>
      </c>
      <c r="O587" s="285" t="s">
        <v>576</v>
      </c>
      <c r="P587" s="828"/>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row>
    <row r="588" spans="1:49" s="712" customFormat="1" ht="12.75" hidden="1" outlineLevel="1" x14ac:dyDescent="0.2">
      <c r="A588" s="820"/>
      <c r="B588" s="820"/>
      <c r="C588" s="837"/>
      <c r="D588" s="30"/>
      <c r="E588" s="30"/>
      <c r="F588" s="30"/>
      <c r="G588" s="30"/>
      <c r="H588" s="30"/>
      <c r="I588" s="30"/>
      <c r="J588" s="30"/>
      <c r="K588" s="30"/>
      <c r="L588" s="30"/>
      <c r="M588" s="30"/>
      <c r="N588" s="30"/>
      <c r="O588" s="839"/>
      <c r="P588" s="828"/>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row>
    <row r="589" spans="1:49" s="712" customFormat="1" ht="12.75" hidden="1" outlineLevel="1" x14ac:dyDescent="0.2">
      <c r="A589" s="820"/>
      <c r="B589" s="820"/>
      <c r="C589" s="837"/>
      <c r="D589" s="484" t="str">
        <f>FleetTypeI &amp;" Line Maintenance (LM)"</f>
        <v>A321 Line Maintenance (LM)</v>
      </c>
      <c r="E589" s="840"/>
      <c r="F589" s="840"/>
      <c r="G589" s="840"/>
      <c r="H589" s="840"/>
      <c r="I589" s="840"/>
      <c r="J589" s="840"/>
      <c r="K589" s="840"/>
      <c r="L589" s="840"/>
      <c r="M589" s="840"/>
      <c r="N589" s="840"/>
      <c r="O589" s="839"/>
      <c r="P589" s="828"/>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row>
    <row r="590" spans="1:49" s="712" customFormat="1" ht="12.75" hidden="1" outlineLevel="1" x14ac:dyDescent="0.2">
      <c r="A590" s="820"/>
      <c r="B590" s="841"/>
      <c r="C590" s="837"/>
      <c r="D590" s="233" t="str">
        <f>FleetTypeI&amp; " LM Per AIRCRAFT Records Generated pa"</f>
        <v>A321 LM Per AIRCRAFT Records Generated pa</v>
      </c>
      <c r="E590" s="596">
        <v>10001</v>
      </c>
      <c r="F590" s="596">
        <v>10002</v>
      </c>
      <c r="G590" s="596">
        <v>10003</v>
      </c>
      <c r="H590" s="596">
        <v>10004</v>
      </c>
      <c r="I590" s="596">
        <v>10005</v>
      </c>
      <c r="J590" s="596">
        <v>10006</v>
      </c>
      <c r="K590" s="596">
        <v>10007</v>
      </c>
      <c r="L590" s="596">
        <v>10008</v>
      </c>
      <c r="M590" s="596">
        <v>10009</v>
      </c>
      <c r="N590" s="596">
        <v>10010</v>
      </c>
      <c r="O590" s="839"/>
      <c r="P590" s="828"/>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row>
    <row r="591" spans="1:49" s="712" customFormat="1" ht="12.75" hidden="1" outlineLevel="1" x14ac:dyDescent="0.2">
      <c r="A591" s="820"/>
      <c r="B591" s="841"/>
      <c r="C591" s="843"/>
      <c r="D591" s="501" t="str">
        <f>"Total "&amp;FleetTypeI&amp;" FLEET LM Records Generated pa"</f>
        <v>Total A321 FLEET LM Records Generated pa</v>
      </c>
      <c r="E591" s="505">
        <f t="shared" ref="E591:N591" si="125">E590*FleetSize_I</f>
        <v>20002</v>
      </c>
      <c r="F591" s="505">
        <f t="shared" si="125"/>
        <v>20004</v>
      </c>
      <c r="G591" s="505">
        <f t="shared" si="125"/>
        <v>20006</v>
      </c>
      <c r="H591" s="505">
        <f t="shared" si="125"/>
        <v>20008</v>
      </c>
      <c r="I591" s="505">
        <f t="shared" si="125"/>
        <v>20010</v>
      </c>
      <c r="J591" s="505">
        <f t="shared" si="125"/>
        <v>20012</v>
      </c>
      <c r="K591" s="505">
        <f t="shared" si="125"/>
        <v>20014</v>
      </c>
      <c r="L591" s="505">
        <f t="shared" si="125"/>
        <v>20016</v>
      </c>
      <c r="M591" s="505">
        <f t="shared" si="125"/>
        <v>20018</v>
      </c>
      <c r="N591" s="505">
        <f t="shared" si="125"/>
        <v>20020</v>
      </c>
      <c r="O591" s="285" t="s">
        <v>487</v>
      </c>
      <c r="P591" s="828"/>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row>
    <row r="592" spans="1:49" s="712" customFormat="1" ht="12.75" hidden="1" outlineLevel="1" x14ac:dyDescent="0.2">
      <c r="A592" s="820"/>
      <c r="B592" s="820"/>
      <c r="C592" s="843"/>
      <c r="D592" s="30"/>
      <c r="E592" s="30"/>
      <c r="F592" s="30"/>
      <c r="G592" s="30"/>
      <c r="H592" s="30"/>
      <c r="I592" s="30"/>
      <c r="J592" s="30"/>
      <c r="K592" s="30"/>
      <c r="L592" s="30"/>
      <c r="M592" s="30"/>
      <c r="N592" s="30"/>
      <c r="O592" s="839"/>
      <c r="P592" s="828"/>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row>
    <row r="593" spans="1:49" s="712" customFormat="1" ht="12.75" hidden="1" outlineLevel="1" x14ac:dyDescent="0.2">
      <c r="A593" s="820"/>
      <c r="B593" s="820"/>
      <c r="C593" s="843"/>
      <c r="D593" s="484" t="str">
        <f>FleetTypeA &amp;" Engineering (Eng)"</f>
        <v>B737-300/400 Engineering (Eng)</v>
      </c>
      <c r="E593" s="840"/>
      <c r="F593" s="840"/>
      <c r="G593" s="840"/>
      <c r="H593" s="840"/>
      <c r="I593" s="840"/>
      <c r="J593" s="840"/>
      <c r="K593" s="840"/>
      <c r="L593" s="840"/>
      <c r="M593" s="840"/>
      <c r="N593" s="840"/>
      <c r="O593" s="839"/>
      <c r="P593" s="828"/>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row>
    <row r="594" spans="1:49" s="712" customFormat="1" ht="12.75" hidden="1" outlineLevel="1" x14ac:dyDescent="0.2">
      <c r="A594" s="820"/>
      <c r="B594" s="820"/>
      <c r="C594" s="843"/>
      <c r="D594" s="233" t="str">
        <f>FleetTypeI&amp;" Eng Per AIRCRAFT Records Generated pa"</f>
        <v>A321 Eng Per AIRCRAFT Records Generated pa</v>
      </c>
      <c r="E594" s="842">
        <v>11001</v>
      </c>
      <c r="F594" s="842">
        <v>11002</v>
      </c>
      <c r="G594" s="842">
        <v>11003</v>
      </c>
      <c r="H594" s="842">
        <v>11004</v>
      </c>
      <c r="I594" s="842">
        <v>11005</v>
      </c>
      <c r="J594" s="842">
        <v>11006</v>
      </c>
      <c r="K594" s="842">
        <v>11007</v>
      </c>
      <c r="L594" s="842">
        <v>11008</v>
      </c>
      <c r="M594" s="842">
        <v>11009</v>
      </c>
      <c r="N594" s="842">
        <v>11010</v>
      </c>
      <c r="O594" s="839"/>
      <c r="P594" s="828"/>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row>
    <row r="595" spans="1:49" s="712" customFormat="1" ht="15.75" hidden="1" customHeight="1" outlineLevel="1" x14ac:dyDescent="0.2">
      <c r="A595" s="820"/>
      <c r="B595" s="820"/>
      <c r="C595" s="843"/>
      <c r="D595" s="234" t="str">
        <f>"Total "&amp;FleetTypeI&amp;" FLEET Eng Records Generated pa"</f>
        <v>Total A321 FLEET Eng Records Generated pa</v>
      </c>
      <c r="E595" s="231">
        <f t="shared" ref="E595:N595" si="126">E594*FleetSize_I</f>
        <v>22002</v>
      </c>
      <c r="F595" s="231">
        <f t="shared" si="126"/>
        <v>22004</v>
      </c>
      <c r="G595" s="231">
        <f t="shared" si="126"/>
        <v>22006</v>
      </c>
      <c r="H595" s="231">
        <f t="shared" si="126"/>
        <v>22008</v>
      </c>
      <c r="I595" s="231">
        <f t="shared" si="126"/>
        <v>22010</v>
      </c>
      <c r="J595" s="231">
        <f t="shared" si="126"/>
        <v>22012</v>
      </c>
      <c r="K595" s="231">
        <f t="shared" si="126"/>
        <v>22014</v>
      </c>
      <c r="L595" s="231">
        <f t="shared" si="126"/>
        <v>22016</v>
      </c>
      <c r="M595" s="231">
        <f t="shared" si="126"/>
        <v>22018</v>
      </c>
      <c r="N595" s="231">
        <f t="shared" si="126"/>
        <v>22020</v>
      </c>
      <c r="O595" s="285" t="s">
        <v>886</v>
      </c>
      <c r="P595" s="828"/>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row>
    <row r="596" spans="1:49" s="712" customFormat="1" ht="15.75" hidden="1" customHeight="1" outlineLevel="1" x14ac:dyDescent="0.2">
      <c r="A596" s="820"/>
      <c r="B596" s="820"/>
      <c r="C596" s="843"/>
      <c r="D596" s="844"/>
      <c r="E596" s="845"/>
      <c r="F596" s="845"/>
      <c r="G596" s="845"/>
      <c r="H596" s="845"/>
      <c r="I596" s="845"/>
      <c r="J596" s="845"/>
      <c r="K596" s="845"/>
      <c r="L596" s="845"/>
      <c r="M596" s="845"/>
      <c r="N596" s="845"/>
      <c r="O596" s="285"/>
      <c r="P596" s="828"/>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row>
    <row r="597" spans="1:49" s="712" customFormat="1" ht="12.75" hidden="1" outlineLevel="1" x14ac:dyDescent="0.2">
      <c r="A597" s="820"/>
      <c r="B597" s="820"/>
      <c r="C597" s="843"/>
      <c r="D597" s="484" t="str">
        <f>FleetTypeI &amp;" Planning (Plg)"</f>
        <v>A321 Planning (Plg)</v>
      </c>
      <c r="E597" s="840"/>
      <c r="F597" s="840"/>
      <c r="G597" s="840"/>
      <c r="H597" s="840"/>
      <c r="I597" s="840"/>
      <c r="J597" s="840"/>
      <c r="K597" s="840"/>
      <c r="L597" s="840"/>
      <c r="M597" s="840"/>
      <c r="N597" s="840"/>
      <c r="O597" s="839"/>
      <c r="P597" s="828"/>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row>
    <row r="598" spans="1:49" s="712" customFormat="1" ht="12.75" hidden="1" outlineLevel="1" x14ac:dyDescent="0.2">
      <c r="A598" s="820"/>
      <c r="B598" s="820"/>
      <c r="C598" s="843"/>
      <c r="D598" s="233" t="str">
        <f>FleetTypeI&amp;" Plg AIRCRAFT Records Generated pa"</f>
        <v>A321 Plg AIRCRAFT Records Generated pa</v>
      </c>
      <c r="E598" s="842">
        <v>11001</v>
      </c>
      <c r="F598" s="842">
        <v>11002</v>
      </c>
      <c r="G598" s="842">
        <v>11003</v>
      </c>
      <c r="H598" s="842">
        <v>11004</v>
      </c>
      <c r="I598" s="842">
        <v>11005</v>
      </c>
      <c r="J598" s="842">
        <v>11006</v>
      </c>
      <c r="K598" s="842">
        <v>11007</v>
      </c>
      <c r="L598" s="842">
        <v>11008</v>
      </c>
      <c r="M598" s="842">
        <v>11009</v>
      </c>
      <c r="N598" s="842">
        <v>11010</v>
      </c>
      <c r="O598" s="839"/>
      <c r="P598" s="828"/>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row>
    <row r="599" spans="1:49" s="712" customFormat="1" ht="15.75" hidden="1" customHeight="1" outlineLevel="1" x14ac:dyDescent="0.2">
      <c r="A599" s="820"/>
      <c r="B599" s="820"/>
      <c r="C599" s="843"/>
      <c r="D599" s="234" t="str">
        <f>"Total "&amp;FleetTypeI&amp;" FLEET Plg Records Generated pa"</f>
        <v>Total A321 FLEET Plg Records Generated pa</v>
      </c>
      <c r="E599" s="231">
        <f t="shared" ref="E599:N599" si="127">E598*FleetSize_I</f>
        <v>22002</v>
      </c>
      <c r="F599" s="231">
        <f t="shared" si="127"/>
        <v>22004</v>
      </c>
      <c r="G599" s="231">
        <f t="shared" si="127"/>
        <v>22006</v>
      </c>
      <c r="H599" s="231">
        <f t="shared" si="127"/>
        <v>22008</v>
      </c>
      <c r="I599" s="231">
        <f t="shared" si="127"/>
        <v>22010</v>
      </c>
      <c r="J599" s="231">
        <f t="shared" si="127"/>
        <v>22012</v>
      </c>
      <c r="K599" s="231">
        <f t="shared" si="127"/>
        <v>22014</v>
      </c>
      <c r="L599" s="231">
        <f t="shared" si="127"/>
        <v>22016</v>
      </c>
      <c r="M599" s="231">
        <f t="shared" si="127"/>
        <v>22018</v>
      </c>
      <c r="N599" s="231">
        <f t="shared" si="127"/>
        <v>22020</v>
      </c>
      <c r="O599" s="285" t="s">
        <v>887</v>
      </c>
      <c r="P599" s="828"/>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row>
    <row r="600" spans="1:49" s="712" customFormat="1" ht="12.75" hidden="1" outlineLevel="1" x14ac:dyDescent="0.2">
      <c r="A600" s="820"/>
      <c r="B600" s="820"/>
      <c r="C600" s="843"/>
      <c r="D600" s="30"/>
      <c r="E600" s="30"/>
      <c r="F600" s="30"/>
      <c r="G600" s="30"/>
      <c r="H600" s="30"/>
      <c r="I600" s="30"/>
      <c r="J600" s="30"/>
      <c r="K600" s="30"/>
      <c r="L600" s="30"/>
      <c r="M600" s="30"/>
      <c r="N600" s="30"/>
      <c r="O600" s="839"/>
      <c r="P600" s="828"/>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row>
    <row r="601" spans="1:49" s="712" customFormat="1" ht="12.75" hidden="1" outlineLevel="1" x14ac:dyDescent="0.2">
      <c r="A601" s="820"/>
      <c r="B601" s="820"/>
      <c r="C601" s="843"/>
      <c r="D601" s="484" t="str">
        <f>FleetTypeI &amp;" Clerical, Records &amp; Tech Pubs (CRT)"</f>
        <v>A321 Clerical, Records &amp; Tech Pubs (CRT)</v>
      </c>
      <c r="E601" s="840"/>
      <c r="F601" s="840"/>
      <c r="G601" s="840"/>
      <c r="H601" s="840"/>
      <c r="I601" s="840"/>
      <c r="J601" s="840"/>
      <c r="K601" s="840"/>
      <c r="L601" s="840"/>
      <c r="M601" s="840"/>
      <c r="N601" s="840"/>
      <c r="O601" s="839"/>
      <c r="P601" s="828"/>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row>
    <row r="602" spans="1:49" s="712" customFormat="1" ht="12.75" hidden="1" outlineLevel="1" x14ac:dyDescent="0.2">
      <c r="A602" s="820"/>
      <c r="B602" s="820"/>
      <c r="C602" s="256"/>
      <c r="D602" s="233" t="str">
        <f>FleetTypeI&amp;" SCL Per AIRCRAFT CRT Records Generated pa"</f>
        <v>A321 SCL Per AIRCRAFT CRT Records Generated pa</v>
      </c>
      <c r="E602" s="596">
        <v>12001</v>
      </c>
      <c r="F602" s="596">
        <v>12002</v>
      </c>
      <c r="G602" s="596">
        <v>12003</v>
      </c>
      <c r="H602" s="596">
        <v>12004</v>
      </c>
      <c r="I602" s="596">
        <v>12005</v>
      </c>
      <c r="J602" s="596">
        <v>12006</v>
      </c>
      <c r="K602" s="596">
        <v>12007</v>
      </c>
      <c r="L602" s="596">
        <v>12008</v>
      </c>
      <c r="M602" s="596">
        <v>12009</v>
      </c>
      <c r="N602" s="596">
        <v>12010</v>
      </c>
      <c r="O602" s="839"/>
      <c r="P602" s="828"/>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row>
    <row r="603" spans="1:49" s="712" customFormat="1" ht="12.75" hidden="1" outlineLevel="1" x14ac:dyDescent="0.2">
      <c r="A603" s="820"/>
      <c r="B603" s="820"/>
      <c r="C603" s="843"/>
      <c r="D603" s="501" t="str">
        <f>"Total "&amp;FleetTypeI&amp;" FLEET CRT Records Generated pa"</f>
        <v>Total A321 FLEET CRT Records Generated pa</v>
      </c>
      <c r="E603" s="505">
        <f t="shared" ref="E603:N603" si="128">E602*FleetSize_I</f>
        <v>24002</v>
      </c>
      <c r="F603" s="505">
        <f t="shared" si="128"/>
        <v>24004</v>
      </c>
      <c r="G603" s="505">
        <f t="shared" si="128"/>
        <v>24006</v>
      </c>
      <c r="H603" s="505">
        <f t="shared" si="128"/>
        <v>24008</v>
      </c>
      <c r="I603" s="505">
        <f t="shared" si="128"/>
        <v>24010</v>
      </c>
      <c r="J603" s="505">
        <f t="shared" si="128"/>
        <v>24012</v>
      </c>
      <c r="K603" s="505">
        <f t="shared" si="128"/>
        <v>24014</v>
      </c>
      <c r="L603" s="505">
        <f t="shared" si="128"/>
        <v>24016</v>
      </c>
      <c r="M603" s="505">
        <f t="shared" si="128"/>
        <v>24018</v>
      </c>
      <c r="N603" s="505">
        <f t="shared" si="128"/>
        <v>24020</v>
      </c>
      <c r="O603" s="285" t="s">
        <v>577</v>
      </c>
      <c r="P603" s="828"/>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row>
    <row r="604" spans="1:49" s="712" customFormat="1" ht="12.75" hidden="1" outlineLevel="1" x14ac:dyDescent="0.2">
      <c r="A604" s="820"/>
      <c r="B604" s="820"/>
      <c r="C604" s="843"/>
      <c r="D604" s="820"/>
      <c r="E604" s="840"/>
      <c r="F604" s="840"/>
      <c r="G604" s="840"/>
      <c r="H604" s="840"/>
      <c r="I604" s="840"/>
      <c r="J604" s="840"/>
      <c r="K604" s="840"/>
      <c r="L604" s="840"/>
      <c r="M604" s="840"/>
      <c r="N604" s="840"/>
      <c r="O604" s="839"/>
      <c r="P604" s="828"/>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row>
    <row r="605" spans="1:49" s="712" customFormat="1" ht="12.75" hidden="1" outlineLevel="1" x14ac:dyDescent="0.2">
      <c r="A605" s="820"/>
      <c r="B605" s="820"/>
      <c r="C605" s="843"/>
      <c r="D605" s="484" t="str">
        <f>FleetTypeI &amp;" Supply Chain &amp; Logistics (SCL)"</f>
        <v>A321 Supply Chain &amp; Logistics (SCL)</v>
      </c>
      <c r="E605" s="840"/>
      <c r="F605" s="840"/>
      <c r="G605" s="840"/>
      <c r="H605" s="840"/>
      <c r="I605" s="840"/>
      <c r="J605" s="840"/>
      <c r="K605" s="840"/>
      <c r="L605" s="840"/>
      <c r="M605" s="840"/>
      <c r="N605" s="840"/>
      <c r="O605" s="839"/>
      <c r="P605" s="828"/>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row>
    <row r="606" spans="1:49" s="712" customFormat="1" ht="12.75" hidden="1" outlineLevel="1" x14ac:dyDescent="0.2">
      <c r="A606" s="820"/>
      <c r="B606" s="820"/>
      <c r="C606" s="256"/>
      <c r="D606" s="233" t="str">
        <f>FleetTypeI&amp;" SCL Per AIRCRAFT OEMV Records Generated pa"</f>
        <v>A321 SCL Per AIRCRAFT OEMV Records Generated pa</v>
      </c>
      <c r="E606" s="596">
        <v>13001</v>
      </c>
      <c r="F606" s="596">
        <v>13002</v>
      </c>
      <c r="G606" s="596">
        <v>13003</v>
      </c>
      <c r="H606" s="596">
        <v>13004</v>
      </c>
      <c r="I606" s="596">
        <v>13005</v>
      </c>
      <c r="J606" s="596">
        <v>13006</v>
      </c>
      <c r="K606" s="596">
        <v>13007</v>
      </c>
      <c r="L606" s="596">
        <v>13008</v>
      </c>
      <c r="M606" s="596">
        <v>13009</v>
      </c>
      <c r="N606" s="596">
        <v>13010</v>
      </c>
      <c r="O606" s="839"/>
      <c r="P606" s="828"/>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row>
    <row r="607" spans="1:49" s="712" customFormat="1" ht="12.75" hidden="1" outlineLevel="1" x14ac:dyDescent="0.2">
      <c r="A607" s="820"/>
      <c r="B607" s="820"/>
      <c r="C607" s="843"/>
      <c r="D607" s="501" t="str">
        <f>"Total "&amp;FleetTypeI&amp;" FLEET SCL Records Generated pa"</f>
        <v>Total A321 FLEET SCL Records Generated pa</v>
      </c>
      <c r="E607" s="505">
        <f t="shared" ref="E607:N607" si="129">E606*FleetSize_I</f>
        <v>26002</v>
      </c>
      <c r="F607" s="505">
        <f t="shared" si="129"/>
        <v>26004</v>
      </c>
      <c r="G607" s="505">
        <f t="shared" si="129"/>
        <v>26006</v>
      </c>
      <c r="H607" s="505">
        <f t="shared" si="129"/>
        <v>26008</v>
      </c>
      <c r="I607" s="505">
        <f t="shared" si="129"/>
        <v>26010</v>
      </c>
      <c r="J607" s="505">
        <f t="shared" si="129"/>
        <v>26012</v>
      </c>
      <c r="K607" s="505">
        <f t="shared" si="129"/>
        <v>26014</v>
      </c>
      <c r="L607" s="505">
        <f t="shared" si="129"/>
        <v>26016</v>
      </c>
      <c r="M607" s="505">
        <f t="shared" si="129"/>
        <v>26018</v>
      </c>
      <c r="N607" s="505">
        <f t="shared" si="129"/>
        <v>26020</v>
      </c>
      <c r="O607" s="285" t="s">
        <v>578</v>
      </c>
      <c r="P607" s="828"/>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row>
    <row r="608" spans="1:49" s="712" customFormat="1" ht="12.75" hidden="1" outlineLevel="1" x14ac:dyDescent="0.2">
      <c r="A608" s="820"/>
      <c r="B608" s="820"/>
      <c r="C608" s="846"/>
      <c r="D608" s="820"/>
      <c r="E608" s="840"/>
      <c r="F608" s="840"/>
      <c r="G608" s="840"/>
      <c r="H608" s="840"/>
      <c r="I608" s="840"/>
      <c r="J608" s="840"/>
      <c r="K608" s="840"/>
      <c r="L608" s="840"/>
      <c r="M608" s="840"/>
      <c r="N608" s="840"/>
      <c r="O608" s="839"/>
      <c r="P608" s="828"/>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row>
    <row r="609" spans="1:49" s="712" customFormat="1" ht="12.75" hidden="1" outlineLevel="1" x14ac:dyDescent="0.2">
      <c r="A609" s="820"/>
      <c r="B609" s="820"/>
      <c r="C609" s="846"/>
      <c r="D609" s="484" t="str">
        <f>FleetTypeI &amp;" Quality, Safety &amp; Compliance (QSC)"</f>
        <v>A321 Quality, Safety &amp; Compliance (QSC)</v>
      </c>
      <c r="E609" s="840"/>
      <c r="F609" s="840"/>
      <c r="G609" s="840"/>
      <c r="H609" s="840"/>
      <c r="I609" s="840"/>
      <c r="J609" s="840"/>
      <c r="K609" s="840"/>
      <c r="L609" s="840"/>
      <c r="M609" s="840"/>
      <c r="N609" s="840"/>
      <c r="O609" s="839"/>
      <c r="P609" s="828"/>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row>
    <row r="610" spans="1:49" s="712" customFormat="1" ht="12.75" hidden="1" outlineLevel="1" x14ac:dyDescent="0.2">
      <c r="A610" s="820"/>
      <c r="B610" s="820"/>
      <c r="C610" s="256"/>
      <c r="D610" s="233" t="str">
        <f>FleetTypeI&amp;" QSC Per AIRCRAFT Records Generated pa"</f>
        <v>A321 QSC Per AIRCRAFT Records Generated pa</v>
      </c>
      <c r="E610" s="596">
        <v>14001</v>
      </c>
      <c r="F610" s="596">
        <v>14002</v>
      </c>
      <c r="G610" s="596">
        <v>14003</v>
      </c>
      <c r="H610" s="596">
        <v>14004</v>
      </c>
      <c r="I610" s="596">
        <v>14005</v>
      </c>
      <c r="J610" s="596">
        <v>14006</v>
      </c>
      <c r="K610" s="596">
        <v>14007</v>
      </c>
      <c r="L610" s="596">
        <v>14008</v>
      </c>
      <c r="M610" s="596">
        <v>14009</v>
      </c>
      <c r="N610" s="596">
        <v>14010</v>
      </c>
      <c r="O610" s="839"/>
      <c r="P610" s="828"/>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row>
    <row r="611" spans="1:49" s="712" customFormat="1" ht="15.75" hidden="1" customHeight="1" outlineLevel="1" x14ac:dyDescent="0.2">
      <c r="A611" s="820"/>
      <c r="B611" s="820"/>
      <c r="C611" s="843"/>
      <c r="D611" s="501" t="str">
        <f>"Total "&amp;FleetTypeI&amp;" FLEET QSC Records Generated pa"</f>
        <v>Total A321 FLEET QSC Records Generated pa</v>
      </c>
      <c r="E611" s="505">
        <f t="shared" ref="E611:N611" si="130">E610*FleetSize_I</f>
        <v>28002</v>
      </c>
      <c r="F611" s="505">
        <f t="shared" si="130"/>
        <v>28004</v>
      </c>
      <c r="G611" s="505">
        <f t="shared" si="130"/>
        <v>28006</v>
      </c>
      <c r="H611" s="505">
        <f t="shared" si="130"/>
        <v>28008</v>
      </c>
      <c r="I611" s="505">
        <f t="shared" si="130"/>
        <v>28010</v>
      </c>
      <c r="J611" s="505">
        <f t="shared" si="130"/>
        <v>28012</v>
      </c>
      <c r="K611" s="505">
        <f t="shared" si="130"/>
        <v>28014</v>
      </c>
      <c r="L611" s="505">
        <f t="shared" si="130"/>
        <v>28016</v>
      </c>
      <c r="M611" s="505">
        <f t="shared" si="130"/>
        <v>28018</v>
      </c>
      <c r="N611" s="505">
        <f t="shared" si="130"/>
        <v>28020</v>
      </c>
      <c r="O611" s="285" t="s">
        <v>579</v>
      </c>
      <c r="P611" s="828"/>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row>
    <row r="612" spans="1:49" s="712" customFormat="1" ht="12.75" hidden="1" outlineLevel="1" x14ac:dyDescent="0.2">
      <c r="A612" s="820"/>
      <c r="B612" s="820"/>
      <c r="C612" s="847"/>
      <c r="D612" s="820"/>
      <c r="E612" s="840"/>
      <c r="F612" s="840"/>
      <c r="G612" s="840"/>
      <c r="H612" s="840"/>
      <c r="I612" s="840"/>
      <c r="J612" s="840"/>
      <c r="K612" s="840"/>
      <c r="L612" s="840"/>
      <c r="M612" s="840"/>
      <c r="N612" s="840"/>
      <c r="O612" s="835"/>
      <c r="P612" s="828"/>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row>
    <row r="613" spans="1:49" s="712" customFormat="1" ht="12.75" hidden="1" outlineLevel="1" x14ac:dyDescent="0.2">
      <c r="A613" s="820"/>
      <c r="B613" s="820"/>
      <c r="C613" s="847"/>
      <c r="D613" s="484" t="str">
        <f>FleetTypeI &amp;" Engine Maintenance (EM)"</f>
        <v>A321 Engine Maintenance (EM)</v>
      </c>
      <c r="E613" s="840"/>
      <c r="F613" s="840"/>
      <c r="G613" s="840"/>
      <c r="H613" s="840"/>
      <c r="I613" s="840"/>
      <c r="J613" s="840"/>
      <c r="K613" s="840"/>
      <c r="L613" s="840"/>
      <c r="M613" s="840"/>
      <c r="N613" s="840"/>
      <c r="O613" s="835"/>
      <c r="P613" s="828"/>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row>
    <row r="614" spans="1:49" s="712" customFormat="1" ht="12.75" hidden="1" outlineLevel="1" x14ac:dyDescent="0.2">
      <c r="A614" s="820"/>
      <c r="B614" s="820"/>
      <c r="C614" s="256"/>
      <c r="D614" s="233" t="str">
        <f>FleetTypeI&amp;" EM Per AIRCRAFT Records Generated pa"</f>
        <v>A321 EM Per AIRCRAFT Records Generated pa</v>
      </c>
      <c r="E614" s="596">
        <v>15001</v>
      </c>
      <c r="F614" s="596">
        <v>15002</v>
      </c>
      <c r="G614" s="596">
        <v>15003</v>
      </c>
      <c r="H614" s="596">
        <v>15004</v>
      </c>
      <c r="I614" s="596">
        <v>15005</v>
      </c>
      <c r="J614" s="596">
        <v>15006</v>
      </c>
      <c r="K614" s="596">
        <v>15007</v>
      </c>
      <c r="L614" s="596">
        <v>15008</v>
      </c>
      <c r="M614" s="596">
        <v>15009</v>
      </c>
      <c r="N614" s="596">
        <v>15010</v>
      </c>
      <c r="O614" s="835"/>
      <c r="P614" s="828"/>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row>
    <row r="615" spans="1:49" s="712" customFormat="1" ht="15.75" hidden="1" customHeight="1" outlineLevel="1" x14ac:dyDescent="0.2">
      <c r="A615" s="820"/>
      <c r="B615" s="820"/>
      <c r="C615" s="256"/>
      <c r="D615" s="501" t="str">
        <f>"Total "&amp;FleetTypeI&amp;" FLEET EM Records Generated pa"</f>
        <v>Total A321 FLEET EM Records Generated pa</v>
      </c>
      <c r="E615" s="505">
        <f t="shared" ref="E615:N615" si="131">E614*FleetSize_I</f>
        <v>30002</v>
      </c>
      <c r="F615" s="505">
        <f t="shared" si="131"/>
        <v>30004</v>
      </c>
      <c r="G615" s="505">
        <f t="shared" si="131"/>
        <v>30006</v>
      </c>
      <c r="H615" s="505">
        <f t="shared" si="131"/>
        <v>30008</v>
      </c>
      <c r="I615" s="505">
        <f t="shared" si="131"/>
        <v>30010</v>
      </c>
      <c r="J615" s="505">
        <f t="shared" si="131"/>
        <v>30012</v>
      </c>
      <c r="K615" s="505">
        <f t="shared" si="131"/>
        <v>30014</v>
      </c>
      <c r="L615" s="505">
        <f t="shared" si="131"/>
        <v>30016</v>
      </c>
      <c r="M615" s="505">
        <f t="shared" si="131"/>
        <v>30018</v>
      </c>
      <c r="N615" s="505">
        <f t="shared" si="131"/>
        <v>30020</v>
      </c>
      <c r="O615" s="285" t="s">
        <v>580</v>
      </c>
      <c r="P615" s="828"/>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row>
    <row r="616" spans="1:49" s="712" customFormat="1" ht="12.75" hidden="1" outlineLevel="1" x14ac:dyDescent="0.2">
      <c r="A616" s="820"/>
      <c r="B616" s="820"/>
      <c r="C616" s="256"/>
      <c r="D616" s="30"/>
      <c r="E616" s="30"/>
      <c r="F616" s="30"/>
      <c r="G616" s="30"/>
      <c r="H616" s="30"/>
      <c r="I616" s="30"/>
      <c r="J616" s="30"/>
      <c r="K616" s="30"/>
      <c r="L616" s="30"/>
      <c r="M616" s="30"/>
      <c r="N616" s="30"/>
      <c r="O616" s="839"/>
      <c r="P616" s="828"/>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row>
    <row r="617" spans="1:49" s="712" customFormat="1" ht="12.75" hidden="1" outlineLevel="1" x14ac:dyDescent="0.2">
      <c r="A617" s="820"/>
      <c r="B617" s="820"/>
      <c r="C617" s="847"/>
      <c r="D617" s="484" t="str">
        <f>FleetTypeI &amp;" Component Maintenance (CM)"</f>
        <v>A321 Component Maintenance (CM)</v>
      </c>
      <c r="E617" s="840"/>
      <c r="F617" s="840"/>
      <c r="G617" s="840"/>
      <c r="H617" s="840"/>
      <c r="I617" s="840"/>
      <c r="J617" s="840"/>
      <c r="K617" s="840"/>
      <c r="L617" s="840"/>
      <c r="M617" s="840"/>
      <c r="N617" s="840"/>
      <c r="O617" s="835"/>
      <c r="P617" s="828"/>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row>
    <row r="618" spans="1:49" s="712" customFormat="1" ht="12.75" hidden="1" outlineLevel="1" x14ac:dyDescent="0.2">
      <c r="A618" s="820"/>
      <c r="B618" s="820"/>
      <c r="C618" s="256"/>
      <c r="D618" s="233" t="str">
        <f>FleetTypeI&amp;" CM Per AIRCRAFT Records Generated pa"</f>
        <v>A321 CM Per AIRCRAFT Records Generated pa</v>
      </c>
      <c r="E618" s="596">
        <v>15001</v>
      </c>
      <c r="F618" s="596">
        <v>15002</v>
      </c>
      <c r="G618" s="596">
        <v>15003</v>
      </c>
      <c r="H618" s="596">
        <v>15004</v>
      </c>
      <c r="I618" s="596">
        <v>15005</v>
      </c>
      <c r="J618" s="596">
        <v>15006</v>
      </c>
      <c r="K618" s="596">
        <v>15007</v>
      </c>
      <c r="L618" s="596">
        <v>15008</v>
      </c>
      <c r="M618" s="596">
        <v>15009</v>
      </c>
      <c r="N618" s="596">
        <v>15010</v>
      </c>
      <c r="O618" s="835"/>
      <c r="P618" s="828"/>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row>
    <row r="619" spans="1:49" s="712" customFormat="1" ht="15.75" hidden="1" customHeight="1" outlineLevel="1" x14ac:dyDescent="0.2">
      <c r="A619" s="820"/>
      <c r="B619" s="820"/>
      <c r="C619" s="256"/>
      <c r="D619" s="501" t="str">
        <f>"Total "&amp;FleetTypeI&amp;" FLEET CM Records Generated pa"</f>
        <v>Total A321 FLEET CM Records Generated pa</v>
      </c>
      <c r="E619" s="505">
        <f t="shared" ref="E619:N619" si="132">E618*FleetSize_I</f>
        <v>30002</v>
      </c>
      <c r="F619" s="505">
        <f t="shared" si="132"/>
        <v>30004</v>
      </c>
      <c r="G619" s="505">
        <f t="shared" si="132"/>
        <v>30006</v>
      </c>
      <c r="H619" s="505">
        <f t="shared" si="132"/>
        <v>30008</v>
      </c>
      <c r="I619" s="505">
        <f t="shared" si="132"/>
        <v>30010</v>
      </c>
      <c r="J619" s="505">
        <f t="shared" si="132"/>
        <v>30012</v>
      </c>
      <c r="K619" s="505">
        <f t="shared" si="132"/>
        <v>30014</v>
      </c>
      <c r="L619" s="505">
        <f t="shared" si="132"/>
        <v>30016</v>
      </c>
      <c r="M619" s="505">
        <f t="shared" si="132"/>
        <v>30018</v>
      </c>
      <c r="N619" s="505">
        <f t="shared" si="132"/>
        <v>30020</v>
      </c>
      <c r="O619" s="285" t="s">
        <v>581</v>
      </c>
      <c r="P619" s="828"/>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row>
    <row r="620" spans="1:49" s="712" customFormat="1" ht="12.75" hidden="1" outlineLevel="1" x14ac:dyDescent="0.2">
      <c r="A620" s="820"/>
      <c r="B620" s="820"/>
      <c r="C620" s="256"/>
      <c r="D620" s="30"/>
      <c r="E620" s="30"/>
      <c r="F620" s="30"/>
      <c r="G620" s="30"/>
      <c r="H620" s="30"/>
      <c r="I620" s="30"/>
      <c r="J620" s="30"/>
      <c r="K620" s="30"/>
      <c r="L620" s="30"/>
      <c r="M620" s="30"/>
      <c r="N620" s="30"/>
      <c r="O620" s="839"/>
      <c r="P620" s="828"/>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row>
    <row r="621" spans="1:49" s="712" customFormat="1" ht="15.75" hidden="1" customHeight="1" outlineLevel="1" x14ac:dyDescent="0.2">
      <c r="A621" s="820"/>
      <c r="B621" s="820"/>
      <c r="C621" s="847"/>
      <c r="D621" s="484" t="str">
        <f>FleetTypeI &amp;" Sheetmetal &amp; Composite Structures (SMCS)"</f>
        <v>A321 Sheetmetal &amp; Composite Structures (SMCS)</v>
      </c>
      <c r="E621" s="840"/>
      <c r="F621" s="840"/>
      <c r="G621" s="840"/>
      <c r="H621" s="840"/>
      <c r="I621" s="840"/>
      <c r="J621" s="840"/>
      <c r="K621" s="840"/>
      <c r="L621" s="840"/>
      <c r="M621" s="840"/>
      <c r="N621" s="840"/>
      <c r="O621" s="835"/>
      <c r="P621" s="828"/>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row>
    <row r="622" spans="1:49" s="712" customFormat="1" ht="12.75" hidden="1" outlineLevel="1" x14ac:dyDescent="0.2">
      <c r="A622" s="820"/>
      <c r="B622" s="820"/>
      <c r="C622" s="256"/>
      <c r="D622" s="233" t="str">
        <f>FleetTypeI&amp;" SMCS Per AIRCRAFT Records Generated pa"</f>
        <v>A321 SMCS Per AIRCRAFT Records Generated pa</v>
      </c>
      <c r="E622" s="596">
        <v>15001</v>
      </c>
      <c r="F622" s="596">
        <v>15002</v>
      </c>
      <c r="G622" s="596">
        <v>15003</v>
      </c>
      <c r="H622" s="596">
        <v>15004</v>
      </c>
      <c r="I622" s="596">
        <v>15005</v>
      </c>
      <c r="J622" s="596">
        <v>15006</v>
      </c>
      <c r="K622" s="596">
        <v>15007</v>
      </c>
      <c r="L622" s="596">
        <v>15008</v>
      </c>
      <c r="M622" s="596">
        <v>15009</v>
      </c>
      <c r="N622" s="596">
        <v>15010</v>
      </c>
      <c r="O622" s="835"/>
      <c r="P622" s="828"/>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row>
    <row r="623" spans="1:49" s="712" customFormat="1" ht="15.75" hidden="1" customHeight="1" outlineLevel="1" x14ac:dyDescent="0.2">
      <c r="A623" s="820"/>
      <c r="B623" s="820"/>
      <c r="C623" s="256"/>
      <c r="D623" s="501" t="str">
        <f>"Total "&amp;FleetTypeI&amp;" FLEET SMCS Records Generated pa"</f>
        <v>Total A321 FLEET SMCS Records Generated pa</v>
      </c>
      <c r="E623" s="505">
        <f t="shared" ref="E623:N623" si="133">E622*FleetSize_I</f>
        <v>30002</v>
      </c>
      <c r="F623" s="505">
        <f t="shared" si="133"/>
        <v>30004</v>
      </c>
      <c r="G623" s="505">
        <f t="shared" si="133"/>
        <v>30006</v>
      </c>
      <c r="H623" s="505">
        <f t="shared" si="133"/>
        <v>30008</v>
      </c>
      <c r="I623" s="505">
        <f t="shared" si="133"/>
        <v>30010</v>
      </c>
      <c r="J623" s="505">
        <f t="shared" si="133"/>
        <v>30012</v>
      </c>
      <c r="K623" s="505">
        <f t="shared" si="133"/>
        <v>30014</v>
      </c>
      <c r="L623" s="505">
        <f t="shared" si="133"/>
        <v>30016</v>
      </c>
      <c r="M623" s="505">
        <f t="shared" si="133"/>
        <v>30018</v>
      </c>
      <c r="N623" s="505">
        <f t="shared" si="133"/>
        <v>30020</v>
      </c>
      <c r="O623" s="285" t="s">
        <v>582</v>
      </c>
      <c r="P623" s="828"/>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row>
    <row r="624" spans="1:49" s="712" customFormat="1" ht="12.75" hidden="1" outlineLevel="1" x14ac:dyDescent="0.2">
      <c r="A624" s="820"/>
      <c r="B624" s="820"/>
      <c r="C624" s="256"/>
      <c r="D624" s="30"/>
      <c r="E624" s="30"/>
      <c r="F624" s="30"/>
      <c r="G624" s="30"/>
      <c r="H624" s="30"/>
      <c r="I624" s="30"/>
      <c r="J624" s="30"/>
      <c r="K624" s="30"/>
      <c r="L624" s="30"/>
      <c r="M624" s="30"/>
      <c r="N624" s="30"/>
      <c r="O624" s="839"/>
      <c r="P624" s="828"/>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row>
    <row r="625" spans="1:49" s="712" customFormat="1" ht="12.75" hidden="1" outlineLevel="1" x14ac:dyDescent="0.2">
      <c r="A625" s="820"/>
      <c r="B625" s="820"/>
      <c r="C625" s="847"/>
      <c r="D625" s="484" t="str">
        <f>FleetTypeI &amp;" Other 1 (O1)"</f>
        <v>A321 Other 1 (O1)</v>
      </c>
      <c r="E625" s="840"/>
      <c r="F625" s="840"/>
      <c r="G625" s="840"/>
      <c r="H625" s="840"/>
      <c r="I625" s="840"/>
      <c r="J625" s="840"/>
      <c r="K625" s="840"/>
      <c r="L625" s="840"/>
      <c r="M625" s="840"/>
      <c r="N625" s="840"/>
      <c r="O625" s="835"/>
      <c r="P625" s="828"/>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row>
    <row r="626" spans="1:49" s="712" customFormat="1" ht="12.75" hidden="1" outlineLevel="1" x14ac:dyDescent="0.2">
      <c r="A626" s="820"/>
      <c r="B626" s="820"/>
      <c r="C626" s="256"/>
      <c r="D626" s="233" t="str">
        <f>FleetTypeI&amp;" O1 Per AIRCRAFT Records Generated pa"</f>
        <v>A321 O1 Per AIRCRAFT Records Generated pa</v>
      </c>
      <c r="E626" s="596">
        <v>15001</v>
      </c>
      <c r="F626" s="596">
        <v>15002</v>
      </c>
      <c r="G626" s="596">
        <v>15003</v>
      </c>
      <c r="H626" s="596">
        <v>15004</v>
      </c>
      <c r="I626" s="596">
        <v>15005</v>
      </c>
      <c r="J626" s="596">
        <v>15006</v>
      </c>
      <c r="K626" s="596">
        <v>15007</v>
      </c>
      <c r="L626" s="596">
        <v>15008</v>
      </c>
      <c r="M626" s="596">
        <v>15009</v>
      </c>
      <c r="N626" s="596">
        <v>15010</v>
      </c>
      <c r="O626" s="835"/>
      <c r="P626" s="828"/>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row>
    <row r="627" spans="1:49" s="712" customFormat="1" ht="15.75" hidden="1" customHeight="1" outlineLevel="1" x14ac:dyDescent="0.2">
      <c r="A627" s="820"/>
      <c r="B627" s="820"/>
      <c r="C627" s="256"/>
      <c r="D627" s="501" t="str">
        <f>"Total "&amp;FleetTypeI&amp;" FLEET O1 Records Generated pa"</f>
        <v>Total A321 FLEET O1 Records Generated pa</v>
      </c>
      <c r="E627" s="505">
        <f t="shared" ref="E627:N627" si="134">E626*FleetSize_I</f>
        <v>30002</v>
      </c>
      <c r="F627" s="505">
        <f t="shared" si="134"/>
        <v>30004</v>
      </c>
      <c r="G627" s="505">
        <f t="shared" si="134"/>
        <v>30006</v>
      </c>
      <c r="H627" s="505">
        <f t="shared" si="134"/>
        <v>30008</v>
      </c>
      <c r="I627" s="505">
        <f t="shared" si="134"/>
        <v>30010</v>
      </c>
      <c r="J627" s="505">
        <f t="shared" si="134"/>
        <v>30012</v>
      </c>
      <c r="K627" s="505">
        <f t="shared" si="134"/>
        <v>30014</v>
      </c>
      <c r="L627" s="505">
        <f t="shared" si="134"/>
        <v>30016</v>
      </c>
      <c r="M627" s="505">
        <f t="shared" si="134"/>
        <v>30018</v>
      </c>
      <c r="N627" s="505">
        <f t="shared" si="134"/>
        <v>30020</v>
      </c>
      <c r="O627" s="285" t="s">
        <v>583</v>
      </c>
      <c r="P627" s="828"/>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row>
    <row r="628" spans="1:49" s="712" customFormat="1" ht="12.75" hidden="1" outlineLevel="1" x14ac:dyDescent="0.2">
      <c r="A628" s="820"/>
      <c r="B628" s="820"/>
      <c r="C628" s="256"/>
      <c r="D628" s="30"/>
      <c r="E628" s="30"/>
      <c r="F628" s="30"/>
      <c r="G628" s="30"/>
      <c r="H628" s="30"/>
      <c r="I628" s="30"/>
      <c r="J628" s="30"/>
      <c r="K628" s="30"/>
      <c r="L628" s="30"/>
      <c r="M628" s="30"/>
      <c r="N628" s="30"/>
      <c r="O628" s="839"/>
      <c r="P628" s="828"/>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row>
    <row r="629" spans="1:49" s="712" customFormat="1" ht="12.75" hidden="1" outlineLevel="1" x14ac:dyDescent="0.2">
      <c r="A629" s="820"/>
      <c r="B629" s="820"/>
      <c r="C629" s="847"/>
      <c r="D629" s="484" t="str">
        <f>FleetTypeI &amp;" Other 2 (O2)"</f>
        <v>A321 Other 2 (O2)</v>
      </c>
      <c r="E629" s="840"/>
      <c r="F629" s="840"/>
      <c r="G629" s="840"/>
      <c r="H629" s="840"/>
      <c r="I629" s="840"/>
      <c r="J629" s="840"/>
      <c r="K629" s="840"/>
      <c r="L629" s="840"/>
      <c r="M629" s="840"/>
      <c r="N629" s="840"/>
      <c r="O629" s="835"/>
      <c r="P629" s="828"/>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row>
    <row r="630" spans="1:49" s="712" customFormat="1" ht="12.75" hidden="1" outlineLevel="1" x14ac:dyDescent="0.2">
      <c r="A630" s="820"/>
      <c r="B630" s="820"/>
      <c r="C630" s="256"/>
      <c r="D630" s="233" t="str">
        <f>FleetTypeI&amp;" O2 Per AIRCRAFT Records Generated pa"</f>
        <v>A321 O2 Per AIRCRAFT Records Generated pa</v>
      </c>
      <c r="E630" s="596">
        <v>15001</v>
      </c>
      <c r="F630" s="596">
        <v>15002</v>
      </c>
      <c r="G630" s="596">
        <v>15003</v>
      </c>
      <c r="H630" s="596">
        <v>15004</v>
      </c>
      <c r="I630" s="596">
        <v>15005</v>
      </c>
      <c r="J630" s="596">
        <v>15006</v>
      </c>
      <c r="K630" s="596">
        <v>15007</v>
      </c>
      <c r="L630" s="596">
        <v>15008</v>
      </c>
      <c r="M630" s="596">
        <v>15009</v>
      </c>
      <c r="N630" s="596">
        <v>15010</v>
      </c>
      <c r="O630" s="835"/>
      <c r="P630" s="828"/>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row>
    <row r="631" spans="1:49" s="712" customFormat="1" ht="15.75" hidden="1" customHeight="1" outlineLevel="1" x14ac:dyDescent="0.2">
      <c r="A631" s="820"/>
      <c r="B631" s="820"/>
      <c r="C631" s="256"/>
      <c r="D631" s="501" t="str">
        <f>"Total "&amp;FleetTypeI&amp;" FLEET O2 Records Generated pa"</f>
        <v>Total A321 FLEET O2 Records Generated pa</v>
      </c>
      <c r="E631" s="505">
        <f t="shared" ref="E631:N631" si="135">E630*FleetSize_I</f>
        <v>30002</v>
      </c>
      <c r="F631" s="505">
        <f t="shared" si="135"/>
        <v>30004</v>
      </c>
      <c r="G631" s="505">
        <f t="shared" si="135"/>
        <v>30006</v>
      </c>
      <c r="H631" s="505">
        <f t="shared" si="135"/>
        <v>30008</v>
      </c>
      <c r="I631" s="505">
        <f t="shared" si="135"/>
        <v>30010</v>
      </c>
      <c r="J631" s="505">
        <f t="shared" si="135"/>
        <v>30012</v>
      </c>
      <c r="K631" s="505">
        <f t="shared" si="135"/>
        <v>30014</v>
      </c>
      <c r="L631" s="505">
        <f t="shared" si="135"/>
        <v>30016</v>
      </c>
      <c r="M631" s="505">
        <f t="shared" si="135"/>
        <v>30018</v>
      </c>
      <c r="N631" s="505">
        <f t="shared" si="135"/>
        <v>30020</v>
      </c>
      <c r="O631" s="285" t="s">
        <v>585</v>
      </c>
      <c r="P631" s="828"/>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row>
    <row r="632" spans="1:49" s="712" customFormat="1" ht="12.75" hidden="1" outlineLevel="1" x14ac:dyDescent="0.2">
      <c r="A632" s="820"/>
      <c r="B632" s="820"/>
      <c r="C632" s="256"/>
      <c r="D632" s="30"/>
      <c r="E632" s="30"/>
      <c r="F632" s="30"/>
      <c r="G632" s="30"/>
      <c r="H632" s="30"/>
      <c r="I632" s="30"/>
      <c r="J632" s="30"/>
      <c r="K632" s="30"/>
      <c r="L632" s="30"/>
      <c r="M632" s="30"/>
      <c r="N632" s="30"/>
      <c r="O632" s="839"/>
      <c r="P632" s="828"/>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row>
    <row r="633" spans="1:49" s="712" customFormat="1" ht="21.75" hidden="1" customHeight="1" outlineLevel="1" x14ac:dyDescent="0.2">
      <c r="A633" s="820"/>
      <c r="B633" s="820"/>
      <c r="C633" s="848"/>
      <c r="D633" s="849" t="str">
        <f>"Grand Total ("&amp;(FleetTypeI)&amp;") "&amp;"Records Generated pa"</f>
        <v>Grand Total (A321) Records Generated pa</v>
      </c>
      <c r="E633" s="714">
        <f t="shared" ref="E633:N633" si="136">SUM(RecordsHMFleetTotalpa_I+RecordsLMFleetTotalpa_I+RecordsEngFleetTotalpa_I+RecordsPlgFleetTotalpa_I+RecordsCRTFleetTotalpa_I+RecordsSCLFleetTotalpa_I+RecordsQSCFleetTotalpa_I+RecordsEMFleetTotalpa_I+RecordsCMFleetTotalpa_I+RecordsSMCSFleetTotalpa_I+RecordsO1FleetTotalpa_I+RecordsO2FleetTotalpa_I)</f>
        <v>295922</v>
      </c>
      <c r="F633" s="714">
        <f t="shared" si="136"/>
        <v>295586.85714285716</v>
      </c>
      <c r="G633" s="714">
        <f t="shared" si="136"/>
        <v>295341</v>
      </c>
      <c r="H633" s="714">
        <f t="shared" si="136"/>
        <v>296030.85714285716</v>
      </c>
      <c r="I633" s="714">
        <f t="shared" si="136"/>
        <v>296252.85714285716</v>
      </c>
      <c r="J633" s="714">
        <f t="shared" si="136"/>
        <v>296474.85714285716</v>
      </c>
      <c r="K633" s="714">
        <f t="shared" si="136"/>
        <v>296696.85714285716</v>
      </c>
      <c r="L633" s="714">
        <f t="shared" si="136"/>
        <v>296918.85714285716</v>
      </c>
      <c r="M633" s="714">
        <f t="shared" si="136"/>
        <v>297140.85714285716</v>
      </c>
      <c r="N633" s="714">
        <f t="shared" si="136"/>
        <v>297362.85714285716</v>
      </c>
      <c r="O633" s="285" t="s">
        <v>586</v>
      </c>
      <c r="P633" s="828"/>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row>
    <row r="634" spans="1:49" s="193" customFormat="1" ht="12.75" hidden="1" outlineLevel="1" x14ac:dyDescent="0.2">
      <c r="A634" s="820"/>
      <c r="B634" s="833"/>
      <c r="C634" s="837"/>
      <c r="D634" s="30"/>
      <c r="E634" s="833"/>
      <c r="F634" s="833"/>
      <c r="G634" s="833"/>
      <c r="H634" s="833"/>
      <c r="I634" s="833"/>
      <c r="J634" s="833"/>
      <c r="K634" s="833"/>
      <c r="L634" s="833"/>
      <c r="M634" s="833"/>
      <c r="N634" s="833"/>
      <c r="O634" s="861"/>
      <c r="P634" s="828"/>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row>
    <row r="635" spans="1:49" s="193" customFormat="1" ht="13.5" hidden="1" outlineLevel="1" thickBot="1" x14ac:dyDescent="0.25">
      <c r="A635" s="820"/>
      <c r="B635" s="833"/>
      <c r="C635" s="858"/>
      <c r="D635" s="529"/>
      <c r="E635" s="859"/>
      <c r="F635" s="859"/>
      <c r="G635" s="859"/>
      <c r="H635" s="859"/>
      <c r="I635" s="859"/>
      <c r="J635" s="859"/>
      <c r="K635" s="859"/>
      <c r="L635" s="859"/>
      <c r="M635" s="859"/>
      <c r="N635" s="859"/>
      <c r="O635" s="860"/>
      <c r="P635" s="828"/>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row>
    <row r="636" spans="1:49" s="193" customFormat="1" ht="12.75" hidden="1" outlineLevel="1" x14ac:dyDescent="0.2">
      <c r="A636" s="820"/>
      <c r="B636" s="833"/>
      <c r="C636" s="833"/>
      <c r="D636" s="30"/>
      <c r="E636" s="833"/>
      <c r="F636" s="833"/>
      <c r="G636" s="833"/>
      <c r="H636" s="833"/>
      <c r="I636" s="833"/>
      <c r="J636" s="833"/>
      <c r="K636" s="833"/>
      <c r="L636" s="833"/>
      <c r="M636" s="833"/>
      <c r="N636" s="833"/>
      <c r="O636" s="833"/>
      <c r="P636" s="828"/>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row>
    <row r="637" spans="1:49" s="122" customFormat="1" ht="15.75" collapsed="1" x14ac:dyDescent="0.2">
      <c r="A637" s="1043">
        <v>11</v>
      </c>
      <c r="B637" s="1039"/>
      <c r="C637" s="1039"/>
      <c r="D637" s="1039"/>
      <c r="E637" s="1039"/>
      <c r="F637" s="1039"/>
      <c r="G637" s="1039"/>
      <c r="H637" s="1039"/>
      <c r="I637" s="1039"/>
      <c r="J637" s="1039"/>
      <c r="K637" s="1039"/>
      <c r="L637" s="1039"/>
      <c r="M637" s="1039"/>
      <c r="N637" s="1039"/>
      <c r="O637" s="1039"/>
      <c r="P637" s="206"/>
      <c r="Q637" s="206"/>
      <c r="R637" s="206"/>
      <c r="S637" s="206"/>
      <c r="T637" s="206"/>
      <c r="U637" s="206"/>
      <c r="V637" s="206"/>
      <c r="W637" s="206"/>
      <c r="X637" s="206"/>
      <c r="Y637" s="206"/>
      <c r="Z637" s="206"/>
      <c r="AA637" s="206"/>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row>
    <row r="638" spans="1:49" s="712" customFormat="1" ht="13.5" thickBot="1" x14ac:dyDescent="0.25">
      <c r="A638" s="820"/>
      <c r="B638" s="180"/>
      <c r="C638" s="852"/>
      <c r="D638" s="820"/>
      <c r="E638" s="840"/>
      <c r="F638" s="840"/>
      <c r="G638" s="840"/>
      <c r="H638" s="840"/>
      <c r="I638" s="840"/>
      <c r="J638" s="840"/>
      <c r="K638" s="840"/>
      <c r="L638" s="840"/>
      <c r="M638" s="840"/>
      <c r="N638" s="840"/>
      <c r="O638" s="828"/>
      <c r="P638" s="828"/>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row>
    <row r="639" spans="1:49" s="712" customFormat="1" ht="31.5" x14ac:dyDescent="0.2">
      <c r="A639" s="1342" t="str">
        <f>"Purpose - To calculate Total Records generated by 'FleetTypeJ'          " &amp; (FleetTypeJ)</f>
        <v>Purpose - To calculate Total Records generated by 'FleetTypeJ'          A330-200</v>
      </c>
      <c r="B639" s="180"/>
      <c r="C639" s="1343" t="str">
        <f>FleetTypeJ &amp;" (FleetTypeJ) Records
Generated pa"</f>
        <v>A330-200 (FleetTypeJ) Records
Generated pa</v>
      </c>
      <c r="D639" s="853"/>
      <c r="E639" s="853"/>
      <c r="F639" s="853"/>
      <c r="G639" s="853"/>
      <c r="H639" s="853"/>
      <c r="I639" s="853"/>
      <c r="J639" s="853"/>
      <c r="K639" s="853"/>
      <c r="L639" s="853"/>
      <c r="M639" s="853"/>
      <c r="N639" s="853"/>
      <c r="O639" s="854"/>
      <c r="P639" s="828"/>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row>
    <row r="640" spans="1:49" s="193" customFormat="1" ht="12.75" x14ac:dyDescent="0.2">
      <c r="A640" s="820"/>
      <c r="B640" s="833"/>
      <c r="C640" s="833"/>
      <c r="D640" s="30"/>
      <c r="E640" s="833"/>
      <c r="F640" s="833"/>
      <c r="G640" s="833"/>
      <c r="H640" s="833"/>
      <c r="I640" s="833"/>
      <c r="J640" s="833"/>
      <c r="K640" s="833"/>
      <c r="L640" s="833"/>
      <c r="M640" s="833"/>
      <c r="N640" s="833"/>
      <c r="O640" s="833"/>
      <c r="P640" s="828"/>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row>
    <row r="641" spans="1:49" s="193" customFormat="1" ht="13.5" hidden="1" outlineLevel="1" collapsed="1" thickBot="1" x14ac:dyDescent="0.25">
      <c r="A641" s="820"/>
      <c r="B641" s="820"/>
      <c r="C641" s="820"/>
      <c r="D641" s="278"/>
      <c r="E641" s="278"/>
      <c r="F641" s="278"/>
      <c r="G641" s="278"/>
      <c r="H641" s="278"/>
      <c r="I641" s="278"/>
      <c r="J641" s="278"/>
      <c r="K641" s="278"/>
      <c r="L641" s="278"/>
      <c r="M641" s="278"/>
      <c r="N641" s="278"/>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row>
    <row r="642" spans="1:49" s="712" customFormat="1" ht="20.100000000000001" hidden="1" customHeight="1" outlineLevel="1" x14ac:dyDescent="0.2">
      <c r="A642" s="820"/>
      <c r="B642" s="180"/>
      <c r="C642" s="1344"/>
      <c r="D642" s="853"/>
      <c r="E642" s="853"/>
      <c r="F642" s="853"/>
      <c r="G642" s="853"/>
      <c r="H642" s="853"/>
      <c r="I642" s="853"/>
      <c r="J642" s="853"/>
      <c r="K642" s="853"/>
      <c r="L642" s="853"/>
      <c r="M642" s="853"/>
      <c r="N642" s="853"/>
      <c r="O642" s="854"/>
      <c r="P642" s="828"/>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row>
    <row r="643" spans="1:49" s="193" customFormat="1" ht="20.25" hidden="1" customHeight="1" outlineLevel="1" x14ac:dyDescent="0.2">
      <c r="A643" s="820"/>
      <c r="B643" s="180"/>
      <c r="C643" s="256"/>
      <c r="D643" s="484" t="str">
        <f>FleetTypeJ &amp;" Heavy Maintenance (HM)"</f>
        <v>A330-200 Heavy Maintenance (HM)</v>
      </c>
      <c r="E643" s="820"/>
      <c r="F643" s="39"/>
      <c r="G643" s="822"/>
      <c r="H643" s="822"/>
      <c r="I643" s="822"/>
      <c r="J643" s="822"/>
      <c r="K643" s="822"/>
      <c r="L643" s="822"/>
      <c r="M643" s="822"/>
      <c r="N643" s="822"/>
      <c r="O643" s="829"/>
      <c r="P643" s="828"/>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row>
    <row r="644" spans="1:49" s="193" customFormat="1" ht="15" hidden="1" customHeight="1" outlineLevel="1" x14ac:dyDescent="0.2">
      <c r="A644" s="820"/>
      <c r="B644" s="830"/>
      <c r="C644" s="831"/>
      <c r="D644" s="501" t="str">
        <f>FleetTypeJ&amp;" HM Cycle (Years)"</f>
        <v>A330-200 HM Cycle (Years)</v>
      </c>
      <c r="E644" s="855">
        <v>12</v>
      </c>
      <c r="F644" s="855">
        <v>14</v>
      </c>
      <c r="G644" s="855">
        <v>16</v>
      </c>
      <c r="H644" s="855">
        <v>14</v>
      </c>
      <c r="I644" s="855">
        <v>14</v>
      </c>
      <c r="J644" s="855">
        <v>14</v>
      </c>
      <c r="K644" s="855">
        <v>14</v>
      </c>
      <c r="L644" s="855">
        <v>14</v>
      </c>
      <c r="M644" s="855">
        <v>14</v>
      </c>
      <c r="N644" s="855">
        <v>14</v>
      </c>
      <c r="O644" s="257" t="s">
        <v>587</v>
      </c>
      <c r="P644" s="828"/>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row>
    <row r="645" spans="1:49" s="193" customFormat="1" ht="12.95" hidden="1" customHeight="1" outlineLevel="1" x14ac:dyDescent="0.2">
      <c r="A645" s="820"/>
      <c r="B645" s="833"/>
      <c r="C645" s="834"/>
      <c r="D645" s="820"/>
      <c r="E645" s="833"/>
      <c r="F645" s="833"/>
      <c r="G645" s="833"/>
      <c r="H645" s="833"/>
      <c r="I645" s="833"/>
      <c r="J645" s="833"/>
      <c r="K645" s="833"/>
      <c r="L645" s="833"/>
      <c r="M645" s="833"/>
      <c r="N645" s="833"/>
      <c r="O645" s="835"/>
      <c r="P645" s="828"/>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row>
    <row r="646" spans="1:49" s="193" customFormat="1" ht="12.75" hidden="1" customHeight="1" outlineLevel="1" x14ac:dyDescent="0.2">
      <c r="A646" s="820"/>
      <c r="B646" s="30"/>
      <c r="C646" s="256"/>
      <c r="D646" s="57" t="s">
        <v>256</v>
      </c>
      <c r="E646" s="856">
        <v>1100</v>
      </c>
      <c r="F646" s="856">
        <v>1200</v>
      </c>
      <c r="G646" s="856">
        <v>1300</v>
      </c>
      <c r="H646" s="856">
        <v>1400</v>
      </c>
      <c r="I646" s="856">
        <v>1500</v>
      </c>
      <c r="J646" s="856">
        <v>1600</v>
      </c>
      <c r="K646" s="856">
        <v>1700</v>
      </c>
      <c r="L646" s="856">
        <v>1800</v>
      </c>
      <c r="M646" s="856">
        <v>1900</v>
      </c>
      <c r="N646" s="856">
        <v>2000</v>
      </c>
      <c r="O646" s="835"/>
      <c r="P646" s="828"/>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row>
    <row r="647" spans="1:49" s="193" customFormat="1" ht="12.95" hidden="1" customHeight="1" outlineLevel="1" x14ac:dyDescent="0.2">
      <c r="A647" s="820"/>
      <c r="B647" s="833"/>
      <c r="C647" s="837"/>
      <c r="D647" s="57" t="s">
        <v>257</v>
      </c>
      <c r="E647" s="857">
        <v>2100</v>
      </c>
      <c r="F647" s="857">
        <v>2200</v>
      </c>
      <c r="G647" s="857">
        <v>2300</v>
      </c>
      <c r="H647" s="857">
        <v>2400</v>
      </c>
      <c r="I647" s="857">
        <v>2500</v>
      </c>
      <c r="J647" s="857">
        <v>2600</v>
      </c>
      <c r="K647" s="857">
        <v>2700</v>
      </c>
      <c r="L647" s="857">
        <v>2800</v>
      </c>
      <c r="M647" s="857">
        <v>2900</v>
      </c>
      <c r="N647" s="857">
        <v>3000</v>
      </c>
      <c r="O647" s="835"/>
      <c r="P647" s="828"/>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row>
    <row r="648" spans="1:49" s="193" customFormat="1" ht="12.95" hidden="1" customHeight="1" outlineLevel="1" x14ac:dyDescent="0.2">
      <c r="A648" s="820"/>
      <c r="B648" s="833"/>
      <c r="C648" s="837"/>
      <c r="D648" s="57" t="s">
        <v>258</v>
      </c>
      <c r="E648" s="857" t="s">
        <v>20</v>
      </c>
      <c r="F648" s="857" t="s">
        <v>20</v>
      </c>
      <c r="G648" s="857" t="s">
        <v>20</v>
      </c>
      <c r="H648" s="857" t="s">
        <v>20</v>
      </c>
      <c r="I648" s="857" t="s">
        <v>20</v>
      </c>
      <c r="J648" s="857" t="s">
        <v>20</v>
      </c>
      <c r="K648" s="857" t="s">
        <v>20</v>
      </c>
      <c r="L648" s="857" t="s">
        <v>20</v>
      </c>
      <c r="M648" s="857" t="s">
        <v>20</v>
      </c>
      <c r="N648" s="857" t="s">
        <v>20</v>
      </c>
      <c r="O648" s="835"/>
      <c r="P648" s="828"/>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row>
    <row r="649" spans="1:49" s="193" customFormat="1" ht="12.95" hidden="1" customHeight="1" outlineLevel="1" x14ac:dyDescent="0.2">
      <c r="A649" s="820"/>
      <c r="B649" s="833"/>
      <c r="C649" s="837"/>
      <c r="D649" s="57" t="s">
        <v>259</v>
      </c>
      <c r="E649" s="857">
        <v>4100</v>
      </c>
      <c r="F649" s="857">
        <v>4200</v>
      </c>
      <c r="G649" s="857">
        <v>4300</v>
      </c>
      <c r="H649" s="857">
        <v>4400</v>
      </c>
      <c r="I649" s="857">
        <v>4500</v>
      </c>
      <c r="J649" s="857">
        <v>4600</v>
      </c>
      <c r="K649" s="857">
        <v>4700</v>
      </c>
      <c r="L649" s="857">
        <v>4800</v>
      </c>
      <c r="M649" s="857">
        <v>4900</v>
      </c>
      <c r="N649" s="857">
        <v>5000</v>
      </c>
      <c r="O649" s="835"/>
      <c r="P649" s="828"/>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row>
    <row r="650" spans="1:49" s="193" customFormat="1" ht="12.95" hidden="1" customHeight="1" outlineLevel="1" x14ac:dyDescent="0.2">
      <c r="A650" s="820"/>
      <c r="B650" s="833"/>
      <c r="C650" s="837"/>
      <c r="D650" s="57" t="s">
        <v>260</v>
      </c>
      <c r="E650" s="857" t="s">
        <v>20</v>
      </c>
      <c r="F650" s="857" t="s">
        <v>20</v>
      </c>
      <c r="G650" s="857" t="s">
        <v>20</v>
      </c>
      <c r="H650" s="857" t="s">
        <v>20</v>
      </c>
      <c r="I650" s="857" t="s">
        <v>20</v>
      </c>
      <c r="J650" s="857" t="s">
        <v>20</v>
      </c>
      <c r="K650" s="857" t="s">
        <v>20</v>
      </c>
      <c r="L650" s="857" t="s">
        <v>20</v>
      </c>
      <c r="M650" s="857" t="s">
        <v>20</v>
      </c>
      <c r="N650" s="857" t="s">
        <v>20</v>
      </c>
      <c r="O650" s="835"/>
      <c r="P650" s="828"/>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row>
    <row r="651" spans="1:49" s="193" customFormat="1" ht="12.95" hidden="1" customHeight="1" outlineLevel="1" x14ac:dyDescent="0.2">
      <c r="A651" s="820"/>
      <c r="B651" s="833"/>
      <c r="C651" s="837"/>
      <c r="D651" s="57" t="s">
        <v>261</v>
      </c>
      <c r="E651" s="857">
        <v>7100</v>
      </c>
      <c r="F651" s="857">
        <v>7200</v>
      </c>
      <c r="G651" s="857">
        <v>7300</v>
      </c>
      <c r="H651" s="857">
        <v>7400</v>
      </c>
      <c r="I651" s="857">
        <v>7500</v>
      </c>
      <c r="J651" s="857">
        <v>7600</v>
      </c>
      <c r="K651" s="857">
        <v>7700</v>
      </c>
      <c r="L651" s="857">
        <v>7800</v>
      </c>
      <c r="M651" s="857">
        <v>7900</v>
      </c>
      <c r="N651" s="857">
        <v>8000</v>
      </c>
      <c r="O651" s="835"/>
      <c r="P651" s="828"/>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row>
    <row r="652" spans="1:49" s="193" customFormat="1" ht="12.95" hidden="1" customHeight="1" outlineLevel="1" x14ac:dyDescent="0.2">
      <c r="A652" s="820"/>
      <c r="B652" s="833"/>
      <c r="C652" s="837"/>
      <c r="D652" s="57" t="s">
        <v>262</v>
      </c>
      <c r="E652" s="857" t="s">
        <v>20</v>
      </c>
      <c r="F652" s="857" t="s">
        <v>20</v>
      </c>
      <c r="G652" s="857" t="s">
        <v>20</v>
      </c>
      <c r="H652" s="857" t="s">
        <v>20</v>
      </c>
      <c r="I652" s="857" t="s">
        <v>20</v>
      </c>
      <c r="J652" s="857" t="s">
        <v>20</v>
      </c>
      <c r="K652" s="857" t="s">
        <v>20</v>
      </c>
      <c r="L652" s="857" t="s">
        <v>20</v>
      </c>
      <c r="M652" s="857" t="s">
        <v>20</v>
      </c>
      <c r="N652" s="857" t="s">
        <v>20</v>
      </c>
      <c r="O652" s="835"/>
      <c r="P652" s="828"/>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row>
    <row r="653" spans="1:49" s="193" customFormat="1" ht="12.95" hidden="1" customHeight="1" outlineLevel="1" x14ac:dyDescent="0.2">
      <c r="A653" s="820"/>
      <c r="B653" s="833"/>
      <c r="C653" s="837"/>
      <c r="D653" s="57" t="s">
        <v>263</v>
      </c>
      <c r="E653" s="857">
        <v>9000</v>
      </c>
      <c r="F653" s="857">
        <v>10000</v>
      </c>
      <c r="G653" s="857">
        <v>11000</v>
      </c>
      <c r="H653" s="857">
        <v>12000</v>
      </c>
      <c r="I653" s="857">
        <v>13000</v>
      </c>
      <c r="J653" s="857">
        <v>14000</v>
      </c>
      <c r="K653" s="857">
        <v>15000</v>
      </c>
      <c r="L653" s="857">
        <v>16000</v>
      </c>
      <c r="M653" s="857">
        <v>17000</v>
      </c>
      <c r="N653" s="857">
        <v>18000</v>
      </c>
      <c r="O653" s="835"/>
      <c r="P653" s="828"/>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row>
    <row r="654" spans="1:49" s="193" customFormat="1" ht="12.95" hidden="1" customHeight="1" outlineLevel="1" x14ac:dyDescent="0.2">
      <c r="A654" s="820"/>
      <c r="B654" s="833"/>
      <c r="C654" s="837"/>
      <c r="D654" s="60" t="s">
        <v>113</v>
      </c>
      <c r="E654" s="502">
        <f t="shared" ref="E654:H654" si="137">SUM(E646:E653)</f>
        <v>23400</v>
      </c>
      <c r="F654" s="502">
        <f t="shared" si="137"/>
        <v>24800</v>
      </c>
      <c r="G654" s="502">
        <f t="shared" si="137"/>
        <v>26200</v>
      </c>
      <c r="H654" s="502">
        <f t="shared" si="137"/>
        <v>27600</v>
      </c>
      <c r="I654" s="502">
        <f t="shared" ref="I654:N654" si="138">SUM(I646:I653)</f>
        <v>29000</v>
      </c>
      <c r="J654" s="502">
        <f t="shared" si="138"/>
        <v>30400</v>
      </c>
      <c r="K654" s="502">
        <f t="shared" si="138"/>
        <v>31800</v>
      </c>
      <c r="L654" s="502">
        <f t="shared" si="138"/>
        <v>33200</v>
      </c>
      <c r="M654" s="502">
        <f t="shared" si="138"/>
        <v>34600</v>
      </c>
      <c r="N654" s="502">
        <f t="shared" si="138"/>
        <v>36000</v>
      </c>
      <c r="O654" s="285" t="s">
        <v>597</v>
      </c>
      <c r="P654" s="828"/>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row>
    <row r="655" spans="1:49" s="193" customFormat="1" ht="12.75" hidden="1" outlineLevel="1" x14ac:dyDescent="0.2">
      <c r="A655" s="820"/>
      <c r="B655" s="833"/>
      <c r="C655" s="837"/>
      <c r="D655" s="501" t="str">
        <f>"Total "&amp;FleetTypeJ&amp;" FLEET HM Records Generated pa"</f>
        <v>Total A330-200 FLEET HM Records Generated pa</v>
      </c>
      <c r="E655" s="503">
        <f t="shared" ref="E655:N655" si="139">E654/FleetCycleHvy_J*FleetSize_J</f>
        <v>5850</v>
      </c>
      <c r="F655" s="503">
        <f t="shared" si="139"/>
        <v>5314.2857142857138</v>
      </c>
      <c r="G655" s="503">
        <f t="shared" si="139"/>
        <v>4912.5</v>
      </c>
      <c r="H655" s="503">
        <f t="shared" si="139"/>
        <v>5914.2857142857138</v>
      </c>
      <c r="I655" s="503">
        <f t="shared" si="139"/>
        <v>6214.2857142857147</v>
      </c>
      <c r="J655" s="503">
        <f t="shared" si="139"/>
        <v>6514.2857142857147</v>
      </c>
      <c r="K655" s="503">
        <f t="shared" si="139"/>
        <v>6814.2857142857147</v>
      </c>
      <c r="L655" s="503">
        <f t="shared" si="139"/>
        <v>7114.2857142857147</v>
      </c>
      <c r="M655" s="503">
        <f t="shared" si="139"/>
        <v>7414.2857142857147</v>
      </c>
      <c r="N655" s="503">
        <f t="shared" si="139"/>
        <v>7714.2857142857147</v>
      </c>
      <c r="O655" s="285" t="s">
        <v>588</v>
      </c>
      <c r="P655" s="828"/>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row>
    <row r="656" spans="1:49" s="712" customFormat="1" ht="12.75" hidden="1" outlineLevel="1" x14ac:dyDescent="0.2">
      <c r="A656" s="820"/>
      <c r="B656" s="820"/>
      <c r="C656" s="837"/>
      <c r="D656" s="30"/>
      <c r="E656" s="30"/>
      <c r="F656" s="30"/>
      <c r="G656" s="30"/>
      <c r="H656" s="30"/>
      <c r="I656" s="30"/>
      <c r="J656" s="30"/>
      <c r="K656" s="30"/>
      <c r="L656" s="30"/>
      <c r="M656" s="30"/>
      <c r="N656" s="30"/>
      <c r="O656" s="839"/>
      <c r="P656" s="828"/>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row>
    <row r="657" spans="1:49" s="712" customFormat="1" ht="12.75" hidden="1" outlineLevel="1" x14ac:dyDescent="0.2">
      <c r="A657" s="820"/>
      <c r="B657" s="820"/>
      <c r="C657" s="837"/>
      <c r="D657" s="484" t="str">
        <f>FleetTypeJ &amp;" Line Maintenance (LM)"</f>
        <v>A330-200 Line Maintenance (LM)</v>
      </c>
      <c r="E657" s="840"/>
      <c r="F657" s="840"/>
      <c r="G657" s="840"/>
      <c r="H657" s="840"/>
      <c r="I657" s="840"/>
      <c r="J657" s="840"/>
      <c r="K657" s="840"/>
      <c r="L657" s="840"/>
      <c r="M657" s="840"/>
      <c r="N657" s="840"/>
      <c r="O657" s="839"/>
      <c r="P657" s="828"/>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row>
    <row r="658" spans="1:49" s="712" customFormat="1" ht="12.75" hidden="1" outlineLevel="1" x14ac:dyDescent="0.2">
      <c r="A658" s="820"/>
      <c r="B658" s="841"/>
      <c r="C658" s="837"/>
      <c r="D658" s="233" t="str">
        <f>FleetTypeJ&amp; " LM Per AIRCRAFT Records Generated pa"</f>
        <v>A330-200 LM Per AIRCRAFT Records Generated pa</v>
      </c>
      <c r="E658" s="596">
        <v>10001</v>
      </c>
      <c r="F658" s="596">
        <v>10002</v>
      </c>
      <c r="G658" s="596">
        <v>10003</v>
      </c>
      <c r="H658" s="596">
        <v>10004</v>
      </c>
      <c r="I658" s="596">
        <v>10005</v>
      </c>
      <c r="J658" s="596">
        <v>10006</v>
      </c>
      <c r="K658" s="596">
        <v>10007</v>
      </c>
      <c r="L658" s="596">
        <v>10008</v>
      </c>
      <c r="M658" s="596">
        <v>10009</v>
      </c>
      <c r="N658" s="596">
        <v>10010</v>
      </c>
      <c r="O658" s="839"/>
      <c r="P658" s="828"/>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row>
    <row r="659" spans="1:49" s="712" customFormat="1" ht="12.75" hidden="1" outlineLevel="1" x14ac:dyDescent="0.2">
      <c r="A659" s="820"/>
      <c r="B659" s="841"/>
      <c r="C659" s="843"/>
      <c r="D659" s="501" t="str">
        <f>"Total "&amp;FleetTypeJ&amp;" FLEET LM Records Generated pa"</f>
        <v>Total A330-200 FLEET LM Records Generated pa</v>
      </c>
      <c r="E659" s="505">
        <f t="shared" ref="E659:N659" si="140">E658*FleetSize_J</f>
        <v>30003</v>
      </c>
      <c r="F659" s="505">
        <f t="shared" si="140"/>
        <v>30006</v>
      </c>
      <c r="G659" s="505">
        <f t="shared" si="140"/>
        <v>30009</v>
      </c>
      <c r="H659" s="505">
        <f t="shared" si="140"/>
        <v>30012</v>
      </c>
      <c r="I659" s="505">
        <f t="shared" si="140"/>
        <v>30015</v>
      </c>
      <c r="J659" s="505">
        <f t="shared" si="140"/>
        <v>30018</v>
      </c>
      <c r="K659" s="505">
        <f t="shared" si="140"/>
        <v>30021</v>
      </c>
      <c r="L659" s="505">
        <f t="shared" si="140"/>
        <v>30024</v>
      </c>
      <c r="M659" s="505">
        <f t="shared" si="140"/>
        <v>30027</v>
      </c>
      <c r="N659" s="505">
        <f t="shared" si="140"/>
        <v>30030</v>
      </c>
      <c r="O659" s="285" t="s">
        <v>589</v>
      </c>
      <c r="P659" s="828"/>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row>
    <row r="660" spans="1:49" s="712" customFormat="1" ht="12.75" hidden="1" outlineLevel="1" x14ac:dyDescent="0.2">
      <c r="A660" s="820"/>
      <c r="B660" s="820"/>
      <c r="C660" s="843"/>
      <c r="D660" s="30"/>
      <c r="E660" s="30"/>
      <c r="F660" s="30"/>
      <c r="G660" s="30"/>
      <c r="H660" s="30"/>
      <c r="I660" s="30"/>
      <c r="J660" s="30"/>
      <c r="K660" s="30"/>
      <c r="L660" s="30"/>
      <c r="M660" s="30"/>
      <c r="N660" s="30"/>
      <c r="O660" s="839"/>
      <c r="P660" s="828"/>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row>
    <row r="661" spans="1:49" s="712" customFormat="1" ht="12.75" hidden="1" outlineLevel="1" x14ac:dyDescent="0.2">
      <c r="A661" s="820"/>
      <c r="B661" s="820"/>
      <c r="C661" s="843"/>
      <c r="D661" s="484" t="str">
        <f>FleetTypeJ &amp;" Engineering (Eng)"</f>
        <v>A330-200 Engineering (Eng)</v>
      </c>
      <c r="E661" s="840"/>
      <c r="F661" s="840"/>
      <c r="G661" s="840"/>
      <c r="H661" s="840"/>
      <c r="I661" s="840"/>
      <c r="J661" s="840"/>
      <c r="K661" s="840"/>
      <c r="L661" s="840"/>
      <c r="M661" s="840"/>
      <c r="N661" s="840"/>
      <c r="O661" s="839"/>
      <c r="P661" s="828"/>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row>
    <row r="662" spans="1:49" s="712" customFormat="1" ht="12.75" hidden="1" outlineLevel="1" x14ac:dyDescent="0.2">
      <c r="A662" s="820"/>
      <c r="B662" s="820"/>
      <c r="C662" s="843"/>
      <c r="D662" s="233" t="str">
        <f>FleetTypeJ&amp;" Eng Per AIRCRAFT Records Generated pa"</f>
        <v>A330-200 Eng Per AIRCRAFT Records Generated pa</v>
      </c>
      <c r="E662" s="842">
        <v>11001</v>
      </c>
      <c r="F662" s="842">
        <v>11002</v>
      </c>
      <c r="G662" s="842">
        <v>11003</v>
      </c>
      <c r="H662" s="842">
        <v>11004</v>
      </c>
      <c r="I662" s="842">
        <v>11005</v>
      </c>
      <c r="J662" s="842">
        <v>11006</v>
      </c>
      <c r="K662" s="842">
        <v>11007</v>
      </c>
      <c r="L662" s="842">
        <v>11008</v>
      </c>
      <c r="M662" s="842">
        <v>11009</v>
      </c>
      <c r="N662" s="842">
        <v>11010</v>
      </c>
      <c r="O662" s="839"/>
      <c r="P662" s="828"/>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row>
    <row r="663" spans="1:49" s="712" customFormat="1" ht="15.75" hidden="1" customHeight="1" outlineLevel="1" x14ac:dyDescent="0.2">
      <c r="A663" s="820"/>
      <c r="B663" s="820"/>
      <c r="C663" s="843"/>
      <c r="D663" s="234" t="str">
        <f>"Total "&amp;FleetTypeJ&amp;" FLEET Eng Records Generated pa"</f>
        <v>Total A330-200 FLEET Eng Records Generated pa</v>
      </c>
      <c r="E663" s="231">
        <f t="shared" ref="E663:N663" si="141">E662*FleetSize_J</f>
        <v>33003</v>
      </c>
      <c r="F663" s="231">
        <f t="shared" si="141"/>
        <v>33006</v>
      </c>
      <c r="G663" s="231">
        <f t="shared" si="141"/>
        <v>33009</v>
      </c>
      <c r="H663" s="231">
        <f t="shared" si="141"/>
        <v>33012</v>
      </c>
      <c r="I663" s="231">
        <f t="shared" si="141"/>
        <v>33015</v>
      </c>
      <c r="J663" s="231">
        <f t="shared" si="141"/>
        <v>33018</v>
      </c>
      <c r="K663" s="231">
        <f t="shared" si="141"/>
        <v>33021</v>
      </c>
      <c r="L663" s="231">
        <f t="shared" si="141"/>
        <v>33024</v>
      </c>
      <c r="M663" s="231">
        <f t="shared" si="141"/>
        <v>33027</v>
      </c>
      <c r="N663" s="231">
        <f t="shared" si="141"/>
        <v>33030</v>
      </c>
      <c r="O663" s="285" t="s">
        <v>888</v>
      </c>
      <c r="P663" s="828"/>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row>
    <row r="664" spans="1:49" s="712" customFormat="1" ht="15.75" hidden="1" customHeight="1" outlineLevel="1" x14ac:dyDescent="0.2">
      <c r="A664" s="820"/>
      <c r="B664" s="820"/>
      <c r="C664" s="843"/>
      <c r="D664" s="844"/>
      <c r="E664" s="845"/>
      <c r="F664" s="845"/>
      <c r="G664" s="845"/>
      <c r="H664" s="845"/>
      <c r="I664" s="845"/>
      <c r="J664" s="845"/>
      <c r="K664" s="845"/>
      <c r="L664" s="845"/>
      <c r="M664" s="845"/>
      <c r="N664" s="845"/>
      <c r="O664" s="285"/>
      <c r="P664" s="828"/>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row>
    <row r="665" spans="1:49" s="712" customFormat="1" ht="12.75" hidden="1" outlineLevel="1" x14ac:dyDescent="0.2">
      <c r="A665" s="820"/>
      <c r="B665" s="820"/>
      <c r="C665" s="843"/>
      <c r="D665" s="484" t="str">
        <f>FleetTypeJ &amp;" Planning (Plg)"</f>
        <v>A330-200 Planning (Plg)</v>
      </c>
      <c r="E665" s="840"/>
      <c r="F665" s="840"/>
      <c r="G665" s="840"/>
      <c r="H665" s="840"/>
      <c r="I665" s="840"/>
      <c r="J665" s="840"/>
      <c r="K665" s="840"/>
      <c r="L665" s="840"/>
      <c r="M665" s="840"/>
      <c r="N665" s="840"/>
      <c r="O665" s="839"/>
      <c r="P665" s="828"/>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row>
    <row r="666" spans="1:49" s="712" customFormat="1" ht="12.75" hidden="1" outlineLevel="1" x14ac:dyDescent="0.2">
      <c r="A666" s="820"/>
      <c r="B666" s="820"/>
      <c r="C666" s="843"/>
      <c r="D666" s="233" t="str">
        <f>FleetTypeJ&amp;" Plg AIRCRAFT Records Generated pa"</f>
        <v>A330-200 Plg AIRCRAFT Records Generated pa</v>
      </c>
      <c r="E666" s="842">
        <v>11001</v>
      </c>
      <c r="F666" s="842">
        <v>11002</v>
      </c>
      <c r="G666" s="842">
        <v>11003</v>
      </c>
      <c r="H666" s="842">
        <v>11004</v>
      </c>
      <c r="I666" s="842">
        <v>11005</v>
      </c>
      <c r="J666" s="842">
        <v>11006</v>
      </c>
      <c r="K666" s="842">
        <v>11007</v>
      </c>
      <c r="L666" s="842">
        <v>11008</v>
      </c>
      <c r="M666" s="842">
        <v>11009</v>
      </c>
      <c r="N666" s="842">
        <v>11010</v>
      </c>
      <c r="O666" s="839"/>
      <c r="P666" s="828"/>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row>
    <row r="667" spans="1:49" s="712" customFormat="1" ht="15.75" hidden="1" customHeight="1" outlineLevel="1" x14ac:dyDescent="0.2">
      <c r="A667" s="820"/>
      <c r="B667" s="820"/>
      <c r="C667" s="843"/>
      <c r="D667" s="234" t="str">
        <f>"Total "&amp;FleetTypeJ&amp;" FLEET Plg Records Generated pa"</f>
        <v>Total A330-200 FLEET Plg Records Generated pa</v>
      </c>
      <c r="E667" s="231">
        <f t="shared" ref="E667:N667" si="142">E666*FleetSize_J</f>
        <v>33003</v>
      </c>
      <c r="F667" s="231">
        <f t="shared" si="142"/>
        <v>33006</v>
      </c>
      <c r="G667" s="231">
        <f t="shared" si="142"/>
        <v>33009</v>
      </c>
      <c r="H667" s="231">
        <f t="shared" si="142"/>
        <v>33012</v>
      </c>
      <c r="I667" s="231">
        <f t="shared" si="142"/>
        <v>33015</v>
      </c>
      <c r="J667" s="231">
        <f t="shared" si="142"/>
        <v>33018</v>
      </c>
      <c r="K667" s="231">
        <f t="shared" si="142"/>
        <v>33021</v>
      </c>
      <c r="L667" s="231">
        <f t="shared" si="142"/>
        <v>33024</v>
      </c>
      <c r="M667" s="231">
        <f t="shared" si="142"/>
        <v>33027</v>
      </c>
      <c r="N667" s="231">
        <f t="shared" si="142"/>
        <v>33030</v>
      </c>
      <c r="O667" s="285" t="s">
        <v>889</v>
      </c>
      <c r="P667" s="828"/>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row>
    <row r="668" spans="1:49" s="712" customFormat="1" ht="12.75" hidden="1" outlineLevel="1" x14ac:dyDescent="0.2">
      <c r="A668" s="820"/>
      <c r="B668" s="820"/>
      <c r="C668" s="843"/>
      <c r="D668" s="30"/>
      <c r="E668" s="30"/>
      <c r="F668" s="30"/>
      <c r="G668" s="30"/>
      <c r="H668" s="30"/>
      <c r="I668" s="30"/>
      <c r="J668" s="30"/>
      <c r="K668" s="30"/>
      <c r="L668" s="30"/>
      <c r="M668" s="30"/>
      <c r="N668" s="30"/>
      <c r="O668" s="839"/>
      <c r="P668" s="828"/>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row>
    <row r="669" spans="1:49" s="712" customFormat="1" ht="12.75" hidden="1" outlineLevel="1" x14ac:dyDescent="0.2">
      <c r="A669" s="820"/>
      <c r="B669" s="820"/>
      <c r="C669" s="843"/>
      <c r="D669" s="484" t="str">
        <f>FleetTypeJ &amp;" Clerical, Records &amp; Tech Pubs (CRT)"</f>
        <v>A330-200 Clerical, Records &amp; Tech Pubs (CRT)</v>
      </c>
      <c r="E669" s="840"/>
      <c r="F669" s="840"/>
      <c r="G669" s="840"/>
      <c r="H669" s="840"/>
      <c r="I669" s="840"/>
      <c r="J669" s="840"/>
      <c r="K669" s="840"/>
      <c r="L669" s="840"/>
      <c r="M669" s="840"/>
      <c r="N669" s="840"/>
      <c r="O669" s="839"/>
      <c r="P669" s="828"/>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row>
    <row r="670" spans="1:49" s="712" customFormat="1" ht="12.75" hidden="1" outlineLevel="1" x14ac:dyDescent="0.2">
      <c r="A670" s="820"/>
      <c r="B670" s="820"/>
      <c r="C670" s="256"/>
      <c r="D670" s="233" t="str">
        <f>FleetTypeJ&amp;" SCL Per AIRCRAFT CRT Records Generated pa"</f>
        <v>A330-200 SCL Per AIRCRAFT CRT Records Generated pa</v>
      </c>
      <c r="E670" s="596">
        <v>12001</v>
      </c>
      <c r="F670" s="596">
        <v>12002</v>
      </c>
      <c r="G670" s="596">
        <v>12003</v>
      </c>
      <c r="H670" s="596">
        <v>12004</v>
      </c>
      <c r="I670" s="596">
        <v>12005</v>
      </c>
      <c r="J670" s="596">
        <v>12006</v>
      </c>
      <c r="K670" s="596">
        <v>12007</v>
      </c>
      <c r="L670" s="596">
        <v>12008</v>
      </c>
      <c r="M670" s="596">
        <v>12009</v>
      </c>
      <c r="N670" s="596">
        <v>12010</v>
      </c>
      <c r="O670" s="839"/>
      <c r="P670" s="828"/>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row>
    <row r="671" spans="1:49" s="712" customFormat="1" ht="12.75" hidden="1" outlineLevel="1" x14ac:dyDescent="0.2">
      <c r="A671" s="820"/>
      <c r="B671" s="820"/>
      <c r="C671" s="843"/>
      <c r="D671" s="501" t="str">
        <f>"Total "&amp;FleetTypeJ&amp;" FLEET CRT Records Generated pa"</f>
        <v>Total A330-200 FLEET CRT Records Generated pa</v>
      </c>
      <c r="E671" s="505">
        <f t="shared" ref="E671:N671" si="143">E670*FleetSize_J</f>
        <v>36003</v>
      </c>
      <c r="F671" s="505">
        <f t="shared" si="143"/>
        <v>36006</v>
      </c>
      <c r="G671" s="505">
        <f t="shared" si="143"/>
        <v>36009</v>
      </c>
      <c r="H671" s="505">
        <f t="shared" si="143"/>
        <v>36012</v>
      </c>
      <c r="I671" s="505">
        <f t="shared" si="143"/>
        <v>36015</v>
      </c>
      <c r="J671" s="505">
        <f t="shared" si="143"/>
        <v>36018</v>
      </c>
      <c r="K671" s="505">
        <f t="shared" si="143"/>
        <v>36021</v>
      </c>
      <c r="L671" s="505">
        <f t="shared" si="143"/>
        <v>36024</v>
      </c>
      <c r="M671" s="505">
        <f t="shared" si="143"/>
        <v>36027</v>
      </c>
      <c r="N671" s="505">
        <f t="shared" si="143"/>
        <v>36030</v>
      </c>
      <c r="O671" s="285" t="s">
        <v>590</v>
      </c>
      <c r="P671" s="828"/>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row>
    <row r="672" spans="1:49" s="712" customFormat="1" ht="12.75" hidden="1" outlineLevel="1" x14ac:dyDescent="0.2">
      <c r="A672" s="820"/>
      <c r="B672" s="820"/>
      <c r="C672" s="843"/>
      <c r="D672" s="820"/>
      <c r="E672" s="840"/>
      <c r="F672" s="840"/>
      <c r="G672" s="840"/>
      <c r="H672" s="840"/>
      <c r="I672" s="840"/>
      <c r="J672" s="840"/>
      <c r="K672" s="840"/>
      <c r="L672" s="840"/>
      <c r="M672" s="840"/>
      <c r="N672" s="840"/>
      <c r="O672" s="839"/>
      <c r="P672" s="828"/>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row>
    <row r="673" spans="1:49" s="712" customFormat="1" ht="12.75" hidden="1" outlineLevel="1" x14ac:dyDescent="0.2">
      <c r="A673" s="820"/>
      <c r="B673" s="820"/>
      <c r="C673" s="843"/>
      <c r="D673" s="484" t="str">
        <f>FleetTypeJ &amp;" Supply Chain &amp; Logistics (SCL)"</f>
        <v>A330-200 Supply Chain &amp; Logistics (SCL)</v>
      </c>
      <c r="E673" s="840"/>
      <c r="F673" s="840"/>
      <c r="G673" s="840"/>
      <c r="H673" s="840"/>
      <c r="I673" s="840"/>
      <c r="J673" s="840"/>
      <c r="K673" s="840"/>
      <c r="L673" s="840"/>
      <c r="M673" s="840"/>
      <c r="N673" s="840"/>
      <c r="O673" s="839"/>
      <c r="P673" s="828"/>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row>
    <row r="674" spans="1:49" s="712" customFormat="1" ht="12.75" hidden="1" outlineLevel="1" x14ac:dyDescent="0.2">
      <c r="A674" s="820"/>
      <c r="B674" s="820"/>
      <c r="C674" s="256"/>
      <c r="D674" s="233" t="str">
        <f>FleetTypeJ&amp;" SCL Per AIRCRAFT OEMV Records Generated pa"</f>
        <v>A330-200 SCL Per AIRCRAFT OEMV Records Generated pa</v>
      </c>
      <c r="E674" s="596">
        <v>13001</v>
      </c>
      <c r="F674" s="596">
        <v>13002</v>
      </c>
      <c r="G674" s="596">
        <v>13003</v>
      </c>
      <c r="H674" s="596">
        <v>13004</v>
      </c>
      <c r="I674" s="596">
        <v>13005</v>
      </c>
      <c r="J674" s="596">
        <v>13006</v>
      </c>
      <c r="K674" s="596">
        <v>13007</v>
      </c>
      <c r="L674" s="596">
        <v>13008</v>
      </c>
      <c r="M674" s="596">
        <v>13009</v>
      </c>
      <c r="N674" s="596">
        <v>13010</v>
      </c>
      <c r="O674" s="839"/>
      <c r="P674" s="828"/>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row>
    <row r="675" spans="1:49" s="712" customFormat="1" ht="12.75" hidden="1" outlineLevel="1" x14ac:dyDescent="0.2">
      <c r="A675" s="820"/>
      <c r="B675" s="820"/>
      <c r="C675" s="843"/>
      <c r="D675" s="501" t="str">
        <f>"Total "&amp;FleetTypeJ&amp;" FLEET SCL Records Generated pa"</f>
        <v>Total A330-200 FLEET SCL Records Generated pa</v>
      </c>
      <c r="E675" s="505">
        <f t="shared" ref="E675:N675" si="144">E674*FleetSize_J</f>
        <v>39003</v>
      </c>
      <c r="F675" s="505">
        <f t="shared" si="144"/>
        <v>39006</v>
      </c>
      <c r="G675" s="505">
        <f t="shared" si="144"/>
        <v>39009</v>
      </c>
      <c r="H675" s="505">
        <f t="shared" si="144"/>
        <v>39012</v>
      </c>
      <c r="I675" s="505">
        <f t="shared" si="144"/>
        <v>39015</v>
      </c>
      <c r="J675" s="505">
        <f t="shared" si="144"/>
        <v>39018</v>
      </c>
      <c r="K675" s="505">
        <f t="shared" si="144"/>
        <v>39021</v>
      </c>
      <c r="L675" s="505">
        <f t="shared" si="144"/>
        <v>39024</v>
      </c>
      <c r="M675" s="505">
        <f t="shared" si="144"/>
        <v>39027</v>
      </c>
      <c r="N675" s="505">
        <f t="shared" si="144"/>
        <v>39030</v>
      </c>
      <c r="O675" s="285" t="s">
        <v>591</v>
      </c>
      <c r="P675" s="828"/>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row>
    <row r="676" spans="1:49" s="712" customFormat="1" ht="12.75" hidden="1" outlineLevel="1" x14ac:dyDescent="0.2">
      <c r="A676" s="820"/>
      <c r="B676" s="820"/>
      <c r="C676" s="846"/>
      <c r="D676" s="820"/>
      <c r="E676" s="840"/>
      <c r="F676" s="840"/>
      <c r="G676" s="840"/>
      <c r="H676" s="840"/>
      <c r="I676" s="840"/>
      <c r="J676" s="840"/>
      <c r="K676" s="840"/>
      <c r="L676" s="840"/>
      <c r="M676" s="840"/>
      <c r="N676" s="840"/>
      <c r="O676" s="839"/>
      <c r="P676" s="828"/>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row>
    <row r="677" spans="1:49" s="712" customFormat="1" ht="12.75" hidden="1" outlineLevel="1" x14ac:dyDescent="0.2">
      <c r="A677" s="820"/>
      <c r="B677" s="820"/>
      <c r="C677" s="846"/>
      <c r="D677" s="484" t="str">
        <f>FleetTypeJ &amp;" Quality, Safety &amp; Compliance (QSC)"</f>
        <v>A330-200 Quality, Safety &amp; Compliance (QSC)</v>
      </c>
      <c r="E677" s="840"/>
      <c r="F677" s="840"/>
      <c r="G677" s="840"/>
      <c r="H677" s="840"/>
      <c r="I677" s="840"/>
      <c r="J677" s="840"/>
      <c r="K677" s="840"/>
      <c r="L677" s="840"/>
      <c r="M677" s="840"/>
      <c r="N677" s="840"/>
      <c r="O677" s="839"/>
      <c r="P677" s="828"/>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row>
    <row r="678" spans="1:49" s="712" customFormat="1" ht="12.75" hidden="1" outlineLevel="1" x14ac:dyDescent="0.2">
      <c r="A678" s="820"/>
      <c r="B678" s="820"/>
      <c r="C678" s="256"/>
      <c r="D678" s="233" t="str">
        <f>FleetTypeJ&amp;" QSC Per AIRCRAFT Records Generated pa"</f>
        <v>A330-200 QSC Per AIRCRAFT Records Generated pa</v>
      </c>
      <c r="E678" s="596">
        <v>14001</v>
      </c>
      <c r="F678" s="596">
        <v>14002</v>
      </c>
      <c r="G678" s="596">
        <v>14003</v>
      </c>
      <c r="H678" s="596">
        <v>14004</v>
      </c>
      <c r="I678" s="596">
        <v>14005</v>
      </c>
      <c r="J678" s="596">
        <v>14006</v>
      </c>
      <c r="K678" s="596">
        <v>14007</v>
      </c>
      <c r="L678" s="596">
        <v>14008</v>
      </c>
      <c r="M678" s="596">
        <v>14009</v>
      </c>
      <c r="N678" s="596">
        <v>14010</v>
      </c>
      <c r="O678" s="839"/>
      <c r="P678" s="828"/>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row>
    <row r="679" spans="1:49" s="712" customFormat="1" ht="15.75" hidden="1" customHeight="1" outlineLevel="1" x14ac:dyDescent="0.2">
      <c r="A679" s="820"/>
      <c r="B679" s="820"/>
      <c r="C679" s="843"/>
      <c r="D679" s="501" t="str">
        <f>"Total "&amp;FleetTypeJ&amp;" FLEET QSC Records Generated pa"</f>
        <v>Total A330-200 FLEET QSC Records Generated pa</v>
      </c>
      <c r="E679" s="505">
        <f t="shared" ref="E679:N679" si="145">E678*FleetSize_J</f>
        <v>42003</v>
      </c>
      <c r="F679" s="505">
        <f t="shared" si="145"/>
        <v>42006</v>
      </c>
      <c r="G679" s="505">
        <f t="shared" si="145"/>
        <v>42009</v>
      </c>
      <c r="H679" s="505">
        <f t="shared" si="145"/>
        <v>42012</v>
      </c>
      <c r="I679" s="505">
        <f t="shared" si="145"/>
        <v>42015</v>
      </c>
      <c r="J679" s="505">
        <f t="shared" si="145"/>
        <v>42018</v>
      </c>
      <c r="K679" s="505">
        <f t="shared" si="145"/>
        <v>42021</v>
      </c>
      <c r="L679" s="505">
        <f t="shared" si="145"/>
        <v>42024</v>
      </c>
      <c r="M679" s="505">
        <f t="shared" si="145"/>
        <v>42027</v>
      </c>
      <c r="N679" s="505">
        <f t="shared" si="145"/>
        <v>42030</v>
      </c>
      <c r="O679" s="285" t="s">
        <v>592</v>
      </c>
      <c r="P679" s="828"/>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row>
    <row r="680" spans="1:49" s="712" customFormat="1" ht="12.75" hidden="1" outlineLevel="1" x14ac:dyDescent="0.2">
      <c r="A680" s="820"/>
      <c r="B680" s="820"/>
      <c r="C680" s="847"/>
      <c r="D680" s="820"/>
      <c r="E680" s="840"/>
      <c r="F680" s="840"/>
      <c r="G680" s="840"/>
      <c r="H680" s="840"/>
      <c r="I680" s="840"/>
      <c r="J680" s="840"/>
      <c r="K680" s="840"/>
      <c r="L680" s="840"/>
      <c r="M680" s="840"/>
      <c r="N680" s="840"/>
      <c r="O680" s="835"/>
      <c r="P680" s="828"/>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row>
    <row r="681" spans="1:49" s="712" customFormat="1" ht="12.75" hidden="1" outlineLevel="1" x14ac:dyDescent="0.2">
      <c r="A681" s="820"/>
      <c r="B681" s="820"/>
      <c r="C681" s="847"/>
      <c r="D681" s="484" t="str">
        <f>FleetTypeJ &amp;" Engine Maintenance (EM)"</f>
        <v>A330-200 Engine Maintenance (EM)</v>
      </c>
      <c r="E681" s="840"/>
      <c r="F681" s="840"/>
      <c r="G681" s="840"/>
      <c r="H681" s="840"/>
      <c r="I681" s="840"/>
      <c r="J681" s="840"/>
      <c r="K681" s="840"/>
      <c r="L681" s="840"/>
      <c r="M681" s="840"/>
      <c r="N681" s="840"/>
      <c r="O681" s="835"/>
      <c r="P681" s="828"/>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row>
    <row r="682" spans="1:49" s="712" customFormat="1" ht="12.75" hidden="1" outlineLevel="1" x14ac:dyDescent="0.2">
      <c r="A682" s="820"/>
      <c r="B682" s="820"/>
      <c r="C682" s="256"/>
      <c r="D682" s="233" t="str">
        <f>FleetTypeJ&amp;" EM Per AIRCRAFT Records Generated pa"</f>
        <v>A330-200 EM Per AIRCRAFT Records Generated pa</v>
      </c>
      <c r="E682" s="596">
        <v>15001</v>
      </c>
      <c r="F682" s="596">
        <v>15002</v>
      </c>
      <c r="G682" s="596">
        <v>15003</v>
      </c>
      <c r="H682" s="596">
        <v>15004</v>
      </c>
      <c r="I682" s="596">
        <v>15005</v>
      </c>
      <c r="J682" s="596">
        <v>15006</v>
      </c>
      <c r="K682" s="596">
        <v>15007</v>
      </c>
      <c r="L682" s="596">
        <v>15008</v>
      </c>
      <c r="M682" s="596">
        <v>15009</v>
      </c>
      <c r="N682" s="596">
        <v>15010</v>
      </c>
      <c r="O682" s="835"/>
      <c r="P682" s="828"/>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row>
    <row r="683" spans="1:49" s="712" customFormat="1" ht="15.75" hidden="1" customHeight="1" outlineLevel="1" x14ac:dyDescent="0.2">
      <c r="A683" s="820"/>
      <c r="B683" s="820"/>
      <c r="C683" s="256"/>
      <c r="D683" s="501" t="str">
        <f>"Total "&amp;FleetTypeJ&amp;" FLEET EM Records Generated pa"</f>
        <v>Total A330-200 FLEET EM Records Generated pa</v>
      </c>
      <c r="E683" s="505">
        <f t="shared" ref="E683:N683" si="146">E682*FleetSize_J</f>
        <v>45003</v>
      </c>
      <c r="F683" s="505">
        <f t="shared" si="146"/>
        <v>45006</v>
      </c>
      <c r="G683" s="505">
        <f t="shared" si="146"/>
        <v>45009</v>
      </c>
      <c r="H683" s="505">
        <f t="shared" si="146"/>
        <v>45012</v>
      </c>
      <c r="I683" s="505">
        <f t="shared" si="146"/>
        <v>45015</v>
      </c>
      <c r="J683" s="505">
        <f t="shared" si="146"/>
        <v>45018</v>
      </c>
      <c r="K683" s="505">
        <f t="shared" si="146"/>
        <v>45021</v>
      </c>
      <c r="L683" s="505">
        <f t="shared" si="146"/>
        <v>45024</v>
      </c>
      <c r="M683" s="505">
        <f t="shared" si="146"/>
        <v>45027</v>
      </c>
      <c r="N683" s="505">
        <f t="shared" si="146"/>
        <v>45030</v>
      </c>
      <c r="O683" s="285" t="s">
        <v>593</v>
      </c>
      <c r="P683" s="828"/>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row>
    <row r="684" spans="1:49" s="712" customFormat="1" ht="12.75" hidden="1" outlineLevel="1" x14ac:dyDescent="0.2">
      <c r="A684" s="820"/>
      <c r="B684" s="820"/>
      <c r="C684" s="256"/>
      <c r="D684" s="30"/>
      <c r="E684" s="30"/>
      <c r="F684" s="30"/>
      <c r="G684" s="30"/>
      <c r="H684" s="30"/>
      <c r="I684" s="30"/>
      <c r="J684" s="30"/>
      <c r="K684" s="30"/>
      <c r="L684" s="30"/>
      <c r="M684" s="30"/>
      <c r="N684" s="30"/>
      <c r="O684" s="839"/>
      <c r="P684" s="828"/>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row>
    <row r="685" spans="1:49" s="712" customFormat="1" ht="12.75" hidden="1" outlineLevel="1" x14ac:dyDescent="0.2">
      <c r="A685" s="820"/>
      <c r="B685" s="820"/>
      <c r="C685" s="847"/>
      <c r="D685" s="484" t="str">
        <f>FleetTypeJ &amp;" Component Maintenance (CM)"</f>
        <v>A330-200 Component Maintenance (CM)</v>
      </c>
      <c r="E685" s="840"/>
      <c r="F685" s="840"/>
      <c r="G685" s="840"/>
      <c r="H685" s="840"/>
      <c r="I685" s="840"/>
      <c r="J685" s="840"/>
      <c r="K685" s="840"/>
      <c r="L685" s="840"/>
      <c r="M685" s="840"/>
      <c r="N685" s="840"/>
      <c r="O685" s="835"/>
      <c r="P685" s="828"/>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row>
    <row r="686" spans="1:49" s="712" customFormat="1" ht="12.75" hidden="1" outlineLevel="1" x14ac:dyDescent="0.2">
      <c r="A686" s="820"/>
      <c r="B686" s="820"/>
      <c r="C686" s="256"/>
      <c r="D686" s="233" t="str">
        <f>FleetTypeJ&amp;" CM Per AIRCRAFT Records Generated pa"</f>
        <v>A330-200 CM Per AIRCRAFT Records Generated pa</v>
      </c>
      <c r="E686" s="596">
        <v>15001</v>
      </c>
      <c r="F686" s="596">
        <v>15002</v>
      </c>
      <c r="G686" s="596">
        <v>15003</v>
      </c>
      <c r="H686" s="596">
        <v>15004</v>
      </c>
      <c r="I686" s="596">
        <v>15005</v>
      </c>
      <c r="J686" s="596">
        <v>15006</v>
      </c>
      <c r="K686" s="596">
        <v>15007</v>
      </c>
      <c r="L686" s="596">
        <v>15008</v>
      </c>
      <c r="M686" s="596">
        <v>15009</v>
      </c>
      <c r="N686" s="596">
        <v>15010</v>
      </c>
      <c r="O686" s="835"/>
      <c r="P686" s="828"/>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row>
    <row r="687" spans="1:49" s="712" customFormat="1" ht="15.75" hidden="1" customHeight="1" outlineLevel="1" x14ac:dyDescent="0.2">
      <c r="A687" s="820"/>
      <c r="B687" s="820"/>
      <c r="C687" s="256"/>
      <c r="D687" s="501" t="str">
        <f>"Total "&amp;FleetTypeJ&amp;" FLEET CM Records Generated pa"</f>
        <v>Total A330-200 FLEET CM Records Generated pa</v>
      </c>
      <c r="E687" s="505">
        <f t="shared" ref="E687:N687" si="147">E686*FleetSize_J</f>
        <v>45003</v>
      </c>
      <c r="F687" s="505">
        <f t="shared" si="147"/>
        <v>45006</v>
      </c>
      <c r="G687" s="505">
        <f t="shared" si="147"/>
        <v>45009</v>
      </c>
      <c r="H687" s="505">
        <f t="shared" si="147"/>
        <v>45012</v>
      </c>
      <c r="I687" s="505">
        <f t="shared" si="147"/>
        <v>45015</v>
      </c>
      <c r="J687" s="505">
        <f t="shared" si="147"/>
        <v>45018</v>
      </c>
      <c r="K687" s="505">
        <f t="shared" si="147"/>
        <v>45021</v>
      </c>
      <c r="L687" s="505">
        <f t="shared" si="147"/>
        <v>45024</v>
      </c>
      <c r="M687" s="505">
        <f t="shared" si="147"/>
        <v>45027</v>
      </c>
      <c r="N687" s="505">
        <f t="shared" si="147"/>
        <v>45030</v>
      </c>
      <c r="O687" s="285" t="s">
        <v>594</v>
      </c>
      <c r="P687" s="828"/>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row>
    <row r="688" spans="1:49" s="712" customFormat="1" ht="12.75" hidden="1" outlineLevel="1" x14ac:dyDescent="0.2">
      <c r="A688" s="820"/>
      <c r="B688" s="820"/>
      <c r="C688" s="256"/>
      <c r="D688" s="30"/>
      <c r="E688" s="30"/>
      <c r="F688" s="30"/>
      <c r="G688" s="30"/>
      <c r="H688" s="30"/>
      <c r="I688" s="30"/>
      <c r="J688" s="30"/>
      <c r="K688" s="30"/>
      <c r="L688" s="30"/>
      <c r="M688" s="30"/>
      <c r="N688" s="30"/>
      <c r="O688" s="839"/>
      <c r="P688" s="828"/>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row>
    <row r="689" spans="1:49" s="712" customFormat="1" ht="15.75" hidden="1" customHeight="1" outlineLevel="1" x14ac:dyDescent="0.2">
      <c r="A689" s="820"/>
      <c r="B689" s="820"/>
      <c r="C689" s="847"/>
      <c r="D689" s="484" t="str">
        <f>FleetTypeJ &amp;" Sheetmetal &amp; Composite Structures (SMCS)"</f>
        <v>A330-200 Sheetmetal &amp; Composite Structures (SMCS)</v>
      </c>
      <c r="E689" s="840"/>
      <c r="F689" s="840"/>
      <c r="G689" s="840"/>
      <c r="H689" s="840"/>
      <c r="I689" s="840"/>
      <c r="J689" s="840"/>
      <c r="K689" s="840"/>
      <c r="L689" s="840"/>
      <c r="M689" s="840"/>
      <c r="N689" s="840"/>
      <c r="O689" s="835"/>
      <c r="P689" s="828"/>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row>
    <row r="690" spans="1:49" s="712" customFormat="1" ht="12.75" hidden="1" outlineLevel="1" x14ac:dyDescent="0.2">
      <c r="A690" s="820"/>
      <c r="B690" s="820"/>
      <c r="C690" s="256"/>
      <c r="D690" s="233" t="str">
        <f>FleetTypeJ&amp;" SMCS Per AIRCRAFT Records Generated pa"</f>
        <v>A330-200 SMCS Per AIRCRAFT Records Generated pa</v>
      </c>
      <c r="E690" s="596">
        <v>15001</v>
      </c>
      <c r="F690" s="596">
        <v>15002</v>
      </c>
      <c r="G690" s="596">
        <v>15003</v>
      </c>
      <c r="H690" s="596">
        <v>15004</v>
      </c>
      <c r="I690" s="596">
        <v>15005</v>
      </c>
      <c r="J690" s="596">
        <v>15006</v>
      </c>
      <c r="K690" s="596">
        <v>15007</v>
      </c>
      <c r="L690" s="596">
        <v>15008</v>
      </c>
      <c r="M690" s="596">
        <v>15009</v>
      </c>
      <c r="N690" s="596">
        <v>15010</v>
      </c>
      <c r="O690" s="835"/>
      <c r="P690" s="828"/>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row>
    <row r="691" spans="1:49" s="712" customFormat="1" ht="15.75" hidden="1" customHeight="1" outlineLevel="1" x14ac:dyDescent="0.2">
      <c r="A691" s="820"/>
      <c r="B691" s="820"/>
      <c r="C691" s="256"/>
      <c r="D691" s="501" t="str">
        <f>"Total "&amp;FleetTypeJ&amp;" FLEET SMCS Records Generated pa"</f>
        <v>Total A330-200 FLEET SMCS Records Generated pa</v>
      </c>
      <c r="E691" s="505">
        <f t="shared" ref="E691:N691" si="148">E690*FleetSize_J</f>
        <v>45003</v>
      </c>
      <c r="F691" s="505">
        <f t="shared" si="148"/>
        <v>45006</v>
      </c>
      <c r="G691" s="505">
        <f t="shared" si="148"/>
        <v>45009</v>
      </c>
      <c r="H691" s="505">
        <f t="shared" si="148"/>
        <v>45012</v>
      </c>
      <c r="I691" s="505">
        <f t="shared" si="148"/>
        <v>45015</v>
      </c>
      <c r="J691" s="505">
        <f t="shared" si="148"/>
        <v>45018</v>
      </c>
      <c r="K691" s="505">
        <f t="shared" si="148"/>
        <v>45021</v>
      </c>
      <c r="L691" s="505">
        <f t="shared" si="148"/>
        <v>45024</v>
      </c>
      <c r="M691" s="505">
        <f t="shared" si="148"/>
        <v>45027</v>
      </c>
      <c r="N691" s="505">
        <f t="shared" si="148"/>
        <v>45030</v>
      </c>
      <c r="O691" s="285" t="s">
        <v>595</v>
      </c>
      <c r="P691" s="828"/>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row>
    <row r="692" spans="1:49" s="712" customFormat="1" ht="12.75" hidden="1" outlineLevel="1" x14ac:dyDescent="0.2">
      <c r="A692" s="820"/>
      <c r="B692" s="820"/>
      <c r="C692" s="256"/>
      <c r="D692" s="30"/>
      <c r="E692" s="30"/>
      <c r="F692" s="30"/>
      <c r="G692" s="30"/>
      <c r="H692" s="30"/>
      <c r="I692" s="30"/>
      <c r="J692" s="30"/>
      <c r="K692" s="30"/>
      <c r="L692" s="30"/>
      <c r="M692" s="30"/>
      <c r="N692" s="30"/>
      <c r="O692" s="839"/>
      <c r="P692" s="828"/>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row>
    <row r="693" spans="1:49" s="712" customFormat="1" ht="12.75" hidden="1" outlineLevel="1" x14ac:dyDescent="0.2">
      <c r="A693" s="820"/>
      <c r="B693" s="820"/>
      <c r="C693" s="847"/>
      <c r="D693" s="484" t="str">
        <f>FleetTypeJ &amp;" Other 1 (O1)"</f>
        <v>A330-200 Other 1 (O1)</v>
      </c>
      <c r="E693" s="840"/>
      <c r="F693" s="840"/>
      <c r="G693" s="840"/>
      <c r="H693" s="840"/>
      <c r="I693" s="840"/>
      <c r="J693" s="840"/>
      <c r="K693" s="840"/>
      <c r="L693" s="840"/>
      <c r="M693" s="840"/>
      <c r="N693" s="840"/>
      <c r="O693" s="835"/>
      <c r="P693" s="828"/>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row>
    <row r="694" spans="1:49" s="712" customFormat="1" ht="12.75" hidden="1" outlineLevel="1" x14ac:dyDescent="0.2">
      <c r="A694" s="820"/>
      <c r="B694" s="820"/>
      <c r="C694" s="256"/>
      <c r="D694" s="233" t="str">
        <f>FleetTypeJ&amp;" O1 Per AIRCRAFT Records Generated pa"</f>
        <v>A330-200 O1 Per AIRCRAFT Records Generated pa</v>
      </c>
      <c r="E694" s="596">
        <v>15001</v>
      </c>
      <c r="F694" s="596">
        <v>15002</v>
      </c>
      <c r="G694" s="596">
        <v>15003</v>
      </c>
      <c r="H694" s="596">
        <v>15004</v>
      </c>
      <c r="I694" s="596">
        <v>15005</v>
      </c>
      <c r="J694" s="596">
        <v>15006</v>
      </c>
      <c r="K694" s="596">
        <v>15007</v>
      </c>
      <c r="L694" s="596">
        <v>15008</v>
      </c>
      <c r="M694" s="596">
        <v>15009</v>
      </c>
      <c r="N694" s="596">
        <v>15010</v>
      </c>
      <c r="O694" s="835"/>
      <c r="P694" s="828"/>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row>
    <row r="695" spans="1:49" s="712" customFormat="1" ht="15.75" hidden="1" customHeight="1" outlineLevel="1" x14ac:dyDescent="0.2">
      <c r="A695" s="820"/>
      <c r="B695" s="820"/>
      <c r="C695" s="256"/>
      <c r="D695" s="501" t="str">
        <f>"Total "&amp;FleetTypeJ&amp;" FLEET O1 Records Generated pa"</f>
        <v>Total A330-200 FLEET O1 Records Generated pa</v>
      </c>
      <c r="E695" s="505">
        <f t="shared" ref="E695:N695" si="149">E694*FleetSize_J</f>
        <v>45003</v>
      </c>
      <c r="F695" s="505">
        <f t="shared" si="149"/>
        <v>45006</v>
      </c>
      <c r="G695" s="505">
        <f t="shared" si="149"/>
        <v>45009</v>
      </c>
      <c r="H695" s="505">
        <f t="shared" si="149"/>
        <v>45012</v>
      </c>
      <c r="I695" s="505">
        <f t="shared" si="149"/>
        <v>45015</v>
      </c>
      <c r="J695" s="505">
        <f t="shared" si="149"/>
        <v>45018</v>
      </c>
      <c r="K695" s="505">
        <f t="shared" si="149"/>
        <v>45021</v>
      </c>
      <c r="L695" s="505">
        <f t="shared" si="149"/>
        <v>45024</v>
      </c>
      <c r="M695" s="505">
        <f t="shared" si="149"/>
        <v>45027</v>
      </c>
      <c r="N695" s="505">
        <f t="shared" si="149"/>
        <v>45030</v>
      </c>
      <c r="O695" s="285" t="s">
        <v>596</v>
      </c>
      <c r="P695" s="828"/>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row>
    <row r="696" spans="1:49" s="712" customFormat="1" ht="12.75" hidden="1" outlineLevel="1" x14ac:dyDescent="0.2">
      <c r="A696" s="820"/>
      <c r="B696" s="820"/>
      <c r="C696" s="256"/>
      <c r="D696" s="30"/>
      <c r="E696" s="30"/>
      <c r="F696" s="30"/>
      <c r="G696" s="30"/>
      <c r="H696" s="30"/>
      <c r="I696" s="30"/>
      <c r="J696" s="30"/>
      <c r="K696" s="30"/>
      <c r="L696" s="30"/>
      <c r="M696" s="30"/>
      <c r="N696" s="30"/>
      <c r="O696" s="839"/>
      <c r="P696" s="828"/>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row>
    <row r="697" spans="1:49" s="712" customFormat="1" ht="12.75" hidden="1" outlineLevel="1" x14ac:dyDescent="0.2">
      <c r="A697" s="820"/>
      <c r="B697" s="820"/>
      <c r="C697" s="847"/>
      <c r="D697" s="484" t="str">
        <f>FleetTypeJ &amp;" Other 2 (O2)"</f>
        <v>A330-200 Other 2 (O2)</v>
      </c>
      <c r="E697" s="840"/>
      <c r="F697" s="840"/>
      <c r="G697" s="840"/>
      <c r="H697" s="840"/>
      <c r="I697" s="840"/>
      <c r="J697" s="840"/>
      <c r="K697" s="840"/>
      <c r="L697" s="840"/>
      <c r="M697" s="840"/>
      <c r="N697" s="840"/>
      <c r="O697" s="835"/>
      <c r="P697" s="828"/>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row>
    <row r="698" spans="1:49" s="712" customFormat="1" ht="12.75" hidden="1" outlineLevel="1" x14ac:dyDescent="0.2">
      <c r="A698" s="820"/>
      <c r="B698" s="820"/>
      <c r="C698" s="256"/>
      <c r="D698" s="233" t="str">
        <f>FleetTypeJ&amp;" O2 Per AIRCRAFT Records Generated pa"</f>
        <v>A330-200 O2 Per AIRCRAFT Records Generated pa</v>
      </c>
      <c r="E698" s="596">
        <v>15001</v>
      </c>
      <c r="F698" s="596">
        <v>15002</v>
      </c>
      <c r="G698" s="596">
        <v>15003</v>
      </c>
      <c r="H698" s="596">
        <v>15004</v>
      </c>
      <c r="I698" s="596">
        <v>15005</v>
      </c>
      <c r="J698" s="596">
        <v>15006</v>
      </c>
      <c r="K698" s="596">
        <v>15007</v>
      </c>
      <c r="L698" s="596">
        <v>15008</v>
      </c>
      <c r="M698" s="596">
        <v>15009</v>
      </c>
      <c r="N698" s="596">
        <v>15010</v>
      </c>
      <c r="O698" s="835"/>
      <c r="P698" s="828"/>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row>
    <row r="699" spans="1:49" s="712" customFormat="1" ht="15.75" hidden="1" customHeight="1" outlineLevel="1" x14ac:dyDescent="0.2">
      <c r="A699" s="820"/>
      <c r="B699" s="820"/>
      <c r="C699" s="256"/>
      <c r="D699" s="501" t="str">
        <f>"Total "&amp;FleetTypeJ&amp;" FLEET O2 Records Generated pa"</f>
        <v>Total A330-200 FLEET O2 Records Generated pa</v>
      </c>
      <c r="E699" s="505">
        <f t="shared" ref="E699:N699" si="150">E698*FleetSize_J</f>
        <v>45003</v>
      </c>
      <c r="F699" s="505">
        <f t="shared" si="150"/>
        <v>45006</v>
      </c>
      <c r="G699" s="505">
        <f t="shared" si="150"/>
        <v>45009</v>
      </c>
      <c r="H699" s="505">
        <f t="shared" si="150"/>
        <v>45012</v>
      </c>
      <c r="I699" s="505">
        <f t="shared" si="150"/>
        <v>45015</v>
      </c>
      <c r="J699" s="505">
        <f t="shared" si="150"/>
        <v>45018</v>
      </c>
      <c r="K699" s="505">
        <f t="shared" si="150"/>
        <v>45021</v>
      </c>
      <c r="L699" s="505">
        <f t="shared" si="150"/>
        <v>45024</v>
      </c>
      <c r="M699" s="505">
        <f t="shared" si="150"/>
        <v>45027</v>
      </c>
      <c r="N699" s="505">
        <f t="shared" si="150"/>
        <v>45030</v>
      </c>
      <c r="O699" s="285" t="s">
        <v>598</v>
      </c>
      <c r="P699" s="828"/>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row>
    <row r="700" spans="1:49" s="712" customFormat="1" ht="12.75" hidden="1" outlineLevel="1" x14ac:dyDescent="0.2">
      <c r="A700" s="820"/>
      <c r="B700" s="820"/>
      <c r="C700" s="256"/>
      <c r="D700" s="30"/>
      <c r="E700" s="30"/>
      <c r="F700" s="30"/>
      <c r="G700" s="30"/>
      <c r="H700" s="30"/>
      <c r="I700" s="30"/>
      <c r="J700" s="30"/>
      <c r="K700" s="30"/>
      <c r="L700" s="30"/>
      <c r="M700" s="30"/>
      <c r="N700" s="30"/>
      <c r="O700" s="839"/>
      <c r="P700" s="828"/>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row>
    <row r="701" spans="1:49" s="712" customFormat="1" ht="21.75" hidden="1" customHeight="1" outlineLevel="1" x14ac:dyDescent="0.2">
      <c r="A701" s="820"/>
      <c r="B701" s="820"/>
      <c r="C701" s="848"/>
      <c r="D701" s="849" t="str">
        <f>"Grand Total ("&amp;(FleetTypeJ)&amp;") "&amp;"Records Generated pa"</f>
        <v>Grand Total (A330-200) Records Generated pa</v>
      </c>
      <c r="E701" s="714">
        <f t="shared" ref="E701:N701" si="151">SUM(RecordsHMFleetTotalpa_J+RecordsLMFleetTotalpa_J+RecordsEngFleetTotalpa_J+RecordsPlgFleetTotalpa_J+RecordsCRTFleetTotalpa_J+RecordsSCLFleetTotalpa_J+RecordsQSCFleetTotalpa_J+RecordsEMFleetTotalpa_J+RecordsCMFleetTotalpa_J+RecordsSMCSFleetTotalpa_J+RecordsO1FleetTotalpa_J+RecordsO2FleetTotalpa_J)</f>
        <v>443883</v>
      </c>
      <c r="F701" s="714">
        <f t="shared" si="151"/>
        <v>443380.28571428568</v>
      </c>
      <c r="G701" s="714">
        <f t="shared" si="151"/>
        <v>443011.5</v>
      </c>
      <c r="H701" s="714">
        <f t="shared" si="151"/>
        <v>444046.28571428568</v>
      </c>
      <c r="I701" s="714">
        <f t="shared" si="151"/>
        <v>444379.28571428568</v>
      </c>
      <c r="J701" s="714">
        <f t="shared" si="151"/>
        <v>444712.28571428568</v>
      </c>
      <c r="K701" s="714">
        <f t="shared" si="151"/>
        <v>445045.28571428568</v>
      </c>
      <c r="L701" s="714">
        <f t="shared" si="151"/>
        <v>445378.28571428568</v>
      </c>
      <c r="M701" s="714">
        <f t="shared" si="151"/>
        <v>445711.28571428568</v>
      </c>
      <c r="N701" s="714">
        <f t="shared" si="151"/>
        <v>446044.28571428568</v>
      </c>
      <c r="O701" s="285" t="s">
        <v>599</v>
      </c>
      <c r="P701" s="828"/>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row>
    <row r="702" spans="1:49" s="193" customFormat="1" ht="12.75" hidden="1" outlineLevel="1" x14ac:dyDescent="0.2">
      <c r="A702" s="820"/>
      <c r="B702" s="833"/>
      <c r="C702" s="837"/>
      <c r="D702" s="30"/>
      <c r="E702" s="833"/>
      <c r="F702" s="833"/>
      <c r="G702" s="833"/>
      <c r="H702" s="833"/>
      <c r="I702" s="833"/>
      <c r="J702" s="833"/>
      <c r="K702" s="833"/>
      <c r="L702" s="833"/>
      <c r="M702" s="833"/>
      <c r="N702" s="833"/>
      <c r="O702" s="861"/>
      <c r="P702" s="828"/>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row>
    <row r="703" spans="1:49" s="193" customFormat="1" ht="13.5" hidden="1" outlineLevel="1" thickBot="1" x14ac:dyDescent="0.25">
      <c r="A703" s="820"/>
      <c r="B703" s="833"/>
      <c r="C703" s="858"/>
      <c r="D703" s="529"/>
      <c r="E703" s="859"/>
      <c r="F703" s="859"/>
      <c r="G703" s="859"/>
      <c r="H703" s="859"/>
      <c r="I703" s="859"/>
      <c r="J703" s="859"/>
      <c r="K703" s="859"/>
      <c r="L703" s="859"/>
      <c r="M703" s="859"/>
      <c r="N703" s="859"/>
      <c r="O703" s="860"/>
      <c r="P703" s="828"/>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row>
    <row r="704" spans="1:49" s="193" customFormat="1" ht="12.75" hidden="1" outlineLevel="1" x14ac:dyDescent="0.2">
      <c r="A704" s="820"/>
      <c r="B704" s="833"/>
      <c r="C704" s="833"/>
      <c r="D704" s="30"/>
      <c r="E704" s="833"/>
      <c r="F704" s="833"/>
      <c r="G704" s="833"/>
      <c r="H704" s="833"/>
      <c r="I704" s="833"/>
      <c r="J704" s="833"/>
      <c r="K704" s="833"/>
      <c r="L704" s="833"/>
      <c r="M704" s="833"/>
      <c r="N704" s="833"/>
      <c r="O704" s="833"/>
      <c r="P704" s="828"/>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row>
    <row r="705" spans="1:49" s="122" customFormat="1" ht="15.75" collapsed="1" x14ac:dyDescent="0.2">
      <c r="A705" s="1043">
        <v>12</v>
      </c>
      <c r="B705" s="1039"/>
      <c r="C705" s="1039"/>
      <c r="D705" s="1039"/>
      <c r="E705" s="1039"/>
      <c r="F705" s="1039"/>
      <c r="G705" s="1039"/>
      <c r="H705" s="1039"/>
      <c r="I705" s="1039"/>
      <c r="J705" s="1039"/>
      <c r="K705" s="1039"/>
      <c r="L705" s="1039"/>
      <c r="M705" s="1039"/>
      <c r="N705" s="1039"/>
      <c r="O705" s="1039"/>
      <c r="P705" s="206"/>
      <c r="Q705" s="206"/>
      <c r="R705" s="206"/>
      <c r="S705" s="206"/>
      <c r="T705" s="206"/>
      <c r="U705" s="206"/>
      <c r="V705" s="206"/>
      <c r="W705" s="206"/>
      <c r="X705" s="206"/>
      <c r="Y705" s="206"/>
      <c r="Z705" s="206"/>
      <c r="AA705" s="206"/>
      <c r="AB705" s="206"/>
      <c r="AC705" s="206"/>
      <c r="AD705" s="206"/>
      <c r="AE705" s="206"/>
      <c r="AF705" s="206"/>
      <c r="AG705" s="206"/>
      <c r="AH705" s="206"/>
      <c r="AI705" s="206"/>
      <c r="AJ705" s="206"/>
      <c r="AK705" s="206"/>
      <c r="AL705" s="206"/>
      <c r="AM705" s="206"/>
      <c r="AN705" s="206"/>
      <c r="AO705" s="206"/>
      <c r="AP705" s="206"/>
      <c r="AQ705" s="206"/>
      <c r="AR705" s="206"/>
      <c r="AS705" s="206"/>
      <c r="AT705" s="206"/>
      <c r="AU705" s="206"/>
      <c r="AV705" s="206"/>
      <c r="AW705" s="206"/>
    </row>
    <row r="706" spans="1:49" s="712" customFormat="1" ht="13.5" thickBot="1" x14ac:dyDescent="0.25">
      <c r="A706" s="820"/>
      <c r="B706" s="180"/>
      <c r="C706" s="852"/>
      <c r="D706" s="820"/>
      <c r="E706" s="840"/>
      <c r="F706" s="840"/>
      <c r="G706" s="840"/>
      <c r="H706" s="840"/>
      <c r="I706" s="840"/>
      <c r="J706" s="840"/>
      <c r="K706" s="840"/>
      <c r="L706" s="840"/>
      <c r="M706" s="840"/>
      <c r="N706" s="840"/>
      <c r="O706" s="828"/>
      <c r="P706" s="828"/>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row>
    <row r="707" spans="1:49" s="712" customFormat="1" ht="31.5" x14ac:dyDescent="0.2">
      <c r="A707" s="1342" t="str">
        <f>"Purpose - To calculate Total Records generated by 'FleetTypeK'          " &amp; (FleetTypeK)</f>
        <v>Purpose - To calculate Total Records generated by 'FleetTypeK'          A330-300</v>
      </c>
      <c r="B707" s="180"/>
      <c r="C707" s="1343" t="str">
        <f>FleetTypeK &amp;" (FleetTypeK) Records
Generated pa"</f>
        <v>A330-300 (FleetTypeK) Records
Generated pa</v>
      </c>
      <c r="D707" s="853"/>
      <c r="E707" s="853"/>
      <c r="F707" s="853"/>
      <c r="G707" s="853"/>
      <c r="H707" s="853"/>
      <c r="I707" s="853"/>
      <c r="J707" s="853"/>
      <c r="K707" s="853"/>
      <c r="L707" s="853"/>
      <c r="M707" s="853"/>
      <c r="N707" s="853"/>
      <c r="O707" s="854"/>
      <c r="P707" s="828"/>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row>
    <row r="708" spans="1:49" s="193" customFormat="1" ht="12.75" x14ac:dyDescent="0.2">
      <c r="A708" s="820"/>
      <c r="B708" s="833"/>
      <c r="C708" s="833"/>
      <c r="D708" s="30"/>
      <c r="E708" s="833"/>
      <c r="F708" s="833"/>
      <c r="G708" s="833"/>
      <c r="H708" s="833"/>
      <c r="I708" s="833"/>
      <c r="J708" s="833"/>
      <c r="K708" s="833"/>
      <c r="L708" s="833"/>
      <c r="M708" s="833"/>
      <c r="N708" s="833"/>
      <c r="O708" s="833"/>
      <c r="P708" s="828"/>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row>
    <row r="709" spans="1:49" s="193" customFormat="1" ht="13.5" hidden="1" outlineLevel="1" collapsed="1" thickBot="1" x14ac:dyDescent="0.25">
      <c r="A709" s="820"/>
      <c r="B709" s="820"/>
      <c r="C709" s="820"/>
      <c r="D709" s="278"/>
      <c r="E709" s="278"/>
      <c r="F709" s="278"/>
      <c r="G709" s="278"/>
      <c r="H709" s="278"/>
      <c r="I709" s="278"/>
      <c r="J709" s="278"/>
      <c r="K709" s="278"/>
      <c r="L709" s="278"/>
      <c r="M709" s="278"/>
      <c r="N709" s="278"/>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row>
    <row r="710" spans="1:49" s="712" customFormat="1" ht="20.100000000000001" hidden="1" customHeight="1" outlineLevel="1" x14ac:dyDescent="0.2">
      <c r="A710" s="820"/>
      <c r="B710" s="180"/>
      <c r="C710" s="1344"/>
      <c r="D710" s="853"/>
      <c r="E710" s="853"/>
      <c r="F710" s="853"/>
      <c r="G710" s="853"/>
      <c r="H710" s="853"/>
      <c r="I710" s="853"/>
      <c r="J710" s="853"/>
      <c r="K710" s="853"/>
      <c r="L710" s="853"/>
      <c r="M710" s="853"/>
      <c r="N710" s="853"/>
      <c r="O710" s="854"/>
      <c r="P710" s="828"/>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row>
    <row r="711" spans="1:49" s="193" customFormat="1" ht="20.25" hidden="1" customHeight="1" outlineLevel="1" x14ac:dyDescent="0.2">
      <c r="A711" s="820"/>
      <c r="B711" s="180"/>
      <c r="C711" s="256"/>
      <c r="D711" s="484" t="str">
        <f>FleetTypeK &amp;" Heavy Maintenance (HM)"</f>
        <v>A330-300 Heavy Maintenance (HM)</v>
      </c>
      <c r="E711" s="820"/>
      <c r="F711" s="39"/>
      <c r="G711" s="822"/>
      <c r="H711" s="822"/>
      <c r="I711" s="822"/>
      <c r="J711" s="822"/>
      <c r="K711" s="822"/>
      <c r="L711" s="822"/>
      <c r="M711" s="822"/>
      <c r="N711" s="822"/>
      <c r="O711" s="829"/>
      <c r="P711" s="828"/>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row>
    <row r="712" spans="1:49" s="193" customFormat="1" ht="15" hidden="1" customHeight="1" outlineLevel="1" x14ac:dyDescent="0.2">
      <c r="A712" s="820"/>
      <c r="B712" s="830"/>
      <c r="C712" s="831"/>
      <c r="D712" s="501" t="str">
        <f>FleetTypeK&amp;" HM Cycle (Years)"</f>
        <v>A330-300 HM Cycle (Years)</v>
      </c>
      <c r="E712" s="855">
        <v>12</v>
      </c>
      <c r="F712" s="855">
        <v>14</v>
      </c>
      <c r="G712" s="855">
        <v>16</v>
      </c>
      <c r="H712" s="855">
        <v>14</v>
      </c>
      <c r="I712" s="855">
        <v>14</v>
      </c>
      <c r="J712" s="855">
        <v>14</v>
      </c>
      <c r="K712" s="855">
        <v>14</v>
      </c>
      <c r="L712" s="855">
        <v>14</v>
      </c>
      <c r="M712" s="855">
        <v>14</v>
      </c>
      <c r="N712" s="855">
        <v>14</v>
      </c>
      <c r="O712" s="257" t="s">
        <v>600</v>
      </c>
      <c r="P712" s="828"/>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row>
    <row r="713" spans="1:49" s="193" customFormat="1" ht="12.95" hidden="1" customHeight="1" outlineLevel="1" x14ac:dyDescent="0.2">
      <c r="A713" s="820"/>
      <c r="B713" s="833"/>
      <c r="C713" s="834"/>
      <c r="D713" s="820"/>
      <c r="E713" s="833"/>
      <c r="F713" s="833"/>
      <c r="G713" s="833"/>
      <c r="H713" s="833"/>
      <c r="I713" s="833"/>
      <c r="J713" s="833"/>
      <c r="K713" s="833"/>
      <c r="L713" s="833"/>
      <c r="M713" s="833"/>
      <c r="N713" s="833"/>
      <c r="O713" s="835"/>
      <c r="P713" s="828"/>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row>
    <row r="714" spans="1:49" s="193" customFormat="1" ht="12.75" hidden="1" customHeight="1" outlineLevel="1" x14ac:dyDescent="0.2">
      <c r="A714" s="820"/>
      <c r="B714" s="30"/>
      <c r="C714" s="256"/>
      <c r="D714" s="57" t="s">
        <v>256</v>
      </c>
      <c r="E714" s="856">
        <v>1100</v>
      </c>
      <c r="F714" s="856">
        <v>1200</v>
      </c>
      <c r="G714" s="856">
        <v>1300</v>
      </c>
      <c r="H714" s="856">
        <v>1400</v>
      </c>
      <c r="I714" s="856">
        <v>1500</v>
      </c>
      <c r="J714" s="856">
        <v>1600</v>
      </c>
      <c r="K714" s="856">
        <v>1700</v>
      </c>
      <c r="L714" s="856">
        <v>1800</v>
      </c>
      <c r="M714" s="856">
        <v>1900</v>
      </c>
      <c r="N714" s="856">
        <v>2000</v>
      </c>
      <c r="O714" s="835"/>
      <c r="P714" s="828"/>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row>
    <row r="715" spans="1:49" s="193" customFormat="1" ht="12.95" hidden="1" customHeight="1" outlineLevel="1" x14ac:dyDescent="0.2">
      <c r="A715" s="820"/>
      <c r="B715" s="833"/>
      <c r="C715" s="837"/>
      <c r="D715" s="57" t="s">
        <v>257</v>
      </c>
      <c r="E715" s="857">
        <v>2100</v>
      </c>
      <c r="F715" s="857">
        <v>2200</v>
      </c>
      <c r="G715" s="857">
        <v>2300</v>
      </c>
      <c r="H715" s="857">
        <v>2400</v>
      </c>
      <c r="I715" s="857">
        <v>2500</v>
      </c>
      <c r="J715" s="857">
        <v>2600</v>
      </c>
      <c r="K715" s="857">
        <v>2700</v>
      </c>
      <c r="L715" s="857">
        <v>2800</v>
      </c>
      <c r="M715" s="857">
        <v>2900</v>
      </c>
      <c r="N715" s="857">
        <v>3000</v>
      </c>
      <c r="O715" s="835"/>
      <c r="P715" s="828"/>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row>
    <row r="716" spans="1:49" s="193" customFormat="1" ht="12.95" hidden="1" customHeight="1" outlineLevel="1" x14ac:dyDescent="0.2">
      <c r="A716" s="820"/>
      <c r="B716" s="833"/>
      <c r="C716" s="837"/>
      <c r="D716" s="57" t="s">
        <v>258</v>
      </c>
      <c r="E716" s="857" t="s">
        <v>20</v>
      </c>
      <c r="F716" s="857" t="s">
        <v>20</v>
      </c>
      <c r="G716" s="857" t="s">
        <v>20</v>
      </c>
      <c r="H716" s="857" t="s">
        <v>20</v>
      </c>
      <c r="I716" s="857" t="s">
        <v>20</v>
      </c>
      <c r="J716" s="857" t="s">
        <v>20</v>
      </c>
      <c r="K716" s="857" t="s">
        <v>20</v>
      </c>
      <c r="L716" s="857" t="s">
        <v>20</v>
      </c>
      <c r="M716" s="857" t="s">
        <v>20</v>
      </c>
      <c r="N716" s="857" t="s">
        <v>20</v>
      </c>
      <c r="O716" s="835"/>
      <c r="P716" s="828"/>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row>
    <row r="717" spans="1:49" s="193" customFormat="1" ht="12.95" hidden="1" customHeight="1" outlineLevel="1" x14ac:dyDescent="0.2">
      <c r="A717" s="820"/>
      <c r="B717" s="833"/>
      <c r="C717" s="837"/>
      <c r="D717" s="57" t="s">
        <v>259</v>
      </c>
      <c r="E717" s="857">
        <v>4100</v>
      </c>
      <c r="F717" s="857">
        <v>4200</v>
      </c>
      <c r="G717" s="857">
        <v>4300</v>
      </c>
      <c r="H717" s="857">
        <v>4400</v>
      </c>
      <c r="I717" s="857">
        <v>4500</v>
      </c>
      <c r="J717" s="857">
        <v>4600</v>
      </c>
      <c r="K717" s="857">
        <v>4700</v>
      </c>
      <c r="L717" s="857">
        <v>4800</v>
      </c>
      <c r="M717" s="857">
        <v>4900</v>
      </c>
      <c r="N717" s="857">
        <v>5000</v>
      </c>
      <c r="O717" s="835"/>
      <c r="P717" s="828"/>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row>
    <row r="718" spans="1:49" s="193" customFormat="1" ht="12.95" hidden="1" customHeight="1" outlineLevel="1" x14ac:dyDescent="0.2">
      <c r="A718" s="820"/>
      <c r="B718" s="833"/>
      <c r="C718" s="837"/>
      <c r="D718" s="57" t="s">
        <v>260</v>
      </c>
      <c r="E718" s="857" t="s">
        <v>20</v>
      </c>
      <c r="F718" s="857" t="s">
        <v>20</v>
      </c>
      <c r="G718" s="857" t="s">
        <v>20</v>
      </c>
      <c r="H718" s="857" t="s">
        <v>20</v>
      </c>
      <c r="I718" s="857" t="s">
        <v>20</v>
      </c>
      <c r="J718" s="857" t="s">
        <v>20</v>
      </c>
      <c r="K718" s="857" t="s">
        <v>20</v>
      </c>
      <c r="L718" s="857" t="s">
        <v>20</v>
      </c>
      <c r="M718" s="857" t="s">
        <v>20</v>
      </c>
      <c r="N718" s="857" t="s">
        <v>20</v>
      </c>
      <c r="O718" s="835"/>
      <c r="P718" s="828"/>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row>
    <row r="719" spans="1:49" s="193" customFormat="1" ht="12.95" hidden="1" customHeight="1" outlineLevel="1" x14ac:dyDescent="0.2">
      <c r="A719" s="820"/>
      <c r="B719" s="833"/>
      <c r="C719" s="837"/>
      <c r="D719" s="57" t="s">
        <v>261</v>
      </c>
      <c r="E719" s="857">
        <v>7100</v>
      </c>
      <c r="F719" s="857">
        <v>7200</v>
      </c>
      <c r="G719" s="857">
        <v>7300</v>
      </c>
      <c r="H719" s="857">
        <v>7400</v>
      </c>
      <c r="I719" s="857">
        <v>7500</v>
      </c>
      <c r="J719" s="857">
        <v>7600</v>
      </c>
      <c r="K719" s="857">
        <v>7700</v>
      </c>
      <c r="L719" s="857">
        <v>7800</v>
      </c>
      <c r="M719" s="857">
        <v>7900</v>
      </c>
      <c r="N719" s="857">
        <v>8000</v>
      </c>
      <c r="O719" s="835"/>
      <c r="P719" s="828"/>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row>
    <row r="720" spans="1:49" s="193" customFormat="1" ht="12.95" hidden="1" customHeight="1" outlineLevel="1" x14ac:dyDescent="0.2">
      <c r="A720" s="820"/>
      <c r="B720" s="833"/>
      <c r="C720" s="837"/>
      <c r="D720" s="57" t="s">
        <v>262</v>
      </c>
      <c r="E720" s="857" t="s">
        <v>20</v>
      </c>
      <c r="F720" s="857" t="s">
        <v>20</v>
      </c>
      <c r="G720" s="857" t="s">
        <v>20</v>
      </c>
      <c r="H720" s="857" t="s">
        <v>20</v>
      </c>
      <c r="I720" s="857" t="s">
        <v>20</v>
      </c>
      <c r="J720" s="857" t="s">
        <v>20</v>
      </c>
      <c r="K720" s="857" t="s">
        <v>20</v>
      </c>
      <c r="L720" s="857" t="s">
        <v>20</v>
      </c>
      <c r="M720" s="857" t="s">
        <v>20</v>
      </c>
      <c r="N720" s="857" t="s">
        <v>20</v>
      </c>
      <c r="O720" s="835"/>
      <c r="P720" s="828"/>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row>
    <row r="721" spans="1:49" s="193" customFormat="1" ht="12.95" hidden="1" customHeight="1" outlineLevel="1" x14ac:dyDescent="0.2">
      <c r="A721" s="820"/>
      <c r="B721" s="833"/>
      <c r="C721" s="837"/>
      <c r="D721" s="57" t="s">
        <v>263</v>
      </c>
      <c r="E721" s="857">
        <v>9000</v>
      </c>
      <c r="F721" s="857">
        <v>10000</v>
      </c>
      <c r="G721" s="857">
        <v>11000</v>
      </c>
      <c r="H721" s="857">
        <v>12000</v>
      </c>
      <c r="I721" s="857">
        <v>13000</v>
      </c>
      <c r="J721" s="857">
        <v>14000</v>
      </c>
      <c r="K721" s="857">
        <v>15000</v>
      </c>
      <c r="L721" s="857">
        <v>16000</v>
      </c>
      <c r="M721" s="857">
        <v>17000</v>
      </c>
      <c r="N721" s="857">
        <v>18000</v>
      </c>
      <c r="O721" s="835"/>
      <c r="P721" s="828"/>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row>
    <row r="722" spans="1:49" s="193" customFormat="1" ht="12.95" hidden="1" customHeight="1" outlineLevel="1" x14ac:dyDescent="0.2">
      <c r="A722" s="820"/>
      <c r="B722" s="833"/>
      <c r="C722" s="837"/>
      <c r="D722" s="60" t="s">
        <v>113</v>
      </c>
      <c r="E722" s="502">
        <f t="shared" ref="E722:H722" si="152">SUM(E714:E721)</f>
        <v>23400</v>
      </c>
      <c r="F722" s="502">
        <f t="shared" si="152"/>
        <v>24800</v>
      </c>
      <c r="G722" s="502">
        <f t="shared" si="152"/>
        <v>26200</v>
      </c>
      <c r="H722" s="502">
        <f t="shared" si="152"/>
        <v>27600</v>
      </c>
      <c r="I722" s="502">
        <f t="shared" ref="I722:N722" si="153">SUM(I714:I721)</f>
        <v>29000</v>
      </c>
      <c r="J722" s="502">
        <f t="shared" si="153"/>
        <v>30400</v>
      </c>
      <c r="K722" s="502">
        <f t="shared" si="153"/>
        <v>31800</v>
      </c>
      <c r="L722" s="502">
        <f t="shared" si="153"/>
        <v>33200</v>
      </c>
      <c r="M722" s="502">
        <f t="shared" si="153"/>
        <v>34600</v>
      </c>
      <c r="N722" s="502">
        <f t="shared" si="153"/>
        <v>36000</v>
      </c>
      <c r="O722" s="285" t="s">
        <v>610</v>
      </c>
      <c r="P722" s="828"/>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row>
    <row r="723" spans="1:49" s="193" customFormat="1" ht="12.75" hidden="1" outlineLevel="1" x14ac:dyDescent="0.2">
      <c r="A723" s="820"/>
      <c r="B723" s="833"/>
      <c r="C723" s="837"/>
      <c r="D723" s="501" t="str">
        <f>"Total "&amp;FleetTypeK&amp;" FLEET HM Records Generated pa"</f>
        <v>Total A330-300 FLEET HM Records Generated pa</v>
      </c>
      <c r="E723" s="503">
        <f t="shared" ref="E723:N723" si="154">E722/FleetCycleHvy_K*FleetSize_K</f>
        <v>7800</v>
      </c>
      <c r="F723" s="503">
        <f t="shared" si="154"/>
        <v>7085.7142857142853</v>
      </c>
      <c r="G723" s="503">
        <f t="shared" si="154"/>
        <v>6550</v>
      </c>
      <c r="H723" s="503">
        <f t="shared" si="154"/>
        <v>7885.7142857142853</v>
      </c>
      <c r="I723" s="503">
        <f t="shared" si="154"/>
        <v>8285.7142857142862</v>
      </c>
      <c r="J723" s="503">
        <f t="shared" si="154"/>
        <v>8685.7142857142862</v>
      </c>
      <c r="K723" s="503">
        <f t="shared" si="154"/>
        <v>9085.7142857142862</v>
      </c>
      <c r="L723" s="503">
        <f t="shared" si="154"/>
        <v>9485.7142857142862</v>
      </c>
      <c r="M723" s="503">
        <f t="shared" si="154"/>
        <v>9885.7142857142862</v>
      </c>
      <c r="N723" s="503">
        <f t="shared" si="154"/>
        <v>10285.714285714286</v>
      </c>
      <c r="O723" s="285" t="s">
        <v>601</v>
      </c>
      <c r="P723" s="828"/>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row>
    <row r="724" spans="1:49" s="712" customFormat="1" ht="12.75" hidden="1" outlineLevel="1" x14ac:dyDescent="0.2">
      <c r="A724" s="820"/>
      <c r="B724" s="820"/>
      <c r="C724" s="837"/>
      <c r="D724" s="30"/>
      <c r="E724" s="30"/>
      <c r="F724" s="30"/>
      <c r="G724" s="30"/>
      <c r="H724" s="30"/>
      <c r="I724" s="30"/>
      <c r="J724" s="30"/>
      <c r="K724" s="30"/>
      <c r="L724" s="30"/>
      <c r="M724" s="30"/>
      <c r="N724" s="30"/>
      <c r="O724" s="839"/>
      <c r="P724" s="828"/>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row>
    <row r="725" spans="1:49" s="712" customFormat="1" ht="12.75" hidden="1" outlineLevel="1" x14ac:dyDescent="0.2">
      <c r="A725" s="820"/>
      <c r="B725" s="820"/>
      <c r="C725" s="837"/>
      <c r="D725" s="484" t="str">
        <f>FleetTypeK &amp;" Line Maintenance (LM)"</f>
        <v>A330-300 Line Maintenance (LM)</v>
      </c>
      <c r="E725" s="840"/>
      <c r="F725" s="840"/>
      <c r="G725" s="840"/>
      <c r="H725" s="840"/>
      <c r="I725" s="840"/>
      <c r="J725" s="840"/>
      <c r="K725" s="840"/>
      <c r="L725" s="840"/>
      <c r="M725" s="840"/>
      <c r="N725" s="840"/>
      <c r="O725" s="839"/>
      <c r="P725" s="828"/>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row>
    <row r="726" spans="1:49" s="712" customFormat="1" ht="12.75" hidden="1" outlineLevel="1" x14ac:dyDescent="0.2">
      <c r="A726" s="820"/>
      <c r="B726" s="841"/>
      <c r="C726" s="837"/>
      <c r="D726" s="233" t="str">
        <f>FleetTypeK&amp; " LM Per AIRCRAFT Records Generated pa"</f>
        <v>A330-300 LM Per AIRCRAFT Records Generated pa</v>
      </c>
      <c r="E726" s="596">
        <v>10001</v>
      </c>
      <c r="F726" s="596">
        <v>10002</v>
      </c>
      <c r="G726" s="596">
        <v>10003</v>
      </c>
      <c r="H726" s="596">
        <v>10004</v>
      </c>
      <c r="I726" s="596">
        <v>10005</v>
      </c>
      <c r="J726" s="596">
        <v>10006</v>
      </c>
      <c r="K726" s="596">
        <v>10007</v>
      </c>
      <c r="L726" s="596">
        <v>10008</v>
      </c>
      <c r="M726" s="596">
        <v>10009</v>
      </c>
      <c r="N726" s="596">
        <v>10010</v>
      </c>
      <c r="O726" s="839"/>
      <c r="P726" s="828"/>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row>
    <row r="727" spans="1:49" s="712" customFormat="1" ht="12.75" hidden="1" outlineLevel="1" x14ac:dyDescent="0.2">
      <c r="A727" s="820"/>
      <c r="B727" s="841"/>
      <c r="C727" s="843"/>
      <c r="D727" s="501" t="str">
        <f>"Total "&amp;FleetTypeK&amp;" FLEET LM Records Generated pa"</f>
        <v>Total A330-300 FLEET LM Records Generated pa</v>
      </c>
      <c r="E727" s="505">
        <f t="shared" ref="E727:N727" si="155">E726*FleetSize_K</f>
        <v>40004</v>
      </c>
      <c r="F727" s="505">
        <f t="shared" si="155"/>
        <v>40008</v>
      </c>
      <c r="G727" s="505">
        <f t="shared" si="155"/>
        <v>40012</v>
      </c>
      <c r="H727" s="505">
        <f t="shared" si="155"/>
        <v>40016</v>
      </c>
      <c r="I727" s="505">
        <f t="shared" si="155"/>
        <v>40020</v>
      </c>
      <c r="J727" s="505">
        <f t="shared" si="155"/>
        <v>40024</v>
      </c>
      <c r="K727" s="505">
        <f t="shared" si="155"/>
        <v>40028</v>
      </c>
      <c r="L727" s="505">
        <f t="shared" si="155"/>
        <v>40032</v>
      </c>
      <c r="M727" s="505">
        <f t="shared" si="155"/>
        <v>40036</v>
      </c>
      <c r="N727" s="505">
        <f t="shared" si="155"/>
        <v>40040</v>
      </c>
      <c r="O727" s="285" t="s">
        <v>602</v>
      </c>
      <c r="P727" s="828"/>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row>
    <row r="728" spans="1:49" s="712" customFormat="1" ht="12.75" hidden="1" outlineLevel="1" x14ac:dyDescent="0.2">
      <c r="A728" s="820"/>
      <c r="B728" s="820"/>
      <c r="C728" s="843"/>
      <c r="D728" s="30"/>
      <c r="E728" s="30"/>
      <c r="F728" s="30"/>
      <c r="G728" s="30"/>
      <c r="H728" s="30"/>
      <c r="I728" s="30"/>
      <c r="J728" s="30"/>
      <c r="K728" s="30"/>
      <c r="L728" s="30"/>
      <c r="M728" s="30"/>
      <c r="N728" s="30"/>
      <c r="O728" s="839"/>
      <c r="P728" s="828"/>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row>
    <row r="729" spans="1:49" s="712" customFormat="1" ht="12.75" hidden="1" outlineLevel="1" x14ac:dyDescent="0.2">
      <c r="A729" s="820"/>
      <c r="B729" s="820"/>
      <c r="C729" s="843"/>
      <c r="D729" s="484" t="str">
        <f>FleetTypeK &amp;" Engineering (Eng)"</f>
        <v>A330-300 Engineering (Eng)</v>
      </c>
      <c r="E729" s="840"/>
      <c r="F729" s="840"/>
      <c r="G729" s="840"/>
      <c r="H729" s="840"/>
      <c r="I729" s="840"/>
      <c r="J729" s="840"/>
      <c r="K729" s="840"/>
      <c r="L729" s="840"/>
      <c r="M729" s="840"/>
      <c r="N729" s="840"/>
      <c r="O729" s="839"/>
      <c r="P729" s="828"/>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row>
    <row r="730" spans="1:49" s="712" customFormat="1" ht="12.75" hidden="1" outlineLevel="1" x14ac:dyDescent="0.2">
      <c r="A730" s="820"/>
      <c r="B730" s="820"/>
      <c r="C730" s="843"/>
      <c r="D730" s="233" t="str">
        <f>FleetTypeK&amp;" Eng Per AIRCRAFT Records Generated pa"</f>
        <v>A330-300 Eng Per AIRCRAFT Records Generated pa</v>
      </c>
      <c r="E730" s="842">
        <v>11001</v>
      </c>
      <c r="F730" s="842">
        <v>11002</v>
      </c>
      <c r="G730" s="842">
        <v>11003</v>
      </c>
      <c r="H730" s="842">
        <v>11004</v>
      </c>
      <c r="I730" s="842">
        <v>11005</v>
      </c>
      <c r="J730" s="842">
        <v>11006</v>
      </c>
      <c r="K730" s="842">
        <v>11007</v>
      </c>
      <c r="L730" s="842">
        <v>11008</v>
      </c>
      <c r="M730" s="842">
        <v>11009</v>
      </c>
      <c r="N730" s="842">
        <v>11010</v>
      </c>
      <c r="O730" s="839"/>
      <c r="P730" s="828"/>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row>
    <row r="731" spans="1:49" s="712" customFormat="1" ht="15.75" hidden="1" customHeight="1" outlineLevel="1" x14ac:dyDescent="0.2">
      <c r="A731" s="820"/>
      <c r="B731" s="820"/>
      <c r="C731" s="843"/>
      <c r="D731" s="234" t="str">
        <f>"Total "&amp;FleetTypeK&amp;" FLEET Eng Records Generated pa"</f>
        <v>Total A330-300 FLEET Eng Records Generated pa</v>
      </c>
      <c r="E731" s="231">
        <f t="shared" ref="E731:N731" si="156">E730*FleetSize_K</f>
        <v>44004</v>
      </c>
      <c r="F731" s="231">
        <f t="shared" si="156"/>
        <v>44008</v>
      </c>
      <c r="G731" s="231">
        <f t="shared" si="156"/>
        <v>44012</v>
      </c>
      <c r="H731" s="231">
        <f t="shared" si="156"/>
        <v>44016</v>
      </c>
      <c r="I731" s="231">
        <f t="shared" si="156"/>
        <v>44020</v>
      </c>
      <c r="J731" s="231">
        <f t="shared" si="156"/>
        <v>44024</v>
      </c>
      <c r="K731" s="231">
        <f t="shared" si="156"/>
        <v>44028</v>
      </c>
      <c r="L731" s="231">
        <f t="shared" si="156"/>
        <v>44032</v>
      </c>
      <c r="M731" s="231">
        <f t="shared" si="156"/>
        <v>44036</v>
      </c>
      <c r="N731" s="231">
        <f t="shared" si="156"/>
        <v>44040</v>
      </c>
      <c r="O731" s="285" t="s">
        <v>890</v>
      </c>
      <c r="P731" s="828"/>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row>
    <row r="732" spans="1:49" s="712" customFormat="1" ht="15.75" hidden="1" customHeight="1" outlineLevel="1" x14ac:dyDescent="0.2">
      <c r="A732" s="820"/>
      <c r="B732" s="820"/>
      <c r="C732" s="843"/>
      <c r="D732" s="844"/>
      <c r="E732" s="845"/>
      <c r="F732" s="845"/>
      <c r="G732" s="845"/>
      <c r="H732" s="845"/>
      <c r="I732" s="845"/>
      <c r="J732" s="845"/>
      <c r="K732" s="845"/>
      <c r="L732" s="845"/>
      <c r="M732" s="845"/>
      <c r="N732" s="845"/>
      <c r="O732" s="285"/>
      <c r="P732" s="828"/>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row>
    <row r="733" spans="1:49" s="712" customFormat="1" ht="12.75" hidden="1" outlineLevel="1" x14ac:dyDescent="0.2">
      <c r="A733" s="820"/>
      <c r="B733" s="820"/>
      <c r="C733" s="843"/>
      <c r="D733" s="484" t="str">
        <f>FleetTypeK &amp;" Planning (Plg)"</f>
        <v>A330-300 Planning (Plg)</v>
      </c>
      <c r="E733" s="840"/>
      <c r="F733" s="840"/>
      <c r="G733" s="840"/>
      <c r="H733" s="840"/>
      <c r="I733" s="840"/>
      <c r="J733" s="840"/>
      <c r="K733" s="840"/>
      <c r="L733" s="840"/>
      <c r="M733" s="840"/>
      <c r="N733" s="840"/>
      <c r="O733" s="839"/>
      <c r="P733" s="828"/>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row>
    <row r="734" spans="1:49" s="712" customFormat="1" ht="12.75" hidden="1" outlineLevel="1" x14ac:dyDescent="0.2">
      <c r="A734" s="820"/>
      <c r="B734" s="820"/>
      <c r="C734" s="843"/>
      <c r="D734" s="233" t="str">
        <f>FleetTypeK&amp;" Plg AIRCRAFT Records Generated pa"</f>
        <v>A330-300 Plg AIRCRAFT Records Generated pa</v>
      </c>
      <c r="E734" s="842">
        <v>11001</v>
      </c>
      <c r="F734" s="842">
        <v>11002</v>
      </c>
      <c r="G734" s="842">
        <v>11003</v>
      </c>
      <c r="H734" s="842">
        <v>11004</v>
      </c>
      <c r="I734" s="842">
        <v>11005</v>
      </c>
      <c r="J734" s="842">
        <v>11006</v>
      </c>
      <c r="K734" s="842">
        <v>11007</v>
      </c>
      <c r="L734" s="842">
        <v>11008</v>
      </c>
      <c r="M734" s="842">
        <v>11009</v>
      </c>
      <c r="N734" s="842">
        <v>11010</v>
      </c>
      <c r="O734" s="839"/>
      <c r="P734" s="828"/>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row>
    <row r="735" spans="1:49" s="712" customFormat="1" ht="15.75" hidden="1" customHeight="1" outlineLevel="1" x14ac:dyDescent="0.2">
      <c r="A735" s="820"/>
      <c r="B735" s="820"/>
      <c r="C735" s="843"/>
      <c r="D735" s="234" t="str">
        <f>"Total "&amp;FleetTypeK&amp;" FLEET Plg Records Generated pa"</f>
        <v>Total A330-300 FLEET Plg Records Generated pa</v>
      </c>
      <c r="E735" s="231">
        <f t="shared" ref="E735:N735" si="157">E734*FleetSize_K</f>
        <v>44004</v>
      </c>
      <c r="F735" s="231">
        <f t="shared" si="157"/>
        <v>44008</v>
      </c>
      <c r="G735" s="231">
        <f t="shared" si="157"/>
        <v>44012</v>
      </c>
      <c r="H735" s="231">
        <f t="shared" si="157"/>
        <v>44016</v>
      </c>
      <c r="I735" s="231">
        <f t="shared" si="157"/>
        <v>44020</v>
      </c>
      <c r="J735" s="231">
        <f t="shared" si="157"/>
        <v>44024</v>
      </c>
      <c r="K735" s="231">
        <f t="shared" si="157"/>
        <v>44028</v>
      </c>
      <c r="L735" s="231">
        <f t="shared" si="157"/>
        <v>44032</v>
      </c>
      <c r="M735" s="231">
        <f t="shared" si="157"/>
        <v>44036</v>
      </c>
      <c r="N735" s="231">
        <f t="shared" si="157"/>
        <v>44040</v>
      </c>
      <c r="O735" s="285" t="s">
        <v>891</v>
      </c>
      <c r="P735" s="828"/>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row>
    <row r="736" spans="1:49" s="712" customFormat="1" ht="12.75" hidden="1" outlineLevel="1" x14ac:dyDescent="0.2">
      <c r="A736" s="820"/>
      <c r="B736" s="820"/>
      <c r="C736" s="843"/>
      <c r="D736" s="30"/>
      <c r="E736" s="30"/>
      <c r="F736" s="30"/>
      <c r="G736" s="30"/>
      <c r="H736" s="30"/>
      <c r="I736" s="30"/>
      <c r="J736" s="30"/>
      <c r="K736" s="30"/>
      <c r="L736" s="30"/>
      <c r="M736" s="30"/>
      <c r="N736" s="30"/>
      <c r="O736" s="839"/>
      <c r="P736" s="828"/>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row>
    <row r="737" spans="1:49" s="712" customFormat="1" ht="12.75" hidden="1" outlineLevel="1" x14ac:dyDescent="0.2">
      <c r="A737" s="820"/>
      <c r="B737" s="820"/>
      <c r="C737" s="843"/>
      <c r="D737" s="484" t="str">
        <f>FleetTypeK &amp;" Clerical, Records &amp; Tech Pubs (CRT)"</f>
        <v>A330-300 Clerical, Records &amp; Tech Pubs (CRT)</v>
      </c>
      <c r="E737" s="840"/>
      <c r="F737" s="840"/>
      <c r="G737" s="840"/>
      <c r="H737" s="840"/>
      <c r="I737" s="840"/>
      <c r="J737" s="840"/>
      <c r="K737" s="840"/>
      <c r="L737" s="840"/>
      <c r="M737" s="840"/>
      <c r="N737" s="840"/>
      <c r="O737" s="839"/>
      <c r="P737" s="828"/>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row>
    <row r="738" spans="1:49" s="712" customFormat="1" ht="12.75" hidden="1" outlineLevel="1" x14ac:dyDescent="0.2">
      <c r="A738" s="820"/>
      <c r="B738" s="820"/>
      <c r="C738" s="256"/>
      <c r="D738" s="233" t="str">
        <f>FleetTypeK&amp;" SCL Per AIRCRAFT CRT Records Generated pa"</f>
        <v>A330-300 SCL Per AIRCRAFT CRT Records Generated pa</v>
      </c>
      <c r="E738" s="596">
        <v>12001</v>
      </c>
      <c r="F738" s="596">
        <v>12002</v>
      </c>
      <c r="G738" s="596">
        <v>12003</v>
      </c>
      <c r="H738" s="596">
        <v>12004</v>
      </c>
      <c r="I738" s="596">
        <v>12005</v>
      </c>
      <c r="J738" s="596">
        <v>12006</v>
      </c>
      <c r="K738" s="596">
        <v>12007</v>
      </c>
      <c r="L738" s="596">
        <v>12008</v>
      </c>
      <c r="M738" s="596">
        <v>12009</v>
      </c>
      <c r="N738" s="596">
        <v>12010</v>
      </c>
      <c r="O738" s="839"/>
      <c r="P738" s="828"/>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row>
    <row r="739" spans="1:49" s="712" customFormat="1" ht="12.75" hidden="1" outlineLevel="1" x14ac:dyDescent="0.2">
      <c r="A739" s="820"/>
      <c r="B739" s="820"/>
      <c r="C739" s="843"/>
      <c r="D739" s="501" t="str">
        <f>"Total "&amp;FleetTypeK&amp;" FLEET CRT Records Generated pa"</f>
        <v>Total A330-300 FLEET CRT Records Generated pa</v>
      </c>
      <c r="E739" s="505">
        <f t="shared" ref="E739:N739" si="158">E738*FleetSize_K</f>
        <v>48004</v>
      </c>
      <c r="F739" s="505">
        <f t="shared" si="158"/>
        <v>48008</v>
      </c>
      <c r="G739" s="505">
        <f t="shared" si="158"/>
        <v>48012</v>
      </c>
      <c r="H739" s="505">
        <f t="shared" si="158"/>
        <v>48016</v>
      </c>
      <c r="I739" s="505">
        <f t="shared" si="158"/>
        <v>48020</v>
      </c>
      <c r="J739" s="505">
        <f t="shared" si="158"/>
        <v>48024</v>
      </c>
      <c r="K739" s="505">
        <f t="shared" si="158"/>
        <v>48028</v>
      </c>
      <c r="L739" s="505">
        <f t="shared" si="158"/>
        <v>48032</v>
      </c>
      <c r="M739" s="505">
        <f t="shared" si="158"/>
        <v>48036</v>
      </c>
      <c r="N739" s="505">
        <f t="shared" si="158"/>
        <v>48040</v>
      </c>
      <c r="O739" s="285" t="s">
        <v>603</v>
      </c>
      <c r="P739" s="828"/>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row>
    <row r="740" spans="1:49" s="712" customFormat="1" ht="12.75" hidden="1" outlineLevel="1" x14ac:dyDescent="0.2">
      <c r="A740" s="820"/>
      <c r="B740" s="820"/>
      <c r="C740" s="843"/>
      <c r="D740" s="820"/>
      <c r="E740" s="840"/>
      <c r="F740" s="840"/>
      <c r="G740" s="840"/>
      <c r="H740" s="840"/>
      <c r="I740" s="840"/>
      <c r="J740" s="840"/>
      <c r="K740" s="840"/>
      <c r="L740" s="840"/>
      <c r="M740" s="840"/>
      <c r="N740" s="840"/>
      <c r="O740" s="839"/>
      <c r="P740" s="828"/>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row>
    <row r="741" spans="1:49" s="712" customFormat="1" ht="12.75" hidden="1" outlineLevel="1" x14ac:dyDescent="0.2">
      <c r="A741" s="820"/>
      <c r="B741" s="820"/>
      <c r="C741" s="843"/>
      <c r="D741" s="484" t="str">
        <f>FleetTypeK &amp;" Supply Chain &amp; Logistics (SCL)"</f>
        <v>A330-300 Supply Chain &amp; Logistics (SCL)</v>
      </c>
      <c r="E741" s="840"/>
      <c r="F741" s="840"/>
      <c r="G741" s="840"/>
      <c r="H741" s="840"/>
      <c r="I741" s="840"/>
      <c r="J741" s="840"/>
      <c r="K741" s="840"/>
      <c r="L741" s="840"/>
      <c r="M741" s="840"/>
      <c r="N741" s="840"/>
      <c r="O741" s="839"/>
      <c r="P741" s="828"/>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row>
    <row r="742" spans="1:49" s="712" customFormat="1" ht="12.75" hidden="1" outlineLevel="1" x14ac:dyDescent="0.2">
      <c r="A742" s="820"/>
      <c r="B742" s="820"/>
      <c r="C742" s="256"/>
      <c r="D742" s="233" t="str">
        <f>FleetTypeK&amp;" SCL Per AIRCRAFT OEMV Records Generated pa"</f>
        <v>A330-300 SCL Per AIRCRAFT OEMV Records Generated pa</v>
      </c>
      <c r="E742" s="596">
        <v>13001</v>
      </c>
      <c r="F742" s="596">
        <v>13002</v>
      </c>
      <c r="G742" s="596">
        <v>13003</v>
      </c>
      <c r="H742" s="596">
        <v>13004</v>
      </c>
      <c r="I742" s="596">
        <v>13005</v>
      </c>
      <c r="J742" s="596">
        <v>13006</v>
      </c>
      <c r="K742" s="596">
        <v>13007</v>
      </c>
      <c r="L742" s="596">
        <v>13008</v>
      </c>
      <c r="M742" s="596">
        <v>13009</v>
      </c>
      <c r="N742" s="596">
        <v>13010</v>
      </c>
      <c r="O742" s="839"/>
      <c r="P742" s="828"/>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row>
    <row r="743" spans="1:49" s="712" customFormat="1" ht="12.75" hidden="1" outlineLevel="1" x14ac:dyDescent="0.2">
      <c r="A743" s="820"/>
      <c r="B743" s="820"/>
      <c r="C743" s="843"/>
      <c r="D743" s="501" t="str">
        <f>"Total "&amp;FleetTypeK&amp;" FLEET SCL Records Generated pa"</f>
        <v>Total A330-300 FLEET SCL Records Generated pa</v>
      </c>
      <c r="E743" s="505">
        <f t="shared" ref="E743:N743" si="159">E742*FleetSize_K</f>
        <v>52004</v>
      </c>
      <c r="F743" s="505">
        <f t="shared" si="159"/>
        <v>52008</v>
      </c>
      <c r="G743" s="505">
        <f t="shared" si="159"/>
        <v>52012</v>
      </c>
      <c r="H743" s="505">
        <f t="shared" si="159"/>
        <v>52016</v>
      </c>
      <c r="I743" s="505">
        <f t="shared" si="159"/>
        <v>52020</v>
      </c>
      <c r="J743" s="505">
        <f t="shared" si="159"/>
        <v>52024</v>
      </c>
      <c r="K743" s="505">
        <f t="shared" si="159"/>
        <v>52028</v>
      </c>
      <c r="L743" s="505">
        <f t="shared" si="159"/>
        <v>52032</v>
      </c>
      <c r="M743" s="505">
        <f t="shared" si="159"/>
        <v>52036</v>
      </c>
      <c r="N743" s="505">
        <f t="shared" si="159"/>
        <v>52040</v>
      </c>
      <c r="O743" s="285" t="s">
        <v>604</v>
      </c>
      <c r="P743" s="828"/>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row>
    <row r="744" spans="1:49" s="712" customFormat="1" ht="12.75" hidden="1" outlineLevel="1" x14ac:dyDescent="0.2">
      <c r="A744" s="820"/>
      <c r="B744" s="820"/>
      <c r="C744" s="846"/>
      <c r="D744" s="820"/>
      <c r="E744" s="840"/>
      <c r="F744" s="840"/>
      <c r="G744" s="840"/>
      <c r="H744" s="840"/>
      <c r="I744" s="840"/>
      <c r="J744" s="840"/>
      <c r="K744" s="840"/>
      <c r="L744" s="840"/>
      <c r="M744" s="840"/>
      <c r="N744" s="840"/>
      <c r="O744" s="839"/>
      <c r="P744" s="828"/>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row>
    <row r="745" spans="1:49" s="712" customFormat="1" ht="12.75" hidden="1" outlineLevel="1" x14ac:dyDescent="0.2">
      <c r="A745" s="820"/>
      <c r="B745" s="820"/>
      <c r="C745" s="846"/>
      <c r="D745" s="484" t="str">
        <f>FleetTypeK &amp;" Quality, Safety &amp; Compliance (QSC)"</f>
        <v>A330-300 Quality, Safety &amp; Compliance (QSC)</v>
      </c>
      <c r="E745" s="840"/>
      <c r="F745" s="840"/>
      <c r="G745" s="840"/>
      <c r="H745" s="840"/>
      <c r="I745" s="840"/>
      <c r="J745" s="840"/>
      <c r="K745" s="840"/>
      <c r="L745" s="840"/>
      <c r="M745" s="840"/>
      <c r="N745" s="840"/>
      <c r="O745" s="839"/>
      <c r="P745" s="828"/>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row>
    <row r="746" spans="1:49" s="712" customFormat="1" ht="12.75" hidden="1" outlineLevel="1" x14ac:dyDescent="0.2">
      <c r="A746" s="820"/>
      <c r="B746" s="820"/>
      <c r="C746" s="256"/>
      <c r="D746" s="233" t="str">
        <f>FleetTypeK&amp;" QSC Per AIRCRAFT Records Generated pa"</f>
        <v>A330-300 QSC Per AIRCRAFT Records Generated pa</v>
      </c>
      <c r="E746" s="596">
        <v>14001</v>
      </c>
      <c r="F746" s="596">
        <v>14002</v>
      </c>
      <c r="G746" s="596">
        <v>14003</v>
      </c>
      <c r="H746" s="596">
        <v>14004</v>
      </c>
      <c r="I746" s="596">
        <v>14005</v>
      </c>
      <c r="J746" s="596">
        <v>14006</v>
      </c>
      <c r="K746" s="596">
        <v>14007</v>
      </c>
      <c r="L746" s="596">
        <v>14008</v>
      </c>
      <c r="M746" s="596">
        <v>14009</v>
      </c>
      <c r="N746" s="596">
        <v>14010</v>
      </c>
      <c r="O746" s="839"/>
      <c r="P746" s="828"/>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row>
    <row r="747" spans="1:49" s="712" customFormat="1" ht="15.75" hidden="1" customHeight="1" outlineLevel="1" x14ac:dyDescent="0.2">
      <c r="A747" s="820"/>
      <c r="B747" s="820"/>
      <c r="C747" s="843"/>
      <c r="D747" s="501" t="str">
        <f>"Total "&amp;FleetTypeK&amp;" FLEET QSC Records Generated pa"</f>
        <v>Total A330-300 FLEET QSC Records Generated pa</v>
      </c>
      <c r="E747" s="505">
        <f t="shared" ref="E747:N747" si="160">E746*FleetSize_K</f>
        <v>56004</v>
      </c>
      <c r="F747" s="505">
        <f t="shared" si="160"/>
        <v>56008</v>
      </c>
      <c r="G747" s="505">
        <f t="shared" si="160"/>
        <v>56012</v>
      </c>
      <c r="H747" s="505">
        <f t="shared" si="160"/>
        <v>56016</v>
      </c>
      <c r="I747" s="505">
        <f t="shared" si="160"/>
        <v>56020</v>
      </c>
      <c r="J747" s="505">
        <f t="shared" si="160"/>
        <v>56024</v>
      </c>
      <c r="K747" s="505">
        <f t="shared" si="160"/>
        <v>56028</v>
      </c>
      <c r="L747" s="505">
        <f t="shared" si="160"/>
        <v>56032</v>
      </c>
      <c r="M747" s="505">
        <f t="shared" si="160"/>
        <v>56036</v>
      </c>
      <c r="N747" s="505">
        <f t="shared" si="160"/>
        <v>56040</v>
      </c>
      <c r="O747" s="285" t="s">
        <v>605</v>
      </c>
      <c r="P747" s="828"/>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row>
    <row r="748" spans="1:49" s="712" customFormat="1" ht="12.75" hidden="1" outlineLevel="1" x14ac:dyDescent="0.2">
      <c r="A748" s="820"/>
      <c r="B748" s="820"/>
      <c r="C748" s="847"/>
      <c r="D748" s="820"/>
      <c r="E748" s="840"/>
      <c r="F748" s="840"/>
      <c r="G748" s="840"/>
      <c r="H748" s="840"/>
      <c r="I748" s="840"/>
      <c r="J748" s="840"/>
      <c r="K748" s="840"/>
      <c r="L748" s="840"/>
      <c r="M748" s="840"/>
      <c r="N748" s="840"/>
      <c r="O748" s="835"/>
      <c r="P748" s="828"/>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row>
    <row r="749" spans="1:49" s="712" customFormat="1" ht="12.75" hidden="1" outlineLevel="1" x14ac:dyDescent="0.2">
      <c r="A749" s="820"/>
      <c r="B749" s="820"/>
      <c r="C749" s="847"/>
      <c r="D749" s="484" t="str">
        <f>FleetTypeK &amp;" Engine Maintenance (EM)"</f>
        <v>A330-300 Engine Maintenance (EM)</v>
      </c>
      <c r="E749" s="840"/>
      <c r="F749" s="840"/>
      <c r="G749" s="840"/>
      <c r="H749" s="840"/>
      <c r="I749" s="840"/>
      <c r="J749" s="840"/>
      <c r="K749" s="840"/>
      <c r="L749" s="840"/>
      <c r="M749" s="840"/>
      <c r="N749" s="840"/>
      <c r="O749" s="835"/>
      <c r="P749" s="828"/>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row>
    <row r="750" spans="1:49" s="712" customFormat="1" ht="12.75" hidden="1" outlineLevel="1" x14ac:dyDescent="0.2">
      <c r="A750" s="820"/>
      <c r="B750" s="820"/>
      <c r="C750" s="256"/>
      <c r="D750" s="233" t="str">
        <f>FleetTypeK&amp;" EM Per AIRCRAFT Records Generated pa"</f>
        <v>A330-300 EM Per AIRCRAFT Records Generated pa</v>
      </c>
      <c r="E750" s="596">
        <v>15001</v>
      </c>
      <c r="F750" s="596">
        <v>15002</v>
      </c>
      <c r="G750" s="596">
        <v>15003</v>
      </c>
      <c r="H750" s="596">
        <v>15004</v>
      </c>
      <c r="I750" s="596">
        <v>15005</v>
      </c>
      <c r="J750" s="596">
        <v>15006</v>
      </c>
      <c r="K750" s="596">
        <v>15007</v>
      </c>
      <c r="L750" s="596">
        <v>15008</v>
      </c>
      <c r="M750" s="596">
        <v>15009</v>
      </c>
      <c r="N750" s="596">
        <v>15010</v>
      </c>
      <c r="O750" s="835"/>
      <c r="P750" s="828"/>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row>
    <row r="751" spans="1:49" s="712" customFormat="1" ht="15.75" hidden="1" customHeight="1" outlineLevel="1" x14ac:dyDescent="0.2">
      <c r="A751" s="820"/>
      <c r="B751" s="820"/>
      <c r="C751" s="256"/>
      <c r="D751" s="501" t="str">
        <f>"Total "&amp;FleetTypeK&amp;" FLEET EM Records Generated pa"</f>
        <v>Total A330-300 FLEET EM Records Generated pa</v>
      </c>
      <c r="E751" s="505">
        <f t="shared" ref="E751:N751" si="161">E750*FleetSize_K</f>
        <v>60004</v>
      </c>
      <c r="F751" s="505">
        <f t="shared" si="161"/>
        <v>60008</v>
      </c>
      <c r="G751" s="505">
        <f t="shared" si="161"/>
        <v>60012</v>
      </c>
      <c r="H751" s="505">
        <f t="shared" si="161"/>
        <v>60016</v>
      </c>
      <c r="I751" s="505">
        <f t="shared" si="161"/>
        <v>60020</v>
      </c>
      <c r="J751" s="505">
        <f t="shared" si="161"/>
        <v>60024</v>
      </c>
      <c r="K751" s="505">
        <f t="shared" si="161"/>
        <v>60028</v>
      </c>
      <c r="L751" s="505">
        <f t="shared" si="161"/>
        <v>60032</v>
      </c>
      <c r="M751" s="505">
        <f t="shared" si="161"/>
        <v>60036</v>
      </c>
      <c r="N751" s="505">
        <f t="shared" si="161"/>
        <v>60040</v>
      </c>
      <c r="O751" s="285" t="s">
        <v>606</v>
      </c>
      <c r="P751" s="828"/>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row>
    <row r="752" spans="1:49" s="712" customFormat="1" ht="12.75" hidden="1" outlineLevel="1" x14ac:dyDescent="0.2">
      <c r="A752" s="820"/>
      <c r="B752" s="820"/>
      <c r="C752" s="256"/>
      <c r="D752" s="30"/>
      <c r="E752" s="30"/>
      <c r="F752" s="30"/>
      <c r="G752" s="30"/>
      <c r="H752" s="30"/>
      <c r="I752" s="30"/>
      <c r="J752" s="30"/>
      <c r="K752" s="30"/>
      <c r="L752" s="30"/>
      <c r="M752" s="30"/>
      <c r="N752" s="30"/>
      <c r="O752" s="839"/>
      <c r="P752" s="828"/>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row>
    <row r="753" spans="1:49" s="712" customFormat="1" ht="12.75" hidden="1" outlineLevel="1" x14ac:dyDescent="0.2">
      <c r="A753" s="820"/>
      <c r="B753" s="820"/>
      <c r="C753" s="847"/>
      <c r="D753" s="484" t="str">
        <f>FleetTypeK &amp;" Component Maintenance (CM)"</f>
        <v>A330-300 Component Maintenance (CM)</v>
      </c>
      <c r="E753" s="840"/>
      <c r="F753" s="840"/>
      <c r="G753" s="840"/>
      <c r="H753" s="840"/>
      <c r="I753" s="840"/>
      <c r="J753" s="840"/>
      <c r="K753" s="840"/>
      <c r="L753" s="840"/>
      <c r="M753" s="840"/>
      <c r="N753" s="840"/>
      <c r="O753" s="835"/>
      <c r="P753" s="828"/>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row>
    <row r="754" spans="1:49" s="712" customFormat="1" ht="12.75" hidden="1" outlineLevel="1" x14ac:dyDescent="0.2">
      <c r="A754" s="820"/>
      <c r="B754" s="820"/>
      <c r="C754" s="256"/>
      <c r="D754" s="233" t="str">
        <f>FleetTypeK&amp;" CM Per AIRCRAFT Records Generated pa"</f>
        <v>A330-300 CM Per AIRCRAFT Records Generated pa</v>
      </c>
      <c r="E754" s="596">
        <v>15001</v>
      </c>
      <c r="F754" s="596">
        <v>15002</v>
      </c>
      <c r="G754" s="596">
        <v>15003</v>
      </c>
      <c r="H754" s="596">
        <v>15004</v>
      </c>
      <c r="I754" s="596">
        <v>15005</v>
      </c>
      <c r="J754" s="596">
        <v>15006</v>
      </c>
      <c r="K754" s="596">
        <v>15007</v>
      </c>
      <c r="L754" s="596">
        <v>15008</v>
      </c>
      <c r="M754" s="596">
        <v>15009</v>
      </c>
      <c r="N754" s="596">
        <v>15010</v>
      </c>
      <c r="O754" s="835"/>
      <c r="P754" s="828"/>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row>
    <row r="755" spans="1:49" s="712" customFormat="1" ht="15.75" hidden="1" customHeight="1" outlineLevel="1" x14ac:dyDescent="0.2">
      <c r="A755" s="820"/>
      <c r="B755" s="820"/>
      <c r="C755" s="256"/>
      <c r="D755" s="501" t="str">
        <f>"Total "&amp;FleetTypeK&amp;" FLEET CM Records Generated pa"</f>
        <v>Total A330-300 FLEET CM Records Generated pa</v>
      </c>
      <c r="E755" s="505">
        <f t="shared" ref="E755:N755" si="162">E754*FleetSize_K</f>
        <v>60004</v>
      </c>
      <c r="F755" s="505">
        <f t="shared" si="162"/>
        <v>60008</v>
      </c>
      <c r="G755" s="505">
        <f t="shared" si="162"/>
        <v>60012</v>
      </c>
      <c r="H755" s="505">
        <f t="shared" si="162"/>
        <v>60016</v>
      </c>
      <c r="I755" s="505">
        <f t="shared" si="162"/>
        <v>60020</v>
      </c>
      <c r="J755" s="505">
        <f t="shared" si="162"/>
        <v>60024</v>
      </c>
      <c r="K755" s="505">
        <f t="shared" si="162"/>
        <v>60028</v>
      </c>
      <c r="L755" s="505">
        <f t="shared" si="162"/>
        <v>60032</v>
      </c>
      <c r="M755" s="505">
        <f t="shared" si="162"/>
        <v>60036</v>
      </c>
      <c r="N755" s="505">
        <f t="shared" si="162"/>
        <v>60040</v>
      </c>
      <c r="O755" s="285" t="s">
        <v>607</v>
      </c>
      <c r="P755" s="828"/>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row>
    <row r="756" spans="1:49" s="712" customFormat="1" ht="12.75" hidden="1" outlineLevel="1" x14ac:dyDescent="0.2">
      <c r="A756" s="820"/>
      <c r="B756" s="820"/>
      <c r="C756" s="256"/>
      <c r="D756" s="30"/>
      <c r="E756" s="30"/>
      <c r="F756" s="30"/>
      <c r="G756" s="30"/>
      <c r="H756" s="30"/>
      <c r="I756" s="30"/>
      <c r="J756" s="30"/>
      <c r="K756" s="30"/>
      <c r="L756" s="30"/>
      <c r="M756" s="30"/>
      <c r="N756" s="30"/>
      <c r="O756" s="839"/>
      <c r="P756" s="828"/>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row>
    <row r="757" spans="1:49" s="712" customFormat="1" ht="15.75" hidden="1" customHeight="1" outlineLevel="1" x14ac:dyDescent="0.2">
      <c r="A757" s="820"/>
      <c r="B757" s="820"/>
      <c r="C757" s="847"/>
      <c r="D757" s="484" t="str">
        <f>FleetTypeK &amp;" Sheetmetal &amp; Composite Structures (SMCS)"</f>
        <v>A330-300 Sheetmetal &amp; Composite Structures (SMCS)</v>
      </c>
      <c r="E757" s="840"/>
      <c r="F757" s="840"/>
      <c r="G757" s="840"/>
      <c r="H757" s="840"/>
      <c r="I757" s="840"/>
      <c r="J757" s="840"/>
      <c r="K757" s="840"/>
      <c r="L757" s="840"/>
      <c r="M757" s="840"/>
      <c r="N757" s="840"/>
      <c r="O757" s="835"/>
      <c r="P757" s="828"/>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row>
    <row r="758" spans="1:49" s="712" customFormat="1" ht="12.75" hidden="1" outlineLevel="1" x14ac:dyDescent="0.2">
      <c r="A758" s="820"/>
      <c r="B758" s="820"/>
      <c r="C758" s="256"/>
      <c r="D758" s="233" t="str">
        <f>FleetTypeK&amp;" SMCS Per AIRCRAFT Records Generated pa"</f>
        <v>A330-300 SMCS Per AIRCRAFT Records Generated pa</v>
      </c>
      <c r="E758" s="596">
        <v>15001</v>
      </c>
      <c r="F758" s="596">
        <v>15002</v>
      </c>
      <c r="G758" s="596">
        <v>15003</v>
      </c>
      <c r="H758" s="596">
        <v>15004</v>
      </c>
      <c r="I758" s="596">
        <v>15005</v>
      </c>
      <c r="J758" s="596">
        <v>15006</v>
      </c>
      <c r="K758" s="596">
        <v>15007</v>
      </c>
      <c r="L758" s="596">
        <v>15008</v>
      </c>
      <c r="M758" s="596">
        <v>15009</v>
      </c>
      <c r="N758" s="596">
        <v>15010</v>
      </c>
      <c r="O758" s="835"/>
      <c r="P758" s="828"/>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row>
    <row r="759" spans="1:49" s="712" customFormat="1" ht="15.75" hidden="1" customHeight="1" outlineLevel="1" x14ac:dyDescent="0.2">
      <c r="A759" s="820"/>
      <c r="B759" s="820"/>
      <c r="C759" s="256"/>
      <c r="D759" s="501" t="str">
        <f>"Total "&amp;FleetTypeK&amp;" FLEET SMCS Records Generated pa"</f>
        <v>Total A330-300 FLEET SMCS Records Generated pa</v>
      </c>
      <c r="E759" s="505">
        <f t="shared" ref="E759:N759" si="163">E758*FleetSize_K</f>
        <v>60004</v>
      </c>
      <c r="F759" s="505">
        <f t="shared" si="163"/>
        <v>60008</v>
      </c>
      <c r="G759" s="505">
        <f t="shared" si="163"/>
        <v>60012</v>
      </c>
      <c r="H759" s="505">
        <f t="shared" si="163"/>
        <v>60016</v>
      </c>
      <c r="I759" s="505">
        <f t="shared" si="163"/>
        <v>60020</v>
      </c>
      <c r="J759" s="505">
        <f t="shared" si="163"/>
        <v>60024</v>
      </c>
      <c r="K759" s="505">
        <f t="shared" si="163"/>
        <v>60028</v>
      </c>
      <c r="L759" s="505">
        <f t="shared" si="163"/>
        <v>60032</v>
      </c>
      <c r="M759" s="505">
        <f t="shared" si="163"/>
        <v>60036</v>
      </c>
      <c r="N759" s="505">
        <f t="shared" si="163"/>
        <v>60040</v>
      </c>
      <c r="O759" s="285" t="s">
        <v>608</v>
      </c>
      <c r="P759" s="828"/>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row>
    <row r="760" spans="1:49" s="712" customFormat="1" ht="12.75" hidden="1" outlineLevel="1" x14ac:dyDescent="0.2">
      <c r="A760" s="820"/>
      <c r="B760" s="820"/>
      <c r="C760" s="256"/>
      <c r="D760" s="30"/>
      <c r="E760" s="30"/>
      <c r="F760" s="30"/>
      <c r="G760" s="30"/>
      <c r="H760" s="30"/>
      <c r="I760" s="30"/>
      <c r="J760" s="30"/>
      <c r="K760" s="30"/>
      <c r="L760" s="30"/>
      <c r="M760" s="30"/>
      <c r="N760" s="30"/>
      <c r="O760" s="839"/>
      <c r="P760" s="828"/>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row>
    <row r="761" spans="1:49" s="712" customFormat="1" ht="12.75" hidden="1" outlineLevel="1" x14ac:dyDescent="0.2">
      <c r="A761" s="820"/>
      <c r="B761" s="820"/>
      <c r="C761" s="847"/>
      <c r="D761" s="484" t="str">
        <f>FleetTypeK &amp;" Other 1 (O1)"</f>
        <v>A330-300 Other 1 (O1)</v>
      </c>
      <c r="E761" s="840"/>
      <c r="F761" s="840"/>
      <c r="G761" s="840"/>
      <c r="H761" s="840"/>
      <c r="I761" s="840"/>
      <c r="J761" s="840"/>
      <c r="K761" s="840"/>
      <c r="L761" s="840"/>
      <c r="M761" s="840"/>
      <c r="N761" s="840"/>
      <c r="O761" s="835"/>
      <c r="P761" s="828"/>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row>
    <row r="762" spans="1:49" s="712" customFormat="1" ht="12.75" hidden="1" outlineLevel="1" x14ac:dyDescent="0.2">
      <c r="A762" s="820"/>
      <c r="B762" s="820"/>
      <c r="C762" s="256"/>
      <c r="D762" s="233" t="str">
        <f>FleetTypeK&amp;" O1 Per AIRCRAFT Records Generated pa"</f>
        <v>A330-300 O1 Per AIRCRAFT Records Generated pa</v>
      </c>
      <c r="E762" s="596">
        <v>15001</v>
      </c>
      <c r="F762" s="596">
        <v>15002</v>
      </c>
      <c r="G762" s="596">
        <v>15003</v>
      </c>
      <c r="H762" s="596">
        <v>15004</v>
      </c>
      <c r="I762" s="596">
        <v>15005</v>
      </c>
      <c r="J762" s="596">
        <v>15006</v>
      </c>
      <c r="K762" s="596">
        <v>15007</v>
      </c>
      <c r="L762" s="596">
        <v>15008</v>
      </c>
      <c r="M762" s="596">
        <v>15009</v>
      </c>
      <c r="N762" s="596">
        <v>15010</v>
      </c>
      <c r="O762" s="835"/>
      <c r="P762" s="828"/>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row>
    <row r="763" spans="1:49" s="712" customFormat="1" ht="15.75" hidden="1" customHeight="1" outlineLevel="1" x14ac:dyDescent="0.2">
      <c r="A763" s="820"/>
      <c r="B763" s="820"/>
      <c r="C763" s="256"/>
      <c r="D763" s="501" t="str">
        <f>"Total "&amp;FleetTypeK&amp;" FLEET O1 Records Generated pa"</f>
        <v>Total A330-300 FLEET O1 Records Generated pa</v>
      </c>
      <c r="E763" s="505">
        <f t="shared" ref="E763:N763" si="164">E762*FleetSize_K</f>
        <v>60004</v>
      </c>
      <c r="F763" s="505">
        <f t="shared" si="164"/>
        <v>60008</v>
      </c>
      <c r="G763" s="505">
        <f t="shared" si="164"/>
        <v>60012</v>
      </c>
      <c r="H763" s="505">
        <f t="shared" si="164"/>
        <v>60016</v>
      </c>
      <c r="I763" s="505">
        <f t="shared" si="164"/>
        <v>60020</v>
      </c>
      <c r="J763" s="505">
        <f t="shared" si="164"/>
        <v>60024</v>
      </c>
      <c r="K763" s="505">
        <f t="shared" si="164"/>
        <v>60028</v>
      </c>
      <c r="L763" s="505">
        <f t="shared" si="164"/>
        <v>60032</v>
      </c>
      <c r="M763" s="505">
        <f t="shared" si="164"/>
        <v>60036</v>
      </c>
      <c r="N763" s="505">
        <f t="shared" si="164"/>
        <v>60040</v>
      </c>
      <c r="O763" s="285" t="s">
        <v>609</v>
      </c>
      <c r="P763" s="828"/>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row>
    <row r="764" spans="1:49" s="712" customFormat="1" ht="12.75" hidden="1" outlineLevel="1" x14ac:dyDescent="0.2">
      <c r="A764" s="820"/>
      <c r="B764" s="820"/>
      <c r="C764" s="256"/>
      <c r="D764" s="30"/>
      <c r="E764" s="30"/>
      <c r="F764" s="30"/>
      <c r="G764" s="30"/>
      <c r="H764" s="30"/>
      <c r="I764" s="30"/>
      <c r="J764" s="30"/>
      <c r="K764" s="30"/>
      <c r="L764" s="30"/>
      <c r="M764" s="30"/>
      <c r="N764" s="30"/>
      <c r="O764" s="839"/>
      <c r="P764" s="828"/>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row>
    <row r="765" spans="1:49" s="712" customFormat="1" ht="12.75" hidden="1" outlineLevel="1" x14ac:dyDescent="0.2">
      <c r="A765" s="820"/>
      <c r="B765" s="820"/>
      <c r="C765" s="847"/>
      <c r="D765" s="484" t="str">
        <f>FleetTypeK &amp;" Other 2 (O2)"</f>
        <v>A330-300 Other 2 (O2)</v>
      </c>
      <c r="E765" s="840"/>
      <c r="F765" s="840"/>
      <c r="G765" s="840"/>
      <c r="H765" s="840"/>
      <c r="I765" s="840"/>
      <c r="J765" s="840"/>
      <c r="K765" s="840"/>
      <c r="L765" s="840"/>
      <c r="M765" s="840"/>
      <c r="N765" s="840"/>
      <c r="O765" s="835"/>
      <c r="P765" s="828"/>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row>
    <row r="766" spans="1:49" s="712" customFormat="1" ht="12.75" hidden="1" outlineLevel="1" x14ac:dyDescent="0.2">
      <c r="A766" s="820"/>
      <c r="B766" s="820"/>
      <c r="C766" s="256"/>
      <c r="D766" s="233" t="str">
        <f>FleetTypeK&amp;" O2 Per AIRCRAFT Records Generated pa"</f>
        <v>A330-300 O2 Per AIRCRAFT Records Generated pa</v>
      </c>
      <c r="E766" s="596">
        <v>15001</v>
      </c>
      <c r="F766" s="596">
        <v>15002</v>
      </c>
      <c r="G766" s="596">
        <v>15003</v>
      </c>
      <c r="H766" s="596">
        <v>15004</v>
      </c>
      <c r="I766" s="596">
        <v>15005</v>
      </c>
      <c r="J766" s="596">
        <v>15006</v>
      </c>
      <c r="K766" s="596">
        <v>15007</v>
      </c>
      <c r="L766" s="596">
        <v>15008</v>
      </c>
      <c r="M766" s="596">
        <v>15009</v>
      </c>
      <c r="N766" s="596">
        <v>15010</v>
      </c>
      <c r="O766" s="835"/>
      <c r="P766" s="828"/>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row>
    <row r="767" spans="1:49" s="712" customFormat="1" ht="15.75" hidden="1" customHeight="1" outlineLevel="1" x14ac:dyDescent="0.2">
      <c r="A767" s="820"/>
      <c r="B767" s="820"/>
      <c r="C767" s="256"/>
      <c r="D767" s="501" t="str">
        <f>"Total "&amp;FleetTypeK&amp;" FLEET O2 Records Generated pa"</f>
        <v>Total A330-300 FLEET O2 Records Generated pa</v>
      </c>
      <c r="E767" s="505">
        <f t="shared" ref="E767:N767" si="165">E766*FleetSize_K</f>
        <v>60004</v>
      </c>
      <c r="F767" s="505">
        <f t="shared" si="165"/>
        <v>60008</v>
      </c>
      <c r="G767" s="505">
        <f t="shared" si="165"/>
        <v>60012</v>
      </c>
      <c r="H767" s="505">
        <f t="shared" si="165"/>
        <v>60016</v>
      </c>
      <c r="I767" s="505">
        <f t="shared" si="165"/>
        <v>60020</v>
      </c>
      <c r="J767" s="505">
        <f t="shared" si="165"/>
        <v>60024</v>
      </c>
      <c r="K767" s="505">
        <f t="shared" si="165"/>
        <v>60028</v>
      </c>
      <c r="L767" s="505">
        <f t="shared" si="165"/>
        <v>60032</v>
      </c>
      <c r="M767" s="505">
        <f t="shared" si="165"/>
        <v>60036</v>
      </c>
      <c r="N767" s="505">
        <f t="shared" si="165"/>
        <v>60040</v>
      </c>
      <c r="O767" s="285" t="s">
        <v>611</v>
      </c>
      <c r="P767" s="828"/>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row>
    <row r="768" spans="1:49" s="712" customFormat="1" ht="12.75" hidden="1" outlineLevel="1" x14ac:dyDescent="0.2">
      <c r="A768" s="820"/>
      <c r="B768" s="820"/>
      <c r="C768" s="256"/>
      <c r="D768" s="30"/>
      <c r="E768" s="30"/>
      <c r="F768" s="30"/>
      <c r="G768" s="30"/>
      <c r="H768" s="30"/>
      <c r="I768" s="30"/>
      <c r="J768" s="30"/>
      <c r="K768" s="30"/>
      <c r="L768" s="30"/>
      <c r="M768" s="30"/>
      <c r="N768" s="30"/>
      <c r="O768" s="839"/>
      <c r="P768" s="828"/>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row>
    <row r="769" spans="1:49" s="712" customFormat="1" ht="21.75" hidden="1" customHeight="1" outlineLevel="1" x14ac:dyDescent="0.2">
      <c r="A769" s="820"/>
      <c r="B769" s="820"/>
      <c r="C769" s="848"/>
      <c r="D769" s="849" t="str">
        <f>"Grand Total ("&amp;(FleetTypeK)&amp;") "&amp;"Records Generated pa"</f>
        <v>Grand Total (A330-300) Records Generated pa</v>
      </c>
      <c r="E769" s="714">
        <f t="shared" ref="E769:N769" si="166">SUM(RecordsHMFleetTotalpa_K+RecordsLMFleetTotalpa_K+RecordsEngFleetTotalpa_K+RecordsPlgFleetTotalpa_K+RecordsCRTFleetTotalpa_K+RecordsSCLFleetTotalpa_K+RecordsQSCFleetTotalpa_K+RecordsEMFleetTotalpa_K+RecordsCMFleetTotalpa_K+RecordsSMCSFleetTotalpa_K+RecordsO1FleetTotalpa_K+RecordsO2FleetTotalpa_K)</f>
        <v>591844</v>
      </c>
      <c r="F769" s="714">
        <f t="shared" si="166"/>
        <v>591173.71428571432</v>
      </c>
      <c r="G769" s="714">
        <f t="shared" si="166"/>
        <v>590682</v>
      </c>
      <c r="H769" s="714">
        <f t="shared" si="166"/>
        <v>592061.71428571432</v>
      </c>
      <c r="I769" s="714">
        <f t="shared" si="166"/>
        <v>592505.71428571432</v>
      </c>
      <c r="J769" s="714">
        <f t="shared" si="166"/>
        <v>592949.71428571432</v>
      </c>
      <c r="K769" s="714">
        <f t="shared" si="166"/>
        <v>593393.71428571432</v>
      </c>
      <c r="L769" s="714">
        <f t="shared" si="166"/>
        <v>593837.71428571432</v>
      </c>
      <c r="M769" s="714">
        <f t="shared" si="166"/>
        <v>594281.71428571432</v>
      </c>
      <c r="N769" s="714">
        <f t="shared" si="166"/>
        <v>594725.71428571432</v>
      </c>
      <c r="O769" s="285" t="s">
        <v>612</v>
      </c>
      <c r="P769" s="828"/>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row>
    <row r="770" spans="1:49" s="193" customFormat="1" ht="12.75" hidden="1" outlineLevel="1" x14ac:dyDescent="0.2">
      <c r="A770" s="820"/>
      <c r="B770" s="833"/>
      <c r="C770" s="837"/>
      <c r="D770" s="30"/>
      <c r="E770" s="833"/>
      <c r="F770" s="833"/>
      <c r="G770" s="833"/>
      <c r="H770" s="833"/>
      <c r="I770" s="833"/>
      <c r="J770" s="833"/>
      <c r="K770" s="833"/>
      <c r="L770" s="833"/>
      <c r="M770" s="833"/>
      <c r="N770" s="833"/>
      <c r="O770" s="861"/>
      <c r="P770" s="828"/>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row>
    <row r="771" spans="1:49" s="193" customFormat="1" ht="13.5" hidden="1" outlineLevel="1" thickBot="1" x14ac:dyDescent="0.25">
      <c r="A771" s="820"/>
      <c r="B771" s="833"/>
      <c r="C771" s="858"/>
      <c r="D771" s="529"/>
      <c r="E771" s="859"/>
      <c r="F771" s="859"/>
      <c r="G771" s="859"/>
      <c r="H771" s="859"/>
      <c r="I771" s="859"/>
      <c r="J771" s="859"/>
      <c r="K771" s="859"/>
      <c r="L771" s="859"/>
      <c r="M771" s="859"/>
      <c r="N771" s="859"/>
      <c r="O771" s="860"/>
      <c r="P771" s="828"/>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row>
    <row r="772" spans="1:49" s="193" customFormat="1" ht="12.75" hidden="1" outlineLevel="1" x14ac:dyDescent="0.2">
      <c r="A772" s="820"/>
      <c r="B772" s="833"/>
      <c r="C772" s="833"/>
      <c r="D772" s="30"/>
      <c r="E772" s="833"/>
      <c r="F772" s="833"/>
      <c r="G772" s="833"/>
      <c r="H772" s="833"/>
      <c r="I772" s="833"/>
      <c r="J772" s="833"/>
      <c r="K772" s="833"/>
      <c r="L772" s="833"/>
      <c r="M772" s="833"/>
      <c r="N772" s="833"/>
      <c r="O772" s="833"/>
      <c r="P772" s="828"/>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row>
    <row r="773" spans="1:49" s="122" customFormat="1" ht="15.75" collapsed="1" x14ac:dyDescent="0.2">
      <c r="A773" s="1043">
        <v>13</v>
      </c>
      <c r="B773" s="1039"/>
      <c r="C773" s="1039"/>
      <c r="D773" s="1039"/>
      <c r="E773" s="1039"/>
      <c r="F773" s="1039"/>
      <c r="G773" s="1039"/>
      <c r="H773" s="1039"/>
      <c r="I773" s="1039"/>
      <c r="J773" s="1039"/>
      <c r="K773" s="1039"/>
      <c r="L773" s="1039"/>
      <c r="M773" s="1039"/>
      <c r="N773" s="1039"/>
      <c r="O773" s="1039"/>
      <c r="P773" s="206"/>
      <c r="Q773" s="206"/>
      <c r="R773" s="206"/>
      <c r="S773" s="206"/>
      <c r="T773" s="206"/>
      <c r="U773" s="206"/>
      <c r="V773" s="206"/>
      <c r="W773" s="206"/>
      <c r="X773" s="206"/>
      <c r="Y773" s="206"/>
      <c r="Z773" s="206"/>
      <c r="AA773" s="206"/>
      <c r="AB773" s="206"/>
      <c r="AC773" s="206"/>
      <c r="AD773" s="206"/>
      <c r="AE773" s="206"/>
      <c r="AF773" s="206"/>
      <c r="AG773" s="206"/>
      <c r="AH773" s="206"/>
      <c r="AI773" s="206"/>
      <c r="AJ773" s="206"/>
      <c r="AK773" s="206"/>
      <c r="AL773" s="206"/>
      <c r="AM773" s="206"/>
      <c r="AN773" s="206"/>
      <c r="AO773" s="206"/>
      <c r="AP773" s="206"/>
      <c r="AQ773" s="206"/>
      <c r="AR773" s="206"/>
      <c r="AS773" s="206"/>
      <c r="AT773" s="206"/>
      <c r="AU773" s="206"/>
      <c r="AV773" s="206"/>
      <c r="AW773" s="206"/>
    </row>
    <row r="774" spans="1:49" s="712" customFormat="1" ht="13.5" thickBot="1" x14ac:dyDescent="0.25">
      <c r="A774" s="820"/>
      <c r="B774" s="180"/>
      <c r="C774" s="852"/>
      <c r="D774" s="820"/>
      <c r="E774" s="840"/>
      <c r="F774" s="840"/>
      <c r="G774" s="840"/>
      <c r="H774" s="840"/>
      <c r="I774" s="840"/>
      <c r="J774" s="840"/>
      <c r="K774" s="840"/>
      <c r="L774" s="840"/>
      <c r="M774" s="840"/>
      <c r="N774" s="840"/>
      <c r="O774" s="828"/>
      <c r="P774" s="828"/>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row>
    <row r="775" spans="1:49" s="712" customFormat="1" ht="31.5" x14ac:dyDescent="0.2">
      <c r="A775" s="1342" t="str">
        <f>"Purpose - To calculate Total Records generated by 'FleetTypeL'          " &amp; (FleetTypeL)</f>
        <v>Purpose - To calculate Total Records generated by 'FleetTypeL'          A380-800</v>
      </c>
      <c r="B775" s="180"/>
      <c r="C775" s="1343" t="str">
        <f>FleetTypeL &amp;" (FleetTypeL) Records
Generated pa"</f>
        <v>A380-800 (FleetTypeL) Records
Generated pa</v>
      </c>
      <c r="D775" s="853"/>
      <c r="E775" s="853"/>
      <c r="F775" s="853"/>
      <c r="G775" s="853"/>
      <c r="H775" s="853"/>
      <c r="I775" s="853"/>
      <c r="J775" s="853"/>
      <c r="K775" s="853"/>
      <c r="L775" s="853"/>
      <c r="M775" s="853"/>
      <c r="N775" s="853"/>
      <c r="O775" s="854"/>
      <c r="P775" s="828"/>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row>
    <row r="776" spans="1:49" s="193" customFormat="1" ht="12.75" x14ac:dyDescent="0.2">
      <c r="A776" s="820"/>
      <c r="B776" s="833"/>
      <c r="C776" s="833"/>
      <c r="D776" s="30"/>
      <c r="E776" s="833"/>
      <c r="F776" s="833"/>
      <c r="G776" s="833"/>
      <c r="H776" s="833"/>
      <c r="I776" s="833"/>
      <c r="J776" s="833"/>
      <c r="K776" s="833"/>
      <c r="L776" s="833"/>
      <c r="M776" s="833"/>
      <c r="N776" s="833"/>
      <c r="O776" s="833"/>
      <c r="P776" s="828"/>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row>
    <row r="777" spans="1:49" s="193" customFormat="1" ht="13.5" hidden="1" outlineLevel="1" collapsed="1" thickBot="1" x14ac:dyDescent="0.25">
      <c r="A777" s="820"/>
      <c r="B777" s="820"/>
      <c r="C777" s="820"/>
      <c r="D777" s="278"/>
      <c r="E777" s="278"/>
      <c r="F777" s="278"/>
      <c r="G777" s="278"/>
      <c r="H777" s="278"/>
      <c r="I777" s="278"/>
      <c r="J777" s="278"/>
      <c r="K777" s="278"/>
      <c r="L777" s="278"/>
      <c r="M777" s="278"/>
      <c r="N777" s="278"/>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row>
    <row r="778" spans="1:49" s="712" customFormat="1" ht="20.100000000000001" hidden="1" customHeight="1" outlineLevel="1" x14ac:dyDescent="0.2">
      <c r="A778" s="820"/>
      <c r="B778" s="180"/>
      <c r="C778" s="1344"/>
      <c r="D778" s="853"/>
      <c r="E778" s="853"/>
      <c r="F778" s="853"/>
      <c r="G778" s="853"/>
      <c r="H778" s="853"/>
      <c r="I778" s="853"/>
      <c r="J778" s="853"/>
      <c r="K778" s="853"/>
      <c r="L778" s="853"/>
      <c r="M778" s="853"/>
      <c r="N778" s="853"/>
      <c r="O778" s="854"/>
      <c r="P778" s="828"/>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row>
    <row r="779" spans="1:49" s="193" customFormat="1" ht="20.25" hidden="1" customHeight="1" outlineLevel="1" x14ac:dyDescent="0.2">
      <c r="A779" s="820"/>
      <c r="B779" s="180"/>
      <c r="C779" s="256"/>
      <c r="D779" s="484" t="str">
        <f>FleetTypeL &amp;" Heavy Maintenance (HM)"</f>
        <v>A380-800 Heavy Maintenance (HM)</v>
      </c>
      <c r="E779" s="820"/>
      <c r="F779" s="39"/>
      <c r="G779" s="822"/>
      <c r="H779" s="822"/>
      <c r="I779" s="822"/>
      <c r="J779" s="822"/>
      <c r="K779" s="822"/>
      <c r="L779" s="822"/>
      <c r="M779" s="822"/>
      <c r="N779" s="822"/>
      <c r="O779" s="829"/>
      <c r="P779" s="828"/>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row>
    <row r="780" spans="1:49" s="193" customFormat="1" ht="15" hidden="1" customHeight="1" outlineLevel="1" x14ac:dyDescent="0.2">
      <c r="A780" s="820"/>
      <c r="B780" s="830"/>
      <c r="C780" s="831"/>
      <c r="D780" s="501" t="str">
        <f>FleetTypeL&amp;" HM Cycle (Years)"</f>
        <v>A380-800 HM Cycle (Years)</v>
      </c>
      <c r="E780" s="855">
        <v>12</v>
      </c>
      <c r="F780" s="855">
        <v>14</v>
      </c>
      <c r="G780" s="855">
        <v>16</v>
      </c>
      <c r="H780" s="855">
        <v>14</v>
      </c>
      <c r="I780" s="855">
        <v>14</v>
      </c>
      <c r="J780" s="855">
        <v>14</v>
      </c>
      <c r="K780" s="855">
        <v>14</v>
      </c>
      <c r="L780" s="855">
        <v>14</v>
      </c>
      <c r="M780" s="855">
        <v>14</v>
      </c>
      <c r="N780" s="855">
        <v>14</v>
      </c>
      <c r="O780" s="257" t="s">
        <v>613</v>
      </c>
      <c r="P780" s="828"/>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row>
    <row r="781" spans="1:49" s="193" customFormat="1" ht="12.95" hidden="1" customHeight="1" outlineLevel="1" x14ac:dyDescent="0.2">
      <c r="A781" s="820"/>
      <c r="B781" s="833"/>
      <c r="C781" s="834"/>
      <c r="D781" s="820"/>
      <c r="E781" s="833"/>
      <c r="F781" s="833"/>
      <c r="G781" s="833"/>
      <c r="H781" s="833"/>
      <c r="I781" s="833"/>
      <c r="J781" s="833"/>
      <c r="K781" s="833"/>
      <c r="L781" s="833"/>
      <c r="M781" s="833"/>
      <c r="N781" s="833"/>
      <c r="O781" s="835"/>
      <c r="P781" s="828"/>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row>
    <row r="782" spans="1:49" s="193" customFormat="1" ht="12.75" hidden="1" customHeight="1" outlineLevel="1" x14ac:dyDescent="0.2">
      <c r="A782" s="820"/>
      <c r="B782" s="30"/>
      <c r="C782" s="256"/>
      <c r="D782" s="57" t="s">
        <v>256</v>
      </c>
      <c r="E782" s="856">
        <v>1100</v>
      </c>
      <c r="F782" s="856">
        <v>1200</v>
      </c>
      <c r="G782" s="856">
        <v>1300</v>
      </c>
      <c r="H782" s="856">
        <v>1400</v>
      </c>
      <c r="I782" s="856">
        <v>1500</v>
      </c>
      <c r="J782" s="856">
        <v>1600</v>
      </c>
      <c r="K782" s="856">
        <v>1700</v>
      </c>
      <c r="L782" s="856">
        <v>1800</v>
      </c>
      <c r="M782" s="856">
        <v>1900</v>
      </c>
      <c r="N782" s="856">
        <v>2000</v>
      </c>
      <c r="O782" s="835"/>
      <c r="P782" s="828"/>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row>
    <row r="783" spans="1:49" s="193" customFormat="1" ht="12.95" hidden="1" customHeight="1" outlineLevel="1" x14ac:dyDescent="0.2">
      <c r="A783" s="820"/>
      <c r="B783" s="833"/>
      <c r="C783" s="837"/>
      <c r="D783" s="57" t="s">
        <v>257</v>
      </c>
      <c r="E783" s="857">
        <v>2100</v>
      </c>
      <c r="F783" s="857">
        <v>2200</v>
      </c>
      <c r="G783" s="857">
        <v>2300</v>
      </c>
      <c r="H783" s="857">
        <v>2400</v>
      </c>
      <c r="I783" s="857">
        <v>2500</v>
      </c>
      <c r="J783" s="857">
        <v>2600</v>
      </c>
      <c r="K783" s="857">
        <v>2700</v>
      </c>
      <c r="L783" s="857">
        <v>2800</v>
      </c>
      <c r="M783" s="857">
        <v>2900</v>
      </c>
      <c r="N783" s="857">
        <v>3000</v>
      </c>
      <c r="O783" s="835"/>
      <c r="P783" s="828"/>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row>
    <row r="784" spans="1:49" s="193" customFormat="1" ht="12.95" hidden="1" customHeight="1" outlineLevel="1" x14ac:dyDescent="0.2">
      <c r="A784" s="820"/>
      <c r="B784" s="833"/>
      <c r="C784" s="837"/>
      <c r="D784" s="57" t="s">
        <v>258</v>
      </c>
      <c r="E784" s="857" t="s">
        <v>20</v>
      </c>
      <c r="F784" s="857" t="s">
        <v>20</v>
      </c>
      <c r="G784" s="857" t="s">
        <v>20</v>
      </c>
      <c r="H784" s="857" t="s">
        <v>20</v>
      </c>
      <c r="I784" s="857" t="s">
        <v>20</v>
      </c>
      <c r="J784" s="857" t="s">
        <v>20</v>
      </c>
      <c r="K784" s="857" t="s">
        <v>20</v>
      </c>
      <c r="L784" s="857" t="s">
        <v>20</v>
      </c>
      <c r="M784" s="857" t="s">
        <v>20</v>
      </c>
      <c r="N784" s="857" t="s">
        <v>20</v>
      </c>
      <c r="O784" s="835"/>
      <c r="P784" s="828"/>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row>
    <row r="785" spans="1:49" s="193" customFormat="1" ht="12.95" hidden="1" customHeight="1" outlineLevel="1" x14ac:dyDescent="0.2">
      <c r="A785" s="820"/>
      <c r="B785" s="833"/>
      <c r="C785" s="837"/>
      <c r="D785" s="57" t="s">
        <v>259</v>
      </c>
      <c r="E785" s="857">
        <v>4100</v>
      </c>
      <c r="F785" s="857">
        <v>4200</v>
      </c>
      <c r="G785" s="857">
        <v>4300</v>
      </c>
      <c r="H785" s="857">
        <v>4400</v>
      </c>
      <c r="I785" s="857">
        <v>4500</v>
      </c>
      <c r="J785" s="857">
        <v>4600</v>
      </c>
      <c r="K785" s="857">
        <v>4700</v>
      </c>
      <c r="L785" s="857">
        <v>4800</v>
      </c>
      <c r="M785" s="857">
        <v>4900</v>
      </c>
      <c r="N785" s="857">
        <v>5000</v>
      </c>
      <c r="O785" s="835"/>
      <c r="P785" s="828"/>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row>
    <row r="786" spans="1:49" s="193" customFormat="1" ht="12.95" hidden="1" customHeight="1" outlineLevel="1" x14ac:dyDescent="0.2">
      <c r="A786" s="820"/>
      <c r="B786" s="833"/>
      <c r="C786" s="837"/>
      <c r="D786" s="57" t="s">
        <v>260</v>
      </c>
      <c r="E786" s="857" t="s">
        <v>20</v>
      </c>
      <c r="F786" s="857" t="s">
        <v>20</v>
      </c>
      <c r="G786" s="857" t="s">
        <v>20</v>
      </c>
      <c r="H786" s="857" t="s">
        <v>20</v>
      </c>
      <c r="I786" s="857" t="s">
        <v>20</v>
      </c>
      <c r="J786" s="857" t="s">
        <v>20</v>
      </c>
      <c r="K786" s="857" t="s">
        <v>20</v>
      </c>
      <c r="L786" s="857" t="s">
        <v>20</v>
      </c>
      <c r="M786" s="857" t="s">
        <v>20</v>
      </c>
      <c r="N786" s="857" t="s">
        <v>20</v>
      </c>
      <c r="O786" s="835"/>
      <c r="P786" s="828"/>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row>
    <row r="787" spans="1:49" s="193" customFormat="1" ht="12.95" hidden="1" customHeight="1" outlineLevel="1" x14ac:dyDescent="0.2">
      <c r="A787" s="820"/>
      <c r="B787" s="833"/>
      <c r="C787" s="837"/>
      <c r="D787" s="57" t="s">
        <v>261</v>
      </c>
      <c r="E787" s="857">
        <v>7100</v>
      </c>
      <c r="F787" s="857">
        <v>7200</v>
      </c>
      <c r="G787" s="857">
        <v>7300</v>
      </c>
      <c r="H787" s="857">
        <v>7400</v>
      </c>
      <c r="I787" s="857">
        <v>7500</v>
      </c>
      <c r="J787" s="857">
        <v>7600</v>
      </c>
      <c r="K787" s="857">
        <v>7700</v>
      </c>
      <c r="L787" s="857">
        <v>7800</v>
      </c>
      <c r="M787" s="857">
        <v>7900</v>
      </c>
      <c r="N787" s="857">
        <v>8000</v>
      </c>
      <c r="O787" s="835"/>
      <c r="P787" s="828"/>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row>
    <row r="788" spans="1:49" s="193" customFormat="1" ht="12.95" hidden="1" customHeight="1" outlineLevel="1" x14ac:dyDescent="0.2">
      <c r="A788" s="820"/>
      <c r="B788" s="833"/>
      <c r="C788" s="837"/>
      <c r="D788" s="57" t="s">
        <v>262</v>
      </c>
      <c r="E788" s="857" t="s">
        <v>20</v>
      </c>
      <c r="F788" s="857" t="s">
        <v>20</v>
      </c>
      <c r="G788" s="857" t="s">
        <v>20</v>
      </c>
      <c r="H788" s="857" t="s">
        <v>20</v>
      </c>
      <c r="I788" s="857" t="s">
        <v>20</v>
      </c>
      <c r="J788" s="857" t="s">
        <v>20</v>
      </c>
      <c r="K788" s="857" t="s">
        <v>20</v>
      </c>
      <c r="L788" s="857" t="s">
        <v>20</v>
      </c>
      <c r="M788" s="857" t="s">
        <v>20</v>
      </c>
      <c r="N788" s="857" t="s">
        <v>20</v>
      </c>
      <c r="O788" s="835"/>
      <c r="P788" s="828"/>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row>
    <row r="789" spans="1:49" s="193" customFormat="1" ht="12.95" hidden="1" customHeight="1" outlineLevel="1" x14ac:dyDescent="0.2">
      <c r="A789" s="820"/>
      <c r="B789" s="833"/>
      <c r="C789" s="837"/>
      <c r="D789" s="57" t="s">
        <v>263</v>
      </c>
      <c r="E789" s="857">
        <v>9000</v>
      </c>
      <c r="F789" s="857">
        <v>10000</v>
      </c>
      <c r="G789" s="857">
        <v>11000</v>
      </c>
      <c r="H789" s="857">
        <v>12000</v>
      </c>
      <c r="I789" s="857">
        <v>13000</v>
      </c>
      <c r="J789" s="857">
        <v>14000</v>
      </c>
      <c r="K789" s="857">
        <v>15000</v>
      </c>
      <c r="L789" s="857">
        <v>16000</v>
      </c>
      <c r="M789" s="857">
        <v>17000</v>
      </c>
      <c r="N789" s="857">
        <v>18000</v>
      </c>
      <c r="O789" s="835"/>
      <c r="P789" s="828"/>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row>
    <row r="790" spans="1:49" s="193" customFormat="1" ht="12.95" hidden="1" customHeight="1" outlineLevel="1" x14ac:dyDescent="0.2">
      <c r="A790" s="820"/>
      <c r="B790" s="833"/>
      <c r="C790" s="837"/>
      <c r="D790" s="60" t="s">
        <v>113</v>
      </c>
      <c r="E790" s="502">
        <f t="shared" ref="E790:H790" si="167">SUM(E782:E789)</f>
        <v>23400</v>
      </c>
      <c r="F790" s="502">
        <f t="shared" si="167"/>
        <v>24800</v>
      </c>
      <c r="G790" s="502">
        <f t="shared" si="167"/>
        <v>26200</v>
      </c>
      <c r="H790" s="502">
        <f t="shared" si="167"/>
        <v>27600</v>
      </c>
      <c r="I790" s="502">
        <f t="shared" ref="I790:N790" si="168">SUM(I782:I789)</f>
        <v>29000</v>
      </c>
      <c r="J790" s="502">
        <f t="shared" si="168"/>
        <v>30400</v>
      </c>
      <c r="K790" s="502">
        <f t="shared" si="168"/>
        <v>31800</v>
      </c>
      <c r="L790" s="502">
        <f t="shared" si="168"/>
        <v>33200</v>
      </c>
      <c r="M790" s="502">
        <f t="shared" si="168"/>
        <v>34600</v>
      </c>
      <c r="N790" s="502">
        <f t="shared" si="168"/>
        <v>36000</v>
      </c>
      <c r="O790" s="285" t="s">
        <v>623</v>
      </c>
      <c r="P790" s="828"/>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row>
    <row r="791" spans="1:49" s="193" customFormat="1" ht="12.75" hidden="1" outlineLevel="1" x14ac:dyDescent="0.2">
      <c r="A791" s="820"/>
      <c r="B791" s="833"/>
      <c r="C791" s="837"/>
      <c r="D791" s="501" t="str">
        <f>"Total "&amp;FleetTypeL&amp;" FLEET HM Records Generated pa"</f>
        <v>Total A380-800 FLEET HM Records Generated pa</v>
      </c>
      <c r="E791" s="503">
        <f t="shared" ref="E791:N791" si="169">E790/FleetCycleHvy_L*FleetSize_L</f>
        <v>9750</v>
      </c>
      <c r="F791" s="503">
        <f t="shared" si="169"/>
        <v>8857.1428571428569</v>
      </c>
      <c r="G791" s="503">
        <f t="shared" si="169"/>
        <v>8187.5</v>
      </c>
      <c r="H791" s="503">
        <f t="shared" si="169"/>
        <v>9857.1428571428569</v>
      </c>
      <c r="I791" s="503">
        <f t="shared" si="169"/>
        <v>10357.142857142859</v>
      </c>
      <c r="J791" s="503">
        <f t="shared" si="169"/>
        <v>10857.142857142859</v>
      </c>
      <c r="K791" s="503">
        <f t="shared" si="169"/>
        <v>11357.142857142859</v>
      </c>
      <c r="L791" s="503">
        <f t="shared" si="169"/>
        <v>11857.142857142859</v>
      </c>
      <c r="M791" s="503">
        <f t="shared" si="169"/>
        <v>12357.142857142859</v>
      </c>
      <c r="N791" s="503">
        <f t="shared" si="169"/>
        <v>12857.142857142859</v>
      </c>
      <c r="O791" s="285" t="s">
        <v>614</v>
      </c>
      <c r="P791" s="828"/>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row>
    <row r="792" spans="1:49" s="712" customFormat="1" ht="12.75" hidden="1" outlineLevel="1" x14ac:dyDescent="0.2">
      <c r="A792" s="820"/>
      <c r="B792" s="820"/>
      <c r="C792" s="837"/>
      <c r="D792" s="30"/>
      <c r="E792" s="30"/>
      <c r="F792" s="30"/>
      <c r="G792" s="30"/>
      <c r="H792" s="30"/>
      <c r="I792" s="30"/>
      <c r="J792" s="30"/>
      <c r="K792" s="30"/>
      <c r="L792" s="30"/>
      <c r="M792" s="30"/>
      <c r="N792" s="30"/>
      <c r="O792" s="839"/>
      <c r="P792" s="828"/>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row>
    <row r="793" spans="1:49" s="712" customFormat="1" ht="12.75" hidden="1" outlineLevel="1" x14ac:dyDescent="0.2">
      <c r="A793" s="820"/>
      <c r="B793" s="820"/>
      <c r="C793" s="837"/>
      <c r="D793" s="484" t="str">
        <f>FleetTypeL &amp;" Line Maintenance (LM)"</f>
        <v>A380-800 Line Maintenance (LM)</v>
      </c>
      <c r="E793" s="840"/>
      <c r="F793" s="840"/>
      <c r="G793" s="840"/>
      <c r="H793" s="840"/>
      <c r="I793" s="840"/>
      <c r="J793" s="840"/>
      <c r="K793" s="840"/>
      <c r="L793" s="840"/>
      <c r="M793" s="840"/>
      <c r="N793" s="840"/>
      <c r="O793" s="839"/>
      <c r="P793" s="828"/>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row>
    <row r="794" spans="1:49" s="712" customFormat="1" ht="12.75" hidden="1" outlineLevel="1" x14ac:dyDescent="0.2">
      <c r="A794" s="820"/>
      <c r="B794" s="841"/>
      <c r="C794" s="837"/>
      <c r="D794" s="233" t="str">
        <f>FleetTypeL&amp; " LM Per AIRCRAFT Records Generated pa"</f>
        <v>A380-800 LM Per AIRCRAFT Records Generated pa</v>
      </c>
      <c r="E794" s="596">
        <v>10001</v>
      </c>
      <c r="F794" s="596">
        <v>10002</v>
      </c>
      <c r="G794" s="596">
        <v>10003</v>
      </c>
      <c r="H794" s="596">
        <v>10004</v>
      </c>
      <c r="I794" s="596">
        <v>10005</v>
      </c>
      <c r="J794" s="596">
        <v>10006</v>
      </c>
      <c r="K794" s="596">
        <v>10007</v>
      </c>
      <c r="L794" s="596">
        <v>10008</v>
      </c>
      <c r="M794" s="596">
        <v>10009</v>
      </c>
      <c r="N794" s="596">
        <v>10010</v>
      </c>
      <c r="O794" s="839"/>
      <c r="P794" s="828"/>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row>
    <row r="795" spans="1:49" s="712" customFormat="1" ht="12.75" hidden="1" outlineLevel="1" x14ac:dyDescent="0.2">
      <c r="A795" s="820"/>
      <c r="B795" s="841"/>
      <c r="C795" s="843"/>
      <c r="D795" s="501" t="str">
        <f>"Total "&amp;FleetTypeL&amp;" FLEET LM Records Generated pa"</f>
        <v>Total A380-800 FLEET LM Records Generated pa</v>
      </c>
      <c r="E795" s="505">
        <f t="shared" ref="E795:N795" si="170">E794*FleetSize_L</f>
        <v>50005</v>
      </c>
      <c r="F795" s="505">
        <f t="shared" si="170"/>
        <v>50010</v>
      </c>
      <c r="G795" s="505">
        <f t="shared" si="170"/>
        <v>50015</v>
      </c>
      <c r="H795" s="505">
        <f t="shared" si="170"/>
        <v>50020</v>
      </c>
      <c r="I795" s="505">
        <f t="shared" si="170"/>
        <v>50025</v>
      </c>
      <c r="J795" s="505">
        <f t="shared" si="170"/>
        <v>50030</v>
      </c>
      <c r="K795" s="505">
        <f t="shared" si="170"/>
        <v>50035</v>
      </c>
      <c r="L795" s="505">
        <f t="shared" si="170"/>
        <v>50040</v>
      </c>
      <c r="M795" s="505">
        <f t="shared" si="170"/>
        <v>50045</v>
      </c>
      <c r="N795" s="505">
        <f t="shared" si="170"/>
        <v>50050</v>
      </c>
      <c r="O795" s="285" t="s">
        <v>615</v>
      </c>
      <c r="P795" s="828"/>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row>
    <row r="796" spans="1:49" s="712" customFormat="1" ht="12.75" hidden="1" outlineLevel="1" x14ac:dyDescent="0.2">
      <c r="A796" s="840"/>
      <c r="B796" s="820"/>
      <c r="C796" s="843"/>
      <c r="D796" s="30"/>
      <c r="E796" s="30"/>
      <c r="F796" s="30"/>
      <c r="G796" s="30"/>
      <c r="H796" s="30"/>
      <c r="I796" s="30"/>
      <c r="J796" s="30"/>
      <c r="K796" s="30"/>
      <c r="L796" s="30"/>
      <c r="M796" s="30"/>
      <c r="N796" s="30"/>
      <c r="O796" s="839"/>
      <c r="P796" s="828"/>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row>
    <row r="797" spans="1:49" s="712" customFormat="1" ht="12.75" hidden="1" outlineLevel="1" x14ac:dyDescent="0.2">
      <c r="A797" s="820"/>
      <c r="B797" s="820"/>
      <c r="C797" s="843"/>
      <c r="D797" s="484" t="str">
        <f>FleetTypeL &amp;" Engineering (Eng)"</f>
        <v>A380-800 Engineering (Eng)</v>
      </c>
      <c r="E797" s="840"/>
      <c r="F797" s="840"/>
      <c r="G797" s="840"/>
      <c r="H797" s="840"/>
      <c r="I797" s="840"/>
      <c r="J797" s="840"/>
      <c r="K797" s="840"/>
      <c r="L797" s="840"/>
      <c r="M797" s="840"/>
      <c r="N797" s="840"/>
      <c r="O797" s="839"/>
      <c r="P797" s="828"/>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row>
    <row r="798" spans="1:49" s="712" customFormat="1" ht="12.75" hidden="1" outlineLevel="1" x14ac:dyDescent="0.2">
      <c r="A798" s="820"/>
      <c r="B798" s="820"/>
      <c r="C798" s="843"/>
      <c r="D798" s="233" t="str">
        <f>FleetTypeL&amp;" Eng Per AIRCRAFT Records Generated pa"</f>
        <v>A380-800 Eng Per AIRCRAFT Records Generated pa</v>
      </c>
      <c r="E798" s="842">
        <v>11001</v>
      </c>
      <c r="F798" s="842">
        <v>11002</v>
      </c>
      <c r="G798" s="842">
        <v>11003</v>
      </c>
      <c r="H798" s="842">
        <v>11004</v>
      </c>
      <c r="I798" s="842">
        <v>11005</v>
      </c>
      <c r="J798" s="842">
        <v>11006</v>
      </c>
      <c r="K798" s="842">
        <v>11007</v>
      </c>
      <c r="L798" s="842">
        <v>11008</v>
      </c>
      <c r="M798" s="842">
        <v>11009</v>
      </c>
      <c r="N798" s="842">
        <v>11010</v>
      </c>
      <c r="O798" s="839"/>
      <c r="P798" s="828"/>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row>
    <row r="799" spans="1:49" s="712" customFormat="1" ht="15.75" hidden="1" customHeight="1" outlineLevel="1" x14ac:dyDescent="0.2">
      <c r="A799" s="820"/>
      <c r="B799" s="820"/>
      <c r="C799" s="843"/>
      <c r="D799" s="234" t="str">
        <f>"Total "&amp;FleetTypeL&amp;" FLEET Eng Records Generated pa"</f>
        <v>Total A380-800 FLEET Eng Records Generated pa</v>
      </c>
      <c r="E799" s="231">
        <f t="shared" ref="E799:N799" si="171">E798*FleetSize_L</f>
        <v>55005</v>
      </c>
      <c r="F799" s="231">
        <f t="shared" si="171"/>
        <v>55010</v>
      </c>
      <c r="G799" s="231">
        <f t="shared" si="171"/>
        <v>55015</v>
      </c>
      <c r="H799" s="231">
        <f t="shared" si="171"/>
        <v>55020</v>
      </c>
      <c r="I799" s="231">
        <f t="shared" si="171"/>
        <v>55025</v>
      </c>
      <c r="J799" s="231">
        <f t="shared" si="171"/>
        <v>55030</v>
      </c>
      <c r="K799" s="231">
        <f t="shared" si="171"/>
        <v>55035</v>
      </c>
      <c r="L799" s="231">
        <f t="shared" si="171"/>
        <v>55040</v>
      </c>
      <c r="M799" s="231">
        <f t="shared" si="171"/>
        <v>55045</v>
      </c>
      <c r="N799" s="231">
        <f t="shared" si="171"/>
        <v>55050</v>
      </c>
      <c r="O799" s="285" t="s">
        <v>892</v>
      </c>
      <c r="P799" s="828"/>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row>
    <row r="800" spans="1:49" s="712" customFormat="1" ht="15.75" hidden="1" customHeight="1" outlineLevel="1" x14ac:dyDescent="0.2">
      <c r="A800" s="820"/>
      <c r="B800" s="820"/>
      <c r="C800" s="843"/>
      <c r="D800" s="844"/>
      <c r="E800" s="845"/>
      <c r="F800" s="845"/>
      <c r="G800" s="845"/>
      <c r="H800" s="845"/>
      <c r="I800" s="845"/>
      <c r="J800" s="845"/>
      <c r="K800" s="845"/>
      <c r="L800" s="845"/>
      <c r="M800" s="845"/>
      <c r="N800" s="845"/>
      <c r="O800" s="285"/>
      <c r="P800" s="828"/>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row>
    <row r="801" spans="1:49" s="712" customFormat="1" ht="12.75" hidden="1" outlineLevel="1" x14ac:dyDescent="0.2">
      <c r="A801" s="820"/>
      <c r="B801" s="820"/>
      <c r="C801" s="843"/>
      <c r="D801" s="484" t="str">
        <f>FleetTypeL &amp;" Planning (Plg)"</f>
        <v>A380-800 Planning (Plg)</v>
      </c>
      <c r="E801" s="840"/>
      <c r="F801" s="840"/>
      <c r="G801" s="840"/>
      <c r="H801" s="840"/>
      <c r="I801" s="840"/>
      <c r="J801" s="840"/>
      <c r="K801" s="840"/>
      <c r="L801" s="840"/>
      <c r="M801" s="840"/>
      <c r="N801" s="840"/>
      <c r="O801" s="839"/>
      <c r="P801" s="828"/>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row>
    <row r="802" spans="1:49" s="712" customFormat="1" ht="12.75" hidden="1" outlineLevel="1" x14ac:dyDescent="0.2">
      <c r="A802" s="820"/>
      <c r="B802" s="820"/>
      <c r="C802" s="843"/>
      <c r="D802" s="233" t="str">
        <f>FleetTypeL&amp;" Plg AIRCRAFT Records Generated pa"</f>
        <v>A380-800 Plg AIRCRAFT Records Generated pa</v>
      </c>
      <c r="E802" s="842">
        <v>11001</v>
      </c>
      <c r="F802" s="842">
        <v>11002</v>
      </c>
      <c r="G802" s="842">
        <v>11003</v>
      </c>
      <c r="H802" s="842">
        <v>11004</v>
      </c>
      <c r="I802" s="842">
        <v>11005</v>
      </c>
      <c r="J802" s="842">
        <v>11006</v>
      </c>
      <c r="K802" s="842">
        <v>11007</v>
      </c>
      <c r="L802" s="842">
        <v>11008</v>
      </c>
      <c r="M802" s="842">
        <v>11009</v>
      </c>
      <c r="N802" s="842">
        <v>11010</v>
      </c>
      <c r="O802" s="839"/>
      <c r="P802" s="828"/>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row>
    <row r="803" spans="1:49" s="712" customFormat="1" ht="15.75" hidden="1" customHeight="1" outlineLevel="1" x14ac:dyDescent="0.2">
      <c r="A803" s="820"/>
      <c r="B803" s="820"/>
      <c r="C803" s="843"/>
      <c r="D803" s="234" t="str">
        <f>"Total "&amp;FleetTypeL&amp;" FLEET Plg Records Generated pa"</f>
        <v>Total A380-800 FLEET Plg Records Generated pa</v>
      </c>
      <c r="E803" s="231">
        <f t="shared" ref="E803:N803" si="172">E802*FleetSize_L</f>
        <v>55005</v>
      </c>
      <c r="F803" s="231">
        <f t="shared" si="172"/>
        <v>55010</v>
      </c>
      <c r="G803" s="231">
        <f t="shared" si="172"/>
        <v>55015</v>
      </c>
      <c r="H803" s="231">
        <f t="shared" si="172"/>
        <v>55020</v>
      </c>
      <c r="I803" s="231">
        <f t="shared" si="172"/>
        <v>55025</v>
      </c>
      <c r="J803" s="231">
        <f t="shared" si="172"/>
        <v>55030</v>
      </c>
      <c r="K803" s="231">
        <f t="shared" si="172"/>
        <v>55035</v>
      </c>
      <c r="L803" s="231">
        <f t="shared" si="172"/>
        <v>55040</v>
      </c>
      <c r="M803" s="231">
        <f t="shared" si="172"/>
        <v>55045</v>
      </c>
      <c r="N803" s="231">
        <f t="shared" si="172"/>
        <v>55050</v>
      </c>
      <c r="O803" s="285" t="s">
        <v>893</v>
      </c>
      <c r="P803" s="828"/>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row>
    <row r="804" spans="1:49" s="712" customFormat="1" ht="12.75" hidden="1" outlineLevel="1" x14ac:dyDescent="0.2">
      <c r="A804" s="820"/>
      <c r="B804" s="820"/>
      <c r="C804" s="843"/>
      <c r="D804" s="30"/>
      <c r="E804" s="30"/>
      <c r="F804" s="30"/>
      <c r="G804" s="30"/>
      <c r="H804" s="30"/>
      <c r="I804" s="30"/>
      <c r="J804" s="30"/>
      <c r="K804" s="30"/>
      <c r="L804" s="30"/>
      <c r="M804" s="30"/>
      <c r="N804" s="30"/>
      <c r="O804" s="839"/>
      <c r="P804" s="828"/>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row>
    <row r="805" spans="1:49" s="712" customFormat="1" ht="12.75" hidden="1" outlineLevel="1" x14ac:dyDescent="0.2">
      <c r="A805" s="820"/>
      <c r="B805" s="820"/>
      <c r="C805" s="843"/>
      <c r="D805" s="484" t="str">
        <f>FleetTypeL &amp;" Clerical, Records &amp; Tech Pubs (CRT)"</f>
        <v>A380-800 Clerical, Records &amp; Tech Pubs (CRT)</v>
      </c>
      <c r="E805" s="840"/>
      <c r="F805" s="840"/>
      <c r="G805" s="840"/>
      <c r="H805" s="840"/>
      <c r="I805" s="840"/>
      <c r="J805" s="840"/>
      <c r="K805" s="840"/>
      <c r="L805" s="840"/>
      <c r="M805" s="840"/>
      <c r="N805" s="840"/>
      <c r="O805" s="839"/>
      <c r="P805" s="828"/>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row>
    <row r="806" spans="1:49" s="712" customFormat="1" ht="12.75" hidden="1" outlineLevel="1" x14ac:dyDescent="0.2">
      <c r="A806" s="820"/>
      <c r="B806" s="820"/>
      <c r="C806" s="256"/>
      <c r="D806" s="233" t="str">
        <f>FleetTypeL&amp;" SCL Per AIRCRAFT CRT Records Generated pa"</f>
        <v>A380-800 SCL Per AIRCRAFT CRT Records Generated pa</v>
      </c>
      <c r="E806" s="596">
        <v>12001</v>
      </c>
      <c r="F806" s="596">
        <v>12002</v>
      </c>
      <c r="G806" s="596">
        <v>12003</v>
      </c>
      <c r="H806" s="596">
        <v>12004</v>
      </c>
      <c r="I806" s="596">
        <v>12005</v>
      </c>
      <c r="J806" s="596">
        <v>12006</v>
      </c>
      <c r="K806" s="596">
        <v>12007</v>
      </c>
      <c r="L806" s="596">
        <v>12008</v>
      </c>
      <c r="M806" s="596">
        <v>12009</v>
      </c>
      <c r="N806" s="596">
        <v>12010</v>
      </c>
      <c r="O806" s="839"/>
      <c r="P806" s="828"/>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row>
    <row r="807" spans="1:49" s="712" customFormat="1" ht="12.75" hidden="1" outlineLevel="1" x14ac:dyDescent="0.2">
      <c r="A807" s="820"/>
      <c r="B807" s="820"/>
      <c r="C807" s="843"/>
      <c r="D807" s="501" t="str">
        <f>"Total "&amp;FleetTypeL&amp;" FLEET CRT Records Generated pa"</f>
        <v>Total A380-800 FLEET CRT Records Generated pa</v>
      </c>
      <c r="E807" s="505">
        <f t="shared" ref="E807:N807" si="173">E806*FleetSize_L</f>
        <v>60005</v>
      </c>
      <c r="F807" s="505">
        <f t="shared" si="173"/>
        <v>60010</v>
      </c>
      <c r="G807" s="505">
        <f t="shared" si="173"/>
        <v>60015</v>
      </c>
      <c r="H807" s="505">
        <f t="shared" si="173"/>
        <v>60020</v>
      </c>
      <c r="I807" s="505">
        <f t="shared" si="173"/>
        <v>60025</v>
      </c>
      <c r="J807" s="505">
        <f t="shared" si="173"/>
        <v>60030</v>
      </c>
      <c r="K807" s="505">
        <f t="shared" si="173"/>
        <v>60035</v>
      </c>
      <c r="L807" s="505">
        <f t="shared" si="173"/>
        <v>60040</v>
      </c>
      <c r="M807" s="505">
        <f t="shared" si="173"/>
        <v>60045</v>
      </c>
      <c r="N807" s="505">
        <f t="shared" si="173"/>
        <v>60050</v>
      </c>
      <c r="O807" s="285" t="s">
        <v>616</v>
      </c>
      <c r="P807" s="828"/>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row>
    <row r="808" spans="1:49" s="712" customFormat="1" ht="12.75" hidden="1" outlineLevel="1" x14ac:dyDescent="0.2">
      <c r="A808" s="820"/>
      <c r="B808" s="820"/>
      <c r="C808" s="843"/>
      <c r="D808" s="820"/>
      <c r="E808" s="840"/>
      <c r="F808" s="840"/>
      <c r="G808" s="840"/>
      <c r="H808" s="840"/>
      <c r="I808" s="840"/>
      <c r="J808" s="840"/>
      <c r="K808" s="840"/>
      <c r="L808" s="840"/>
      <c r="M808" s="840"/>
      <c r="N808" s="840"/>
      <c r="O808" s="839"/>
      <c r="P808" s="828"/>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row>
    <row r="809" spans="1:49" s="712" customFormat="1" ht="12.75" hidden="1" outlineLevel="1" x14ac:dyDescent="0.2">
      <c r="A809" s="820"/>
      <c r="B809" s="820"/>
      <c r="C809" s="843"/>
      <c r="D809" s="484" t="str">
        <f>FleetTypeL &amp;" Supply Chain &amp; Logistics (SCL)"</f>
        <v>A380-800 Supply Chain &amp; Logistics (SCL)</v>
      </c>
      <c r="E809" s="840"/>
      <c r="F809" s="840"/>
      <c r="G809" s="840"/>
      <c r="H809" s="840"/>
      <c r="I809" s="840"/>
      <c r="J809" s="840"/>
      <c r="K809" s="840"/>
      <c r="L809" s="840"/>
      <c r="M809" s="840"/>
      <c r="N809" s="840"/>
      <c r="O809" s="839"/>
      <c r="P809" s="828"/>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row>
    <row r="810" spans="1:49" s="712" customFormat="1" ht="12.75" hidden="1" outlineLevel="1" x14ac:dyDescent="0.2">
      <c r="A810" s="820"/>
      <c r="B810" s="820"/>
      <c r="C810" s="256"/>
      <c r="D810" s="233" t="str">
        <f>FleetTypeL&amp;" SCL Per AIRCRAFT OEMV Records Generated pa"</f>
        <v>A380-800 SCL Per AIRCRAFT OEMV Records Generated pa</v>
      </c>
      <c r="E810" s="596">
        <v>13001</v>
      </c>
      <c r="F810" s="596">
        <v>13002</v>
      </c>
      <c r="G810" s="596">
        <v>13003</v>
      </c>
      <c r="H810" s="596">
        <v>13004</v>
      </c>
      <c r="I810" s="596">
        <v>13005</v>
      </c>
      <c r="J810" s="596">
        <v>13006</v>
      </c>
      <c r="K810" s="596">
        <v>13007</v>
      </c>
      <c r="L810" s="596">
        <v>13008</v>
      </c>
      <c r="M810" s="596">
        <v>13009</v>
      </c>
      <c r="N810" s="596">
        <v>13010</v>
      </c>
      <c r="O810" s="839"/>
      <c r="P810" s="828"/>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row>
    <row r="811" spans="1:49" s="712" customFormat="1" ht="12.75" hidden="1" outlineLevel="1" x14ac:dyDescent="0.2">
      <c r="A811" s="820"/>
      <c r="B811" s="820"/>
      <c r="C811" s="843"/>
      <c r="D811" s="501" t="str">
        <f>"Total "&amp;FleetTypeL&amp;" FLEET SCL Records Generated pa"</f>
        <v>Total A380-800 FLEET SCL Records Generated pa</v>
      </c>
      <c r="E811" s="505">
        <f t="shared" ref="E811:N811" si="174">E810*FleetSize_L</f>
        <v>65005</v>
      </c>
      <c r="F811" s="505">
        <f t="shared" si="174"/>
        <v>65010</v>
      </c>
      <c r="G811" s="505">
        <f t="shared" si="174"/>
        <v>65015</v>
      </c>
      <c r="H811" s="505">
        <f t="shared" si="174"/>
        <v>65020</v>
      </c>
      <c r="I811" s="505">
        <f t="shared" si="174"/>
        <v>65025</v>
      </c>
      <c r="J811" s="505">
        <f t="shared" si="174"/>
        <v>65030</v>
      </c>
      <c r="K811" s="505">
        <f t="shared" si="174"/>
        <v>65035</v>
      </c>
      <c r="L811" s="505">
        <f t="shared" si="174"/>
        <v>65040</v>
      </c>
      <c r="M811" s="505">
        <f t="shared" si="174"/>
        <v>65045</v>
      </c>
      <c r="N811" s="505">
        <f t="shared" si="174"/>
        <v>65050</v>
      </c>
      <c r="O811" s="285" t="s">
        <v>617</v>
      </c>
      <c r="P811" s="828"/>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row>
    <row r="812" spans="1:49" s="712" customFormat="1" ht="12.75" hidden="1" outlineLevel="1" x14ac:dyDescent="0.2">
      <c r="A812" s="820"/>
      <c r="B812" s="820"/>
      <c r="C812" s="846"/>
      <c r="D812" s="820"/>
      <c r="E812" s="840"/>
      <c r="F812" s="840"/>
      <c r="G812" s="840"/>
      <c r="H812" s="840"/>
      <c r="I812" s="840"/>
      <c r="J812" s="840"/>
      <c r="K812" s="840"/>
      <c r="L812" s="840"/>
      <c r="M812" s="840"/>
      <c r="N812" s="840"/>
      <c r="O812" s="839"/>
      <c r="P812" s="828"/>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row>
    <row r="813" spans="1:49" s="712" customFormat="1" ht="12.75" hidden="1" outlineLevel="1" x14ac:dyDescent="0.2">
      <c r="A813" s="820"/>
      <c r="B813" s="820"/>
      <c r="C813" s="846"/>
      <c r="D813" s="484" t="str">
        <f>FleetTypeL &amp;" Quality, Safety &amp; Compliance (QSC)"</f>
        <v>A380-800 Quality, Safety &amp; Compliance (QSC)</v>
      </c>
      <c r="E813" s="840"/>
      <c r="F813" s="840"/>
      <c r="G813" s="840"/>
      <c r="H813" s="840"/>
      <c r="I813" s="840"/>
      <c r="J813" s="840"/>
      <c r="K813" s="840"/>
      <c r="L813" s="840"/>
      <c r="M813" s="840"/>
      <c r="N813" s="840"/>
      <c r="O813" s="839"/>
      <c r="P813" s="828"/>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row>
    <row r="814" spans="1:49" s="712" customFormat="1" ht="12.75" hidden="1" outlineLevel="1" x14ac:dyDescent="0.2">
      <c r="A814" s="820"/>
      <c r="B814" s="820"/>
      <c r="C814" s="256"/>
      <c r="D814" s="233" t="str">
        <f>FleetTypeL&amp;" QSC Per AIRCRAFT Records Generated pa"</f>
        <v>A380-800 QSC Per AIRCRAFT Records Generated pa</v>
      </c>
      <c r="E814" s="596">
        <v>14001</v>
      </c>
      <c r="F814" s="596">
        <v>14002</v>
      </c>
      <c r="G814" s="596">
        <v>14003</v>
      </c>
      <c r="H814" s="596">
        <v>14004</v>
      </c>
      <c r="I814" s="596">
        <v>14005</v>
      </c>
      <c r="J814" s="596">
        <v>14006</v>
      </c>
      <c r="K814" s="596">
        <v>14007</v>
      </c>
      <c r="L814" s="596">
        <v>14008</v>
      </c>
      <c r="M814" s="596">
        <v>14009</v>
      </c>
      <c r="N814" s="596">
        <v>14010</v>
      </c>
      <c r="O814" s="839"/>
      <c r="P814" s="828"/>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row>
    <row r="815" spans="1:49" s="712" customFormat="1" ht="15.75" hidden="1" customHeight="1" outlineLevel="1" x14ac:dyDescent="0.2">
      <c r="A815" s="820"/>
      <c r="B815" s="820"/>
      <c r="C815" s="843"/>
      <c r="D815" s="501" t="str">
        <f>"Total "&amp;FleetTypeL&amp;" FLEET QSC Records Generated pa"</f>
        <v>Total A380-800 FLEET QSC Records Generated pa</v>
      </c>
      <c r="E815" s="505">
        <f t="shared" ref="E815:N815" si="175">E814*FleetSize_L</f>
        <v>70005</v>
      </c>
      <c r="F815" s="505">
        <f t="shared" si="175"/>
        <v>70010</v>
      </c>
      <c r="G815" s="505">
        <f t="shared" si="175"/>
        <v>70015</v>
      </c>
      <c r="H815" s="505">
        <f t="shared" si="175"/>
        <v>70020</v>
      </c>
      <c r="I815" s="505">
        <f t="shared" si="175"/>
        <v>70025</v>
      </c>
      <c r="J815" s="505">
        <f t="shared" si="175"/>
        <v>70030</v>
      </c>
      <c r="K815" s="505">
        <f t="shared" si="175"/>
        <v>70035</v>
      </c>
      <c r="L815" s="505">
        <f t="shared" si="175"/>
        <v>70040</v>
      </c>
      <c r="M815" s="505">
        <f t="shared" si="175"/>
        <v>70045</v>
      </c>
      <c r="N815" s="505">
        <f t="shared" si="175"/>
        <v>70050</v>
      </c>
      <c r="O815" s="285" t="s">
        <v>618</v>
      </c>
      <c r="P815" s="828"/>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row>
    <row r="816" spans="1:49" s="712" customFormat="1" ht="12.75" hidden="1" outlineLevel="1" x14ac:dyDescent="0.2">
      <c r="A816" s="820"/>
      <c r="B816" s="820"/>
      <c r="C816" s="847"/>
      <c r="D816" s="820"/>
      <c r="E816" s="840"/>
      <c r="F816" s="840"/>
      <c r="G816" s="840"/>
      <c r="H816" s="840"/>
      <c r="I816" s="840"/>
      <c r="J816" s="840"/>
      <c r="K816" s="840"/>
      <c r="L816" s="840"/>
      <c r="M816" s="840"/>
      <c r="N816" s="840"/>
      <c r="O816" s="835"/>
      <c r="P816" s="828"/>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row>
    <row r="817" spans="1:49" s="712" customFormat="1" ht="12.75" hidden="1" outlineLevel="1" x14ac:dyDescent="0.2">
      <c r="A817" s="820"/>
      <c r="B817" s="820"/>
      <c r="C817" s="847"/>
      <c r="D817" s="484" t="str">
        <f>FleetTypeL &amp;" Engine Maintenance (EM)"</f>
        <v>A380-800 Engine Maintenance (EM)</v>
      </c>
      <c r="E817" s="840"/>
      <c r="F817" s="840"/>
      <c r="G817" s="840"/>
      <c r="H817" s="840"/>
      <c r="I817" s="840"/>
      <c r="J817" s="840"/>
      <c r="K817" s="840"/>
      <c r="L817" s="840"/>
      <c r="M817" s="840"/>
      <c r="N817" s="840"/>
      <c r="O817" s="835"/>
      <c r="P817" s="828"/>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row>
    <row r="818" spans="1:49" s="712" customFormat="1" ht="12.75" hidden="1" outlineLevel="1" x14ac:dyDescent="0.2">
      <c r="A818" s="820"/>
      <c r="B818" s="820"/>
      <c r="C818" s="256"/>
      <c r="D818" s="233" t="str">
        <f>FleetTypeL&amp;" EM Per AIRCRAFT Records Generated pa"</f>
        <v>A380-800 EM Per AIRCRAFT Records Generated pa</v>
      </c>
      <c r="E818" s="596">
        <v>15001</v>
      </c>
      <c r="F818" s="596">
        <v>15002</v>
      </c>
      <c r="G818" s="596">
        <v>15003</v>
      </c>
      <c r="H818" s="596">
        <v>15004</v>
      </c>
      <c r="I818" s="596">
        <v>15005</v>
      </c>
      <c r="J818" s="596">
        <v>15006</v>
      </c>
      <c r="K818" s="596">
        <v>15007</v>
      </c>
      <c r="L818" s="596">
        <v>15008</v>
      </c>
      <c r="M818" s="596">
        <v>15009</v>
      </c>
      <c r="N818" s="596">
        <v>15010</v>
      </c>
      <c r="O818" s="835"/>
      <c r="P818" s="828"/>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row>
    <row r="819" spans="1:49" s="712" customFormat="1" ht="15.75" hidden="1" customHeight="1" outlineLevel="1" x14ac:dyDescent="0.2">
      <c r="A819" s="820"/>
      <c r="B819" s="820"/>
      <c r="C819" s="256"/>
      <c r="D819" s="501" t="str">
        <f>"Total "&amp;FleetTypeL&amp;" FLEET EM Records Generated pa"</f>
        <v>Total A380-800 FLEET EM Records Generated pa</v>
      </c>
      <c r="E819" s="505">
        <f t="shared" ref="E819:N819" si="176">E818*FleetSize_L</f>
        <v>75005</v>
      </c>
      <c r="F819" s="505">
        <f t="shared" si="176"/>
        <v>75010</v>
      </c>
      <c r="G819" s="505">
        <f t="shared" si="176"/>
        <v>75015</v>
      </c>
      <c r="H819" s="505">
        <f t="shared" si="176"/>
        <v>75020</v>
      </c>
      <c r="I819" s="505">
        <f t="shared" si="176"/>
        <v>75025</v>
      </c>
      <c r="J819" s="505">
        <f t="shared" si="176"/>
        <v>75030</v>
      </c>
      <c r="K819" s="505">
        <f t="shared" si="176"/>
        <v>75035</v>
      </c>
      <c r="L819" s="505">
        <f t="shared" si="176"/>
        <v>75040</v>
      </c>
      <c r="M819" s="505">
        <f t="shared" si="176"/>
        <v>75045</v>
      </c>
      <c r="N819" s="505">
        <f t="shared" si="176"/>
        <v>75050</v>
      </c>
      <c r="O819" s="285" t="s">
        <v>619</v>
      </c>
      <c r="P819" s="828"/>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row>
    <row r="820" spans="1:49" s="712" customFormat="1" ht="12.75" hidden="1" outlineLevel="1" x14ac:dyDescent="0.2">
      <c r="A820" s="820"/>
      <c r="B820" s="820"/>
      <c r="C820" s="256"/>
      <c r="D820" s="30"/>
      <c r="E820" s="30"/>
      <c r="F820" s="30"/>
      <c r="G820" s="30"/>
      <c r="H820" s="30"/>
      <c r="I820" s="30"/>
      <c r="J820" s="30"/>
      <c r="K820" s="30"/>
      <c r="L820" s="30"/>
      <c r="M820" s="30"/>
      <c r="N820" s="30"/>
      <c r="O820" s="839"/>
      <c r="P820" s="828"/>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row>
    <row r="821" spans="1:49" s="712" customFormat="1" ht="12.75" hidden="1" outlineLevel="1" x14ac:dyDescent="0.2">
      <c r="A821" s="820"/>
      <c r="B821" s="820"/>
      <c r="C821" s="847"/>
      <c r="D821" s="484" t="str">
        <f>FleetTypeL &amp;" Component Maintenance (CM)"</f>
        <v>A380-800 Component Maintenance (CM)</v>
      </c>
      <c r="E821" s="840"/>
      <c r="F821" s="840"/>
      <c r="G821" s="840"/>
      <c r="H821" s="840"/>
      <c r="I821" s="840"/>
      <c r="J821" s="840"/>
      <c r="K821" s="840"/>
      <c r="L821" s="840"/>
      <c r="M821" s="840"/>
      <c r="N821" s="840"/>
      <c r="O821" s="835"/>
      <c r="P821" s="828"/>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row>
    <row r="822" spans="1:49" s="712" customFormat="1" ht="12.75" hidden="1" outlineLevel="1" x14ac:dyDescent="0.2">
      <c r="A822" s="820"/>
      <c r="B822" s="820"/>
      <c r="C822" s="256"/>
      <c r="D822" s="233" t="str">
        <f>FleetTypeL&amp;" CM Per AIRCRAFT Records Generated pa"</f>
        <v>A380-800 CM Per AIRCRAFT Records Generated pa</v>
      </c>
      <c r="E822" s="596">
        <v>15001</v>
      </c>
      <c r="F822" s="596">
        <v>15002</v>
      </c>
      <c r="G822" s="596">
        <v>15003</v>
      </c>
      <c r="H822" s="596">
        <v>15004</v>
      </c>
      <c r="I822" s="596">
        <v>15005</v>
      </c>
      <c r="J822" s="596">
        <v>15006</v>
      </c>
      <c r="K822" s="596">
        <v>15007</v>
      </c>
      <c r="L822" s="596">
        <v>15008</v>
      </c>
      <c r="M822" s="596">
        <v>15009</v>
      </c>
      <c r="N822" s="596">
        <v>15010</v>
      </c>
      <c r="O822" s="835"/>
      <c r="P822" s="828"/>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row>
    <row r="823" spans="1:49" s="712" customFormat="1" ht="15.75" hidden="1" customHeight="1" outlineLevel="1" x14ac:dyDescent="0.2">
      <c r="A823" s="820"/>
      <c r="B823" s="820"/>
      <c r="C823" s="256"/>
      <c r="D823" s="501" t="str">
        <f>"Total "&amp;FleetTypeL&amp;" FLEET CM Records Generated pa"</f>
        <v>Total A380-800 FLEET CM Records Generated pa</v>
      </c>
      <c r="E823" s="505">
        <f t="shared" ref="E823:N823" si="177">E822*FleetSize_L</f>
        <v>75005</v>
      </c>
      <c r="F823" s="505">
        <f t="shared" si="177"/>
        <v>75010</v>
      </c>
      <c r="G823" s="505">
        <f t="shared" si="177"/>
        <v>75015</v>
      </c>
      <c r="H823" s="505">
        <f t="shared" si="177"/>
        <v>75020</v>
      </c>
      <c r="I823" s="505">
        <f t="shared" si="177"/>
        <v>75025</v>
      </c>
      <c r="J823" s="505">
        <f t="shared" si="177"/>
        <v>75030</v>
      </c>
      <c r="K823" s="505">
        <f t="shared" si="177"/>
        <v>75035</v>
      </c>
      <c r="L823" s="505">
        <f t="shared" si="177"/>
        <v>75040</v>
      </c>
      <c r="M823" s="505">
        <f t="shared" si="177"/>
        <v>75045</v>
      </c>
      <c r="N823" s="505">
        <f t="shared" si="177"/>
        <v>75050</v>
      </c>
      <c r="O823" s="285" t="s">
        <v>620</v>
      </c>
      <c r="P823" s="828"/>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row>
    <row r="824" spans="1:49" s="712" customFormat="1" ht="12.75" hidden="1" outlineLevel="1" x14ac:dyDescent="0.2">
      <c r="A824" s="820"/>
      <c r="B824" s="820"/>
      <c r="C824" s="256"/>
      <c r="D824" s="30"/>
      <c r="E824" s="30"/>
      <c r="F824" s="30"/>
      <c r="G824" s="30"/>
      <c r="H824" s="30"/>
      <c r="I824" s="30"/>
      <c r="J824" s="30"/>
      <c r="K824" s="30"/>
      <c r="L824" s="30"/>
      <c r="M824" s="30"/>
      <c r="N824" s="30"/>
      <c r="O824" s="839"/>
      <c r="P824" s="828"/>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row>
    <row r="825" spans="1:49" s="712" customFormat="1" ht="15.75" hidden="1" customHeight="1" outlineLevel="1" x14ac:dyDescent="0.2">
      <c r="A825" s="820"/>
      <c r="B825" s="820"/>
      <c r="C825" s="847"/>
      <c r="D825" s="484" t="str">
        <f>FleetTypeL &amp;" Sheetmetal &amp; Composite Structures (SMCS)"</f>
        <v>A380-800 Sheetmetal &amp; Composite Structures (SMCS)</v>
      </c>
      <c r="E825" s="840"/>
      <c r="F825" s="840"/>
      <c r="G825" s="840"/>
      <c r="H825" s="840"/>
      <c r="I825" s="840"/>
      <c r="J825" s="840"/>
      <c r="K825" s="840"/>
      <c r="L825" s="840"/>
      <c r="M825" s="840"/>
      <c r="N825" s="840"/>
      <c r="O825" s="835"/>
      <c r="P825" s="828"/>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row>
    <row r="826" spans="1:49" s="712" customFormat="1" ht="12.75" hidden="1" outlineLevel="1" x14ac:dyDescent="0.2">
      <c r="A826" s="820"/>
      <c r="B826" s="820"/>
      <c r="C826" s="256"/>
      <c r="D826" s="233" t="str">
        <f>FleetTypeL&amp;" SMCS Per AIRCRAFT Records Generated pa"</f>
        <v>A380-800 SMCS Per AIRCRAFT Records Generated pa</v>
      </c>
      <c r="E826" s="596">
        <v>15001</v>
      </c>
      <c r="F826" s="596">
        <v>15002</v>
      </c>
      <c r="G826" s="596">
        <v>15003</v>
      </c>
      <c r="H826" s="596">
        <v>15004</v>
      </c>
      <c r="I826" s="596">
        <v>15005</v>
      </c>
      <c r="J826" s="596">
        <v>15006</v>
      </c>
      <c r="K826" s="596">
        <v>15007</v>
      </c>
      <c r="L826" s="596">
        <v>15008</v>
      </c>
      <c r="M826" s="596">
        <v>15009</v>
      </c>
      <c r="N826" s="596">
        <v>15010</v>
      </c>
      <c r="O826" s="835"/>
      <c r="P826" s="828"/>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row>
    <row r="827" spans="1:49" s="712" customFormat="1" ht="15.75" hidden="1" customHeight="1" outlineLevel="1" x14ac:dyDescent="0.2">
      <c r="A827" s="820"/>
      <c r="B827" s="820"/>
      <c r="C827" s="256"/>
      <c r="D827" s="501" t="str">
        <f>"Total "&amp;FleetTypeL&amp;" FLEET SMCS Records Generated pa"</f>
        <v>Total A380-800 FLEET SMCS Records Generated pa</v>
      </c>
      <c r="E827" s="505">
        <f t="shared" ref="E827:N827" si="178">E826*FleetSize_L</f>
        <v>75005</v>
      </c>
      <c r="F827" s="505">
        <f t="shared" si="178"/>
        <v>75010</v>
      </c>
      <c r="G827" s="505">
        <f t="shared" si="178"/>
        <v>75015</v>
      </c>
      <c r="H827" s="505">
        <f t="shared" si="178"/>
        <v>75020</v>
      </c>
      <c r="I827" s="505">
        <f t="shared" si="178"/>
        <v>75025</v>
      </c>
      <c r="J827" s="505">
        <f t="shared" si="178"/>
        <v>75030</v>
      </c>
      <c r="K827" s="505">
        <f t="shared" si="178"/>
        <v>75035</v>
      </c>
      <c r="L827" s="505">
        <f t="shared" si="178"/>
        <v>75040</v>
      </c>
      <c r="M827" s="505">
        <f t="shared" si="178"/>
        <v>75045</v>
      </c>
      <c r="N827" s="505">
        <f t="shared" si="178"/>
        <v>75050</v>
      </c>
      <c r="O827" s="285" t="s">
        <v>621</v>
      </c>
      <c r="P827" s="828"/>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row>
    <row r="828" spans="1:49" s="712" customFormat="1" ht="12.75" hidden="1" outlineLevel="1" x14ac:dyDescent="0.2">
      <c r="A828" s="820"/>
      <c r="B828" s="820"/>
      <c r="C828" s="256"/>
      <c r="D828" s="30"/>
      <c r="E828" s="30"/>
      <c r="F828" s="30"/>
      <c r="G828" s="30"/>
      <c r="H828" s="30"/>
      <c r="I828" s="30"/>
      <c r="J828" s="30"/>
      <c r="K828" s="30"/>
      <c r="L828" s="30"/>
      <c r="M828" s="30"/>
      <c r="N828" s="30"/>
      <c r="O828" s="839"/>
      <c r="P828" s="828"/>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row>
    <row r="829" spans="1:49" s="712" customFormat="1" ht="12.75" hidden="1" outlineLevel="1" x14ac:dyDescent="0.2">
      <c r="A829" s="820"/>
      <c r="B829" s="820"/>
      <c r="C829" s="847"/>
      <c r="D829" s="484" t="str">
        <f>FleetTypeL &amp;" Other 1 (O1)"</f>
        <v>A380-800 Other 1 (O1)</v>
      </c>
      <c r="E829" s="840"/>
      <c r="F829" s="840"/>
      <c r="G829" s="840"/>
      <c r="H829" s="840"/>
      <c r="I829" s="840"/>
      <c r="J829" s="840"/>
      <c r="K829" s="840"/>
      <c r="L829" s="840"/>
      <c r="M829" s="840"/>
      <c r="N829" s="840"/>
      <c r="O829" s="835"/>
      <c r="P829" s="828"/>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row>
    <row r="830" spans="1:49" s="712" customFormat="1" ht="12.75" hidden="1" outlineLevel="1" x14ac:dyDescent="0.2">
      <c r="A830" s="820"/>
      <c r="B830" s="820"/>
      <c r="C830" s="256"/>
      <c r="D830" s="233" t="str">
        <f>FleetTypeL&amp;" O1 Per AIRCRAFT Records Generated pa"</f>
        <v>A380-800 O1 Per AIRCRAFT Records Generated pa</v>
      </c>
      <c r="E830" s="596">
        <v>15001</v>
      </c>
      <c r="F830" s="596">
        <v>15002</v>
      </c>
      <c r="G830" s="596">
        <v>15003</v>
      </c>
      <c r="H830" s="596">
        <v>15004</v>
      </c>
      <c r="I830" s="596">
        <v>15005</v>
      </c>
      <c r="J830" s="596">
        <v>15006</v>
      </c>
      <c r="K830" s="596">
        <v>15007</v>
      </c>
      <c r="L830" s="596">
        <v>15008</v>
      </c>
      <c r="M830" s="596">
        <v>15009</v>
      </c>
      <c r="N830" s="596">
        <v>15010</v>
      </c>
      <c r="O830" s="835"/>
      <c r="P830" s="828"/>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row>
    <row r="831" spans="1:49" s="712" customFormat="1" ht="15.75" hidden="1" customHeight="1" outlineLevel="1" x14ac:dyDescent="0.2">
      <c r="A831" s="820"/>
      <c r="B831" s="820"/>
      <c r="C831" s="256"/>
      <c r="D831" s="501" t="str">
        <f>"Total "&amp;FleetTypeL&amp;" FLEET O1 Records Generated pa"</f>
        <v>Total A380-800 FLEET O1 Records Generated pa</v>
      </c>
      <c r="E831" s="505">
        <f t="shared" ref="E831:N831" si="179">E830*FleetSize_L</f>
        <v>75005</v>
      </c>
      <c r="F831" s="505">
        <f t="shared" si="179"/>
        <v>75010</v>
      </c>
      <c r="G831" s="505">
        <f t="shared" si="179"/>
        <v>75015</v>
      </c>
      <c r="H831" s="505">
        <f t="shared" si="179"/>
        <v>75020</v>
      </c>
      <c r="I831" s="505">
        <f t="shared" si="179"/>
        <v>75025</v>
      </c>
      <c r="J831" s="505">
        <f t="shared" si="179"/>
        <v>75030</v>
      </c>
      <c r="K831" s="505">
        <f t="shared" si="179"/>
        <v>75035</v>
      </c>
      <c r="L831" s="505">
        <f t="shared" si="179"/>
        <v>75040</v>
      </c>
      <c r="M831" s="505">
        <f t="shared" si="179"/>
        <v>75045</v>
      </c>
      <c r="N831" s="505">
        <f t="shared" si="179"/>
        <v>75050</v>
      </c>
      <c r="O831" s="285" t="s">
        <v>622</v>
      </c>
      <c r="P831" s="828"/>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row>
    <row r="832" spans="1:49" s="712" customFormat="1" ht="12.75" hidden="1" outlineLevel="1" x14ac:dyDescent="0.2">
      <c r="A832" s="820"/>
      <c r="B832" s="820"/>
      <c r="C832" s="256"/>
      <c r="D832" s="30"/>
      <c r="E832" s="30"/>
      <c r="F832" s="30"/>
      <c r="G832" s="30"/>
      <c r="H832" s="30"/>
      <c r="I832" s="30"/>
      <c r="J832" s="30"/>
      <c r="K832" s="30"/>
      <c r="L832" s="30"/>
      <c r="M832" s="30"/>
      <c r="N832" s="30"/>
      <c r="O832" s="839"/>
      <c r="P832" s="828"/>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row>
    <row r="833" spans="1:49" s="712" customFormat="1" ht="12.75" hidden="1" outlineLevel="1" x14ac:dyDescent="0.2">
      <c r="A833" s="820"/>
      <c r="B833" s="820"/>
      <c r="C833" s="847"/>
      <c r="D833" s="484" t="str">
        <f>FleetTypeL &amp;" Other 2 (O2)"</f>
        <v>A380-800 Other 2 (O2)</v>
      </c>
      <c r="E833" s="840"/>
      <c r="F833" s="840"/>
      <c r="G833" s="840"/>
      <c r="H833" s="840"/>
      <c r="I833" s="840"/>
      <c r="J833" s="840"/>
      <c r="K833" s="840"/>
      <c r="L833" s="840"/>
      <c r="M833" s="840"/>
      <c r="N833" s="840"/>
      <c r="O833" s="835"/>
      <c r="P833" s="828"/>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row>
    <row r="834" spans="1:49" s="712" customFormat="1" ht="12.75" hidden="1" outlineLevel="1" x14ac:dyDescent="0.2">
      <c r="A834" s="820"/>
      <c r="B834" s="820"/>
      <c r="C834" s="256"/>
      <c r="D834" s="233" t="str">
        <f>FleetTypeL&amp;" O2 Per AIRCRAFT Records Generated pa"</f>
        <v>A380-800 O2 Per AIRCRAFT Records Generated pa</v>
      </c>
      <c r="E834" s="596">
        <v>15001</v>
      </c>
      <c r="F834" s="596">
        <v>15002</v>
      </c>
      <c r="G834" s="596">
        <v>15003</v>
      </c>
      <c r="H834" s="596">
        <v>15004</v>
      </c>
      <c r="I834" s="596">
        <v>15005</v>
      </c>
      <c r="J834" s="596">
        <v>15006</v>
      </c>
      <c r="K834" s="596">
        <v>15007</v>
      </c>
      <c r="L834" s="596">
        <v>15008</v>
      </c>
      <c r="M834" s="596">
        <v>15009</v>
      </c>
      <c r="N834" s="596">
        <v>15010</v>
      </c>
      <c r="O834" s="835"/>
      <c r="P834" s="828"/>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row>
    <row r="835" spans="1:49" s="712" customFormat="1" ht="15.75" hidden="1" customHeight="1" outlineLevel="1" x14ac:dyDescent="0.2">
      <c r="A835" s="820"/>
      <c r="B835" s="820"/>
      <c r="C835" s="256"/>
      <c r="D835" s="501" t="str">
        <f>"Total "&amp;FleetTypeL&amp;" FLEET O2 Records Generated pa"</f>
        <v>Total A380-800 FLEET O2 Records Generated pa</v>
      </c>
      <c r="E835" s="505">
        <f t="shared" ref="E835:N835" si="180">E834*FleetSize_L</f>
        <v>75005</v>
      </c>
      <c r="F835" s="505">
        <f t="shared" si="180"/>
        <v>75010</v>
      </c>
      <c r="G835" s="505">
        <f t="shared" si="180"/>
        <v>75015</v>
      </c>
      <c r="H835" s="505">
        <f t="shared" si="180"/>
        <v>75020</v>
      </c>
      <c r="I835" s="505">
        <f t="shared" si="180"/>
        <v>75025</v>
      </c>
      <c r="J835" s="505">
        <f t="shared" si="180"/>
        <v>75030</v>
      </c>
      <c r="K835" s="505">
        <f t="shared" si="180"/>
        <v>75035</v>
      </c>
      <c r="L835" s="505">
        <f t="shared" si="180"/>
        <v>75040</v>
      </c>
      <c r="M835" s="505">
        <f t="shared" si="180"/>
        <v>75045</v>
      </c>
      <c r="N835" s="505">
        <f t="shared" si="180"/>
        <v>75050</v>
      </c>
      <c r="O835" s="285" t="s">
        <v>624</v>
      </c>
      <c r="P835" s="828"/>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row>
    <row r="836" spans="1:49" s="712" customFormat="1" ht="12.75" hidden="1" outlineLevel="1" x14ac:dyDescent="0.2">
      <c r="A836" s="820"/>
      <c r="B836" s="820"/>
      <c r="C836" s="256"/>
      <c r="D836" s="30"/>
      <c r="E836" s="30"/>
      <c r="F836" s="30"/>
      <c r="G836" s="30"/>
      <c r="H836" s="30"/>
      <c r="I836" s="30"/>
      <c r="J836" s="30"/>
      <c r="K836" s="30"/>
      <c r="L836" s="30"/>
      <c r="M836" s="30"/>
      <c r="N836" s="30"/>
      <c r="O836" s="839"/>
      <c r="P836" s="828"/>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row>
    <row r="837" spans="1:49" s="712" customFormat="1" ht="21.75" hidden="1" customHeight="1" outlineLevel="1" x14ac:dyDescent="0.2">
      <c r="A837" s="820"/>
      <c r="B837" s="820"/>
      <c r="C837" s="848"/>
      <c r="D837" s="849" t="str">
        <f>"Grand Total ("&amp;(FleetTypeL)&amp;") "&amp;"Records Generated pa"</f>
        <v>Grand Total (A380-800) Records Generated pa</v>
      </c>
      <c r="E837" s="714">
        <f t="shared" ref="E837:N837" si="181">SUM(RecordsHMFleetTotalpa_L+RecordsLMFleetTotalpa_L+RecordsEngFleetTotalpa_L+RecordsPlgFleetTotalpa_L+RecordsCRTFleetTotalpa_L+RecordsSCLFleetTotalpa_L+RecordsQSCFleetTotalpa_L+RecordsEMFleetTotalpa_L+RecordsCMFleetTotalpa_L+RecordsSMCSFleetTotalpa_L+RecordsO1FleetTotalpa_L+RecordsO2FleetTotalpa_L)</f>
        <v>739805</v>
      </c>
      <c r="F837" s="714">
        <f t="shared" si="181"/>
        <v>738967.14285714284</v>
      </c>
      <c r="G837" s="714">
        <f t="shared" si="181"/>
        <v>738352.5</v>
      </c>
      <c r="H837" s="714">
        <f t="shared" si="181"/>
        <v>740077.14285714284</v>
      </c>
      <c r="I837" s="714">
        <f t="shared" si="181"/>
        <v>740632.14285714284</v>
      </c>
      <c r="J837" s="714">
        <f t="shared" si="181"/>
        <v>741187.14285714284</v>
      </c>
      <c r="K837" s="714">
        <f t="shared" si="181"/>
        <v>741742.14285714284</v>
      </c>
      <c r="L837" s="714">
        <f t="shared" si="181"/>
        <v>742297.14285714284</v>
      </c>
      <c r="M837" s="714">
        <f t="shared" si="181"/>
        <v>742852.14285714284</v>
      </c>
      <c r="N837" s="714">
        <f t="shared" si="181"/>
        <v>743407.14285714284</v>
      </c>
      <c r="O837" s="285" t="s">
        <v>625</v>
      </c>
      <c r="P837" s="828"/>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row>
    <row r="838" spans="1:49" s="193" customFormat="1" ht="12.75" hidden="1" outlineLevel="1" x14ac:dyDescent="0.2">
      <c r="A838" s="820"/>
      <c r="B838" s="833"/>
      <c r="C838" s="837"/>
      <c r="D838" s="30"/>
      <c r="E838" s="833"/>
      <c r="F838" s="833"/>
      <c r="G838" s="833"/>
      <c r="H838" s="833"/>
      <c r="I838" s="833"/>
      <c r="J838" s="833"/>
      <c r="K838" s="833"/>
      <c r="L838" s="833"/>
      <c r="M838" s="833"/>
      <c r="N838" s="833"/>
      <c r="O838" s="861"/>
      <c r="P838" s="828"/>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row>
    <row r="839" spans="1:49" s="193" customFormat="1" ht="13.5" hidden="1" outlineLevel="1" thickBot="1" x14ac:dyDescent="0.25">
      <c r="A839" s="820"/>
      <c r="B839" s="833"/>
      <c r="C839" s="858"/>
      <c r="D839" s="529"/>
      <c r="E839" s="859"/>
      <c r="F839" s="859"/>
      <c r="G839" s="859"/>
      <c r="H839" s="859"/>
      <c r="I839" s="859"/>
      <c r="J839" s="859"/>
      <c r="K839" s="859"/>
      <c r="L839" s="859"/>
      <c r="M839" s="859"/>
      <c r="N839" s="859"/>
      <c r="O839" s="860"/>
      <c r="P839" s="828"/>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row>
    <row r="840" spans="1:49" s="193" customFormat="1" ht="12.75" hidden="1" outlineLevel="1" x14ac:dyDescent="0.2">
      <c r="A840" s="820"/>
      <c r="B840" s="833"/>
      <c r="C840" s="833"/>
      <c r="D840" s="30"/>
      <c r="E840" s="833"/>
      <c r="F840" s="833"/>
      <c r="G840" s="833"/>
      <c r="H840" s="833"/>
      <c r="I840" s="833"/>
      <c r="J840" s="833"/>
      <c r="K840" s="833"/>
      <c r="L840" s="833"/>
      <c r="M840" s="833"/>
      <c r="N840" s="833"/>
      <c r="O840" s="833"/>
      <c r="P840" s="828"/>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row>
    <row r="841" spans="1:49" s="122" customFormat="1" ht="15.75" collapsed="1" x14ac:dyDescent="0.2">
      <c r="A841" s="1043">
        <v>14</v>
      </c>
      <c r="B841" s="1039"/>
      <c r="C841" s="1039"/>
      <c r="D841" s="1039"/>
      <c r="E841" s="1039"/>
      <c r="F841" s="1039"/>
      <c r="G841" s="1039"/>
      <c r="H841" s="1039"/>
      <c r="I841" s="1039"/>
      <c r="J841" s="1039"/>
      <c r="K841" s="1039"/>
      <c r="L841" s="1039"/>
      <c r="M841" s="1039"/>
      <c r="N841" s="1039"/>
      <c r="O841" s="1039"/>
      <c r="P841" s="206"/>
      <c r="Q841" s="206"/>
      <c r="R841" s="206"/>
      <c r="S841" s="206"/>
      <c r="T841" s="206"/>
      <c r="U841" s="206"/>
      <c r="V841" s="206"/>
      <c r="W841" s="206"/>
      <c r="X841" s="206"/>
      <c r="Y841" s="206"/>
      <c r="Z841" s="206"/>
      <c r="AA841" s="206"/>
      <c r="AB841" s="206"/>
      <c r="AC841" s="206"/>
      <c r="AD841" s="206"/>
      <c r="AE841" s="206"/>
      <c r="AF841" s="206"/>
      <c r="AG841" s="206"/>
      <c r="AH841" s="206"/>
      <c r="AI841" s="206"/>
      <c r="AJ841" s="206"/>
      <c r="AK841" s="206"/>
      <c r="AL841" s="206"/>
      <c r="AM841" s="206"/>
      <c r="AN841" s="206"/>
      <c r="AO841" s="206"/>
      <c r="AP841" s="206"/>
      <c r="AQ841" s="206"/>
      <c r="AR841" s="206"/>
      <c r="AS841" s="206"/>
      <c r="AT841" s="206"/>
      <c r="AU841" s="206"/>
      <c r="AV841" s="206"/>
      <c r="AW841" s="206"/>
    </row>
    <row r="842" spans="1:49" s="712" customFormat="1" ht="13.5" thickBot="1" x14ac:dyDescent="0.25">
      <c r="A842" s="820"/>
      <c r="B842" s="180"/>
      <c r="C842" s="852"/>
      <c r="D842" s="820"/>
      <c r="E842" s="840"/>
      <c r="F842" s="840"/>
      <c r="G842" s="840"/>
      <c r="H842" s="840"/>
      <c r="I842" s="840"/>
      <c r="J842" s="840"/>
      <c r="K842" s="840"/>
      <c r="L842" s="840"/>
      <c r="M842" s="840"/>
      <c r="N842" s="840"/>
      <c r="O842" s="828"/>
      <c r="P842" s="828"/>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row>
    <row r="843" spans="1:49" s="712" customFormat="1" ht="31.5" x14ac:dyDescent="0.2">
      <c r="A843" s="1342" t="str">
        <f>"Purpose - To calculate Total Records generated by 'FleetTypeM'          " &amp; (FleetTypeM)</f>
        <v>Purpose - To calculate Total Records generated by 'FleetTypeM'          A220</v>
      </c>
      <c r="B843" s="180"/>
      <c r="C843" s="1343" t="str">
        <f>FleetTypeM &amp;" (FleetTypeM) Records
Generated pa"</f>
        <v>A220 (FleetTypeM) Records
Generated pa</v>
      </c>
      <c r="D843" s="853"/>
      <c r="E843" s="853"/>
      <c r="F843" s="853"/>
      <c r="G843" s="853"/>
      <c r="H843" s="853"/>
      <c r="I843" s="853"/>
      <c r="J843" s="853"/>
      <c r="K843" s="853"/>
      <c r="L843" s="853"/>
      <c r="M843" s="853"/>
      <c r="N843" s="853"/>
      <c r="O843" s="854"/>
      <c r="P843" s="828"/>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row>
    <row r="844" spans="1:49" s="193" customFormat="1" ht="12.75" x14ac:dyDescent="0.2">
      <c r="A844" s="820"/>
      <c r="B844" s="833"/>
      <c r="C844" s="833"/>
      <c r="D844" s="30"/>
      <c r="E844" s="833"/>
      <c r="F844" s="833"/>
      <c r="G844" s="833"/>
      <c r="H844" s="833"/>
      <c r="I844" s="833"/>
      <c r="J844" s="833"/>
      <c r="K844" s="833"/>
      <c r="L844" s="833"/>
      <c r="M844" s="833"/>
      <c r="N844" s="833"/>
      <c r="O844" s="833"/>
      <c r="P844" s="828"/>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row>
    <row r="845" spans="1:49" s="193" customFormat="1" ht="13.5" hidden="1" outlineLevel="1" collapsed="1" thickBot="1" x14ac:dyDescent="0.25">
      <c r="A845" s="820"/>
      <c r="B845" s="820"/>
      <c r="C845" s="820"/>
      <c r="D845" s="278"/>
      <c r="E845" s="278"/>
      <c r="F845" s="278"/>
      <c r="G845" s="278"/>
      <c r="H845" s="278"/>
      <c r="I845" s="278"/>
      <c r="J845" s="278"/>
      <c r="K845" s="278"/>
      <c r="L845" s="278"/>
      <c r="M845" s="278"/>
      <c r="N845" s="278"/>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row>
    <row r="846" spans="1:49" s="712" customFormat="1" ht="20.100000000000001" hidden="1" customHeight="1" outlineLevel="1" x14ac:dyDescent="0.2">
      <c r="A846" s="820"/>
      <c r="B846" s="180"/>
      <c r="C846" s="1344"/>
      <c r="D846" s="853"/>
      <c r="E846" s="853"/>
      <c r="F846" s="853"/>
      <c r="G846" s="853"/>
      <c r="H846" s="853"/>
      <c r="I846" s="853"/>
      <c r="J846" s="853"/>
      <c r="K846" s="853"/>
      <c r="L846" s="853"/>
      <c r="M846" s="853"/>
      <c r="N846" s="853"/>
      <c r="O846" s="854"/>
      <c r="P846" s="828"/>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row>
    <row r="847" spans="1:49" s="193" customFormat="1" ht="20.25" hidden="1" customHeight="1" outlineLevel="1" x14ac:dyDescent="0.2">
      <c r="A847" s="820"/>
      <c r="B847" s="180"/>
      <c r="C847" s="256"/>
      <c r="D847" s="484" t="str">
        <f>FleetTypeM &amp;" Heavy Maintenance (HM)"</f>
        <v>A220 Heavy Maintenance (HM)</v>
      </c>
      <c r="E847" s="820"/>
      <c r="F847" s="39"/>
      <c r="G847" s="822"/>
      <c r="H847" s="822"/>
      <c r="I847" s="822"/>
      <c r="J847" s="822"/>
      <c r="K847" s="822"/>
      <c r="L847" s="822"/>
      <c r="M847" s="822"/>
      <c r="N847" s="822"/>
      <c r="O847" s="829"/>
      <c r="P847" s="828"/>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row>
    <row r="848" spans="1:49" s="193" customFormat="1" ht="15" hidden="1" customHeight="1" outlineLevel="1" x14ac:dyDescent="0.2">
      <c r="A848" s="820"/>
      <c r="B848" s="830"/>
      <c r="C848" s="831"/>
      <c r="D848" s="501" t="str">
        <f>FleetTypeM&amp;" HM Cycle (Years)"</f>
        <v>A220 HM Cycle (Years)</v>
      </c>
      <c r="E848" s="855">
        <v>12</v>
      </c>
      <c r="F848" s="855">
        <v>14</v>
      </c>
      <c r="G848" s="855">
        <v>16</v>
      </c>
      <c r="H848" s="855">
        <v>14</v>
      </c>
      <c r="I848" s="855">
        <v>14</v>
      </c>
      <c r="J848" s="855">
        <v>14</v>
      </c>
      <c r="K848" s="855">
        <v>14</v>
      </c>
      <c r="L848" s="855">
        <v>14</v>
      </c>
      <c r="M848" s="855">
        <v>14</v>
      </c>
      <c r="N848" s="855">
        <v>14</v>
      </c>
      <c r="O848" s="257" t="s">
        <v>626</v>
      </c>
      <c r="P848" s="828"/>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row>
    <row r="849" spans="1:49" s="193" customFormat="1" ht="12.95" hidden="1" customHeight="1" outlineLevel="1" x14ac:dyDescent="0.2">
      <c r="A849" s="820"/>
      <c r="B849" s="833"/>
      <c r="C849" s="834"/>
      <c r="D849" s="820"/>
      <c r="E849" s="833"/>
      <c r="F849" s="833"/>
      <c r="G849" s="833"/>
      <c r="H849" s="833"/>
      <c r="I849" s="833"/>
      <c r="J849" s="833"/>
      <c r="K849" s="833"/>
      <c r="L849" s="833"/>
      <c r="M849" s="833"/>
      <c r="N849" s="833"/>
      <c r="O849" s="835"/>
      <c r="P849" s="828"/>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row>
    <row r="850" spans="1:49" s="193" customFormat="1" ht="12.75" hidden="1" customHeight="1" outlineLevel="1" x14ac:dyDescent="0.2">
      <c r="A850" s="820"/>
      <c r="B850" s="30"/>
      <c r="C850" s="256"/>
      <c r="D850" s="57" t="s">
        <v>256</v>
      </c>
      <c r="E850" s="856">
        <v>1100</v>
      </c>
      <c r="F850" s="856">
        <v>1200</v>
      </c>
      <c r="G850" s="856">
        <v>1300</v>
      </c>
      <c r="H850" s="856">
        <v>1400</v>
      </c>
      <c r="I850" s="856">
        <v>1500</v>
      </c>
      <c r="J850" s="856">
        <v>1600</v>
      </c>
      <c r="K850" s="856">
        <v>1700</v>
      </c>
      <c r="L850" s="856">
        <v>1800</v>
      </c>
      <c r="M850" s="856">
        <v>1900</v>
      </c>
      <c r="N850" s="856">
        <v>2000</v>
      </c>
      <c r="O850" s="835"/>
      <c r="P850" s="828"/>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row>
    <row r="851" spans="1:49" s="193" customFormat="1" ht="12.95" hidden="1" customHeight="1" outlineLevel="1" x14ac:dyDescent="0.2">
      <c r="A851" s="820"/>
      <c r="B851" s="833"/>
      <c r="C851" s="837"/>
      <c r="D851" s="57" t="s">
        <v>257</v>
      </c>
      <c r="E851" s="857">
        <v>2100</v>
      </c>
      <c r="F851" s="857">
        <v>2200</v>
      </c>
      <c r="G851" s="857">
        <v>2300</v>
      </c>
      <c r="H851" s="857">
        <v>2400</v>
      </c>
      <c r="I851" s="857">
        <v>2500</v>
      </c>
      <c r="J851" s="857">
        <v>2600</v>
      </c>
      <c r="K851" s="857">
        <v>2700</v>
      </c>
      <c r="L851" s="857">
        <v>2800</v>
      </c>
      <c r="M851" s="857">
        <v>2900</v>
      </c>
      <c r="N851" s="857">
        <v>3000</v>
      </c>
      <c r="O851" s="835"/>
      <c r="P851" s="828"/>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row>
    <row r="852" spans="1:49" s="193" customFormat="1" ht="12.95" hidden="1" customHeight="1" outlineLevel="1" x14ac:dyDescent="0.2">
      <c r="A852" s="820"/>
      <c r="B852" s="833"/>
      <c r="C852" s="837"/>
      <c r="D852" s="57" t="s">
        <v>258</v>
      </c>
      <c r="E852" s="857" t="s">
        <v>20</v>
      </c>
      <c r="F852" s="857" t="s">
        <v>20</v>
      </c>
      <c r="G852" s="857" t="s">
        <v>20</v>
      </c>
      <c r="H852" s="857" t="s">
        <v>20</v>
      </c>
      <c r="I852" s="857" t="s">
        <v>20</v>
      </c>
      <c r="J852" s="857" t="s">
        <v>20</v>
      </c>
      <c r="K852" s="857" t="s">
        <v>20</v>
      </c>
      <c r="L852" s="857" t="s">
        <v>20</v>
      </c>
      <c r="M852" s="857" t="s">
        <v>20</v>
      </c>
      <c r="N852" s="857" t="s">
        <v>20</v>
      </c>
      <c r="O852" s="835"/>
      <c r="P852" s="828"/>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row>
    <row r="853" spans="1:49" s="193" customFormat="1" ht="12.95" hidden="1" customHeight="1" outlineLevel="1" x14ac:dyDescent="0.2">
      <c r="A853" s="820"/>
      <c r="B853" s="833"/>
      <c r="C853" s="837"/>
      <c r="D853" s="57" t="s">
        <v>259</v>
      </c>
      <c r="E853" s="857">
        <v>4100</v>
      </c>
      <c r="F853" s="857">
        <v>4200</v>
      </c>
      <c r="G853" s="857">
        <v>4300</v>
      </c>
      <c r="H853" s="857">
        <v>4400</v>
      </c>
      <c r="I853" s="857">
        <v>4500</v>
      </c>
      <c r="J853" s="857">
        <v>4600</v>
      </c>
      <c r="K853" s="857">
        <v>4700</v>
      </c>
      <c r="L853" s="857">
        <v>4800</v>
      </c>
      <c r="M853" s="857">
        <v>4900</v>
      </c>
      <c r="N853" s="857">
        <v>5000</v>
      </c>
      <c r="O853" s="835"/>
      <c r="P853" s="828"/>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row>
    <row r="854" spans="1:49" s="193" customFormat="1" ht="12.95" hidden="1" customHeight="1" outlineLevel="1" x14ac:dyDescent="0.2">
      <c r="A854" s="820"/>
      <c r="B854" s="833"/>
      <c r="C854" s="837"/>
      <c r="D854" s="57" t="s">
        <v>260</v>
      </c>
      <c r="E854" s="857" t="s">
        <v>20</v>
      </c>
      <c r="F854" s="857" t="s">
        <v>20</v>
      </c>
      <c r="G854" s="857" t="s">
        <v>20</v>
      </c>
      <c r="H854" s="857" t="s">
        <v>20</v>
      </c>
      <c r="I854" s="857" t="s">
        <v>20</v>
      </c>
      <c r="J854" s="857" t="s">
        <v>20</v>
      </c>
      <c r="K854" s="857" t="s">
        <v>20</v>
      </c>
      <c r="L854" s="857" t="s">
        <v>20</v>
      </c>
      <c r="M854" s="857" t="s">
        <v>20</v>
      </c>
      <c r="N854" s="857" t="s">
        <v>20</v>
      </c>
      <c r="O854" s="835"/>
      <c r="P854" s="828"/>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row>
    <row r="855" spans="1:49" s="193" customFormat="1" ht="12.95" hidden="1" customHeight="1" outlineLevel="1" x14ac:dyDescent="0.2">
      <c r="A855" s="820"/>
      <c r="B855" s="833"/>
      <c r="C855" s="837"/>
      <c r="D855" s="57" t="s">
        <v>261</v>
      </c>
      <c r="E855" s="857">
        <v>7100</v>
      </c>
      <c r="F855" s="857">
        <v>7200</v>
      </c>
      <c r="G855" s="857">
        <v>7300</v>
      </c>
      <c r="H855" s="857">
        <v>7400</v>
      </c>
      <c r="I855" s="857">
        <v>7500</v>
      </c>
      <c r="J855" s="857">
        <v>7600</v>
      </c>
      <c r="K855" s="857">
        <v>7700</v>
      </c>
      <c r="L855" s="857">
        <v>7800</v>
      </c>
      <c r="M855" s="857">
        <v>7900</v>
      </c>
      <c r="N855" s="857">
        <v>8000</v>
      </c>
      <c r="O855" s="835"/>
      <c r="P855" s="828"/>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row>
    <row r="856" spans="1:49" s="193" customFormat="1" ht="12.95" hidden="1" customHeight="1" outlineLevel="1" x14ac:dyDescent="0.2">
      <c r="A856" s="820"/>
      <c r="B856" s="833"/>
      <c r="C856" s="837"/>
      <c r="D856" s="57" t="s">
        <v>262</v>
      </c>
      <c r="E856" s="857" t="s">
        <v>20</v>
      </c>
      <c r="F856" s="857" t="s">
        <v>20</v>
      </c>
      <c r="G856" s="857" t="s">
        <v>20</v>
      </c>
      <c r="H856" s="857" t="s">
        <v>20</v>
      </c>
      <c r="I856" s="857" t="s">
        <v>20</v>
      </c>
      <c r="J856" s="857" t="s">
        <v>20</v>
      </c>
      <c r="K856" s="857" t="s">
        <v>20</v>
      </c>
      <c r="L856" s="857" t="s">
        <v>20</v>
      </c>
      <c r="M856" s="857" t="s">
        <v>20</v>
      </c>
      <c r="N856" s="857" t="s">
        <v>20</v>
      </c>
      <c r="O856" s="835"/>
      <c r="P856" s="828"/>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row>
    <row r="857" spans="1:49" s="193" customFormat="1" ht="12.95" hidden="1" customHeight="1" outlineLevel="1" x14ac:dyDescent="0.2">
      <c r="A857" s="820"/>
      <c r="B857" s="833"/>
      <c r="C857" s="837"/>
      <c r="D857" s="57" t="s">
        <v>263</v>
      </c>
      <c r="E857" s="857">
        <v>9000</v>
      </c>
      <c r="F857" s="857">
        <v>10000</v>
      </c>
      <c r="G857" s="857">
        <v>11000</v>
      </c>
      <c r="H857" s="857">
        <v>12000</v>
      </c>
      <c r="I857" s="857">
        <v>13000</v>
      </c>
      <c r="J857" s="857">
        <v>14000</v>
      </c>
      <c r="K857" s="857">
        <v>15000</v>
      </c>
      <c r="L857" s="857">
        <v>16000</v>
      </c>
      <c r="M857" s="857">
        <v>17000</v>
      </c>
      <c r="N857" s="857">
        <v>18000</v>
      </c>
      <c r="O857" s="835"/>
      <c r="P857" s="828"/>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row>
    <row r="858" spans="1:49" s="193" customFormat="1" ht="12.95" hidden="1" customHeight="1" outlineLevel="1" x14ac:dyDescent="0.2">
      <c r="A858" s="820"/>
      <c r="B858" s="833"/>
      <c r="C858" s="837"/>
      <c r="D858" s="60" t="s">
        <v>113</v>
      </c>
      <c r="E858" s="502">
        <f t="shared" ref="E858:H858" si="182">SUM(E850:E857)</f>
        <v>23400</v>
      </c>
      <c r="F858" s="502">
        <f t="shared" si="182"/>
        <v>24800</v>
      </c>
      <c r="G858" s="502">
        <f t="shared" si="182"/>
        <v>26200</v>
      </c>
      <c r="H858" s="502">
        <f t="shared" si="182"/>
        <v>27600</v>
      </c>
      <c r="I858" s="502">
        <f t="shared" ref="I858:N858" si="183">SUM(I850:I857)</f>
        <v>29000</v>
      </c>
      <c r="J858" s="502">
        <f t="shared" si="183"/>
        <v>30400</v>
      </c>
      <c r="K858" s="502">
        <f t="shared" si="183"/>
        <v>31800</v>
      </c>
      <c r="L858" s="502">
        <f t="shared" si="183"/>
        <v>33200</v>
      </c>
      <c r="M858" s="502">
        <f t="shared" si="183"/>
        <v>34600</v>
      </c>
      <c r="N858" s="502">
        <f t="shared" si="183"/>
        <v>36000</v>
      </c>
      <c r="O858" s="285" t="s">
        <v>636</v>
      </c>
      <c r="P858" s="828"/>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row>
    <row r="859" spans="1:49" s="193" customFormat="1" ht="12.75" hidden="1" outlineLevel="1" x14ac:dyDescent="0.2">
      <c r="A859" s="820"/>
      <c r="B859" s="833"/>
      <c r="C859" s="837"/>
      <c r="D859" s="501" t="str">
        <f>"Total "&amp;FleetTypeM&amp;" FLEET HM Records Generated pa"</f>
        <v>Total A220 FLEET HM Records Generated pa</v>
      </c>
      <c r="E859" s="503">
        <f t="shared" ref="E859:N859" si="184">E858/FleetCycleHvy_M*FleetSize_M</f>
        <v>11700</v>
      </c>
      <c r="F859" s="503">
        <f t="shared" si="184"/>
        <v>10628.571428571428</v>
      </c>
      <c r="G859" s="503">
        <f t="shared" si="184"/>
        <v>9825</v>
      </c>
      <c r="H859" s="503">
        <f t="shared" si="184"/>
        <v>11828.571428571428</v>
      </c>
      <c r="I859" s="503">
        <f t="shared" si="184"/>
        <v>12428.571428571429</v>
      </c>
      <c r="J859" s="503">
        <f t="shared" si="184"/>
        <v>13028.571428571429</v>
      </c>
      <c r="K859" s="503">
        <f t="shared" si="184"/>
        <v>13628.571428571429</v>
      </c>
      <c r="L859" s="503">
        <f t="shared" si="184"/>
        <v>14228.571428571429</v>
      </c>
      <c r="M859" s="503">
        <f t="shared" si="184"/>
        <v>14828.571428571429</v>
      </c>
      <c r="N859" s="503">
        <f t="shared" si="184"/>
        <v>15428.571428571429</v>
      </c>
      <c r="O859" s="285" t="s">
        <v>627</v>
      </c>
      <c r="P859" s="828"/>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row>
    <row r="860" spans="1:49" s="712" customFormat="1" ht="12.75" hidden="1" outlineLevel="1" x14ac:dyDescent="0.2">
      <c r="A860" s="820"/>
      <c r="B860" s="820"/>
      <c r="C860" s="837"/>
      <c r="D860" s="30"/>
      <c r="E860" s="30"/>
      <c r="F860" s="30"/>
      <c r="G860" s="30"/>
      <c r="H860" s="30"/>
      <c r="I860" s="30"/>
      <c r="J860" s="30"/>
      <c r="K860" s="30"/>
      <c r="L860" s="30"/>
      <c r="M860" s="30"/>
      <c r="N860" s="30"/>
      <c r="O860" s="839"/>
      <c r="P860" s="828"/>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row>
    <row r="861" spans="1:49" s="712" customFormat="1" ht="12.75" hidden="1" outlineLevel="1" x14ac:dyDescent="0.2">
      <c r="A861" s="820"/>
      <c r="B861" s="820"/>
      <c r="C861" s="837"/>
      <c r="D861" s="484" t="str">
        <f>FleetTypeM &amp;" Line Maintenance (LM)"</f>
        <v>A220 Line Maintenance (LM)</v>
      </c>
      <c r="E861" s="840"/>
      <c r="F861" s="840"/>
      <c r="G861" s="840"/>
      <c r="H861" s="840"/>
      <c r="I861" s="840"/>
      <c r="J861" s="840"/>
      <c r="K861" s="840"/>
      <c r="L861" s="840"/>
      <c r="M861" s="840"/>
      <c r="N861" s="840"/>
      <c r="O861" s="839"/>
      <c r="P861" s="828"/>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c r="AT861" s="180"/>
      <c r="AU861" s="180"/>
      <c r="AV861" s="180"/>
      <c r="AW861" s="180"/>
    </row>
    <row r="862" spans="1:49" s="712" customFormat="1" ht="12.75" hidden="1" outlineLevel="1" x14ac:dyDescent="0.2">
      <c r="A862" s="820"/>
      <c r="B862" s="841"/>
      <c r="C862" s="837"/>
      <c r="D862" s="233" t="str">
        <f>FleetTypeM&amp; " LM Per AIRCRAFT Records Generated pa"</f>
        <v>A220 LM Per AIRCRAFT Records Generated pa</v>
      </c>
      <c r="E862" s="596">
        <v>10001</v>
      </c>
      <c r="F862" s="596">
        <v>10002</v>
      </c>
      <c r="G862" s="596">
        <v>10003</v>
      </c>
      <c r="H862" s="596">
        <v>10004</v>
      </c>
      <c r="I862" s="596">
        <v>10005</v>
      </c>
      <c r="J862" s="596">
        <v>10006</v>
      </c>
      <c r="K862" s="596">
        <v>10007</v>
      </c>
      <c r="L862" s="596">
        <v>10008</v>
      </c>
      <c r="M862" s="596">
        <v>10009</v>
      </c>
      <c r="N862" s="596">
        <v>10010</v>
      </c>
      <c r="O862" s="839"/>
      <c r="P862" s="828"/>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c r="AT862" s="180"/>
      <c r="AU862" s="180"/>
      <c r="AV862" s="180"/>
      <c r="AW862" s="180"/>
    </row>
    <row r="863" spans="1:49" s="712" customFormat="1" ht="12.75" hidden="1" outlineLevel="1" x14ac:dyDescent="0.2">
      <c r="A863" s="820"/>
      <c r="B863" s="841"/>
      <c r="C863" s="843"/>
      <c r="D863" s="501" t="str">
        <f>"Total "&amp;FleetTypeM&amp;" FLEET LM Records Generated pa"</f>
        <v>Total A220 FLEET LM Records Generated pa</v>
      </c>
      <c r="E863" s="505">
        <f t="shared" ref="E863:N863" si="185">E862*FleetSize_M</f>
        <v>60006</v>
      </c>
      <c r="F863" s="505">
        <f t="shared" si="185"/>
        <v>60012</v>
      </c>
      <c r="G863" s="505">
        <f t="shared" si="185"/>
        <v>60018</v>
      </c>
      <c r="H863" s="505">
        <f t="shared" si="185"/>
        <v>60024</v>
      </c>
      <c r="I863" s="505">
        <f t="shared" si="185"/>
        <v>60030</v>
      </c>
      <c r="J863" s="505">
        <f t="shared" si="185"/>
        <v>60036</v>
      </c>
      <c r="K863" s="505">
        <f t="shared" si="185"/>
        <v>60042</v>
      </c>
      <c r="L863" s="505">
        <f t="shared" si="185"/>
        <v>60048</v>
      </c>
      <c r="M863" s="505">
        <f t="shared" si="185"/>
        <v>60054</v>
      </c>
      <c r="N863" s="505">
        <f t="shared" si="185"/>
        <v>60060</v>
      </c>
      <c r="O863" s="285" t="s">
        <v>628</v>
      </c>
      <c r="P863" s="828"/>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c r="AT863" s="180"/>
      <c r="AU863" s="180"/>
      <c r="AV863" s="180"/>
      <c r="AW863" s="180"/>
    </row>
    <row r="864" spans="1:49" s="712" customFormat="1" ht="12.75" hidden="1" outlineLevel="1" x14ac:dyDescent="0.2">
      <c r="A864" s="820"/>
      <c r="B864" s="820"/>
      <c r="C864" s="843"/>
      <c r="D864" s="30"/>
      <c r="E864" s="30"/>
      <c r="F864" s="30"/>
      <c r="G864" s="30"/>
      <c r="H864" s="30"/>
      <c r="I864" s="30"/>
      <c r="J864" s="30"/>
      <c r="K864" s="30"/>
      <c r="L864" s="30"/>
      <c r="M864" s="30"/>
      <c r="N864" s="30"/>
      <c r="O864" s="839"/>
      <c r="P864" s="828"/>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c r="AT864" s="180"/>
      <c r="AU864" s="180"/>
      <c r="AV864" s="180"/>
      <c r="AW864" s="180"/>
    </row>
    <row r="865" spans="1:49" s="712" customFormat="1" ht="12.75" hidden="1" outlineLevel="1" x14ac:dyDescent="0.2">
      <c r="A865" s="820"/>
      <c r="B865" s="820"/>
      <c r="C865" s="843"/>
      <c r="D865" s="484" t="str">
        <f>FleetTypeM &amp;" Engineering (Eng)"</f>
        <v>A220 Engineering (Eng)</v>
      </c>
      <c r="E865" s="840"/>
      <c r="F865" s="840"/>
      <c r="G865" s="840"/>
      <c r="H865" s="840"/>
      <c r="I865" s="840"/>
      <c r="J865" s="840"/>
      <c r="K865" s="840"/>
      <c r="L865" s="840"/>
      <c r="M865" s="840"/>
      <c r="N865" s="840"/>
      <c r="O865" s="839"/>
      <c r="P865" s="828"/>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c r="AT865" s="180"/>
      <c r="AU865" s="180"/>
      <c r="AV865" s="180"/>
      <c r="AW865" s="180"/>
    </row>
    <row r="866" spans="1:49" s="712" customFormat="1" ht="12.75" hidden="1" outlineLevel="1" x14ac:dyDescent="0.2">
      <c r="A866" s="820"/>
      <c r="B866" s="820"/>
      <c r="C866" s="843"/>
      <c r="D866" s="233" t="str">
        <f>FleetTypeM&amp;" Eng Per AIRCRAFT Records Generated pa"</f>
        <v>A220 Eng Per AIRCRAFT Records Generated pa</v>
      </c>
      <c r="E866" s="842">
        <v>11001</v>
      </c>
      <c r="F866" s="842">
        <v>11002</v>
      </c>
      <c r="G866" s="842">
        <v>11003</v>
      </c>
      <c r="H866" s="842">
        <v>11004</v>
      </c>
      <c r="I866" s="842">
        <v>11005</v>
      </c>
      <c r="J866" s="842">
        <v>11006</v>
      </c>
      <c r="K866" s="842">
        <v>11007</v>
      </c>
      <c r="L866" s="842">
        <v>11008</v>
      </c>
      <c r="M866" s="842">
        <v>11009</v>
      </c>
      <c r="N866" s="842">
        <v>11010</v>
      </c>
      <c r="O866" s="839"/>
      <c r="P866" s="828"/>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c r="AT866" s="180"/>
      <c r="AU866" s="180"/>
      <c r="AV866" s="180"/>
      <c r="AW866" s="180"/>
    </row>
    <row r="867" spans="1:49" s="712" customFormat="1" ht="15.75" hidden="1" customHeight="1" outlineLevel="1" x14ac:dyDescent="0.2">
      <c r="A867" s="820"/>
      <c r="B867" s="820"/>
      <c r="C867" s="843"/>
      <c r="D867" s="234" t="str">
        <f>"Total "&amp;FleetTypeM&amp;" FLEET Eng Records Generated pa"</f>
        <v>Total A220 FLEET Eng Records Generated pa</v>
      </c>
      <c r="E867" s="231">
        <f t="shared" ref="E867:N867" si="186">E866*FleetSize_M</f>
        <v>66006</v>
      </c>
      <c r="F867" s="231">
        <f t="shared" si="186"/>
        <v>66012</v>
      </c>
      <c r="G867" s="231">
        <f t="shared" si="186"/>
        <v>66018</v>
      </c>
      <c r="H867" s="231">
        <f t="shared" si="186"/>
        <v>66024</v>
      </c>
      <c r="I867" s="231">
        <f t="shared" si="186"/>
        <v>66030</v>
      </c>
      <c r="J867" s="231">
        <f t="shared" si="186"/>
        <v>66036</v>
      </c>
      <c r="K867" s="231">
        <f t="shared" si="186"/>
        <v>66042</v>
      </c>
      <c r="L867" s="231">
        <f t="shared" si="186"/>
        <v>66048</v>
      </c>
      <c r="M867" s="231">
        <f t="shared" si="186"/>
        <v>66054</v>
      </c>
      <c r="N867" s="231">
        <f t="shared" si="186"/>
        <v>66060</v>
      </c>
      <c r="O867" s="285" t="s">
        <v>894</v>
      </c>
      <c r="P867" s="828"/>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c r="AT867" s="180"/>
      <c r="AU867" s="180"/>
      <c r="AV867" s="180"/>
      <c r="AW867" s="180"/>
    </row>
    <row r="868" spans="1:49" s="712" customFormat="1" ht="15.75" hidden="1" customHeight="1" outlineLevel="1" x14ac:dyDescent="0.2">
      <c r="A868" s="820"/>
      <c r="B868" s="820"/>
      <c r="C868" s="843"/>
      <c r="D868" s="844"/>
      <c r="E868" s="845"/>
      <c r="F868" s="845"/>
      <c r="G868" s="845"/>
      <c r="H868" s="845"/>
      <c r="I868" s="845"/>
      <c r="J868" s="845"/>
      <c r="K868" s="845"/>
      <c r="L868" s="845"/>
      <c r="M868" s="845"/>
      <c r="N868" s="845"/>
      <c r="O868" s="285"/>
      <c r="P868" s="828"/>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c r="AT868" s="180"/>
      <c r="AU868" s="180"/>
      <c r="AV868" s="180"/>
      <c r="AW868" s="180"/>
    </row>
    <row r="869" spans="1:49" s="712" customFormat="1" ht="12.75" hidden="1" outlineLevel="1" x14ac:dyDescent="0.2">
      <c r="A869" s="820"/>
      <c r="B869" s="820"/>
      <c r="C869" s="843"/>
      <c r="D869" s="484" t="str">
        <f>FleetTypeM &amp;" Planning (Plg)"</f>
        <v>A220 Planning (Plg)</v>
      </c>
      <c r="E869" s="840"/>
      <c r="F869" s="840"/>
      <c r="G869" s="840"/>
      <c r="H869" s="840"/>
      <c r="I869" s="840"/>
      <c r="J869" s="840"/>
      <c r="K869" s="840"/>
      <c r="L869" s="840"/>
      <c r="M869" s="840"/>
      <c r="N869" s="840"/>
      <c r="O869" s="839"/>
      <c r="P869" s="828"/>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c r="AT869" s="180"/>
      <c r="AU869" s="180"/>
      <c r="AV869" s="180"/>
      <c r="AW869" s="180"/>
    </row>
    <row r="870" spans="1:49" s="712" customFormat="1" ht="12.75" hidden="1" outlineLevel="1" x14ac:dyDescent="0.2">
      <c r="A870" s="820"/>
      <c r="B870" s="820"/>
      <c r="C870" s="843"/>
      <c r="D870" s="233" t="str">
        <f>FleetTypeM&amp;" Plg AIRCRAFT Records Generated pa"</f>
        <v>A220 Plg AIRCRAFT Records Generated pa</v>
      </c>
      <c r="E870" s="842">
        <v>11001</v>
      </c>
      <c r="F870" s="842">
        <v>11002</v>
      </c>
      <c r="G870" s="842">
        <v>11003</v>
      </c>
      <c r="H870" s="842">
        <v>11004</v>
      </c>
      <c r="I870" s="842">
        <v>11005</v>
      </c>
      <c r="J870" s="842">
        <v>11006</v>
      </c>
      <c r="K870" s="842">
        <v>11007</v>
      </c>
      <c r="L870" s="842">
        <v>11008</v>
      </c>
      <c r="M870" s="842">
        <v>11009</v>
      </c>
      <c r="N870" s="842">
        <v>11010</v>
      </c>
      <c r="O870" s="839"/>
      <c r="P870" s="828"/>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c r="AT870" s="180"/>
      <c r="AU870" s="180"/>
      <c r="AV870" s="180"/>
      <c r="AW870" s="180"/>
    </row>
    <row r="871" spans="1:49" s="712" customFormat="1" ht="15.75" hidden="1" customHeight="1" outlineLevel="1" x14ac:dyDescent="0.2">
      <c r="A871" s="820"/>
      <c r="B871" s="820"/>
      <c r="C871" s="843"/>
      <c r="D871" s="234" t="str">
        <f>"Total "&amp;FleetTypeM&amp;" FLEET Plg Records Generated pa"</f>
        <v>Total A220 FLEET Plg Records Generated pa</v>
      </c>
      <c r="E871" s="231">
        <f t="shared" ref="E871:N871" si="187">E870*FleetSize_M</f>
        <v>66006</v>
      </c>
      <c r="F871" s="231">
        <f t="shared" si="187"/>
        <v>66012</v>
      </c>
      <c r="G871" s="231">
        <f t="shared" si="187"/>
        <v>66018</v>
      </c>
      <c r="H871" s="231">
        <f t="shared" si="187"/>
        <v>66024</v>
      </c>
      <c r="I871" s="231">
        <f t="shared" si="187"/>
        <v>66030</v>
      </c>
      <c r="J871" s="231">
        <f t="shared" si="187"/>
        <v>66036</v>
      </c>
      <c r="K871" s="231">
        <f t="shared" si="187"/>
        <v>66042</v>
      </c>
      <c r="L871" s="231">
        <f t="shared" si="187"/>
        <v>66048</v>
      </c>
      <c r="M871" s="231">
        <f t="shared" si="187"/>
        <v>66054</v>
      </c>
      <c r="N871" s="231">
        <f t="shared" si="187"/>
        <v>66060</v>
      </c>
      <c r="O871" s="285" t="s">
        <v>895</v>
      </c>
      <c r="P871" s="828"/>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c r="AT871" s="180"/>
      <c r="AU871" s="180"/>
      <c r="AV871" s="180"/>
      <c r="AW871" s="180"/>
    </row>
    <row r="872" spans="1:49" s="712" customFormat="1" ht="12.75" hidden="1" outlineLevel="1" x14ac:dyDescent="0.2">
      <c r="A872" s="820"/>
      <c r="B872" s="820"/>
      <c r="C872" s="843"/>
      <c r="D872" s="30"/>
      <c r="E872" s="30"/>
      <c r="F872" s="30"/>
      <c r="G872" s="30"/>
      <c r="H872" s="30"/>
      <c r="I872" s="30"/>
      <c r="J872" s="30"/>
      <c r="K872" s="30"/>
      <c r="L872" s="30"/>
      <c r="M872" s="30"/>
      <c r="N872" s="30"/>
      <c r="O872" s="839"/>
      <c r="P872" s="828"/>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c r="AT872" s="180"/>
      <c r="AU872" s="180"/>
      <c r="AV872" s="180"/>
      <c r="AW872" s="180"/>
    </row>
    <row r="873" spans="1:49" s="712" customFormat="1" ht="12.75" hidden="1" outlineLevel="1" x14ac:dyDescent="0.2">
      <c r="A873" s="820"/>
      <c r="B873" s="820"/>
      <c r="C873" s="843"/>
      <c r="D873" s="484" t="str">
        <f>FleetTypeM &amp;" Clerical, Records &amp; Tech Pubs (CRT)"</f>
        <v>A220 Clerical, Records &amp; Tech Pubs (CRT)</v>
      </c>
      <c r="E873" s="840"/>
      <c r="F873" s="840"/>
      <c r="G873" s="840"/>
      <c r="H873" s="840"/>
      <c r="I873" s="840"/>
      <c r="J873" s="840"/>
      <c r="K873" s="840"/>
      <c r="L873" s="840"/>
      <c r="M873" s="840"/>
      <c r="N873" s="840"/>
      <c r="O873" s="839"/>
      <c r="P873" s="828"/>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c r="AT873" s="180"/>
      <c r="AU873" s="180"/>
      <c r="AV873" s="180"/>
      <c r="AW873" s="180"/>
    </row>
    <row r="874" spans="1:49" s="712" customFormat="1" ht="12.75" hidden="1" outlineLevel="1" x14ac:dyDescent="0.2">
      <c r="A874" s="820"/>
      <c r="B874" s="820"/>
      <c r="C874" s="256"/>
      <c r="D874" s="233" t="str">
        <f>FleetTypeM&amp;" SCL Per AIRCRAFT CRT Records Generated pa"</f>
        <v>A220 SCL Per AIRCRAFT CRT Records Generated pa</v>
      </c>
      <c r="E874" s="596">
        <v>12001</v>
      </c>
      <c r="F874" s="596">
        <v>12002</v>
      </c>
      <c r="G874" s="596">
        <v>12003</v>
      </c>
      <c r="H874" s="596">
        <v>12004</v>
      </c>
      <c r="I874" s="596">
        <v>12005</v>
      </c>
      <c r="J874" s="596">
        <v>12006</v>
      </c>
      <c r="K874" s="596">
        <v>12007</v>
      </c>
      <c r="L874" s="596">
        <v>12008</v>
      </c>
      <c r="M874" s="596">
        <v>12009</v>
      </c>
      <c r="N874" s="596">
        <v>12010</v>
      </c>
      <c r="O874" s="839"/>
      <c r="P874" s="828"/>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c r="AT874" s="180"/>
      <c r="AU874" s="180"/>
      <c r="AV874" s="180"/>
      <c r="AW874" s="180"/>
    </row>
    <row r="875" spans="1:49" s="712" customFormat="1" ht="12.75" hidden="1" outlineLevel="1" x14ac:dyDescent="0.2">
      <c r="A875" s="820"/>
      <c r="B875" s="820"/>
      <c r="C875" s="843"/>
      <c r="D875" s="501" t="str">
        <f>"Total "&amp;FleetTypeM&amp;" FLEET CRT Records Generated pa"</f>
        <v>Total A220 FLEET CRT Records Generated pa</v>
      </c>
      <c r="E875" s="505">
        <f t="shared" ref="E875:N875" si="188">E874*FleetSize_M</f>
        <v>72006</v>
      </c>
      <c r="F875" s="505">
        <f t="shared" si="188"/>
        <v>72012</v>
      </c>
      <c r="G875" s="505">
        <f t="shared" si="188"/>
        <v>72018</v>
      </c>
      <c r="H875" s="505">
        <f t="shared" si="188"/>
        <v>72024</v>
      </c>
      <c r="I875" s="505">
        <f t="shared" si="188"/>
        <v>72030</v>
      </c>
      <c r="J875" s="505">
        <f t="shared" si="188"/>
        <v>72036</v>
      </c>
      <c r="K875" s="505">
        <f t="shared" si="188"/>
        <v>72042</v>
      </c>
      <c r="L875" s="505">
        <f t="shared" si="188"/>
        <v>72048</v>
      </c>
      <c r="M875" s="505">
        <f t="shared" si="188"/>
        <v>72054</v>
      </c>
      <c r="N875" s="505">
        <f t="shared" si="188"/>
        <v>72060</v>
      </c>
      <c r="O875" s="285" t="s">
        <v>629</v>
      </c>
      <c r="P875" s="828"/>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row>
    <row r="876" spans="1:49" s="712" customFormat="1" ht="12.75" hidden="1" outlineLevel="1" x14ac:dyDescent="0.2">
      <c r="A876" s="820"/>
      <c r="B876" s="820"/>
      <c r="C876" s="843"/>
      <c r="D876" s="820"/>
      <c r="E876" s="840"/>
      <c r="F876" s="840"/>
      <c r="G876" s="840"/>
      <c r="H876" s="840"/>
      <c r="I876" s="840"/>
      <c r="J876" s="840"/>
      <c r="K876" s="840"/>
      <c r="L876" s="840"/>
      <c r="M876" s="840"/>
      <c r="N876" s="840"/>
      <c r="O876" s="839"/>
      <c r="P876" s="828"/>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c r="AT876" s="180"/>
      <c r="AU876" s="180"/>
      <c r="AV876" s="180"/>
      <c r="AW876" s="180"/>
    </row>
    <row r="877" spans="1:49" s="712" customFormat="1" ht="12.75" hidden="1" outlineLevel="1" x14ac:dyDescent="0.2">
      <c r="A877" s="820"/>
      <c r="B877" s="820"/>
      <c r="C877" s="843"/>
      <c r="D877" s="484" t="str">
        <f>FleetTypeM &amp;" Supply Chain &amp; Logistics (SCL)"</f>
        <v>A220 Supply Chain &amp; Logistics (SCL)</v>
      </c>
      <c r="E877" s="840"/>
      <c r="F877" s="840"/>
      <c r="G877" s="840"/>
      <c r="H877" s="840"/>
      <c r="I877" s="840"/>
      <c r="J877" s="840"/>
      <c r="K877" s="840"/>
      <c r="L877" s="840"/>
      <c r="M877" s="840"/>
      <c r="N877" s="840"/>
      <c r="O877" s="839"/>
      <c r="P877" s="828"/>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c r="AT877" s="180"/>
      <c r="AU877" s="180"/>
      <c r="AV877" s="180"/>
      <c r="AW877" s="180"/>
    </row>
    <row r="878" spans="1:49" s="712" customFormat="1" ht="12.75" hidden="1" outlineLevel="1" x14ac:dyDescent="0.2">
      <c r="A878" s="820"/>
      <c r="B878" s="820"/>
      <c r="C878" s="256"/>
      <c r="D878" s="233" t="str">
        <f>FleetTypeM&amp;" SCL Per AIRCRAFT OEMV Records Generated pa"</f>
        <v>A220 SCL Per AIRCRAFT OEMV Records Generated pa</v>
      </c>
      <c r="E878" s="596">
        <v>13001</v>
      </c>
      <c r="F878" s="596">
        <v>13002</v>
      </c>
      <c r="G878" s="596">
        <v>13003</v>
      </c>
      <c r="H878" s="596">
        <v>13004</v>
      </c>
      <c r="I878" s="596">
        <v>13005</v>
      </c>
      <c r="J878" s="596">
        <v>13006</v>
      </c>
      <c r="K878" s="596">
        <v>13007</v>
      </c>
      <c r="L878" s="596">
        <v>13008</v>
      </c>
      <c r="M878" s="596">
        <v>13009</v>
      </c>
      <c r="N878" s="596">
        <v>13010</v>
      </c>
      <c r="O878" s="839"/>
      <c r="P878" s="828"/>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row>
    <row r="879" spans="1:49" s="712" customFormat="1" ht="12.75" hidden="1" outlineLevel="1" x14ac:dyDescent="0.2">
      <c r="A879" s="820"/>
      <c r="B879" s="820"/>
      <c r="C879" s="843"/>
      <c r="D879" s="501" t="str">
        <f>"Total "&amp;FleetTypeM&amp;" FLEET SCL Records Generated pa"</f>
        <v>Total A220 FLEET SCL Records Generated pa</v>
      </c>
      <c r="E879" s="505">
        <f t="shared" ref="E879:N879" si="189">E878*FleetSize_M</f>
        <v>78006</v>
      </c>
      <c r="F879" s="505">
        <f t="shared" si="189"/>
        <v>78012</v>
      </c>
      <c r="G879" s="505">
        <f t="shared" si="189"/>
        <v>78018</v>
      </c>
      <c r="H879" s="505">
        <f t="shared" si="189"/>
        <v>78024</v>
      </c>
      <c r="I879" s="505">
        <f t="shared" si="189"/>
        <v>78030</v>
      </c>
      <c r="J879" s="505">
        <f t="shared" si="189"/>
        <v>78036</v>
      </c>
      <c r="K879" s="505">
        <f t="shared" si="189"/>
        <v>78042</v>
      </c>
      <c r="L879" s="505">
        <f t="shared" si="189"/>
        <v>78048</v>
      </c>
      <c r="M879" s="505">
        <f t="shared" si="189"/>
        <v>78054</v>
      </c>
      <c r="N879" s="505">
        <f t="shared" si="189"/>
        <v>78060</v>
      </c>
      <c r="O879" s="285" t="s">
        <v>630</v>
      </c>
      <c r="P879" s="828"/>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c r="AT879" s="180"/>
      <c r="AU879" s="180"/>
      <c r="AV879" s="180"/>
      <c r="AW879" s="180"/>
    </row>
    <row r="880" spans="1:49" s="712" customFormat="1" ht="12.75" hidden="1" outlineLevel="1" x14ac:dyDescent="0.2">
      <c r="A880" s="820"/>
      <c r="B880" s="820"/>
      <c r="C880" s="846"/>
      <c r="D880" s="820"/>
      <c r="E880" s="840"/>
      <c r="F880" s="840"/>
      <c r="G880" s="840"/>
      <c r="H880" s="840"/>
      <c r="I880" s="840"/>
      <c r="J880" s="840"/>
      <c r="K880" s="840"/>
      <c r="L880" s="840"/>
      <c r="M880" s="840"/>
      <c r="N880" s="840"/>
      <c r="O880" s="839"/>
      <c r="P880" s="828"/>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row>
    <row r="881" spans="1:49" s="712" customFormat="1" ht="12.75" hidden="1" outlineLevel="1" x14ac:dyDescent="0.2">
      <c r="A881" s="820"/>
      <c r="B881" s="820"/>
      <c r="C881" s="846"/>
      <c r="D881" s="484" t="str">
        <f>FleetTypeM &amp;" Quality, Safety &amp; Compliance (QSC)"</f>
        <v>A220 Quality, Safety &amp; Compliance (QSC)</v>
      </c>
      <c r="E881" s="840"/>
      <c r="F881" s="840"/>
      <c r="G881" s="840"/>
      <c r="H881" s="840"/>
      <c r="I881" s="840"/>
      <c r="J881" s="840"/>
      <c r="K881" s="840"/>
      <c r="L881" s="840"/>
      <c r="M881" s="840"/>
      <c r="N881" s="840"/>
      <c r="O881" s="839"/>
      <c r="P881" s="828"/>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row>
    <row r="882" spans="1:49" s="712" customFormat="1" ht="12.75" hidden="1" outlineLevel="1" x14ac:dyDescent="0.2">
      <c r="A882" s="820"/>
      <c r="B882" s="820"/>
      <c r="C882" s="256"/>
      <c r="D882" s="233" t="str">
        <f>FleetTypeM&amp;" QSC Per AIRCRAFT Records Generated pa"</f>
        <v>A220 QSC Per AIRCRAFT Records Generated pa</v>
      </c>
      <c r="E882" s="596">
        <v>14001</v>
      </c>
      <c r="F882" s="596">
        <v>14002</v>
      </c>
      <c r="G882" s="596">
        <v>14003</v>
      </c>
      <c r="H882" s="596">
        <v>14004</v>
      </c>
      <c r="I882" s="596">
        <v>14005</v>
      </c>
      <c r="J882" s="596">
        <v>14006</v>
      </c>
      <c r="K882" s="596">
        <v>14007</v>
      </c>
      <c r="L882" s="596">
        <v>14008</v>
      </c>
      <c r="M882" s="596">
        <v>14009</v>
      </c>
      <c r="N882" s="596">
        <v>14010</v>
      </c>
      <c r="O882" s="839"/>
      <c r="P882" s="828"/>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row>
    <row r="883" spans="1:49" s="712" customFormat="1" ht="15.75" hidden="1" customHeight="1" outlineLevel="1" x14ac:dyDescent="0.2">
      <c r="A883" s="820"/>
      <c r="B883" s="820"/>
      <c r="C883" s="843"/>
      <c r="D883" s="501" t="str">
        <f>"Total "&amp;FleetTypeM&amp;" FLEET QSC Records Generated pa"</f>
        <v>Total A220 FLEET QSC Records Generated pa</v>
      </c>
      <c r="E883" s="505">
        <f t="shared" ref="E883:N883" si="190">E882*FleetSize_M</f>
        <v>84006</v>
      </c>
      <c r="F883" s="505">
        <f t="shared" si="190"/>
        <v>84012</v>
      </c>
      <c r="G883" s="505">
        <f t="shared" si="190"/>
        <v>84018</v>
      </c>
      <c r="H883" s="505">
        <f t="shared" si="190"/>
        <v>84024</v>
      </c>
      <c r="I883" s="505">
        <f t="shared" si="190"/>
        <v>84030</v>
      </c>
      <c r="J883" s="505">
        <f t="shared" si="190"/>
        <v>84036</v>
      </c>
      <c r="K883" s="505">
        <f t="shared" si="190"/>
        <v>84042</v>
      </c>
      <c r="L883" s="505">
        <f t="shared" si="190"/>
        <v>84048</v>
      </c>
      <c r="M883" s="505">
        <f t="shared" si="190"/>
        <v>84054</v>
      </c>
      <c r="N883" s="505">
        <f t="shared" si="190"/>
        <v>84060</v>
      </c>
      <c r="O883" s="285" t="s">
        <v>631</v>
      </c>
      <c r="P883" s="828"/>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c r="AU883" s="180"/>
      <c r="AV883" s="180"/>
      <c r="AW883" s="180"/>
    </row>
    <row r="884" spans="1:49" s="712" customFormat="1" ht="12.75" hidden="1" outlineLevel="1" x14ac:dyDescent="0.2">
      <c r="A884" s="820"/>
      <c r="B884" s="820"/>
      <c r="C884" s="847"/>
      <c r="D884" s="820"/>
      <c r="E884" s="840"/>
      <c r="F884" s="840"/>
      <c r="G884" s="840"/>
      <c r="H884" s="840"/>
      <c r="I884" s="840"/>
      <c r="J884" s="840"/>
      <c r="K884" s="840"/>
      <c r="L884" s="840"/>
      <c r="M884" s="840"/>
      <c r="N884" s="840"/>
      <c r="O884" s="835"/>
      <c r="P884" s="828"/>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c r="AT884" s="180"/>
      <c r="AU884" s="180"/>
      <c r="AV884" s="180"/>
      <c r="AW884" s="180"/>
    </row>
    <row r="885" spans="1:49" s="712" customFormat="1" ht="12.75" hidden="1" outlineLevel="1" x14ac:dyDescent="0.2">
      <c r="A885" s="820"/>
      <c r="B885" s="820"/>
      <c r="C885" s="847"/>
      <c r="D885" s="484" t="str">
        <f>FleetTypeM &amp;" Engine Maintenance (EM)"</f>
        <v>A220 Engine Maintenance (EM)</v>
      </c>
      <c r="E885" s="840"/>
      <c r="F885" s="840"/>
      <c r="G885" s="840"/>
      <c r="H885" s="840"/>
      <c r="I885" s="840"/>
      <c r="J885" s="840"/>
      <c r="K885" s="840"/>
      <c r="L885" s="840"/>
      <c r="M885" s="840"/>
      <c r="N885" s="840"/>
      <c r="O885" s="835"/>
      <c r="P885" s="828"/>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c r="AT885" s="180"/>
      <c r="AU885" s="180"/>
      <c r="AV885" s="180"/>
      <c r="AW885" s="180"/>
    </row>
    <row r="886" spans="1:49" s="712" customFormat="1" ht="12.75" hidden="1" outlineLevel="1" x14ac:dyDescent="0.2">
      <c r="A886" s="820"/>
      <c r="B886" s="820"/>
      <c r="C886" s="256"/>
      <c r="D886" s="233" t="str">
        <f>FleetTypeM&amp;" EM Per AIRCRAFT Records Generated pa"</f>
        <v>A220 EM Per AIRCRAFT Records Generated pa</v>
      </c>
      <c r="E886" s="596">
        <v>15001</v>
      </c>
      <c r="F886" s="596">
        <v>15002</v>
      </c>
      <c r="G886" s="596">
        <v>15003</v>
      </c>
      <c r="H886" s="596">
        <v>15004</v>
      </c>
      <c r="I886" s="596">
        <v>15005</v>
      </c>
      <c r="J886" s="596">
        <v>15006</v>
      </c>
      <c r="K886" s="596">
        <v>15007</v>
      </c>
      <c r="L886" s="596">
        <v>15008</v>
      </c>
      <c r="M886" s="596">
        <v>15009</v>
      </c>
      <c r="N886" s="596">
        <v>15010</v>
      </c>
      <c r="O886" s="835"/>
      <c r="P886" s="828"/>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row>
    <row r="887" spans="1:49" s="712" customFormat="1" ht="15.75" hidden="1" customHeight="1" outlineLevel="1" x14ac:dyDescent="0.2">
      <c r="A887" s="820"/>
      <c r="B887" s="820"/>
      <c r="C887" s="256"/>
      <c r="D887" s="501" t="str">
        <f>"Total "&amp;FleetTypeM&amp;" FLEET EM Records Generated pa"</f>
        <v>Total A220 FLEET EM Records Generated pa</v>
      </c>
      <c r="E887" s="505">
        <f t="shared" ref="E887:N887" si="191">E886*FleetSize_M</f>
        <v>90006</v>
      </c>
      <c r="F887" s="505">
        <f t="shared" si="191"/>
        <v>90012</v>
      </c>
      <c r="G887" s="505">
        <f t="shared" si="191"/>
        <v>90018</v>
      </c>
      <c r="H887" s="505">
        <f t="shared" si="191"/>
        <v>90024</v>
      </c>
      <c r="I887" s="505">
        <f t="shared" si="191"/>
        <v>90030</v>
      </c>
      <c r="J887" s="505">
        <f t="shared" si="191"/>
        <v>90036</v>
      </c>
      <c r="K887" s="505">
        <f t="shared" si="191"/>
        <v>90042</v>
      </c>
      <c r="L887" s="505">
        <f t="shared" si="191"/>
        <v>90048</v>
      </c>
      <c r="M887" s="505">
        <f t="shared" si="191"/>
        <v>90054</v>
      </c>
      <c r="N887" s="505">
        <f t="shared" si="191"/>
        <v>90060</v>
      </c>
      <c r="O887" s="285" t="s">
        <v>632</v>
      </c>
      <c r="P887" s="828"/>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c r="AT887" s="180"/>
      <c r="AU887" s="180"/>
      <c r="AV887" s="180"/>
      <c r="AW887" s="180"/>
    </row>
    <row r="888" spans="1:49" s="712" customFormat="1" ht="12.75" hidden="1" outlineLevel="1" x14ac:dyDescent="0.2">
      <c r="A888" s="820"/>
      <c r="B888" s="820"/>
      <c r="C888" s="256"/>
      <c r="D888" s="30"/>
      <c r="E888" s="30"/>
      <c r="F888" s="30"/>
      <c r="G888" s="30"/>
      <c r="H888" s="30"/>
      <c r="I888" s="30"/>
      <c r="J888" s="30"/>
      <c r="K888" s="30"/>
      <c r="L888" s="30"/>
      <c r="M888" s="30"/>
      <c r="N888" s="30"/>
      <c r="O888" s="839"/>
      <c r="P888" s="828"/>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c r="AT888" s="180"/>
      <c r="AU888" s="180"/>
      <c r="AV888" s="180"/>
      <c r="AW888" s="180"/>
    </row>
    <row r="889" spans="1:49" s="712" customFormat="1" ht="12.75" hidden="1" outlineLevel="1" x14ac:dyDescent="0.2">
      <c r="A889" s="820"/>
      <c r="B889" s="820"/>
      <c r="C889" s="847"/>
      <c r="D889" s="484" t="str">
        <f>FleetTypeM &amp;" Component Maintenance (CM)"</f>
        <v>A220 Component Maintenance (CM)</v>
      </c>
      <c r="E889" s="840"/>
      <c r="F889" s="840"/>
      <c r="G889" s="840"/>
      <c r="H889" s="840"/>
      <c r="I889" s="840"/>
      <c r="J889" s="840"/>
      <c r="K889" s="840"/>
      <c r="L889" s="840"/>
      <c r="M889" s="840"/>
      <c r="N889" s="840"/>
      <c r="O889" s="835"/>
      <c r="P889" s="828"/>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c r="AT889" s="180"/>
      <c r="AU889" s="180"/>
      <c r="AV889" s="180"/>
      <c r="AW889" s="180"/>
    </row>
    <row r="890" spans="1:49" s="712" customFormat="1" ht="12.75" hidden="1" outlineLevel="1" x14ac:dyDescent="0.2">
      <c r="A890" s="820"/>
      <c r="B890" s="820"/>
      <c r="C890" s="256"/>
      <c r="D890" s="233" t="str">
        <f>FleetTypeM&amp;" CM Per AIRCRAFT Records Generated pa"</f>
        <v>A220 CM Per AIRCRAFT Records Generated pa</v>
      </c>
      <c r="E890" s="596">
        <v>15001</v>
      </c>
      <c r="F890" s="596">
        <v>15002</v>
      </c>
      <c r="G890" s="596">
        <v>15003</v>
      </c>
      <c r="H890" s="596">
        <v>15004</v>
      </c>
      <c r="I890" s="596">
        <v>15005</v>
      </c>
      <c r="J890" s="596">
        <v>15006</v>
      </c>
      <c r="K890" s="596">
        <v>15007</v>
      </c>
      <c r="L890" s="596">
        <v>15008</v>
      </c>
      <c r="M890" s="596">
        <v>15009</v>
      </c>
      <c r="N890" s="596">
        <v>15010</v>
      </c>
      <c r="O890" s="835"/>
      <c r="P890" s="828"/>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c r="AT890" s="180"/>
      <c r="AU890" s="180"/>
      <c r="AV890" s="180"/>
      <c r="AW890" s="180"/>
    </row>
    <row r="891" spans="1:49" s="712" customFormat="1" ht="15.75" hidden="1" customHeight="1" outlineLevel="1" x14ac:dyDescent="0.2">
      <c r="A891" s="820"/>
      <c r="B891" s="820"/>
      <c r="C891" s="256"/>
      <c r="D891" s="501" t="str">
        <f>"Total "&amp;FleetTypeM&amp;" FLEET CM Records Generated pa"</f>
        <v>Total A220 FLEET CM Records Generated pa</v>
      </c>
      <c r="E891" s="505">
        <f t="shared" ref="E891:N891" si="192">E890*FleetSize_M</f>
        <v>90006</v>
      </c>
      <c r="F891" s="505">
        <f t="shared" si="192"/>
        <v>90012</v>
      </c>
      <c r="G891" s="505">
        <f t="shared" si="192"/>
        <v>90018</v>
      </c>
      <c r="H891" s="505">
        <f t="shared" si="192"/>
        <v>90024</v>
      </c>
      <c r="I891" s="505">
        <f t="shared" si="192"/>
        <v>90030</v>
      </c>
      <c r="J891" s="505">
        <f t="shared" si="192"/>
        <v>90036</v>
      </c>
      <c r="K891" s="505">
        <f t="shared" si="192"/>
        <v>90042</v>
      </c>
      <c r="L891" s="505">
        <f t="shared" si="192"/>
        <v>90048</v>
      </c>
      <c r="M891" s="505">
        <f t="shared" si="192"/>
        <v>90054</v>
      </c>
      <c r="N891" s="505">
        <f t="shared" si="192"/>
        <v>90060</v>
      </c>
      <c r="O891" s="285" t="s">
        <v>633</v>
      </c>
      <c r="P891" s="828"/>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c r="AT891" s="180"/>
      <c r="AU891" s="180"/>
      <c r="AV891" s="180"/>
      <c r="AW891" s="180"/>
    </row>
    <row r="892" spans="1:49" s="712" customFormat="1" ht="12.75" hidden="1" outlineLevel="1" x14ac:dyDescent="0.2">
      <c r="A892" s="820"/>
      <c r="B892" s="820"/>
      <c r="C892" s="256"/>
      <c r="D892" s="30"/>
      <c r="E892" s="30"/>
      <c r="F892" s="30"/>
      <c r="G892" s="30"/>
      <c r="H892" s="30"/>
      <c r="I892" s="30"/>
      <c r="J892" s="30"/>
      <c r="K892" s="30"/>
      <c r="L892" s="30"/>
      <c r="M892" s="30"/>
      <c r="N892" s="30"/>
      <c r="O892" s="839"/>
      <c r="P892" s="828"/>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row>
    <row r="893" spans="1:49" s="712" customFormat="1" ht="15.75" hidden="1" customHeight="1" outlineLevel="1" x14ac:dyDescent="0.2">
      <c r="A893" s="820"/>
      <c r="B893" s="820"/>
      <c r="C893" s="847"/>
      <c r="D893" s="484" t="str">
        <f>FleetTypeM &amp;" Sheetmetal &amp; Composite Structures (SMCS)"</f>
        <v>A220 Sheetmetal &amp; Composite Structures (SMCS)</v>
      </c>
      <c r="E893" s="840"/>
      <c r="F893" s="840"/>
      <c r="G893" s="840"/>
      <c r="H893" s="840"/>
      <c r="I893" s="840"/>
      <c r="J893" s="840"/>
      <c r="K893" s="840"/>
      <c r="L893" s="840"/>
      <c r="M893" s="840"/>
      <c r="N893" s="840"/>
      <c r="O893" s="835"/>
      <c r="P893" s="828"/>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c r="AT893" s="180"/>
      <c r="AU893" s="180"/>
      <c r="AV893" s="180"/>
      <c r="AW893" s="180"/>
    </row>
    <row r="894" spans="1:49" s="712" customFormat="1" ht="12.75" hidden="1" outlineLevel="1" x14ac:dyDescent="0.2">
      <c r="A894" s="820"/>
      <c r="B894" s="820"/>
      <c r="C894" s="256"/>
      <c r="D894" s="233" t="str">
        <f>FleetTypeM&amp;" SMCS Per AIRCRAFT Records Generated pa"</f>
        <v>A220 SMCS Per AIRCRAFT Records Generated pa</v>
      </c>
      <c r="E894" s="596">
        <v>15001</v>
      </c>
      <c r="F894" s="596">
        <v>15002</v>
      </c>
      <c r="G894" s="596">
        <v>15003</v>
      </c>
      <c r="H894" s="596">
        <v>15004</v>
      </c>
      <c r="I894" s="596">
        <v>15005</v>
      </c>
      <c r="J894" s="596">
        <v>15006</v>
      </c>
      <c r="K894" s="596">
        <v>15007</v>
      </c>
      <c r="L894" s="596">
        <v>15008</v>
      </c>
      <c r="M894" s="596">
        <v>15009</v>
      </c>
      <c r="N894" s="596">
        <v>15010</v>
      </c>
      <c r="O894" s="835"/>
      <c r="P894" s="828"/>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c r="AT894" s="180"/>
      <c r="AU894" s="180"/>
      <c r="AV894" s="180"/>
      <c r="AW894" s="180"/>
    </row>
    <row r="895" spans="1:49" s="712" customFormat="1" ht="15.75" hidden="1" customHeight="1" outlineLevel="1" x14ac:dyDescent="0.2">
      <c r="A895" s="820"/>
      <c r="B895" s="820"/>
      <c r="C895" s="256"/>
      <c r="D895" s="501" t="str">
        <f>"Total "&amp;FleetTypeM&amp;" FLEET SMCS Records Generated pa"</f>
        <v>Total A220 FLEET SMCS Records Generated pa</v>
      </c>
      <c r="E895" s="505">
        <f t="shared" ref="E895:N895" si="193">E894*FleetSize_M</f>
        <v>90006</v>
      </c>
      <c r="F895" s="505">
        <f t="shared" si="193"/>
        <v>90012</v>
      </c>
      <c r="G895" s="505">
        <f t="shared" si="193"/>
        <v>90018</v>
      </c>
      <c r="H895" s="505">
        <f t="shared" si="193"/>
        <v>90024</v>
      </c>
      <c r="I895" s="505">
        <f t="shared" si="193"/>
        <v>90030</v>
      </c>
      <c r="J895" s="505">
        <f t="shared" si="193"/>
        <v>90036</v>
      </c>
      <c r="K895" s="505">
        <f t="shared" si="193"/>
        <v>90042</v>
      </c>
      <c r="L895" s="505">
        <f t="shared" si="193"/>
        <v>90048</v>
      </c>
      <c r="M895" s="505">
        <f t="shared" si="193"/>
        <v>90054</v>
      </c>
      <c r="N895" s="505">
        <f t="shared" si="193"/>
        <v>90060</v>
      </c>
      <c r="O895" s="285" t="s">
        <v>634</v>
      </c>
      <c r="P895" s="828"/>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c r="AT895" s="180"/>
      <c r="AU895" s="180"/>
      <c r="AV895" s="180"/>
      <c r="AW895" s="180"/>
    </row>
    <row r="896" spans="1:49" s="712" customFormat="1" ht="12.75" hidden="1" outlineLevel="1" x14ac:dyDescent="0.2">
      <c r="A896" s="820"/>
      <c r="B896" s="820"/>
      <c r="C896" s="256"/>
      <c r="D896" s="30"/>
      <c r="E896" s="30"/>
      <c r="F896" s="30"/>
      <c r="G896" s="30"/>
      <c r="H896" s="30"/>
      <c r="I896" s="30"/>
      <c r="J896" s="30"/>
      <c r="K896" s="30"/>
      <c r="L896" s="30"/>
      <c r="M896" s="30"/>
      <c r="N896" s="30"/>
      <c r="O896" s="839"/>
      <c r="P896" s="828"/>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row>
    <row r="897" spans="1:49" s="712" customFormat="1" ht="12.75" hidden="1" outlineLevel="1" x14ac:dyDescent="0.2">
      <c r="A897" s="820"/>
      <c r="B897" s="820"/>
      <c r="C897" s="847"/>
      <c r="D897" s="484" t="str">
        <f>FleetTypeM &amp;" Other 1 (O1)"</f>
        <v>A220 Other 1 (O1)</v>
      </c>
      <c r="E897" s="840"/>
      <c r="F897" s="840"/>
      <c r="G897" s="840"/>
      <c r="H897" s="840"/>
      <c r="I897" s="840"/>
      <c r="J897" s="840"/>
      <c r="K897" s="840"/>
      <c r="L897" s="840"/>
      <c r="M897" s="840"/>
      <c r="N897" s="840"/>
      <c r="O897" s="835"/>
      <c r="P897" s="828"/>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c r="AT897" s="180"/>
      <c r="AU897" s="180"/>
      <c r="AV897" s="180"/>
      <c r="AW897" s="180"/>
    </row>
    <row r="898" spans="1:49" s="712" customFormat="1" ht="12.75" hidden="1" outlineLevel="1" x14ac:dyDescent="0.2">
      <c r="A898" s="820"/>
      <c r="B898" s="820"/>
      <c r="C898" s="256"/>
      <c r="D898" s="233" t="str">
        <f>FleetTypeM&amp;" O1 Per AIRCRAFT Records Generated pa"</f>
        <v>A220 O1 Per AIRCRAFT Records Generated pa</v>
      </c>
      <c r="E898" s="596">
        <v>15001</v>
      </c>
      <c r="F898" s="596">
        <v>15002</v>
      </c>
      <c r="G898" s="596">
        <v>15003</v>
      </c>
      <c r="H898" s="596">
        <v>15004</v>
      </c>
      <c r="I898" s="596">
        <v>15005</v>
      </c>
      <c r="J898" s="596">
        <v>15006</v>
      </c>
      <c r="K898" s="596">
        <v>15007</v>
      </c>
      <c r="L898" s="596">
        <v>15008</v>
      </c>
      <c r="M898" s="596">
        <v>15009</v>
      </c>
      <c r="N898" s="596">
        <v>15010</v>
      </c>
      <c r="O898" s="835"/>
      <c r="P898" s="828"/>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c r="AT898" s="180"/>
      <c r="AU898" s="180"/>
      <c r="AV898" s="180"/>
      <c r="AW898" s="180"/>
    </row>
    <row r="899" spans="1:49" s="712" customFormat="1" ht="15.75" hidden="1" customHeight="1" outlineLevel="1" x14ac:dyDescent="0.2">
      <c r="A899" s="820"/>
      <c r="B899" s="820"/>
      <c r="C899" s="256"/>
      <c r="D899" s="501" t="str">
        <f>"Total "&amp;FleetTypeM&amp;" FLEET O1 Records Generated pa"</f>
        <v>Total A220 FLEET O1 Records Generated pa</v>
      </c>
      <c r="E899" s="505">
        <f t="shared" ref="E899:N899" si="194">E898*FleetSize_M</f>
        <v>90006</v>
      </c>
      <c r="F899" s="505">
        <f t="shared" si="194"/>
        <v>90012</v>
      </c>
      <c r="G899" s="505">
        <f t="shared" si="194"/>
        <v>90018</v>
      </c>
      <c r="H899" s="505">
        <f t="shared" si="194"/>
        <v>90024</v>
      </c>
      <c r="I899" s="505">
        <f t="shared" si="194"/>
        <v>90030</v>
      </c>
      <c r="J899" s="505">
        <f t="shared" si="194"/>
        <v>90036</v>
      </c>
      <c r="K899" s="505">
        <f t="shared" si="194"/>
        <v>90042</v>
      </c>
      <c r="L899" s="505">
        <f t="shared" si="194"/>
        <v>90048</v>
      </c>
      <c r="M899" s="505">
        <f t="shared" si="194"/>
        <v>90054</v>
      </c>
      <c r="N899" s="505">
        <f t="shared" si="194"/>
        <v>90060</v>
      </c>
      <c r="O899" s="285" t="s">
        <v>635</v>
      </c>
      <c r="P899" s="828"/>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c r="AT899" s="180"/>
      <c r="AU899" s="180"/>
      <c r="AV899" s="180"/>
      <c r="AW899" s="180"/>
    </row>
    <row r="900" spans="1:49" s="712" customFormat="1" ht="12.75" hidden="1" outlineLevel="1" x14ac:dyDescent="0.2">
      <c r="A900" s="820"/>
      <c r="B900" s="820"/>
      <c r="C900" s="256"/>
      <c r="D900" s="30"/>
      <c r="E900" s="30"/>
      <c r="F900" s="30"/>
      <c r="G900" s="30"/>
      <c r="H900" s="30"/>
      <c r="I900" s="30"/>
      <c r="J900" s="30"/>
      <c r="K900" s="30"/>
      <c r="L900" s="30"/>
      <c r="M900" s="30"/>
      <c r="N900" s="30"/>
      <c r="O900" s="839"/>
      <c r="P900" s="828"/>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c r="AT900" s="180"/>
      <c r="AU900" s="180"/>
      <c r="AV900" s="180"/>
      <c r="AW900" s="180"/>
    </row>
    <row r="901" spans="1:49" s="712" customFormat="1" ht="12.75" hidden="1" outlineLevel="1" x14ac:dyDescent="0.2">
      <c r="A901" s="820"/>
      <c r="B901" s="820"/>
      <c r="C901" s="847"/>
      <c r="D901" s="484" t="str">
        <f>FleetTypeM &amp;" Other 2 (O2)"</f>
        <v>A220 Other 2 (O2)</v>
      </c>
      <c r="E901" s="840"/>
      <c r="F901" s="840"/>
      <c r="G901" s="840"/>
      <c r="H901" s="840"/>
      <c r="I901" s="840"/>
      <c r="J901" s="840"/>
      <c r="K901" s="840"/>
      <c r="L901" s="840"/>
      <c r="M901" s="840"/>
      <c r="N901" s="840"/>
      <c r="O901" s="835"/>
      <c r="P901" s="828"/>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c r="AT901" s="180"/>
      <c r="AU901" s="180"/>
      <c r="AV901" s="180"/>
      <c r="AW901" s="180"/>
    </row>
    <row r="902" spans="1:49" s="712" customFormat="1" ht="12.75" hidden="1" outlineLevel="1" x14ac:dyDescent="0.2">
      <c r="A902" s="820"/>
      <c r="B902" s="820"/>
      <c r="C902" s="256"/>
      <c r="D902" s="233" t="str">
        <f>FleetTypeM&amp;" O2 Per AIRCRAFT Records Generated pa"</f>
        <v>A220 O2 Per AIRCRAFT Records Generated pa</v>
      </c>
      <c r="E902" s="596">
        <v>15001</v>
      </c>
      <c r="F902" s="596">
        <v>15002</v>
      </c>
      <c r="G902" s="596">
        <v>15003</v>
      </c>
      <c r="H902" s="596">
        <v>15004</v>
      </c>
      <c r="I902" s="596">
        <v>15005</v>
      </c>
      <c r="J902" s="596">
        <v>15006</v>
      </c>
      <c r="K902" s="596">
        <v>15007</v>
      </c>
      <c r="L902" s="596">
        <v>15008</v>
      </c>
      <c r="M902" s="596">
        <v>15009</v>
      </c>
      <c r="N902" s="596">
        <v>15010</v>
      </c>
      <c r="O902" s="835"/>
      <c r="P902" s="828"/>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c r="AT902" s="180"/>
      <c r="AU902" s="180"/>
      <c r="AV902" s="180"/>
      <c r="AW902" s="180"/>
    </row>
    <row r="903" spans="1:49" s="712" customFormat="1" ht="15.75" hidden="1" customHeight="1" outlineLevel="1" x14ac:dyDescent="0.2">
      <c r="A903" s="820"/>
      <c r="B903" s="820"/>
      <c r="C903" s="256"/>
      <c r="D903" s="501" t="str">
        <f>"Total "&amp;FleetTypeM&amp;" FLEET O2 Records Generated pa"</f>
        <v>Total A220 FLEET O2 Records Generated pa</v>
      </c>
      <c r="E903" s="505">
        <f t="shared" ref="E903:N903" si="195">E902*FleetSize_M</f>
        <v>90006</v>
      </c>
      <c r="F903" s="505">
        <f t="shared" si="195"/>
        <v>90012</v>
      </c>
      <c r="G903" s="505">
        <f t="shared" si="195"/>
        <v>90018</v>
      </c>
      <c r="H903" s="505">
        <f t="shared" si="195"/>
        <v>90024</v>
      </c>
      <c r="I903" s="505">
        <f t="shared" si="195"/>
        <v>90030</v>
      </c>
      <c r="J903" s="505">
        <f t="shared" si="195"/>
        <v>90036</v>
      </c>
      <c r="K903" s="505">
        <f t="shared" si="195"/>
        <v>90042</v>
      </c>
      <c r="L903" s="505">
        <f t="shared" si="195"/>
        <v>90048</v>
      </c>
      <c r="M903" s="505">
        <f t="shared" si="195"/>
        <v>90054</v>
      </c>
      <c r="N903" s="505">
        <f t="shared" si="195"/>
        <v>90060</v>
      </c>
      <c r="O903" s="285" t="s">
        <v>637</v>
      </c>
      <c r="P903" s="828"/>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c r="AT903" s="180"/>
      <c r="AU903" s="180"/>
      <c r="AV903" s="180"/>
      <c r="AW903" s="180"/>
    </row>
    <row r="904" spans="1:49" s="712" customFormat="1" ht="12.75" hidden="1" outlineLevel="1" x14ac:dyDescent="0.2">
      <c r="A904" s="820"/>
      <c r="B904" s="820"/>
      <c r="C904" s="256"/>
      <c r="D904" s="30"/>
      <c r="E904" s="30"/>
      <c r="F904" s="30"/>
      <c r="G904" s="30"/>
      <c r="H904" s="30"/>
      <c r="I904" s="30"/>
      <c r="J904" s="30"/>
      <c r="K904" s="30"/>
      <c r="L904" s="30"/>
      <c r="M904" s="30"/>
      <c r="N904" s="30"/>
      <c r="O904" s="839"/>
      <c r="P904" s="828"/>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c r="AT904" s="180"/>
      <c r="AU904" s="180"/>
      <c r="AV904" s="180"/>
      <c r="AW904" s="180"/>
    </row>
    <row r="905" spans="1:49" s="712" customFormat="1" ht="21.75" hidden="1" customHeight="1" outlineLevel="1" x14ac:dyDescent="0.2">
      <c r="A905" s="820"/>
      <c r="B905" s="820"/>
      <c r="C905" s="848"/>
      <c r="D905" s="849" t="str">
        <f>"Grand Total ("&amp;(FleetTypeM)&amp;") "&amp;"Records Generated pa"</f>
        <v>Grand Total (A220) Records Generated pa</v>
      </c>
      <c r="E905" s="714">
        <f t="shared" ref="E905:N905" si="196">SUM(RecordsHMFleetTotalpa_M+RecordsLMFleetTotalpa_M+RecordsEngFleetTotalpa_M+RecordsPlgFleetTotalpa_M+RecordsCRTFleetTotalpa_M+RecordsSCLFleetTotalpa_M+RecordsQSCFleetTotalpa_M+RecordsEMFleetTotalpa_M+RecordsCMFleetTotalpa_M+RecordsSMCSFleetTotalpa_M+RecordsO1FleetTotalpa_M+RecordsO2FleetTotalpa_M)</f>
        <v>887766</v>
      </c>
      <c r="F905" s="714">
        <f t="shared" si="196"/>
        <v>886760.57142857136</v>
      </c>
      <c r="G905" s="714">
        <f t="shared" si="196"/>
        <v>886023</v>
      </c>
      <c r="H905" s="714">
        <f t="shared" si="196"/>
        <v>888092.57142857136</v>
      </c>
      <c r="I905" s="714">
        <f t="shared" si="196"/>
        <v>888758.57142857136</v>
      </c>
      <c r="J905" s="714">
        <f t="shared" si="196"/>
        <v>889424.57142857136</v>
      </c>
      <c r="K905" s="714">
        <f t="shared" si="196"/>
        <v>890090.57142857136</v>
      </c>
      <c r="L905" s="714">
        <f t="shared" si="196"/>
        <v>890756.57142857136</v>
      </c>
      <c r="M905" s="714">
        <f t="shared" si="196"/>
        <v>891422.57142857136</v>
      </c>
      <c r="N905" s="714">
        <f t="shared" si="196"/>
        <v>892088.57142857136</v>
      </c>
      <c r="O905" s="285" t="s">
        <v>638</v>
      </c>
      <c r="P905" s="828"/>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c r="AT905" s="180"/>
      <c r="AU905" s="180"/>
      <c r="AV905" s="180"/>
      <c r="AW905" s="180"/>
    </row>
    <row r="906" spans="1:49" s="193" customFormat="1" ht="12.75" hidden="1" outlineLevel="1" x14ac:dyDescent="0.2">
      <c r="A906" s="820"/>
      <c r="B906" s="833"/>
      <c r="C906" s="837"/>
      <c r="D906" s="30"/>
      <c r="E906" s="833"/>
      <c r="F906" s="833"/>
      <c r="G906" s="833"/>
      <c r="H906" s="833"/>
      <c r="I906" s="833"/>
      <c r="J906" s="833"/>
      <c r="K906" s="833"/>
      <c r="L906" s="833"/>
      <c r="M906" s="833"/>
      <c r="N906" s="833"/>
      <c r="O906" s="861"/>
      <c r="P906" s="828"/>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row>
    <row r="907" spans="1:49" s="193" customFormat="1" ht="13.5" hidden="1" outlineLevel="1" thickBot="1" x14ac:dyDescent="0.25">
      <c r="A907" s="820"/>
      <c r="B907" s="833"/>
      <c r="C907" s="858"/>
      <c r="D907" s="529"/>
      <c r="E907" s="859"/>
      <c r="F907" s="859"/>
      <c r="G907" s="859"/>
      <c r="H907" s="859"/>
      <c r="I907" s="859"/>
      <c r="J907" s="859"/>
      <c r="K907" s="859"/>
      <c r="L907" s="859"/>
      <c r="M907" s="859"/>
      <c r="N907" s="859"/>
      <c r="O907" s="860"/>
      <c r="P907" s="828"/>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row>
    <row r="908" spans="1:49" s="193" customFormat="1" ht="12.75" hidden="1" outlineLevel="1" x14ac:dyDescent="0.2">
      <c r="A908" s="820"/>
      <c r="B908" s="833"/>
      <c r="C908" s="833"/>
      <c r="D908" s="30"/>
      <c r="E908" s="833"/>
      <c r="F908" s="833"/>
      <c r="G908" s="833"/>
      <c r="H908" s="833"/>
      <c r="I908" s="833"/>
      <c r="J908" s="833"/>
      <c r="K908" s="833"/>
      <c r="L908" s="833"/>
      <c r="M908" s="833"/>
      <c r="N908" s="833"/>
      <c r="O908" s="833"/>
      <c r="P908" s="828"/>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row>
    <row r="909" spans="1:49" s="122" customFormat="1" ht="15.75" collapsed="1" x14ac:dyDescent="0.2">
      <c r="A909" s="1043">
        <v>15</v>
      </c>
      <c r="B909" s="1039"/>
      <c r="C909" s="1039"/>
      <c r="D909" s="1039"/>
      <c r="E909" s="1039"/>
      <c r="F909" s="1039"/>
      <c r="G909" s="1039"/>
      <c r="H909" s="1039"/>
      <c r="I909" s="1039"/>
      <c r="J909" s="1039"/>
      <c r="K909" s="1039"/>
      <c r="L909" s="1039"/>
      <c r="M909" s="1039"/>
      <c r="N909" s="1039"/>
      <c r="O909" s="1039"/>
      <c r="P909" s="206"/>
      <c r="Q909" s="206"/>
      <c r="R909" s="206"/>
      <c r="S909" s="206"/>
      <c r="T909" s="206"/>
      <c r="U909" s="206"/>
      <c r="V909" s="206"/>
      <c r="W909" s="206"/>
      <c r="X909" s="206"/>
      <c r="Y909" s="206"/>
      <c r="Z909" s="206"/>
      <c r="AA909" s="206"/>
      <c r="AB909" s="206"/>
      <c r="AC909" s="206"/>
      <c r="AD909" s="206"/>
      <c r="AE909" s="206"/>
      <c r="AF909" s="206"/>
      <c r="AG909" s="206"/>
      <c r="AH909" s="206"/>
      <c r="AI909" s="206"/>
      <c r="AJ909" s="206"/>
      <c r="AK909" s="206"/>
      <c r="AL909" s="206"/>
      <c r="AM909" s="206"/>
      <c r="AN909" s="206"/>
      <c r="AO909" s="206"/>
      <c r="AP909" s="206"/>
      <c r="AQ909" s="206"/>
      <c r="AR909" s="206"/>
      <c r="AS909" s="206"/>
      <c r="AT909" s="206"/>
      <c r="AU909" s="206"/>
      <c r="AV909" s="206"/>
      <c r="AW909" s="206"/>
    </row>
    <row r="910" spans="1:49" s="712" customFormat="1" ht="13.5" thickBot="1" x14ac:dyDescent="0.25">
      <c r="A910" s="820"/>
      <c r="B910" s="180"/>
      <c r="C910" s="852"/>
      <c r="D910" s="820"/>
      <c r="E910" s="840"/>
      <c r="F910" s="840"/>
      <c r="G910" s="840"/>
      <c r="H910" s="840"/>
      <c r="I910" s="840"/>
      <c r="J910" s="840"/>
      <c r="K910" s="840"/>
      <c r="L910" s="840"/>
      <c r="M910" s="840"/>
      <c r="N910" s="840"/>
      <c r="O910" s="828"/>
      <c r="P910" s="828"/>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c r="AT910" s="180"/>
      <c r="AU910" s="180"/>
      <c r="AV910" s="180"/>
      <c r="AW910" s="180"/>
    </row>
    <row r="911" spans="1:49" s="712" customFormat="1" ht="31.5" x14ac:dyDescent="0.2">
      <c r="A911" s="1342" t="str">
        <f>"Purpose - To calculate Total Records generated by 'FleetTypeN'          " &amp; (FleetTypeN)</f>
        <v>Purpose - To calculate Total Records generated by 'FleetTypeN'          A350-800</v>
      </c>
      <c r="B911" s="180"/>
      <c r="C911" s="1343" t="str">
        <f>FleetTypeN &amp;" (FleetTypeN) Records
Generated pa"</f>
        <v>A350-800 (FleetTypeN) Records
Generated pa</v>
      </c>
      <c r="D911" s="853"/>
      <c r="E911" s="853"/>
      <c r="F911" s="853"/>
      <c r="G911" s="853"/>
      <c r="H911" s="853"/>
      <c r="I911" s="853"/>
      <c r="J911" s="853"/>
      <c r="K911" s="853"/>
      <c r="L911" s="853"/>
      <c r="M911" s="853"/>
      <c r="N911" s="853"/>
      <c r="O911" s="854"/>
      <c r="P911" s="828"/>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c r="AT911" s="180"/>
      <c r="AU911" s="180"/>
      <c r="AV911" s="180"/>
      <c r="AW911" s="180"/>
    </row>
    <row r="912" spans="1:49" s="193" customFormat="1" ht="12.75" x14ac:dyDescent="0.2">
      <c r="A912" s="820"/>
      <c r="B912" s="833"/>
      <c r="C912" s="833"/>
      <c r="D912" s="30"/>
      <c r="E912" s="833"/>
      <c r="F912" s="833"/>
      <c r="G912" s="833"/>
      <c r="H912" s="833"/>
      <c r="I912" s="833"/>
      <c r="J912" s="833"/>
      <c r="K912" s="833"/>
      <c r="L912" s="833"/>
      <c r="M912" s="833"/>
      <c r="N912" s="833"/>
      <c r="O912" s="833"/>
      <c r="P912" s="828"/>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row>
    <row r="913" spans="1:49" s="193" customFormat="1" ht="13.5" hidden="1" outlineLevel="1" collapsed="1" thickBot="1" x14ac:dyDescent="0.25">
      <c r="A913" s="820"/>
      <c r="B913" s="820"/>
      <c r="C913" s="820"/>
      <c r="D913" s="278"/>
      <c r="E913" s="278"/>
      <c r="F913" s="278"/>
      <c r="G913" s="278"/>
      <c r="H913" s="278"/>
      <c r="I913" s="278"/>
      <c r="J913" s="278"/>
      <c r="K913" s="278"/>
      <c r="L913" s="278"/>
      <c r="M913" s="278"/>
      <c r="N913" s="278"/>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row>
    <row r="914" spans="1:49" s="712" customFormat="1" ht="20.100000000000001" hidden="1" customHeight="1" outlineLevel="1" x14ac:dyDescent="0.2">
      <c r="A914" s="820"/>
      <c r="B914" s="180"/>
      <c r="C914" s="1344"/>
      <c r="D914" s="853"/>
      <c r="E914" s="853"/>
      <c r="F914" s="853"/>
      <c r="G914" s="853"/>
      <c r="H914" s="853"/>
      <c r="I914" s="853"/>
      <c r="J914" s="853"/>
      <c r="K914" s="853"/>
      <c r="L914" s="853"/>
      <c r="M914" s="853"/>
      <c r="N914" s="853"/>
      <c r="O914" s="854"/>
      <c r="P914" s="828"/>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c r="AT914" s="180"/>
      <c r="AU914" s="180"/>
      <c r="AV914" s="180"/>
      <c r="AW914" s="180"/>
    </row>
    <row r="915" spans="1:49" s="193" customFormat="1" ht="20.25" hidden="1" customHeight="1" outlineLevel="1" x14ac:dyDescent="0.2">
      <c r="A915" s="820"/>
      <c r="B915" s="180"/>
      <c r="C915" s="256"/>
      <c r="D915" s="484" t="str">
        <f>FleetTypeN &amp;" Heavy Maintenance (HM)"</f>
        <v>A350-800 Heavy Maintenance (HM)</v>
      </c>
      <c r="E915" s="820"/>
      <c r="F915" s="39"/>
      <c r="G915" s="822"/>
      <c r="H915" s="822"/>
      <c r="I915" s="822"/>
      <c r="J915" s="822"/>
      <c r="K915" s="822"/>
      <c r="L915" s="822"/>
      <c r="M915" s="822"/>
      <c r="N915" s="822"/>
      <c r="O915" s="829"/>
      <c r="P915" s="828"/>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row>
    <row r="916" spans="1:49" s="193" customFormat="1" ht="15" hidden="1" customHeight="1" outlineLevel="1" x14ac:dyDescent="0.2">
      <c r="A916" s="820"/>
      <c r="B916" s="830"/>
      <c r="C916" s="831"/>
      <c r="D916" s="501" t="str">
        <f>FleetTypeN&amp;" HM Cycle (Years)"</f>
        <v>A350-800 HM Cycle (Years)</v>
      </c>
      <c r="E916" s="855">
        <v>12</v>
      </c>
      <c r="F916" s="855">
        <v>14</v>
      </c>
      <c r="G916" s="855">
        <v>16</v>
      </c>
      <c r="H916" s="855">
        <v>14</v>
      </c>
      <c r="I916" s="855">
        <v>14</v>
      </c>
      <c r="J916" s="855">
        <v>14</v>
      </c>
      <c r="K916" s="855">
        <v>14</v>
      </c>
      <c r="L916" s="855">
        <v>14</v>
      </c>
      <c r="M916" s="855">
        <v>14</v>
      </c>
      <c r="N916" s="855">
        <v>14</v>
      </c>
      <c r="O916" s="257" t="s">
        <v>639</v>
      </c>
      <c r="P916" s="828"/>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row>
    <row r="917" spans="1:49" s="193" customFormat="1" ht="12.95" hidden="1" customHeight="1" outlineLevel="1" x14ac:dyDescent="0.2">
      <c r="A917" s="820"/>
      <c r="B917" s="833"/>
      <c r="C917" s="834"/>
      <c r="D917" s="820"/>
      <c r="E917" s="833"/>
      <c r="F917" s="833"/>
      <c r="G917" s="833"/>
      <c r="H917" s="833"/>
      <c r="I917" s="833"/>
      <c r="J917" s="833"/>
      <c r="K917" s="833"/>
      <c r="L917" s="833"/>
      <c r="M917" s="833"/>
      <c r="N917" s="833"/>
      <c r="O917" s="835"/>
      <c r="P917" s="828"/>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row>
    <row r="918" spans="1:49" s="193" customFormat="1" ht="12.75" hidden="1" customHeight="1" outlineLevel="1" x14ac:dyDescent="0.2">
      <c r="A918" s="820"/>
      <c r="B918" s="30"/>
      <c r="C918" s="256"/>
      <c r="D918" s="57" t="s">
        <v>256</v>
      </c>
      <c r="E918" s="856">
        <v>1100</v>
      </c>
      <c r="F918" s="856">
        <v>1200</v>
      </c>
      <c r="G918" s="856">
        <v>1300</v>
      </c>
      <c r="H918" s="856">
        <v>1400</v>
      </c>
      <c r="I918" s="856">
        <v>1500</v>
      </c>
      <c r="J918" s="856">
        <v>1600</v>
      </c>
      <c r="K918" s="856">
        <v>1700</v>
      </c>
      <c r="L918" s="856">
        <v>1800</v>
      </c>
      <c r="M918" s="856">
        <v>1900</v>
      </c>
      <c r="N918" s="856">
        <v>2000</v>
      </c>
      <c r="O918" s="835"/>
      <c r="P918" s="828"/>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row>
    <row r="919" spans="1:49" s="193" customFormat="1" ht="12.95" hidden="1" customHeight="1" outlineLevel="1" x14ac:dyDescent="0.2">
      <c r="A919" s="820"/>
      <c r="B919" s="833"/>
      <c r="C919" s="837"/>
      <c r="D919" s="57" t="s">
        <v>257</v>
      </c>
      <c r="E919" s="857">
        <v>2100</v>
      </c>
      <c r="F919" s="857">
        <v>2200</v>
      </c>
      <c r="G919" s="857">
        <v>2300</v>
      </c>
      <c r="H919" s="857">
        <v>2400</v>
      </c>
      <c r="I919" s="857">
        <v>2500</v>
      </c>
      <c r="J919" s="857">
        <v>2600</v>
      </c>
      <c r="K919" s="857">
        <v>2700</v>
      </c>
      <c r="L919" s="857">
        <v>2800</v>
      </c>
      <c r="M919" s="857">
        <v>2900</v>
      </c>
      <c r="N919" s="857">
        <v>3000</v>
      </c>
      <c r="O919" s="835"/>
      <c r="P919" s="828"/>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row>
    <row r="920" spans="1:49" s="193" customFormat="1" ht="12.95" hidden="1" customHeight="1" outlineLevel="1" x14ac:dyDescent="0.2">
      <c r="A920" s="820"/>
      <c r="B920" s="833"/>
      <c r="C920" s="837"/>
      <c r="D920" s="57" t="s">
        <v>258</v>
      </c>
      <c r="E920" s="857" t="s">
        <v>20</v>
      </c>
      <c r="F920" s="857" t="s">
        <v>20</v>
      </c>
      <c r="G920" s="857" t="s">
        <v>20</v>
      </c>
      <c r="H920" s="857" t="s">
        <v>20</v>
      </c>
      <c r="I920" s="857" t="s">
        <v>20</v>
      </c>
      <c r="J920" s="857" t="s">
        <v>20</v>
      </c>
      <c r="K920" s="857" t="s">
        <v>20</v>
      </c>
      <c r="L920" s="857" t="s">
        <v>20</v>
      </c>
      <c r="M920" s="857" t="s">
        <v>20</v>
      </c>
      <c r="N920" s="857" t="s">
        <v>20</v>
      </c>
      <c r="O920" s="835"/>
      <c r="P920" s="828"/>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row>
    <row r="921" spans="1:49" s="193" customFormat="1" ht="12.95" hidden="1" customHeight="1" outlineLevel="1" x14ac:dyDescent="0.2">
      <c r="A921" s="820"/>
      <c r="B921" s="833"/>
      <c r="C921" s="837"/>
      <c r="D921" s="57" t="s">
        <v>259</v>
      </c>
      <c r="E921" s="857">
        <v>4100</v>
      </c>
      <c r="F921" s="857">
        <v>4200</v>
      </c>
      <c r="G921" s="857">
        <v>4300</v>
      </c>
      <c r="H921" s="857">
        <v>4400</v>
      </c>
      <c r="I921" s="857">
        <v>4500</v>
      </c>
      <c r="J921" s="857">
        <v>4600</v>
      </c>
      <c r="K921" s="857">
        <v>4700</v>
      </c>
      <c r="L921" s="857">
        <v>4800</v>
      </c>
      <c r="M921" s="857">
        <v>4900</v>
      </c>
      <c r="N921" s="857">
        <v>5000</v>
      </c>
      <c r="O921" s="835"/>
      <c r="P921" s="828"/>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row>
    <row r="922" spans="1:49" s="193" customFormat="1" ht="12.95" hidden="1" customHeight="1" outlineLevel="1" x14ac:dyDescent="0.2">
      <c r="A922" s="820"/>
      <c r="B922" s="833"/>
      <c r="C922" s="837"/>
      <c r="D922" s="57" t="s">
        <v>260</v>
      </c>
      <c r="E922" s="857" t="s">
        <v>20</v>
      </c>
      <c r="F922" s="857" t="s">
        <v>20</v>
      </c>
      <c r="G922" s="857" t="s">
        <v>20</v>
      </c>
      <c r="H922" s="857" t="s">
        <v>20</v>
      </c>
      <c r="I922" s="857" t="s">
        <v>20</v>
      </c>
      <c r="J922" s="857" t="s">
        <v>20</v>
      </c>
      <c r="K922" s="857" t="s">
        <v>20</v>
      </c>
      <c r="L922" s="857" t="s">
        <v>20</v>
      </c>
      <c r="M922" s="857" t="s">
        <v>20</v>
      </c>
      <c r="N922" s="857" t="s">
        <v>20</v>
      </c>
      <c r="O922" s="835"/>
      <c r="P922" s="828"/>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row>
    <row r="923" spans="1:49" s="193" customFormat="1" ht="12.95" hidden="1" customHeight="1" outlineLevel="1" x14ac:dyDescent="0.2">
      <c r="A923" s="820"/>
      <c r="B923" s="833"/>
      <c r="C923" s="837"/>
      <c r="D923" s="57" t="s">
        <v>261</v>
      </c>
      <c r="E923" s="857">
        <v>7100</v>
      </c>
      <c r="F923" s="857">
        <v>7200</v>
      </c>
      <c r="G923" s="857">
        <v>7300</v>
      </c>
      <c r="H923" s="857">
        <v>7400</v>
      </c>
      <c r="I923" s="857">
        <v>7500</v>
      </c>
      <c r="J923" s="857">
        <v>7600</v>
      </c>
      <c r="K923" s="857">
        <v>7700</v>
      </c>
      <c r="L923" s="857">
        <v>7800</v>
      </c>
      <c r="M923" s="857">
        <v>7900</v>
      </c>
      <c r="N923" s="857">
        <v>8000</v>
      </c>
      <c r="O923" s="835"/>
      <c r="P923" s="828"/>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row>
    <row r="924" spans="1:49" s="193" customFormat="1" ht="12.95" hidden="1" customHeight="1" outlineLevel="1" x14ac:dyDescent="0.2">
      <c r="A924" s="820"/>
      <c r="B924" s="833"/>
      <c r="C924" s="837"/>
      <c r="D924" s="57" t="s">
        <v>262</v>
      </c>
      <c r="E924" s="857" t="s">
        <v>20</v>
      </c>
      <c r="F924" s="857" t="s">
        <v>20</v>
      </c>
      <c r="G924" s="857" t="s">
        <v>20</v>
      </c>
      <c r="H924" s="857" t="s">
        <v>20</v>
      </c>
      <c r="I924" s="857" t="s">
        <v>20</v>
      </c>
      <c r="J924" s="857" t="s">
        <v>20</v>
      </c>
      <c r="K924" s="857" t="s">
        <v>20</v>
      </c>
      <c r="L924" s="857" t="s">
        <v>20</v>
      </c>
      <c r="M924" s="857" t="s">
        <v>20</v>
      </c>
      <c r="N924" s="857" t="s">
        <v>20</v>
      </c>
      <c r="O924" s="835"/>
      <c r="P924" s="828"/>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row>
    <row r="925" spans="1:49" s="193" customFormat="1" ht="12.95" hidden="1" customHeight="1" outlineLevel="1" x14ac:dyDescent="0.2">
      <c r="A925" s="820"/>
      <c r="B925" s="833"/>
      <c r="C925" s="837"/>
      <c r="D925" s="57" t="s">
        <v>263</v>
      </c>
      <c r="E925" s="857">
        <v>9000</v>
      </c>
      <c r="F925" s="857">
        <v>10000</v>
      </c>
      <c r="G925" s="857">
        <v>11000</v>
      </c>
      <c r="H925" s="857">
        <v>12000</v>
      </c>
      <c r="I925" s="857">
        <v>13000</v>
      </c>
      <c r="J925" s="857">
        <v>14000</v>
      </c>
      <c r="K925" s="857">
        <v>15000</v>
      </c>
      <c r="L925" s="857">
        <v>16000</v>
      </c>
      <c r="M925" s="857">
        <v>17000</v>
      </c>
      <c r="N925" s="857">
        <v>18000</v>
      </c>
      <c r="O925" s="835"/>
      <c r="P925" s="828"/>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row>
    <row r="926" spans="1:49" s="193" customFormat="1" ht="12.95" hidden="1" customHeight="1" outlineLevel="1" x14ac:dyDescent="0.2">
      <c r="A926" s="820"/>
      <c r="B926" s="833"/>
      <c r="C926" s="837"/>
      <c r="D926" s="60" t="s">
        <v>113</v>
      </c>
      <c r="E926" s="502">
        <f t="shared" ref="E926:H926" si="197">SUM(E918:E925)</f>
        <v>23400</v>
      </c>
      <c r="F926" s="502">
        <f t="shared" si="197"/>
        <v>24800</v>
      </c>
      <c r="G926" s="502">
        <f t="shared" si="197"/>
        <v>26200</v>
      </c>
      <c r="H926" s="502">
        <f t="shared" si="197"/>
        <v>27600</v>
      </c>
      <c r="I926" s="502">
        <f t="shared" ref="I926:N926" si="198">SUM(I918:I925)</f>
        <v>29000</v>
      </c>
      <c r="J926" s="502">
        <f t="shared" si="198"/>
        <v>30400</v>
      </c>
      <c r="K926" s="502">
        <f t="shared" si="198"/>
        <v>31800</v>
      </c>
      <c r="L926" s="502">
        <f t="shared" si="198"/>
        <v>33200</v>
      </c>
      <c r="M926" s="502">
        <f t="shared" si="198"/>
        <v>34600</v>
      </c>
      <c r="N926" s="502">
        <f t="shared" si="198"/>
        <v>36000</v>
      </c>
      <c r="O926" s="285" t="s">
        <v>649</v>
      </c>
      <c r="P926" s="828"/>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row>
    <row r="927" spans="1:49" s="193" customFormat="1" ht="12.75" hidden="1" outlineLevel="1" x14ac:dyDescent="0.2">
      <c r="A927" s="820"/>
      <c r="B927" s="833"/>
      <c r="C927" s="837"/>
      <c r="D927" s="501" t="str">
        <f>"Total "&amp;FleetTypeN&amp;" FLEET HM Records Generated pa"</f>
        <v>Total A350-800 FLEET HM Records Generated pa</v>
      </c>
      <c r="E927" s="503">
        <f t="shared" ref="E927:N927" si="199">E926/FleetCycleHvy_N*FleetSize_N</f>
        <v>13650</v>
      </c>
      <c r="F927" s="503">
        <f t="shared" si="199"/>
        <v>12400</v>
      </c>
      <c r="G927" s="503">
        <f t="shared" si="199"/>
        <v>11462.5</v>
      </c>
      <c r="H927" s="503">
        <f t="shared" si="199"/>
        <v>13800</v>
      </c>
      <c r="I927" s="503">
        <f t="shared" si="199"/>
        <v>14500</v>
      </c>
      <c r="J927" s="503">
        <f t="shared" si="199"/>
        <v>15200</v>
      </c>
      <c r="K927" s="503">
        <f t="shared" si="199"/>
        <v>15900</v>
      </c>
      <c r="L927" s="503">
        <f t="shared" si="199"/>
        <v>16600</v>
      </c>
      <c r="M927" s="503">
        <f t="shared" si="199"/>
        <v>17300</v>
      </c>
      <c r="N927" s="503">
        <f t="shared" si="199"/>
        <v>18000</v>
      </c>
      <c r="O927" s="285" t="s">
        <v>640</v>
      </c>
      <c r="P927" s="828"/>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row>
    <row r="928" spans="1:49" s="712" customFormat="1" ht="12.75" hidden="1" outlineLevel="1" x14ac:dyDescent="0.2">
      <c r="A928" s="820"/>
      <c r="B928" s="820"/>
      <c r="C928" s="837"/>
      <c r="D928" s="30"/>
      <c r="E928" s="30"/>
      <c r="F928" s="30"/>
      <c r="G928" s="30"/>
      <c r="H928" s="30"/>
      <c r="I928" s="30"/>
      <c r="J928" s="30"/>
      <c r="K928" s="30"/>
      <c r="L928" s="30"/>
      <c r="M928" s="30"/>
      <c r="N928" s="30"/>
      <c r="O928" s="839"/>
      <c r="P928" s="828"/>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row>
    <row r="929" spans="1:49" s="712" customFormat="1" ht="12.75" hidden="1" outlineLevel="1" x14ac:dyDescent="0.2">
      <c r="A929" s="820"/>
      <c r="B929" s="820"/>
      <c r="C929" s="837"/>
      <c r="D929" s="484" t="str">
        <f>FleetTypeN &amp;" Line Maintenance (LM)"</f>
        <v>A350-800 Line Maintenance (LM)</v>
      </c>
      <c r="E929" s="840"/>
      <c r="F929" s="840"/>
      <c r="G929" s="840"/>
      <c r="H929" s="840"/>
      <c r="I929" s="840"/>
      <c r="J929" s="840"/>
      <c r="K929" s="840"/>
      <c r="L929" s="840"/>
      <c r="M929" s="840"/>
      <c r="N929" s="840"/>
      <c r="O929" s="839"/>
      <c r="P929" s="828"/>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c r="AT929" s="180"/>
      <c r="AU929" s="180"/>
      <c r="AV929" s="180"/>
      <c r="AW929" s="180"/>
    </row>
    <row r="930" spans="1:49" s="712" customFormat="1" ht="12.75" hidden="1" outlineLevel="1" x14ac:dyDescent="0.2">
      <c r="A930" s="820"/>
      <c r="B930" s="841"/>
      <c r="C930" s="837"/>
      <c r="D930" s="233" t="str">
        <f>FleetTypeN&amp; " LM Per AIRCRAFT Records Generated pa"</f>
        <v>A350-800 LM Per AIRCRAFT Records Generated pa</v>
      </c>
      <c r="E930" s="596">
        <v>10001</v>
      </c>
      <c r="F930" s="596">
        <v>10002</v>
      </c>
      <c r="G930" s="596">
        <v>10003</v>
      </c>
      <c r="H930" s="596">
        <v>10004</v>
      </c>
      <c r="I930" s="596">
        <v>10005</v>
      </c>
      <c r="J930" s="596">
        <v>10006</v>
      </c>
      <c r="K930" s="596">
        <v>10007</v>
      </c>
      <c r="L930" s="596">
        <v>10008</v>
      </c>
      <c r="M930" s="596">
        <v>10009</v>
      </c>
      <c r="N930" s="596">
        <v>10010</v>
      </c>
      <c r="O930" s="839"/>
      <c r="P930" s="828"/>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c r="AT930" s="180"/>
      <c r="AU930" s="180"/>
      <c r="AV930" s="180"/>
      <c r="AW930" s="180"/>
    </row>
    <row r="931" spans="1:49" s="712" customFormat="1" ht="12.75" hidden="1" outlineLevel="1" x14ac:dyDescent="0.2">
      <c r="A931" s="820"/>
      <c r="B931" s="841"/>
      <c r="C931" s="843"/>
      <c r="D931" s="501" t="str">
        <f>"Total "&amp;FleetTypeN&amp;" FLEET LM Records Generated pa"</f>
        <v>Total A350-800 FLEET LM Records Generated pa</v>
      </c>
      <c r="E931" s="505">
        <f t="shared" ref="E931:N931" si="200">E930*FleetSize_N</f>
        <v>70007</v>
      </c>
      <c r="F931" s="505">
        <f t="shared" si="200"/>
        <v>70014</v>
      </c>
      <c r="G931" s="505">
        <f t="shared" si="200"/>
        <v>70021</v>
      </c>
      <c r="H931" s="505">
        <f t="shared" si="200"/>
        <v>70028</v>
      </c>
      <c r="I931" s="505">
        <f t="shared" si="200"/>
        <v>70035</v>
      </c>
      <c r="J931" s="505">
        <f t="shared" si="200"/>
        <v>70042</v>
      </c>
      <c r="K931" s="505">
        <f t="shared" si="200"/>
        <v>70049</v>
      </c>
      <c r="L931" s="505">
        <f t="shared" si="200"/>
        <v>70056</v>
      </c>
      <c r="M931" s="505">
        <f t="shared" si="200"/>
        <v>70063</v>
      </c>
      <c r="N931" s="505">
        <f t="shared" si="200"/>
        <v>70070</v>
      </c>
      <c r="O931" s="285" t="s">
        <v>641</v>
      </c>
      <c r="P931" s="828"/>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c r="AT931" s="180"/>
      <c r="AU931" s="180"/>
      <c r="AV931" s="180"/>
      <c r="AW931" s="180"/>
    </row>
    <row r="932" spans="1:49" s="712" customFormat="1" ht="12.75" hidden="1" outlineLevel="1" x14ac:dyDescent="0.2">
      <c r="A932" s="820"/>
      <c r="B932" s="820"/>
      <c r="C932" s="843"/>
      <c r="D932" s="30"/>
      <c r="E932" s="30"/>
      <c r="F932" s="30"/>
      <c r="G932" s="30"/>
      <c r="H932" s="30"/>
      <c r="I932" s="30"/>
      <c r="J932" s="30"/>
      <c r="K932" s="30"/>
      <c r="L932" s="30"/>
      <c r="M932" s="30"/>
      <c r="N932" s="30"/>
      <c r="O932" s="839"/>
      <c r="P932" s="828"/>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c r="AT932" s="180"/>
      <c r="AU932" s="180"/>
      <c r="AV932" s="180"/>
      <c r="AW932" s="180"/>
    </row>
    <row r="933" spans="1:49" s="712" customFormat="1" ht="12.75" hidden="1" outlineLevel="1" x14ac:dyDescent="0.2">
      <c r="A933" s="820"/>
      <c r="B933" s="820"/>
      <c r="C933" s="843"/>
      <c r="D933" s="484" t="str">
        <f>FleetTypeN &amp;" Engineering (Eng)"</f>
        <v>A350-800 Engineering (Eng)</v>
      </c>
      <c r="E933" s="840"/>
      <c r="F933" s="840"/>
      <c r="G933" s="840"/>
      <c r="H933" s="840"/>
      <c r="I933" s="840"/>
      <c r="J933" s="840"/>
      <c r="K933" s="840"/>
      <c r="L933" s="840"/>
      <c r="M933" s="840"/>
      <c r="N933" s="840"/>
      <c r="O933" s="839"/>
      <c r="P933" s="828"/>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c r="AT933" s="180"/>
      <c r="AU933" s="180"/>
      <c r="AV933" s="180"/>
      <c r="AW933" s="180"/>
    </row>
    <row r="934" spans="1:49" s="712" customFormat="1" ht="12.75" hidden="1" outlineLevel="1" x14ac:dyDescent="0.2">
      <c r="A934" s="820"/>
      <c r="B934" s="820"/>
      <c r="C934" s="843"/>
      <c r="D934" s="233" t="str">
        <f>FleetTypeN&amp;" Eng Per AIRCRAFT Records Generated pa"</f>
        <v>A350-800 Eng Per AIRCRAFT Records Generated pa</v>
      </c>
      <c r="E934" s="842">
        <v>11001</v>
      </c>
      <c r="F934" s="842">
        <v>11002</v>
      </c>
      <c r="G934" s="842">
        <v>11003</v>
      </c>
      <c r="H934" s="842">
        <v>11004</v>
      </c>
      <c r="I934" s="842">
        <v>11005</v>
      </c>
      <c r="J934" s="842">
        <v>11006</v>
      </c>
      <c r="K934" s="842">
        <v>11007</v>
      </c>
      <c r="L934" s="842">
        <v>11008</v>
      </c>
      <c r="M934" s="842">
        <v>11009</v>
      </c>
      <c r="N934" s="842">
        <v>11010</v>
      </c>
      <c r="O934" s="839"/>
      <c r="P934" s="828"/>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c r="AT934" s="180"/>
      <c r="AU934" s="180"/>
      <c r="AV934" s="180"/>
      <c r="AW934" s="180"/>
    </row>
    <row r="935" spans="1:49" s="712" customFormat="1" ht="15.75" hidden="1" customHeight="1" outlineLevel="1" x14ac:dyDescent="0.2">
      <c r="A935" s="820"/>
      <c r="B935" s="820"/>
      <c r="C935" s="843"/>
      <c r="D935" s="234" t="str">
        <f>"Total "&amp;FleetTypeN&amp;" FLEET Eng Records Generated pa"</f>
        <v>Total A350-800 FLEET Eng Records Generated pa</v>
      </c>
      <c r="E935" s="231">
        <f t="shared" ref="E935:N935" si="201">E934*FleetSize_N</f>
        <v>77007</v>
      </c>
      <c r="F935" s="231">
        <f t="shared" si="201"/>
        <v>77014</v>
      </c>
      <c r="G935" s="231">
        <f t="shared" si="201"/>
        <v>77021</v>
      </c>
      <c r="H935" s="231">
        <f t="shared" si="201"/>
        <v>77028</v>
      </c>
      <c r="I935" s="231">
        <f t="shared" si="201"/>
        <v>77035</v>
      </c>
      <c r="J935" s="231">
        <f t="shared" si="201"/>
        <v>77042</v>
      </c>
      <c r="K935" s="231">
        <f t="shared" si="201"/>
        <v>77049</v>
      </c>
      <c r="L935" s="231">
        <f t="shared" si="201"/>
        <v>77056</v>
      </c>
      <c r="M935" s="231">
        <f t="shared" si="201"/>
        <v>77063</v>
      </c>
      <c r="N935" s="231">
        <f t="shared" si="201"/>
        <v>77070</v>
      </c>
      <c r="O935" s="285" t="s">
        <v>896</v>
      </c>
      <c r="P935" s="828"/>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c r="AT935" s="180"/>
      <c r="AU935" s="180"/>
      <c r="AV935" s="180"/>
      <c r="AW935" s="180"/>
    </row>
    <row r="936" spans="1:49" s="712" customFormat="1" ht="15.75" hidden="1" customHeight="1" outlineLevel="1" x14ac:dyDescent="0.2">
      <c r="A936" s="820"/>
      <c r="B936" s="820"/>
      <c r="C936" s="843"/>
      <c r="D936" s="844"/>
      <c r="E936" s="845"/>
      <c r="F936" s="845"/>
      <c r="G936" s="845"/>
      <c r="H936" s="845"/>
      <c r="I936" s="845"/>
      <c r="J936" s="845"/>
      <c r="K936" s="845"/>
      <c r="L936" s="845"/>
      <c r="M936" s="845"/>
      <c r="N936" s="845"/>
      <c r="O936" s="285"/>
      <c r="P936" s="828"/>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c r="AT936" s="180"/>
      <c r="AU936" s="180"/>
      <c r="AV936" s="180"/>
      <c r="AW936" s="180"/>
    </row>
    <row r="937" spans="1:49" s="712" customFormat="1" ht="12.75" hidden="1" outlineLevel="1" x14ac:dyDescent="0.2">
      <c r="A937" s="820"/>
      <c r="B937" s="820"/>
      <c r="C937" s="843"/>
      <c r="D937" s="484" t="str">
        <f>FleetTypeN &amp;" Planning (Plg)"</f>
        <v>A350-800 Planning (Plg)</v>
      </c>
      <c r="E937" s="840"/>
      <c r="F937" s="840"/>
      <c r="G937" s="840"/>
      <c r="H937" s="840"/>
      <c r="I937" s="840"/>
      <c r="J937" s="840"/>
      <c r="K937" s="840"/>
      <c r="L937" s="840"/>
      <c r="M937" s="840"/>
      <c r="N937" s="840"/>
      <c r="O937" s="839"/>
      <c r="P937" s="828"/>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c r="AT937" s="180"/>
      <c r="AU937" s="180"/>
      <c r="AV937" s="180"/>
      <c r="AW937" s="180"/>
    </row>
    <row r="938" spans="1:49" s="712" customFormat="1" ht="12.75" hidden="1" outlineLevel="1" x14ac:dyDescent="0.2">
      <c r="A938" s="820"/>
      <c r="B938" s="820"/>
      <c r="C938" s="843"/>
      <c r="D938" s="233" t="str">
        <f>FleetTypeN&amp;" Plg AIRCRAFT Records Generated pa"</f>
        <v>A350-800 Plg AIRCRAFT Records Generated pa</v>
      </c>
      <c r="E938" s="842">
        <v>11001</v>
      </c>
      <c r="F938" s="842">
        <v>11002</v>
      </c>
      <c r="G938" s="842">
        <v>11003</v>
      </c>
      <c r="H938" s="842">
        <v>11004</v>
      </c>
      <c r="I938" s="842">
        <v>11005</v>
      </c>
      <c r="J938" s="842">
        <v>11006</v>
      </c>
      <c r="K938" s="842">
        <v>11007</v>
      </c>
      <c r="L938" s="842">
        <v>11008</v>
      </c>
      <c r="M938" s="842">
        <v>11009</v>
      </c>
      <c r="N938" s="842">
        <v>11010</v>
      </c>
      <c r="O938" s="839"/>
      <c r="P938" s="828"/>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c r="AT938" s="180"/>
      <c r="AU938" s="180"/>
      <c r="AV938" s="180"/>
      <c r="AW938" s="180"/>
    </row>
    <row r="939" spans="1:49" s="712" customFormat="1" ht="15.75" hidden="1" customHeight="1" outlineLevel="1" x14ac:dyDescent="0.2">
      <c r="A939" s="820"/>
      <c r="B939" s="820"/>
      <c r="C939" s="843"/>
      <c r="D939" s="234" t="str">
        <f>"Total "&amp;FleetTypeN&amp;" FLEET Plg Records Generated pa"</f>
        <v>Total A350-800 FLEET Plg Records Generated pa</v>
      </c>
      <c r="E939" s="231">
        <f t="shared" ref="E939:N939" si="202">E938*FleetSize_N</f>
        <v>77007</v>
      </c>
      <c r="F939" s="231">
        <f t="shared" si="202"/>
        <v>77014</v>
      </c>
      <c r="G939" s="231">
        <f t="shared" si="202"/>
        <v>77021</v>
      </c>
      <c r="H939" s="231">
        <f t="shared" si="202"/>
        <v>77028</v>
      </c>
      <c r="I939" s="231">
        <f t="shared" si="202"/>
        <v>77035</v>
      </c>
      <c r="J939" s="231">
        <f t="shared" si="202"/>
        <v>77042</v>
      </c>
      <c r="K939" s="231">
        <f t="shared" si="202"/>
        <v>77049</v>
      </c>
      <c r="L939" s="231">
        <f t="shared" si="202"/>
        <v>77056</v>
      </c>
      <c r="M939" s="231">
        <f t="shared" si="202"/>
        <v>77063</v>
      </c>
      <c r="N939" s="231">
        <f t="shared" si="202"/>
        <v>77070</v>
      </c>
      <c r="O939" s="285" t="s">
        <v>897</v>
      </c>
      <c r="P939" s="828"/>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row>
    <row r="940" spans="1:49" s="712" customFormat="1" ht="12.75" hidden="1" outlineLevel="1" x14ac:dyDescent="0.2">
      <c r="A940" s="820"/>
      <c r="B940" s="820"/>
      <c r="C940" s="843"/>
      <c r="D940" s="30"/>
      <c r="E940" s="30"/>
      <c r="F940" s="30"/>
      <c r="G940" s="30"/>
      <c r="H940" s="30"/>
      <c r="I940" s="30"/>
      <c r="J940" s="30"/>
      <c r="K940" s="30"/>
      <c r="L940" s="30"/>
      <c r="M940" s="30"/>
      <c r="N940" s="30"/>
      <c r="O940" s="839"/>
      <c r="P940" s="828"/>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c r="AT940" s="180"/>
      <c r="AU940" s="180"/>
      <c r="AV940" s="180"/>
      <c r="AW940" s="180"/>
    </row>
    <row r="941" spans="1:49" s="712" customFormat="1" ht="12.75" hidden="1" outlineLevel="1" x14ac:dyDescent="0.2">
      <c r="A941" s="820"/>
      <c r="B941" s="820"/>
      <c r="C941" s="843"/>
      <c r="D941" s="484" t="str">
        <f>FleetTypeN &amp;" Clerical, Records &amp; Tech Pubs (CRT)"</f>
        <v>A350-800 Clerical, Records &amp; Tech Pubs (CRT)</v>
      </c>
      <c r="E941" s="840"/>
      <c r="F941" s="840"/>
      <c r="G941" s="840"/>
      <c r="H941" s="840"/>
      <c r="I941" s="840"/>
      <c r="J941" s="840"/>
      <c r="K941" s="840"/>
      <c r="L941" s="840"/>
      <c r="M941" s="840"/>
      <c r="N941" s="840"/>
      <c r="O941" s="839"/>
      <c r="P941" s="828"/>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c r="AT941" s="180"/>
      <c r="AU941" s="180"/>
      <c r="AV941" s="180"/>
      <c r="AW941" s="180"/>
    </row>
    <row r="942" spans="1:49" s="712" customFormat="1" ht="12.75" hidden="1" outlineLevel="1" x14ac:dyDescent="0.2">
      <c r="A942" s="820"/>
      <c r="B942" s="820"/>
      <c r="C942" s="256"/>
      <c r="D942" s="233" t="str">
        <f>FleetTypeN&amp;" SCL Per AIRCRAFT CRT Records Generated pa"</f>
        <v>A350-800 SCL Per AIRCRAFT CRT Records Generated pa</v>
      </c>
      <c r="E942" s="596">
        <v>12001</v>
      </c>
      <c r="F942" s="596">
        <v>12002</v>
      </c>
      <c r="G942" s="596">
        <v>12003</v>
      </c>
      <c r="H942" s="596">
        <v>12004</v>
      </c>
      <c r="I942" s="596">
        <v>12005</v>
      </c>
      <c r="J942" s="596">
        <v>12006</v>
      </c>
      <c r="K942" s="596">
        <v>12007</v>
      </c>
      <c r="L942" s="596">
        <v>12008</v>
      </c>
      <c r="M942" s="596">
        <v>12009</v>
      </c>
      <c r="N942" s="596">
        <v>12010</v>
      </c>
      <c r="O942" s="839"/>
      <c r="P942" s="828"/>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c r="AT942" s="180"/>
      <c r="AU942" s="180"/>
      <c r="AV942" s="180"/>
      <c r="AW942" s="180"/>
    </row>
    <row r="943" spans="1:49" s="712" customFormat="1" ht="12.75" hidden="1" outlineLevel="1" x14ac:dyDescent="0.2">
      <c r="A943" s="820"/>
      <c r="B943" s="820"/>
      <c r="C943" s="843"/>
      <c r="D943" s="501" t="str">
        <f>"Total "&amp;FleetTypeN&amp;" FLEET CRT Records Generated pa"</f>
        <v>Total A350-800 FLEET CRT Records Generated pa</v>
      </c>
      <c r="E943" s="505">
        <f t="shared" ref="E943:N943" si="203">E942*FleetSize_N</f>
        <v>84007</v>
      </c>
      <c r="F943" s="505">
        <f t="shared" si="203"/>
        <v>84014</v>
      </c>
      <c r="G943" s="505">
        <f t="shared" si="203"/>
        <v>84021</v>
      </c>
      <c r="H943" s="505">
        <f t="shared" si="203"/>
        <v>84028</v>
      </c>
      <c r="I943" s="505">
        <f t="shared" si="203"/>
        <v>84035</v>
      </c>
      <c r="J943" s="505">
        <f t="shared" si="203"/>
        <v>84042</v>
      </c>
      <c r="K943" s="505">
        <f t="shared" si="203"/>
        <v>84049</v>
      </c>
      <c r="L943" s="505">
        <f t="shared" si="203"/>
        <v>84056</v>
      </c>
      <c r="M943" s="505">
        <f t="shared" si="203"/>
        <v>84063</v>
      </c>
      <c r="N943" s="505">
        <f t="shared" si="203"/>
        <v>84070</v>
      </c>
      <c r="O943" s="285" t="s">
        <v>642</v>
      </c>
      <c r="P943" s="828"/>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c r="AT943" s="180"/>
      <c r="AU943" s="180"/>
      <c r="AV943" s="180"/>
      <c r="AW943" s="180"/>
    </row>
    <row r="944" spans="1:49" s="712" customFormat="1" ht="12.75" hidden="1" outlineLevel="1" x14ac:dyDescent="0.2">
      <c r="A944" s="820"/>
      <c r="B944" s="820"/>
      <c r="C944" s="843"/>
      <c r="D944" s="820"/>
      <c r="E944" s="840"/>
      <c r="F944" s="840"/>
      <c r="G944" s="840"/>
      <c r="H944" s="840"/>
      <c r="I944" s="840"/>
      <c r="J944" s="840"/>
      <c r="K944" s="840"/>
      <c r="L944" s="840"/>
      <c r="M944" s="840"/>
      <c r="N944" s="840"/>
      <c r="O944" s="839"/>
      <c r="P944" s="828"/>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c r="AT944" s="180"/>
      <c r="AU944" s="180"/>
      <c r="AV944" s="180"/>
      <c r="AW944" s="180"/>
    </row>
    <row r="945" spans="1:49" s="712" customFormat="1" ht="12.75" hidden="1" outlineLevel="1" x14ac:dyDescent="0.2">
      <c r="A945" s="820"/>
      <c r="B945" s="820"/>
      <c r="C945" s="843"/>
      <c r="D945" s="484" t="str">
        <f>FleetTypeN &amp;" Supply Chain &amp; Logistics (SCL)"</f>
        <v>A350-800 Supply Chain &amp; Logistics (SCL)</v>
      </c>
      <c r="E945" s="840"/>
      <c r="F945" s="840"/>
      <c r="G945" s="840"/>
      <c r="H945" s="840"/>
      <c r="I945" s="840"/>
      <c r="J945" s="840"/>
      <c r="K945" s="840"/>
      <c r="L945" s="840"/>
      <c r="M945" s="840"/>
      <c r="N945" s="840"/>
      <c r="O945" s="839"/>
      <c r="P945" s="828"/>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c r="AT945" s="180"/>
      <c r="AU945" s="180"/>
      <c r="AV945" s="180"/>
      <c r="AW945" s="180"/>
    </row>
    <row r="946" spans="1:49" s="712" customFormat="1" ht="12.75" hidden="1" outlineLevel="1" x14ac:dyDescent="0.2">
      <c r="A946" s="820"/>
      <c r="B946" s="820"/>
      <c r="C946" s="256"/>
      <c r="D946" s="233" t="str">
        <f>FleetTypeN&amp;" SCL Per AIRCRAFT OEMV Records Generated pa"</f>
        <v>A350-800 SCL Per AIRCRAFT OEMV Records Generated pa</v>
      </c>
      <c r="E946" s="596">
        <v>13001</v>
      </c>
      <c r="F946" s="596">
        <v>13002</v>
      </c>
      <c r="G946" s="596">
        <v>13003</v>
      </c>
      <c r="H946" s="596">
        <v>13004</v>
      </c>
      <c r="I946" s="596">
        <v>13005</v>
      </c>
      <c r="J946" s="596">
        <v>13006</v>
      </c>
      <c r="K946" s="596">
        <v>13007</v>
      </c>
      <c r="L946" s="596">
        <v>13008</v>
      </c>
      <c r="M946" s="596">
        <v>13009</v>
      </c>
      <c r="N946" s="596">
        <v>13010</v>
      </c>
      <c r="O946" s="839"/>
      <c r="P946" s="828"/>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c r="AT946" s="180"/>
      <c r="AU946" s="180"/>
      <c r="AV946" s="180"/>
      <c r="AW946" s="180"/>
    </row>
    <row r="947" spans="1:49" s="712" customFormat="1" ht="12.75" hidden="1" outlineLevel="1" x14ac:dyDescent="0.2">
      <c r="A947" s="820"/>
      <c r="B947" s="820"/>
      <c r="C947" s="843"/>
      <c r="D947" s="501" t="str">
        <f>"Total "&amp;FleetTypeN&amp;" FLEET SCL Records Generated pa"</f>
        <v>Total A350-800 FLEET SCL Records Generated pa</v>
      </c>
      <c r="E947" s="505">
        <f t="shared" ref="E947:N947" si="204">E946*FleetSize_N</f>
        <v>91007</v>
      </c>
      <c r="F947" s="505">
        <f t="shared" si="204"/>
        <v>91014</v>
      </c>
      <c r="G947" s="505">
        <f t="shared" si="204"/>
        <v>91021</v>
      </c>
      <c r="H947" s="505">
        <f t="shared" si="204"/>
        <v>91028</v>
      </c>
      <c r="I947" s="505">
        <f t="shared" si="204"/>
        <v>91035</v>
      </c>
      <c r="J947" s="505">
        <f t="shared" si="204"/>
        <v>91042</v>
      </c>
      <c r="K947" s="505">
        <f t="shared" si="204"/>
        <v>91049</v>
      </c>
      <c r="L947" s="505">
        <f t="shared" si="204"/>
        <v>91056</v>
      </c>
      <c r="M947" s="505">
        <f t="shared" si="204"/>
        <v>91063</v>
      </c>
      <c r="N947" s="505">
        <f t="shared" si="204"/>
        <v>91070</v>
      </c>
      <c r="O947" s="285" t="s">
        <v>643</v>
      </c>
      <c r="P947" s="828"/>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c r="AT947" s="180"/>
      <c r="AU947" s="180"/>
      <c r="AV947" s="180"/>
      <c r="AW947" s="180"/>
    </row>
    <row r="948" spans="1:49" s="712" customFormat="1" ht="12.75" hidden="1" outlineLevel="1" x14ac:dyDescent="0.2">
      <c r="A948" s="820"/>
      <c r="B948" s="820"/>
      <c r="C948" s="846"/>
      <c r="D948" s="820"/>
      <c r="E948" s="840"/>
      <c r="F948" s="840"/>
      <c r="G948" s="840"/>
      <c r="H948" s="840"/>
      <c r="I948" s="840"/>
      <c r="J948" s="840"/>
      <c r="K948" s="840"/>
      <c r="L948" s="840"/>
      <c r="M948" s="840"/>
      <c r="N948" s="840"/>
      <c r="O948" s="839"/>
      <c r="P948" s="828"/>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c r="AT948" s="180"/>
      <c r="AU948" s="180"/>
      <c r="AV948" s="180"/>
      <c r="AW948" s="180"/>
    </row>
    <row r="949" spans="1:49" s="712" customFormat="1" ht="12.75" hidden="1" outlineLevel="1" x14ac:dyDescent="0.2">
      <c r="A949" s="820"/>
      <c r="B949" s="820"/>
      <c r="C949" s="846"/>
      <c r="D949" s="484" t="str">
        <f>FleetTypeN &amp;" Quality, Safety &amp; Compliance (QSC)"</f>
        <v>A350-800 Quality, Safety &amp; Compliance (QSC)</v>
      </c>
      <c r="E949" s="840"/>
      <c r="F949" s="840"/>
      <c r="G949" s="840"/>
      <c r="H949" s="840"/>
      <c r="I949" s="840"/>
      <c r="J949" s="840"/>
      <c r="K949" s="840"/>
      <c r="L949" s="840"/>
      <c r="M949" s="840"/>
      <c r="N949" s="840"/>
      <c r="O949" s="839"/>
      <c r="P949" s="828"/>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c r="AT949" s="180"/>
      <c r="AU949" s="180"/>
      <c r="AV949" s="180"/>
      <c r="AW949" s="180"/>
    </row>
    <row r="950" spans="1:49" s="712" customFormat="1" ht="12.75" hidden="1" outlineLevel="1" x14ac:dyDescent="0.2">
      <c r="A950" s="820"/>
      <c r="B950" s="820"/>
      <c r="C950" s="256"/>
      <c r="D950" s="233" t="str">
        <f>FleetTypeN&amp;" QSC Per AIRCRAFT Records Generated pa"</f>
        <v>A350-800 QSC Per AIRCRAFT Records Generated pa</v>
      </c>
      <c r="E950" s="596">
        <v>14001</v>
      </c>
      <c r="F950" s="596">
        <v>14002</v>
      </c>
      <c r="G950" s="596">
        <v>14003</v>
      </c>
      <c r="H950" s="596">
        <v>14004</v>
      </c>
      <c r="I950" s="596">
        <v>14005</v>
      </c>
      <c r="J950" s="596">
        <v>14006</v>
      </c>
      <c r="K950" s="596">
        <v>14007</v>
      </c>
      <c r="L950" s="596">
        <v>14008</v>
      </c>
      <c r="M950" s="596">
        <v>14009</v>
      </c>
      <c r="N950" s="596">
        <v>14010</v>
      </c>
      <c r="O950" s="839"/>
      <c r="P950" s="828"/>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c r="AT950" s="180"/>
      <c r="AU950" s="180"/>
      <c r="AV950" s="180"/>
      <c r="AW950" s="180"/>
    </row>
    <row r="951" spans="1:49" s="712" customFormat="1" ht="15.75" hidden="1" customHeight="1" outlineLevel="1" x14ac:dyDescent="0.2">
      <c r="A951" s="820"/>
      <c r="B951" s="820"/>
      <c r="C951" s="843"/>
      <c r="D951" s="501" t="str">
        <f>"Total "&amp;FleetTypeN&amp;" FLEET QSC Records Generated pa"</f>
        <v>Total A350-800 FLEET QSC Records Generated pa</v>
      </c>
      <c r="E951" s="505">
        <f t="shared" ref="E951:N951" si="205">E950*FleetSize_N</f>
        <v>98007</v>
      </c>
      <c r="F951" s="505">
        <f t="shared" si="205"/>
        <v>98014</v>
      </c>
      <c r="G951" s="505">
        <f t="shared" si="205"/>
        <v>98021</v>
      </c>
      <c r="H951" s="505">
        <f t="shared" si="205"/>
        <v>98028</v>
      </c>
      <c r="I951" s="505">
        <f t="shared" si="205"/>
        <v>98035</v>
      </c>
      <c r="J951" s="505">
        <f t="shared" si="205"/>
        <v>98042</v>
      </c>
      <c r="K951" s="505">
        <f t="shared" si="205"/>
        <v>98049</v>
      </c>
      <c r="L951" s="505">
        <f t="shared" si="205"/>
        <v>98056</v>
      </c>
      <c r="M951" s="505">
        <f t="shared" si="205"/>
        <v>98063</v>
      </c>
      <c r="N951" s="505">
        <f t="shared" si="205"/>
        <v>98070</v>
      </c>
      <c r="O951" s="285" t="s">
        <v>644</v>
      </c>
      <c r="P951" s="828"/>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c r="AT951" s="180"/>
      <c r="AU951" s="180"/>
      <c r="AV951" s="180"/>
      <c r="AW951" s="180"/>
    </row>
    <row r="952" spans="1:49" s="712" customFormat="1" ht="12.75" hidden="1" outlineLevel="1" x14ac:dyDescent="0.2">
      <c r="A952" s="820"/>
      <c r="B952" s="820"/>
      <c r="C952" s="847"/>
      <c r="D952" s="820"/>
      <c r="E952" s="840"/>
      <c r="F952" s="840"/>
      <c r="G952" s="840"/>
      <c r="H952" s="840"/>
      <c r="I952" s="840"/>
      <c r="J952" s="840"/>
      <c r="K952" s="840"/>
      <c r="L952" s="840"/>
      <c r="M952" s="840"/>
      <c r="N952" s="840"/>
      <c r="O952" s="835"/>
      <c r="P952" s="828"/>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c r="AT952" s="180"/>
      <c r="AU952" s="180"/>
      <c r="AV952" s="180"/>
      <c r="AW952" s="180"/>
    </row>
    <row r="953" spans="1:49" s="712" customFormat="1" ht="12.75" hidden="1" outlineLevel="1" x14ac:dyDescent="0.2">
      <c r="A953" s="820"/>
      <c r="B953" s="820"/>
      <c r="C953" s="847"/>
      <c r="D953" s="484" t="str">
        <f>FleetTypeN &amp;" Engine Maintenance (EM)"</f>
        <v>A350-800 Engine Maintenance (EM)</v>
      </c>
      <c r="E953" s="840"/>
      <c r="F953" s="840"/>
      <c r="G953" s="840"/>
      <c r="H953" s="840"/>
      <c r="I953" s="840"/>
      <c r="J953" s="840"/>
      <c r="K953" s="840"/>
      <c r="L953" s="840"/>
      <c r="M953" s="840"/>
      <c r="N953" s="840"/>
      <c r="O953" s="835"/>
      <c r="P953" s="828"/>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c r="AT953" s="180"/>
      <c r="AU953" s="180"/>
      <c r="AV953" s="180"/>
      <c r="AW953" s="180"/>
    </row>
    <row r="954" spans="1:49" s="712" customFormat="1" ht="12.75" hidden="1" outlineLevel="1" x14ac:dyDescent="0.2">
      <c r="A954" s="820"/>
      <c r="B954" s="820"/>
      <c r="C954" s="256"/>
      <c r="D954" s="233" t="str">
        <f>FleetTypeN&amp;" EM Per AIRCRAFT Records Generated pa"</f>
        <v>A350-800 EM Per AIRCRAFT Records Generated pa</v>
      </c>
      <c r="E954" s="596">
        <v>15001</v>
      </c>
      <c r="F954" s="596">
        <v>15002</v>
      </c>
      <c r="G954" s="596">
        <v>15003</v>
      </c>
      <c r="H954" s="596">
        <v>15004</v>
      </c>
      <c r="I954" s="596">
        <v>15005</v>
      </c>
      <c r="J954" s="596">
        <v>15006</v>
      </c>
      <c r="K954" s="596">
        <v>15007</v>
      </c>
      <c r="L954" s="596">
        <v>15008</v>
      </c>
      <c r="M954" s="596">
        <v>15009</v>
      </c>
      <c r="N954" s="596">
        <v>15010</v>
      </c>
      <c r="O954" s="835"/>
      <c r="P954" s="828"/>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c r="AT954" s="180"/>
      <c r="AU954" s="180"/>
      <c r="AV954" s="180"/>
      <c r="AW954" s="180"/>
    </row>
    <row r="955" spans="1:49" s="712" customFormat="1" ht="15.75" hidden="1" customHeight="1" outlineLevel="1" x14ac:dyDescent="0.2">
      <c r="A955" s="820"/>
      <c r="B955" s="820"/>
      <c r="C955" s="256"/>
      <c r="D955" s="501" t="str">
        <f>"Total "&amp;FleetTypeN&amp;" FLEET EM Records Generated pa"</f>
        <v>Total A350-800 FLEET EM Records Generated pa</v>
      </c>
      <c r="E955" s="505">
        <f t="shared" ref="E955:N955" si="206">E954*FleetSize_N</f>
        <v>105007</v>
      </c>
      <c r="F955" s="505">
        <f t="shared" si="206"/>
        <v>105014</v>
      </c>
      <c r="G955" s="505">
        <f t="shared" si="206"/>
        <v>105021</v>
      </c>
      <c r="H955" s="505">
        <f t="shared" si="206"/>
        <v>105028</v>
      </c>
      <c r="I955" s="505">
        <f t="shared" si="206"/>
        <v>105035</v>
      </c>
      <c r="J955" s="505">
        <f t="shared" si="206"/>
        <v>105042</v>
      </c>
      <c r="K955" s="505">
        <f t="shared" si="206"/>
        <v>105049</v>
      </c>
      <c r="L955" s="505">
        <f t="shared" si="206"/>
        <v>105056</v>
      </c>
      <c r="M955" s="505">
        <f t="shared" si="206"/>
        <v>105063</v>
      </c>
      <c r="N955" s="505">
        <f t="shared" si="206"/>
        <v>105070</v>
      </c>
      <c r="O955" s="285" t="s">
        <v>645</v>
      </c>
      <c r="P955" s="828"/>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c r="AT955" s="180"/>
      <c r="AU955" s="180"/>
      <c r="AV955" s="180"/>
      <c r="AW955" s="180"/>
    </row>
    <row r="956" spans="1:49" s="712" customFormat="1" ht="12.75" hidden="1" outlineLevel="1" x14ac:dyDescent="0.2">
      <c r="A956" s="820"/>
      <c r="B956" s="820"/>
      <c r="C956" s="256"/>
      <c r="D956" s="30"/>
      <c r="E956" s="30"/>
      <c r="F956" s="30"/>
      <c r="G956" s="30"/>
      <c r="H956" s="30"/>
      <c r="I956" s="30"/>
      <c r="J956" s="30"/>
      <c r="K956" s="30"/>
      <c r="L956" s="30"/>
      <c r="M956" s="30"/>
      <c r="N956" s="30"/>
      <c r="O956" s="839"/>
      <c r="P956" s="828"/>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c r="AT956" s="180"/>
      <c r="AU956" s="180"/>
      <c r="AV956" s="180"/>
      <c r="AW956" s="180"/>
    </row>
    <row r="957" spans="1:49" s="712" customFormat="1" ht="12.75" hidden="1" outlineLevel="1" x14ac:dyDescent="0.2">
      <c r="A957" s="820"/>
      <c r="B957" s="820"/>
      <c r="C957" s="847"/>
      <c r="D957" s="484" t="str">
        <f>FleetTypeN &amp;" Component Maintenance (CM)"</f>
        <v>A350-800 Component Maintenance (CM)</v>
      </c>
      <c r="E957" s="840"/>
      <c r="F957" s="840"/>
      <c r="G957" s="840"/>
      <c r="H957" s="840"/>
      <c r="I957" s="840"/>
      <c r="J957" s="840"/>
      <c r="K957" s="840"/>
      <c r="L957" s="840"/>
      <c r="M957" s="840"/>
      <c r="N957" s="840"/>
      <c r="O957" s="835"/>
      <c r="P957" s="828"/>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c r="AT957" s="180"/>
      <c r="AU957" s="180"/>
      <c r="AV957" s="180"/>
      <c r="AW957" s="180"/>
    </row>
    <row r="958" spans="1:49" s="712" customFormat="1" ht="12.75" hidden="1" outlineLevel="1" x14ac:dyDescent="0.2">
      <c r="A958" s="820"/>
      <c r="B958" s="820"/>
      <c r="C958" s="256"/>
      <c r="D958" s="233" t="str">
        <f>FleetTypeN&amp;" CM Per AIRCRAFT Records Generated pa"</f>
        <v>A350-800 CM Per AIRCRAFT Records Generated pa</v>
      </c>
      <c r="E958" s="596">
        <v>15001</v>
      </c>
      <c r="F958" s="596">
        <v>15002</v>
      </c>
      <c r="G958" s="596">
        <v>15003</v>
      </c>
      <c r="H958" s="596">
        <v>15004</v>
      </c>
      <c r="I958" s="596">
        <v>15005</v>
      </c>
      <c r="J958" s="596">
        <v>15006</v>
      </c>
      <c r="K958" s="596">
        <v>15007</v>
      </c>
      <c r="L958" s="596">
        <v>15008</v>
      </c>
      <c r="M958" s="596">
        <v>15009</v>
      </c>
      <c r="N958" s="596">
        <v>15010</v>
      </c>
      <c r="O958" s="835"/>
      <c r="P958" s="828"/>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c r="AT958" s="180"/>
      <c r="AU958" s="180"/>
      <c r="AV958" s="180"/>
      <c r="AW958" s="180"/>
    </row>
    <row r="959" spans="1:49" s="712" customFormat="1" ht="15.75" hidden="1" customHeight="1" outlineLevel="1" x14ac:dyDescent="0.2">
      <c r="A959" s="820"/>
      <c r="B959" s="820"/>
      <c r="C959" s="256"/>
      <c r="D959" s="501" t="str">
        <f>"Total "&amp;FleetTypeN&amp;" FLEET CM Records Generated pa"</f>
        <v>Total A350-800 FLEET CM Records Generated pa</v>
      </c>
      <c r="E959" s="505">
        <f t="shared" ref="E959:N959" si="207">E958*FleetSize_N</f>
        <v>105007</v>
      </c>
      <c r="F959" s="505">
        <f t="shared" si="207"/>
        <v>105014</v>
      </c>
      <c r="G959" s="505">
        <f t="shared" si="207"/>
        <v>105021</v>
      </c>
      <c r="H959" s="505">
        <f t="shared" si="207"/>
        <v>105028</v>
      </c>
      <c r="I959" s="505">
        <f t="shared" si="207"/>
        <v>105035</v>
      </c>
      <c r="J959" s="505">
        <f t="shared" si="207"/>
        <v>105042</v>
      </c>
      <c r="K959" s="505">
        <f t="shared" si="207"/>
        <v>105049</v>
      </c>
      <c r="L959" s="505">
        <f t="shared" si="207"/>
        <v>105056</v>
      </c>
      <c r="M959" s="505">
        <f t="shared" si="207"/>
        <v>105063</v>
      </c>
      <c r="N959" s="505">
        <f t="shared" si="207"/>
        <v>105070</v>
      </c>
      <c r="O959" s="285" t="s">
        <v>646</v>
      </c>
      <c r="P959" s="828"/>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c r="AT959" s="180"/>
      <c r="AU959" s="180"/>
      <c r="AV959" s="180"/>
      <c r="AW959" s="180"/>
    </row>
    <row r="960" spans="1:49" s="712" customFormat="1" ht="12.75" hidden="1" outlineLevel="1" x14ac:dyDescent="0.2">
      <c r="A960" s="820"/>
      <c r="B960" s="820"/>
      <c r="C960" s="256"/>
      <c r="D960" s="30"/>
      <c r="E960" s="30"/>
      <c r="F960" s="30"/>
      <c r="G960" s="30"/>
      <c r="H960" s="30"/>
      <c r="I960" s="30"/>
      <c r="J960" s="30"/>
      <c r="K960" s="30"/>
      <c r="L960" s="30"/>
      <c r="M960" s="30"/>
      <c r="N960" s="30"/>
      <c r="O960" s="839"/>
      <c r="P960" s="828"/>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c r="AT960" s="180"/>
      <c r="AU960" s="180"/>
      <c r="AV960" s="180"/>
      <c r="AW960" s="180"/>
    </row>
    <row r="961" spans="1:49" s="712" customFormat="1" ht="15.75" hidden="1" customHeight="1" outlineLevel="1" x14ac:dyDescent="0.2">
      <c r="A961" s="820"/>
      <c r="B961" s="820"/>
      <c r="C961" s="847"/>
      <c r="D961" s="484" t="str">
        <f>FleetTypeN &amp;" Sheetmetal &amp; Composite Structures (SMCS)"</f>
        <v>A350-800 Sheetmetal &amp; Composite Structures (SMCS)</v>
      </c>
      <c r="E961" s="840"/>
      <c r="F961" s="840"/>
      <c r="G961" s="840"/>
      <c r="H961" s="840"/>
      <c r="I961" s="840"/>
      <c r="J961" s="840"/>
      <c r="K961" s="840"/>
      <c r="L961" s="840"/>
      <c r="M961" s="840"/>
      <c r="N961" s="840"/>
      <c r="O961" s="835"/>
      <c r="P961" s="828"/>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c r="AT961" s="180"/>
      <c r="AU961" s="180"/>
      <c r="AV961" s="180"/>
      <c r="AW961" s="180"/>
    </row>
    <row r="962" spans="1:49" s="712" customFormat="1" ht="12.75" hidden="1" outlineLevel="1" x14ac:dyDescent="0.2">
      <c r="A962" s="820"/>
      <c r="B962" s="820"/>
      <c r="C962" s="256"/>
      <c r="D962" s="233" t="str">
        <f>FleetTypeN&amp;" SMCS Per AIRCRAFT Records Generated pa"</f>
        <v>A350-800 SMCS Per AIRCRAFT Records Generated pa</v>
      </c>
      <c r="E962" s="596">
        <v>15001</v>
      </c>
      <c r="F962" s="596">
        <v>15002</v>
      </c>
      <c r="G962" s="596">
        <v>15003</v>
      </c>
      <c r="H962" s="596">
        <v>15004</v>
      </c>
      <c r="I962" s="596">
        <v>15005</v>
      </c>
      <c r="J962" s="596">
        <v>15006</v>
      </c>
      <c r="K962" s="596">
        <v>15007</v>
      </c>
      <c r="L962" s="596">
        <v>15008</v>
      </c>
      <c r="M962" s="596">
        <v>15009</v>
      </c>
      <c r="N962" s="596">
        <v>15010</v>
      </c>
      <c r="O962" s="835"/>
      <c r="P962" s="828"/>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c r="AT962" s="180"/>
      <c r="AU962" s="180"/>
      <c r="AV962" s="180"/>
      <c r="AW962" s="180"/>
    </row>
    <row r="963" spans="1:49" s="712" customFormat="1" ht="15.75" hidden="1" customHeight="1" outlineLevel="1" x14ac:dyDescent="0.2">
      <c r="A963" s="820"/>
      <c r="B963" s="820"/>
      <c r="C963" s="256"/>
      <c r="D963" s="501" t="str">
        <f>"Total "&amp;FleetTypeN&amp;" FLEET SMCS Records Generated pa"</f>
        <v>Total A350-800 FLEET SMCS Records Generated pa</v>
      </c>
      <c r="E963" s="505">
        <f t="shared" ref="E963:N963" si="208">E962*FleetSize_N</f>
        <v>105007</v>
      </c>
      <c r="F963" s="505">
        <f t="shared" si="208"/>
        <v>105014</v>
      </c>
      <c r="G963" s="505">
        <f t="shared" si="208"/>
        <v>105021</v>
      </c>
      <c r="H963" s="505">
        <f t="shared" si="208"/>
        <v>105028</v>
      </c>
      <c r="I963" s="505">
        <f t="shared" si="208"/>
        <v>105035</v>
      </c>
      <c r="J963" s="505">
        <f t="shared" si="208"/>
        <v>105042</v>
      </c>
      <c r="K963" s="505">
        <f t="shared" si="208"/>
        <v>105049</v>
      </c>
      <c r="L963" s="505">
        <f t="shared" si="208"/>
        <v>105056</v>
      </c>
      <c r="M963" s="505">
        <f t="shared" si="208"/>
        <v>105063</v>
      </c>
      <c r="N963" s="505">
        <f t="shared" si="208"/>
        <v>105070</v>
      </c>
      <c r="O963" s="285" t="s">
        <v>647</v>
      </c>
      <c r="P963" s="828"/>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c r="AT963" s="180"/>
      <c r="AU963" s="180"/>
      <c r="AV963" s="180"/>
      <c r="AW963" s="180"/>
    </row>
    <row r="964" spans="1:49" s="712" customFormat="1" ht="12.75" hidden="1" outlineLevel="1" x14ac:dyDescent="0.2">
      <c r="A964" s="820"/>
      <c r="B964" s="820"/>
      <c r="C964" s="256"/>
      <c r="D964" s="30"/>
      <c r="E964" s="30"/>
      <c r="F964" s="30"/>
      <c r="G964" s="30"/>
      <c r="H964" s="30"/>
      <c r="I964" s="30"/>
      <c r="J964" s="30"/>
      <c r="K964" s="30"/>
      <c r="L964" s="30"/>
      <c r="M964" s="30"/>
      <c r="N964" s="30"/>
      <c r="O964" s="839"/>
      <c r="P964" s="828"/>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c r="AT964" s="180"/>
      <c r="AU964" s="180"/>
      <c r="AV964" s="180"/>
      <c r="AW964" s="180"/>
    </row>
    <row r="965" spans="1:49" s="712" customFormat="1" ht="12.75" hidden="1" outlineLevel="1" x14ac:dyDescent="0.2">
      <c r="A965" s="820"/>
      <c r="B965" s="820"/>
      <c r="C965" s="847"/>
      <c r="D965" s="484" t="str">
        <f>FleetTypeN &amp;" Other 1 (O1)"</f>
        <v>A350-800 Other 1 (O1)</v>
      </c>
      <c r="E965" s="840"/>
      <c r="F965" s="840"/>
      <c r="G965" s="840"/>
      <c r="H965" s="840"/>
      <c r="I965" s="840"/>
      <c r="J965" s="840"/>
      <c r="K965" s="840"/>
      <c r="L965" s="840"/>
      <c r="M965" s="840"/>
      <c r="N965" s="840"/>
      <c r="O965" s="835"/>
      <c r="P965" s="828"/>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row>
    <row r="966" spans="1:49" s="712" customFormat="1" ht="12.75" hidden="1" outlineLevel="1" x14ac:dyDescent="0.2">
      <c r="A966" s="820"/>
      <c r="B966" s="820"/>
      <c r="C966" s="256"/>
      <c r="D966" s="233" t="str">
        <f>FleetTypeN&amp;" O1 Per AIRCRAFT Records Generated pa"</f>
        <v>A350-800 O1 Per AIRCRAFT Records Generated pa</v>
      </c>
      <c r="E966" s="596">
        <v>15001</v>
      </c>
      <c r="F966" s="596">
        <v>15002</v>
      </c>
      <c r="G966" s="596">
        <v>15003</v>
      </c>
      <c r="H966" s="596">
        <v>15004</v>
      </c>
      <c r="I966" s="596">
        <v>15005</v>
      </c>
      <c r="J966" s="596">
        <v>15006</v>
      </c>
      <c r="K966" s="596">
        <v>15007</v>
      </c>
      <c r="L966" s="596">
        <v>15008</v>
      </c>
      <c r="M966" s="596">
        <v>15009</v>
      </c>
      <c r="N966" s="596">
        <v>15010</v>
      </c>
      <c r="O966" s="835"/>
      <c r="P966" s="828"/>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c r="AT966" s="180"/>
      <c r="AU966" s="180"/>
      <c r="AV966" s="180"/>
      <c r="AW966" s="180"/>
    </row>
    <row r="967" spans="1:49" s="712" customFormat="1" ht="15.75" hidden="1" customHeight="1" outlineLevel="1" x14ac:dyDescent="0.2">
      <c r="A967" s="820"/>
      <c r="B967" s="820"/>
      <c r="C967" s="256"/>
      <c r="D967" s="501" t="str">
        <f>"Total "&amp;FleetTypeN&amp;" FLEET O1 Records Generated pa"</f>
        <v>Total A350-800 FLEET O1 Records Generated pa</v>
      </c>
      <c r="E967" s="505">
        <f t="shared" ref="E967:N967" si="209">E966*FleetSize_N</f>
        <v>105007</v>
      </c>
      <c r="F967" s="505">
        <f t="shared" si="209"/>
        <v>105014</v>
      </c>
      <c r="G967" s="505">
        <f t="shared" si="209"/>
        <v>105021</v>
      </c>
      <c r="H967" s="505">
        <f t="shared" si="209"/>
        <v>105028</v>
      </c>
      <c r="I967" s="505">
        <f t="shared" si="209"/>
        <v>105035</v>
      </c>
      <c r="J967" s="505">
        <f t="shared" si="209"/>
        <v>105042</v>
      </c>
      <c r="K967" s="505">
        <f t="shared" si="209"/>
        <v>105049</v>
      </c>
      <c r="L967" s="505">
        <f t="shared" si="209"/>
        <v>105056</v>
      </c>
      <c r="M967" s="505">
        <f t="shared" si="209"/>
        <v>105063</v>
      </c>
      <c r="N967" s="505">
        <f t="shared" si="209"/>
        <v>105070</v>
      </c>
      <c r="O967" s="285" t="s">
        <v>648</v>
      </c>
      <c r="P967" s="828"/>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c r="AT967" s="180"/>
      <c r="AU967" s="180"/>
      <c r="AV967" s="180"/>
      <c r="AW967" s="180"/>
    </row>
    <row r="968" spans="1:49" s="712" customFormat="1" ht="12.75" hidden="1" outlineLevel="1" x14ac:dyDescent="0.2">
      <c r="A968" s="820"/>
      <c r="B968" s="820"/>
      <c r="C968" s="256"/>
      <c r="D968" s="30"/>
      <c r="E968" s="30"/>
      <c r="F968" s="30"/>
      <c r="G968" s="30"/>
      <c r="H968" s="30"/>
      <c r="I968" s="30"/>
      <c r="J968" s="30"/>
      <c r="K968" s="30"/>
      <c r="L968" s="30"/>
      <c r="M968" s="30"/>
      <c r="N968" s="30"/>
      <c r="O968" s="839"/>
      <c r="P968" s="828"/>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c r="AT968" s="180"/>
      <c r="AU968" s="180"/>
      <c r="AV968" s="180"/>
      <c r="AW968" s="180"/>
    </row>
    <row r="969" spans="1:49" s="712" customFormat="1" ht="12.75" hidden="1" outlineLevel="1" x14ac:dyDescent="0.2">
      <c r="A969" s="820"/>
      <c r="B969" s="820"/>
      <c r="C969" s="847"/>
      <c r="D969" s="484" t="str">
        <f>FleetTypeN &amp;" Other 2 (O2)"</f>
        <v>A350-800 Other 2 (O2)</v>
      </c>
      <c r="E969" s="840"/>
      <c r="F969" s="840"/>
      <c r="G969" s="840"/>
      <c r="H969" s="840"/>
      <c r="I969" s="840"/>
      <c r="J969" s="840"/>
      <c r="K969" s="840"/>
      <c r="L969" s="840"/>
      <c r="M969" s="840"/>
      <c r="N969" s="840"/>
      <c r="O969" s="835"/>
      <c r="P969" s="828"/>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c r="AT969" s="180"/>
      <c r="AU969" s="180"/>
      <c r="AV969" s="180"/>
      <c r="AW969" s="180"/>
    </row>
    <row r="970" spans="1:49" s="712" customFormat="1" ht="12.75" hidden="1" outlineLevel="1" x14ac:dyDescent="0.2">
      <c r="A970" s="820"/>
      <c r="B970" s="820"/>
      <c r="C970" s="256"/>
      <c r="D970" s="233" t="str">
        <f>FleetTypeN&amp;" O2 Per AIRCRAFT Records Generated pa"</f>
        <v>A350-800 O2 Per AIRCRAFT Records Generated pa</v>
      </c>
      <c r="E970" s="596">
        <v>15001</v>
      </c>
      <c r="F970" s="596">
        <v>15002</v>
      </c>
      <c r="G970" s="596">
        <v>15003</v>
      </c>
      <c r="H970" s="596">
        <v>15004</v>
      </c>
      <c r="I970" s="596">
        <v>15005</v>
      </c>
      <c r="J970" s="596">
        <v>15006</v>
      </c>
      <c r="K970" s="596">
        <v>15007</v>
      </c>
      <c r="L970" s="596">
        <v>15008</v>
      </c>
      <c r="M970" s="596">
        <v>15009</v>
      </c>
      <c r="N970" s="596">
        <v>15010</v>
      </c>
      <c r="O970" s="835"/>
      <c r="P970" s="828"/>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c r="AT970" s="180"/>
      <c r="AU970" s="180"/>
      <c r="AV970" s="180"/>
      <c r="AW970" s="180"/>
    </row>
    <row r="971" spans="1:49" s="712" customFormat="1" ht="15.75" hidden="1" customHeight="1" outlineLevel="1" x14ac:dyDescent="0.2">
      <c r="A971" s="820"/>
      <c r="B971" s="820"/>
      <c r="C971" s="256"/>
      <c r="D971" s="501" t="str">
        <f>"Total "&amp;FleetTypeN&amp;" FLEET O2 Records Generated pa"</f>
        <v>Total A350-800 FLEET O2 Records Generated pa</v>
      </c>
      <c r="E971" s="505">
        <f t="shared" ref="E971:N971" si="210">E970*FleetSize_N</f>
        <v>105007</v>
      </c>
      <c r="F971" s="505">
        <f t="shared" si="210"/>
        <v>105014</v>
      </c>
      <c r="G971" s="505">
        <f t="shared" si="210"/>
        <v>105021</v>
      </c>
      <c r="H971" s="505">
        <f t="shared" si="210"/>
        <v>105028</v>
      </c>
      <c r="I971" s="505">
        <f t="shared" si="210"/>
        <v>105035</v>
      </c>
      <c r="J971" s="505">
        <f t="shared" si="210"/>
        <v>105042</v>
      </c>
      <c r="K971" s="505">
        <f t="shared" si="210"/>
        <v>105049</v>
      </c>
      <c r="L971" s="505">
        <f t="shared" si="210"/>
        <v>105056</v>
      </c>
      <c r="M971" s="505">
        <f t="shared" si="210"/>
        <v>105063</v>
      </c>
      <c r="N971" s="505">
        <f t="shared" si="210"/>
        <v>105070</v>
      </c>
      <c r="O971" s="285" t="s">
        <v>650</v>
      </c>
      <c r="P971" s="828"/>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c r="AT971" s="180"/>
      <c r="AU971" s="180"/>
      <c r="AV971" s="180"/>
      <c r="AW971" s="180"/>
    </row>
    <row r="972" spans="1:49" s="712" customFormat="1" ht="12.75" hidden="1" outlineLevel="1" x14ac:dyDescent="0.2">
      <c r="A972" s="820"/>
      <c r="B972" s="820"/>
      <c r="C972" s="256"/>
      <c r="D972" s="30"/>
      <c r="E972" s="30"/>
      <c r="F972" s="30"/>
      <c r="G972" s="30"/>
      <c r="H972" s="30"/>
      <c r="I972" s="30"/>
      <c r="J972" s="30"/>
      <c r="K972" s="30"/>
      <c r="L972" s="30"/>
      <c r="M972" s="30"/>
      <c r="N972" s="30"/>
      <c r="O972" s="839"/>
      <c r="P972" s="828"/>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c r="AT972" s="180"/>
      <c r="AU972" s="180"/>
      <c r="AV972" s="180"/>
      <c r="AW972" s="180"/>
    </row>
    <row r="973" spans="1:49" s="712" customFormat="1" ht="21.75" hidden="1" customHeight="1" outlineLevel="1" x14ac:dyDescent="0.2">
      <c r="A973" s="820"/>
      <c r="B973" s="820"/>
      <c r="C973" s="848"/>
      <c r="D973" s="849" t="str">
        <f>"Grand Total ("&amp;(FleetTypeN)&amp;") "&amp;"Records Generated pa"</f>
        <v>Grand Total (A350-800) Records Generated pa</v>
      </c>
      <c r="E973" s="714">
        <f t="shared" ref="E973:N973" si="211">SUM(RecordsHMFleetTotalpa_N+RecordsLMFleetTotalpa_N+RecordsEngFleetTotalpa_N+RecordsPlgFleetTotalpa_N+RecordsCRTFleetTotalpa_N+RecordsSCLFleetTotalpa_N+RecordsQSCFleetTotalpa_N+RecordsEMFleetTotalpa_N+RecordsCMFleetTotalpa_N+RecordsSMCSFleetTotalpa_N+RecordsO1FleetTotalpa_N+RecordsO2FleetTotalpa_N)</f>
        <v>1035727</v>
      </c>
      <c r="F973" s="714">
        <f t="shared" si="211"/>
        <v>1034554</v>
      </c>
      <c r="G973" s="714">
        <f t="shared" si="211"/>
        <v>1033693.5</v>
      </c>
      <c r="H973" s="714">
        <f t="shared" si="211"/>
        <v>1036108</v>
      </c>
      <c r="I973" s="714">
        <f t="shared" si="211"/>
        <v>1036885</v>
      </c>
      <c r="J973" s="714">
        <f t="shared" si="211"/>
        <v>1037662</v>
      </c>
      <c r="K973" s="714">
        <f t="shared" si="211"/>
        <v>1038439</v>
      </c>
      <c r="L973" s="714">
        <f t="shared" si="211"/>
        <v>1039216</v>
      </c>
      <c r="M973" s="714">
        <f t="shared" si="211"/>
        <v>1039993</v>
      </c>
      <c r="N973" s="714">
        <f t="shared" si="211"/>
        <v>1040770</v>
      </c>
      <c r="O973" s="285" t="s">
        <v>651</v>
      </c>
      <c r="P973" s="828"/>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c r="AT973" s="180"/>
      <c r="AU973" s="180"/>
      <c r="AV973" s="180"/>
      <c r="AW973" s="180"/>
    </row>
    <row r="974" spans="1:49" s="193" customFormat="1" ht="12.75" hidden="1" outlineLevel="1" x14ac:dyDescent="0.2">
      <c r="A974" s="820"/>
      <c r="B974" s="833"/>
      <c r="C974" s="837"/>
      <c r="D974" s="30"/>
      <c r="E974" s="833"/>
      <c r="F974" s="833"/>
      <c r="G974" s="833"/>
      <c r="H974" s="833"/>
      <c r="I974" s="833"/>
      <c r="J974" s="833"/>
      <c r="K974" s="833"/>
      <c r="L974" s="833"/>
      <c r="M974" s="833"/>
      <c r="N974" s="833"/>
      <c r="O974" s="861"/>
      <c r="P974" s="828"/>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row>
    <row r="975" spans="1:49" s="193" customFormat="1" ht="13.5" hidden="1" outlineLevel="1" thickBot="1" x14ac:dyDescent="0.25">
      <c r="A975" s="820"/>
      <c r="B975" s="833"/>
      <c r="C975" s="858"/>
      <c r="D975" s="529"/>
      <c r="E975" s="859"/>
      <c r="F975" s="859"/>
      <c r="G975" s="859"/>
      <c r="H975" s="859"/>
      <c r="I975" s="859"/>
      <c r="J975" s="859"/>
      <c r="K975" s="859"/>
      <c r="L975" s="859"/>
      <c r="M975" s="859"/>
      <c r="N975" s="859"/>
      <c r="O975" s="860"/>
      <c r="P975" s="828"/>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row>
    <row r="976" spans="1:49" s="193" customFormat="1" ht="12.75" hidden="1" outlineLevel="1" x14ac:dyDescent="0.2">
      <c r="A976" s="820"/>
      <c r="B976" s="833"/>
      <c r="C976" s="833"/>
      <c r="D976" s="30"/>
      <c r="E976" s="833"/>
      <c r="F976" s="833"/>
      <c r="G976" s="833"/>
      <c r="H976" s="833"/>
      <c r="I976" s="833"/>
      <c r="J976" s="833"/>
      <c r="K976" s="833"/>
      <c r="L976" s="833"/>
      <c r="M976" s="833"/>
      <c r="N976" s="833"/>
      <c r="O976" s="833"/>
      <c r="P976" s="828"/>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row>
    <row r="977" spans="1:49" s="122" customFormat="1" ht="15.75" collapsed="1" x14ac:dyDescent="0.2">
      <c r="A977" s="1043">
        <v>16</v>
      </c>
      <c r="B977" s="1039"/>
      <c r="C977" s="1039"/>
      <c r="D977" s="1039"/>
      <c r="E977" s="1039"/>
      <c r="F977" s="1039"/>
      <c r="G977" s="1039"/>
      <c r="H977" s="1039"/>
      <c r="I977" s="1039"/>
      <c r="J977" s="1039"/>
      <c r="K977" s="1039"/>
      <c r="L977" s="1039"/>
      <c r="M977" s="1039"/>
      <c r="N977" s="1039"/>
      <c r="O977" s="1039"/>
      <c r="P977" s="206"/>
      <c r="Q977" s="206"/>
      <c r="R977" s="206"/>
      <c r="S977" s="206"/>
      <c r="T977" s="206"/>
      <c r="U977" s="206"/>
      <c r="V977" s="206"/>
      <c r="W977" s="206"/>
      <c r="X977" s="206"/>
      <c r="Y977" s="206"/>
      <c r="Z977" s="206"/>
      <c r="AA977" s="206"/>
      <c r="AB977" s="206"/>
      <c r="AC977" s="206"/>
      <c r="AD977" s="206"/>
      <c r="AE977" s="206"/>
      <c r="AF977" s="206"/>
      <c r="AG977" s="206"/>
      <c r="AH977" s="206"/>
      <c r="AI977" s="206"/>
      <c r="AJ977" s="206"/>
      <c r="AK977" s="206"/>
      <c r="AL977" s="206"/>
      <c r="AM977" s="206"/>
      <c r="AN977" s="206"/>
      <c r="AO977" s="206"/>
      <c r="AP977" s="206"/>
      <c r="AQ977" s="206"/>
      <c r="AR977" s="206"/>
      <c r="AS977" s="206"/>
      <c r="AT977" s="206"/>
      <c r="AU977" s="206"/>
      <c r="AV977" s="206"/>
      <c r="AW977" s="206"/>
    </row>
    <row r="978" spans="1:49" s="712" customFormat="1" ht="13.5" thickBot="1" x14ac:dyDescent="0.25">
      <c r="A978" s="820"/>
      <c r="B978" s="180"/>
      <c r="C978" s="852"/>
      <c r="D978" s="820"/>
      <c r="E978" s="840"/>
      <c r="F978" s="840"/>
      <c r="G978" s="840"/>
      <c r="H978" s="840"/>
      <c r="I978" s="840"/>
      <c r="J978" s="840"/>
      <c r="K978" s="840"/>
      <c r="L978" s="840"/>
      <c r="M978" s="840"/>
      <c r="N978" s="840"/>
      <c r="O978" s="828"/>
      <c r="P978" s="828"/>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c r="AT978" s="180"/>
      <c r="AU978" s="180"/>
      <c r="AV978" s="180"/>
      <c r="AW978" s="180"/>
    </row>
    <row r="979" spans="1:49" s="712" customFormat="1" ht="31.5" x14ac:dyDescent="0.2">
      <c r="A979" s="1342" t="str">
        <f>"Purpose - To calculate Total Records generated by 'FleetTypeO'          " &amp; (FleetTypeO)</f>
        <v>Purpose - To calculate Total Records generated by 'FleetTypeO'          A350-900</v>
      </c>
      <c r="B979" s="180"/>
      <c r="C979" s="1343" t="str">
        <f>FleetTypeO &amp;" (FleetTypeO) Records
Generated pa"</f>
        <v>A350-900 (FleetTypeO) Records
Generated pa</v>
      </c>
      <c r="D979" s="853"/>
      <c r="E979" s="853"/>
      <c r="F979" s="853"/>
      <c r="G979" s="853"/>
      <c r="H979" s="853"/>
      <c r="I979" s="853"/>
      <c r="J979" s="853"/>
      <c r="K979" s="853"/>
      <c r="L979" s="853"/>
      <c r="M979" s="853"/>
      <c r="N979" s="853"/>
      <c r="O979" s="854"/>
      <c r="P979" s="828"/>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row>
    <row r="980" spans="1:49" s="193" customFormat="1" ht="12.75" x14ac:dyDescent="0.2">
      <c r="A980" s="820"/>
      <c r="B980" s="833"/>
      <c r="C980" s="833"/>
      <c r="D980" s="30"/>
      <c r="E980" s="833"/>
      <c r="F980" s="833"/>
      <c r="G980" s="833"/>
      <c r="H980" s="833"/>
      <c r="I980" s="833"/>
      <c r="J980" s="833"/>
      <c r="K980" s="833"/>
      <c r="L980" s="833"/>
      <c r="M980" s="833"/>
      <c r="N980" s="833"/>
      <c r="O980" s="833"/>
      <c r="P980" s="828"/>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row>
    <row r="981" spans="1:49" s="192" customFormat="1" ht="13.5" hidden="1" outlineLevel="1" collapsed="1" thickBot="1" x14ac:dyDescent="0.25">
      <c r="A981" s="820"/>
      <c r="B981" s="833"/>
      <c r="C981" s="820"/>
      <c r="D981" s="30"/>
      <c r="E981" s="30"/>
      <c r="F981" s="30"/>
      <c r="G981" s="30"/>
      <c r="H981" s="30"/>
      <c r="I981" s="30"/>
      <c r="J981" s="30"/>
      <c r="K981" s="30"/>
      <c r="L981" s="30"/>
      <c r="M981" s="30"/>
      <c r="N981" s="30"/>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row>
    <row r="982" spans="1:49" s="193" customFormat="1" ht="15.75" hidden="1" customHeight="1" outlineLevel="1" x14ac:dyDescent="0.2">
      <c r="A982" s="820"/>
      <c r="B982" s="833"/>
      <c r="C982" s="1106"/>
      <c r="D982" s="804"/>
      <c r="E982" s="804"/>
      <c r="F982" s="804"/>
      <c r="G982" s="804"/>
      <c r="H982" s="804"/>
      <c r="I982" s="804"/>
      <c r="J982" s="804"/>
      <c r="K982" s="804"/>
      <c r="L982" s="804"/>
      <c r="M982" s="804"/>
      <c r="N982" s="804"/>
      <c r="O982" s="1110"/>
      <c r="P982" s="828"/>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row>
    <row r="983" spans="1:49" s="193" customFormat="1" ht="20.25" hidden="1" customHeight="1" outlineLevel="1" x14ac:dyDescent="0.2">
      <c r="A983" s="820"/>
      <c r="B983" s="833"/>
      <c r="C983" s="256"/>
      <c r="D983" s="484" t="str">
        <f>FleetTypeO &amp;" Heavy Maintenance (HM)"</f>
        <v>A350-900 Heavy Maintenance (HM)</v>
      </c>
      <c r="E983" s="820"/>
      <c r="F983" s="39"/>
      <c r="G983" s="822"/>
      <c r="H983" s="822"/>
      <c r="I983" s="822"/>
      <c r="J983" s="822"/>
      <c r="K983" s="822"/>
      <c r="L983" s="822"/>
      <c r="M983" s="822"/>
      <c r="N983" s="822"/>
      <c r="O983" s="829"/>
      <c r="P983" s="828"/>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row>
    <row r="984" spans="1:49" s="193" customFormat="1" ht="15" hidden="1" customHeight="1" outlineLevel="1" x14ac:dyDescent="0.2">
      <c r="A984" s="820"/>
      <c r="B984" s="833"/>
      <c r="C984" s="831"/>
      <c r="D984" s="501" t="str">
        <f>FleetTypeO&amp;" HM Cycle (Years)"</f>
        <v>A350-900 HM Cycle (Years)</v>
      </c>
      <c r="E984" s="855">
        <v>12</v>
      </c>
      <c r="F984" s="855">
        <v>14</v>
      </c>
      <c r="G984" s="855">
        <v>16</v>
      </c>
      <c r="H984" s="855">
        <v>14</v>
      </c>
      <c r="I984" s="855">
        <v>14</v>
      </c>
      <c r="J984" s="855">
        <v>14</v>
      </c>
      <c r="K984" s="855">
        <v>14</v>
      </c>
      <c r="L984" s="855">
        <v>14</v>
      </c>
      <c r="M984" s="855">
        <v>14</v>
      </c>
      <c r="N984" s="855">
        <v>14</v>
      </c>
      <c r="O984" s="257" t="s">
        <v>652</v>
      </c>
      <c r="P984" s="828"/>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row>
    <row r="985" spans="1:49" s="193" customFormat="1" ht="12.95" hidden="1" customHeight="1" outlineLevel="1" x14ac:dyDescent="0.2">
      <c r="A985" s="820"/>
      <c r="B985" s="833"/>
      <c r="C985" s="834"/>
      <c r="D985" s="820"/>
      <c r="E985" s="833"/>
      <c r="F985" s="833"/>
      <c r="G985" s="833"/>
      <c r="H985" s="833"/>
      <c r="I985" s="833"/>
      <c r="J985" s="833"/>
      <c r="K985" s="833"/>
      <c r="L985" s="833"/>
      <c r="M985" s="833"/>
      <c r="N985" s="833"/>
      <c r="O985" s="835"/>
      <c r="P985" s="828"/>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row>
    <row r="986" spans="1:49" s="193" customFormat="1" ht="12.75" hidden="1" customHeight="1" outlineLevel="1" x14ac:dyDescent="0.2">
      <c r="A986" s="820"/>
      <c r="B986" s="833"/>
      <c r="C986" s="256"/>
      <c r="D986" s="57" t="s">
        <v>256</v>
      </c>
      <c r="E986" s="856">
        <v>1100</v>
      </c>
      <c r="F986" s="856">
        <v>1200</v>
      </c>
      <c r="G986" s="856">
        <v>1300</v>
      </c>
      <c r="H986" s="856">
        <v>1400</v>
      </c>
      <c r="I986" s="856">
        <v>1500</v>
      </c>
      <c r="J986" s="856">
        <v>1600</v>
      </c>
      <c r="K986" s="856">
        <v>1700</v>
      </c>
      <c r="L986" s="856">
        <v>1800</v>
      </c>
      <c r="M986" s="856">
        <v>1900</v>
      </c>
      <c r="N986" s="856">
        <v>2000</v>
      </c>
      <c r="O986" s="835"/>
      <c r="P986" s="828"/>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row>
    <row r="987" spans="1:49" s="193" customFormat="1" ht="12.95" hidden="1" customHeight="1" outlineLevel="1" x14ac:dyDescent="0.2">
      <c r="A987" s="820"/>
      <c r="B987" s="833"/>
      <c r="C987" s="837"/>
      <c r="D987" s="57" t="s">
        <v>257</v>
      </c>
      <c r="E987" s="857">
        <v>2100</v>
      </c>
      <c r="F987" s="857">
        <v>2200</v>
      </c>
      <c r="G987" s="857">
        <v>2300</v>
      </c>
      <c r="H987" s="857">
        <v>2400</v>
      </c>
      <c r="I987" s="857">
        <v>2500</v>
      </c>
      <c r="J987" s="857">
        <v>2600</v>
      </c>
      <c r="K987" s="857">
        <v>2700</v>
      </c>
      <c r="L987" s="857">
        <v>2800</v>
      </c>
      <c r="M987" s="857">
        <v>2900</v>
      </c>
      <c r="N987" s="857">
        <v>3000</v>
      </c>
      <c r="O987" s="835"/>
      <c r="P987" s="828"/>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row>
    <row r="988" spans="1:49" s="193" customFormat="1" ht="12.95" hidden="1" customHeight="1" outlineLevel="1" x14ac:dyDescent="0.2">
      <c r="A988" s="820"/>
      <c r="B988" s="833"/>
      <c r="C988" s="837"/>
      <c r="D988" s="57" t="s">
        <v>258</v>
      </c>
      <c r="E988" s="857" t="s">
        <v>20</v>
      </c>
      <c r="F988" s="857" t="s">
        <v>20</v>
      </c>
      <c r="G988" s="857" t="s">
        <v>20</v>
      </c>
      <c r="H988" s="857" t="s">
        <v>20</v>
      </c>
      <c r="I988" s="857" t="s">
        <v>20</v>
      </c>
      <c r="J988" s="857" t="s">
        <v>20</v>
      </c>
      <c r="K988" s="857" t="s">
        <v>20</v>
      </c>
      <c r="L988" s="857" t="s">
        <v>20</v>
      </c>
      <c r="M988" s="857" t="s">
        <v>20</v>
      </c>
      <c r="N988" s="857" t="s">
        <v>20</v>
      </c>
      <c r="O988" s="835"/>
      <c r="P988" s="828"/>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row>
    <row r="989" spans="1:49" s="193" customFormat="1" ht="12.95" hidden="1" customHeight="1" outlineLevel="1" x14ac:dyDescent="0.2">
      <c r="A989" s="820"/>
      <c r="B989" s="833"/>
      <c r="C989" s="837"/>
      <c r="D989" s="57" t="s">
        <v>259</v>
      </c>
      <c r="E989" s="857">
        <v>4100</v>
      </c>
      <c r="F989" s="857">
        <v>4200</v>
      </c>
      <c r="G989" s="857">
        <v>4300</v>
      </c>
      <c r="H989" s="857">
        <v>4400</v>
      </c>
      <c r="I989" s="857">
        <v>4500</v>
      </c>
      <c r="J989" s="857">
        <v>4600</v>
      </c>
      <c r="K989" s="857">
        <v>4700</v>
      </c>
      <c r="L989" s="857">
        <v>4800</v>
      </c>
      <c r="M989" s="857">
        <v>4900</v>
      </c>
      <c r="N989" s="857">
        <v>5000</v>
      </c>
      <c r="O989" s="835"/>
      <c r="P989" s="828"/>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row>
    <row r="990" spans="1:49" s="193" customFormat="1" ht="12.95" hidden="1" customHeight="1" outlineLevel="1" x14ac:dyDescent="0.2">
      <c r="A990" s="820"/>
      <c r="B990" s="833"/>
      <c r="C990" s="837"/>
      <c r="D990" s="57" t="s">
        <v>260</v>
      </c>
      <c r="E990" s="857" t="s">
        <v>20</v>
      </c>
      <c r="F990" s="857" t="s">
        <v>20</v>
      </c>
      <c r="G990" s="857" t="s">
        <v>20</v>
      </c>
      <c r="H990" s="857" t="s">
        <v>20</v>
      </c>
      <c r="I990" s="857" t="s">
        <v>20</v>
      </c>
      <c r="J990" s="857" t="s">
        <v>20</v>
      </c>
      <c r="K990" s="857" t="s">
        <v>20</v>
      </c>
      <c r="L990" s="857" t="s">
        <v>20</v>
      </c>
      <c r="M990" s="857" t="s">
        <v>20</v>
      </c>
      <c r="N990" s="857" t="s">
        <v>20</v>
      </c>
      <c r="O990" s="835"/>
      <c r="P990" s="828"/>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row>
    <row r="991" spans="1:49" s="193" customFormat="1" ht="12.95" hidden="1" customHeight="1" outlineLevel="1" x14ac:dyDescent="0.2">
      <c r="A991" s="820"/>
      <c r="B991" s="833"/>
      <c r="C991" s="837"/>
      <c r="D991" s="57" t="s">
        <v>261</v>
      </c>
      <c r="E991" s="857">
        <v>7100</v>
      </c>
      <c r="F991" s="857">
        <v>7200</v>
      </c>
      <c r="G991" s="857">
        <v>7300</v>
      </c>
      <c r="H991" s="857">
        <v>7400</v>
      </c>
      <c r="I991" s="857">
        <v>7500</v>
      </c>
      <c r="J991" s="857">
        <v>7600</v>
      </c>
      <c r="K991" s="857">
        <v>7700</v>
      </c>
      <c r="L991" s="857">
        <v>7800</v>
      </c>
      <c r="M991" s="857">
        <v>7900</v>
      </c>
      <c r="N991" s="857">
        <v>8000</v>
      </c>
      <c r="O991" s="835"/>
      <c r="P991" s="828"/>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row>
    <row r="992" spans="1:49" s="193" customFormat="1" ht="12.95" hidden="1" customHeight="1" outlineLevel="1" x14ac:dyDescent="0.2">
      <c r="A992" s="820"/>
      <c r="B992" s="833"/>
      <c r="C992" s="837"/>
      <c r="D992" s="57" t="s">
        <v>262</v>
      </c>
      <c r="E992" s="857" t="s">
        <v>20</v>
      </c>
      <c r="F992" s="857" t="s">
        <v>20</v>
      </c>
      <c r="G992" s="857" t="s">
        <v>20</v>
      </c>
      <c r="H992" s="857" t="s">
        <v>20</v>
      </c>
      <c r="I992" s="857" t="s">
        <v>20</v>
      </c>
      <c r="J992" s="857" t="s">
        <v>20</v>
      </c>
      <c r="K992" s="857" t="s">
        <v>20</v>
      </c>
      <c r="L992" s="857" t="s">
        <v>20</v>
      </c>
      <c r="M992" s="857" t="s">
        <v>20</v>
      </c>
      <c r="N992" s="857" t="s">
        <v>20</v>
      </c>
      <c r="O992" s="835"/>
      <c r="P992" s="828"/>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row>
    <row r="993" spans="1:49" s="193" customFormat="1" ht="12.95" hidden="1" customHeight="1" outlineLevel="1" x14ac:dyDescent="0.2">
      <c r="A993" s="820"/>
      <c r="B993" s="833"/>
      <c r="C993" s="837"/>
      <c r="D993" s="57" t="s">
        <v>263</v>
      </c>
      <c r="E993" s="857">
        <v>9000</v>
      </c>
      <c r="F993" s="857">
        <v>10000</v>
      </c>
      <c r="G993" s="857">
        <v>11000</v>
      </c>
      <c r="H993" s="857">
        <v>12000</v>
      </c>
      <c r="I993" s="857">
        <v>13000</v>
      </c>
      <c r="J993" s="857">
        <v>14000</v>
      </c>
      <c r="K993" s="857">
        <v>15000</v>
      </c>
      <c r="L993" s="857">
        <v>16000</v>
      </c>
      <c r="M993" s="857">
        <v>17000</v>
      </c>
      <c r="N993" s="857">
        <v>18000</v>
      </c>
      <c r="O993" s="835"/>
      <c r="P993" s="828"/>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row>
    <row r="994" spans="1:49" s="193" customFormat="1" ht="12.95" hidden="1" customHeight="1" outlineLevel="1" x14ac:dyDescent="0.2">
      <c r="A994" s="820"/>
      <c r="B994" s="833"/>
      <c r="C994" s="837"/>
      <c r="D994" s="60" t="s">
        <v>113</v>
      </c>
      <c r="E994" s="502">
        <f t="shared" ref="E994:H994" si="212">SUM(E986:E993)</f>
        <v>23400</v>
      </c>
      <c r="F994" s="502">
        <f t="shared" si="212"/>
        <v>24800</v>
      </c>
      <c r="G994" s="502">
        <f t="shared" si="212"/>
        <v>26200</v>
      </c>
      <c r="H994" s="502">
        <f t="shared" si="212"/>
        <v>27600</v>
      </c>
      <c r="I994" s="502">
        <f t="shared" ref="I994:N994" si="213">SUM(I986:I993)</f>
        <v>29000</v>
      </c>
      <c r="J994" s="502">
        <f t="shared" si="213"/>
        <v>30400</v>
      </c>
      <c r="K994" s="502">
        <f t="shared" si="213"/>
        <v>31800</v>
      </c>
      <c r="L994" s="502">
        <f t="shared" si="213"/>
        <v>33200</v>
      </c>
      <c r="M994" s="502">
        <f t="shared" si="213"/>
        <v>34600</v>
      </c>
      <c r="N994" s="502">
        <f t="shared" si="213"/>
        <v>36000</v>
      </c>
      <c r="O994" s="285" t="s">
        <v>662</v>
      </c>
      <c r="P994" s="828"/>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row>
    <row r="995" spans="1:49" s="193" customFormat="1" ht="12.75" hidden="1" outlineLevel="1" x14ac:dyDescent="0.2">
      <c r="A995" s="820"/>
      <c r="B995" s="833"/>
      <c r="C995" s="837"/>
      <c r="D995" s="501" t="str">
        <f>"Total "&amp;FleetTypeO&amp;" FLEET HM Records Generated pa"</f>
        <v>Total A350-900 FLEET HM Records Generated pa</v>
      </c>
      <c r="E995" s="503">
        <f t="shared" ref="E995:N995" si="214">E994/FleetCycleHvy_O*FleetSize_O</f>
        <v>15600</v>
      </c>
      <c r="F995" s="503">
        <f t="shared" si="214"/>
        <v>14171.428571428571</v>
      </c>
      <c r="G995" s="503">
        <f t="shared" si="214"/>
        <v>13100</v>
      </c>
      <c r="H995" s="503">
        <f t="shared" si="214"/>
        <v>15771.428571428571</v>
      </c>
      <c r="I995" s="503">
        <f t="shared" si="214"/>
        <v>16571.428571428572</v>
      </c>
      <c r="J995" s="503">
        <f t="shared" si="214"/>
        <v>17371.428571428572</v>
      </c>
      <c r="K995" s="503">
        <f t="shared" si="214"/>
        <v>18171.428571428572</v>
      </c>
      <c r="L995" s="503">
        <f t="shared" si="214"/>
        <v>18971.428571428572</v>
      </c>
      <c r="M995" s="503">
        <f t="shared" si="214"/>
        <v>19771.428571428572</v>
      </c>
      <c r="N995" s="503">
        <f t="shared" si="214"/>
        <v>20571.428571428572</v>
      </c>
      <c r="O995" s="285" t="s">
        <v>653</v>
      </c>
      <c r="P995" s="828"/>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row>
    <row r="996" spans="1:49" s="712" customFormat="1" ht="12.75" hidden="1" outlineLevel="1" x14ac:dyDescent="0.2">
      <c r="A996" s="820"/>
      <c r="B996" s="833"/>
      <c r="C996" s="837"/>
      <c r="D996" s="30"/>
      <c r="E996" s="30"/>
      <c r="F996" s="30"/>
      <c r="G996" s="30"/>
      <c r="H996" s="30"/>
      <c r="I996" s="30"/>
      <c r="J996" s="30"/>
      <c r="K996" s="30"/>
      <c r="L996" s="30"/>
      <c r="M996" s="30"/>
      <c r="N996" s="30"/>
      <c r="O996" s="839"/>
      <c r="P996" s="828"/>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c r="AT996" s="180"/>
      <c r="AU996" s="180"/>
      <c r="AV996" s="180"/>
      <c r="AW996" s="180"/>
    </row>
    <row r="997" spans="1:49" s="712" customFormat="1" ht="12.75" hidden="1" outlineLevel="1" x14ac:dyDescent="0.2">
      <c r="A997" s="820"/>
      <c r="B997" s="833"/>
      <c r="C997" s="837"/>
      <c r="D997" s="484" t="str">
        <f>FleetTypeO &amp;" Line Maintenance (LM)"</f>
        <v>A350-900 Line Maintenance (LM)</v>
      </c>
      <c r="E997" s="840"/>
      <c r="F997" s="840"/>
      <c r="G997" s="840"/>
      <c r="H997" s="840"/>
      <c r="I997" s="840"/>
      <c r="J997" s="840"/>
      <c r="K997" s="840"/>
      <c r="L997" s="840"/>
      <c r="M997" s="840"/>
      <c r="N997" s="840"/>
      <c r="O997" s="839"/>
      <c r="P997" s="828"/>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c r="AT997" s="180"/>
      <c r="AU997" s="180"/>
      <c r="AV997" s="180"/>
      <c r="AW997" s="180"/>
    </row>
    <row r="998" spans="1:49" s="712" customFormat="1" ht="12.75" hidden="1" outlineLevel="1" x14ac:dyDescent="0.2">
      <c r="A998" s="820"/>
      <c r="B998" s="833"/>
      <c r="C998" s="837"/>
      <c r="D998" s="233" t="str">
        <f>FleetTypeO&amp; " LM Per AIRCRAFT Records Generated pa"</f>
        <v>A350-900 LM Per AIRCRAFT Records Generated pa</v>
      </c>
      <c r="E998" s="596">
        <v>10001</v>
      </c>
      <c r="F998" s="596">
        <v>10002</v>
      </c>
      <c r="G998" s="596">
        <v>10003</v>
      </c>
      <c r="H998" s="596">
        <v>10004</v>
      </c>
      <c r="I998" s="596">
        <v>10005</v>
      </c>
      <c r="J998" s="596">
        <v>10006</v>
      </c>
      <c r="K998" s="596">
        <v>10007</v>
      </c>
      <c r="L998" s="596">
        <v>10008</v>
      </c>
      <c r="M998" s="596">
        <v>10009</v>
      </c>
      <c r="N998" s="596">
        <v>10010</v>
      </c>
      <c r="O998" s="839"/>
      <c r="P998" s="828"/>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c r="AT998" s="180"/>
      <c r="AU998" s="180"/>
      <c r="AV998" s="180"/>
      <c r="AW998" s="180"/>
    </row>
    <row r="999" spans="1:49" s="712" customFormat="1" ht="12.75" hidden="1" outlineLevel="1" x14ac:dyDescent="0.2">
      <c r="A999" s="820"/>
      <c r="B999" s="833"/>
      <c r="C999" s="843"/>
      <c r="D999" s="501" t="str">
        <f>"Total "&amp;FleetTypeO&amp;" FLEET LM Records Generated pa"</f>
        <v>Total A350-900 FLEET LM Records Generated pa</v>
      </c>
      <c r="E999" s="505">
        <f t="shared" ref="E999:N999" si="215">E998*FleetSize_O</f>
        <v>80008</v>
      </c>
      <c r="F999" s="505">
        <f t="shared" si="215"/>
        <v>80016</v>
      </c>
      <c r="G999" s="505">
        <f t="shared" si="215"/>
        <v>80024</v>
      </c>
      <c r="H999" s="505">
        <f t="shared" si="215"/>
        <v>80032</v>
      </c>
      <c r="I999" s="505">
        <f t="shared" si="215"/>
        <v>80040</v>
      </c>
      <c r="J999" s="505">
        <f t="shared" si="215"/>
        <v>80048</v>
      </c>
      <c r="K999" s="505">
        <f t="shared" si="215"/>
        <v>80056</v>
      </c>
      <c r="L999" s="505">
        <f t="shared" si="215"/>
        <v>80064</v>
      </c>
      <c r="M999" s="505">
        <f t="shared" si="215"/>
        <v>80072</v>
      </c>
      <c r="N999" s="505">
        <f t="shared" si="215"/>
        <v>80080</v>
      </c>
      <c r="O999" s="285" t="s">
        <v>654</v>
      </c>
      <c r="P999" s="828"/>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c r="AT999" s="180"/>
      <c r="AU999" s="180"/>
      <c r="AV999" s="180"/>
      <c r="AW999" s="180"/>
    </row>
    <row r="1000" spans="1:49" s="712" customFormat="1" ht="12.75" hidden="1" outlineLevel="1" x14ac:dyDescent="0.2">
      <c r="A1000" s="820"/>
      <c r="B1000" s="833"/>
      <c r="C1000" s="843"/>
      <c r="D1000" s="30"/>
      <c r="E1000" s="30"/>
      <c r="F1000" s="30"/>
      <c r="G1000" s="30"/>
      <c r="H1000" s="30"/>
      <c r="I1000" s="30"/>
      <c r="J1000" s="30"/>
      <c r="K1000" s="30"/>
      <c r="L1000" s="30"/>
      <c r="M1000" s="30"/>
      <c r="N1000" s="30"/>
      <c r="O1000" s="839"/>
      <c r="P1000" s="828"/>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c r="AU1000" s="180"/>
      <c r="AV1000" s="180"/>
      <c r="AW1000" s="180"/>
    </row>
    <row r="1001" spans="1:49" s="712" customFormat="1" ht="12.75" hidden="1" outlineLevel="1" x14ac:dyDescent="0.2">
      <c r="A1001" s="820"/>
      <c r="B1001" s="833"/>
      <c r="C1001" s="843"/>
      <c r="D1001" s="484" t="str">
        <f>FleetTypeO &amp;" Engineering (Eng)"</f>
        <v>A350-900 Engineering (Eng)</v>
      </c>
      <c r="E1001" s="840"/>
      <c r="F1001" s="840"/>
      <c r="G1001" s="840"/>
      <c r="H1001" s="840"/>
      <c r="I1001" s="840"/>
      <c r="J1001" s="840"/>
      <c r="K1001" s="840"/>
      <c r="L1001" s="840"/>
      <c r="M1001" s="840"/>
      <c r="N1001" s="840"/>
      <c r="O1001" s="839"/>
      <c r="P1001" s="828"/>
      <c r="Q1001" s="180"/>
      <c r="R1001" s="180"/>
      <c r="S1001" s="180"/>
      <c r="T1001" s="180"/>
      <c r="U1001" s="180"/>
      <c r="V1001" s="180"/>
      <c r="W1001" s="180"/>
      <c r="X1001" s="180"/>
      <c r="Y1001" s="180"/>
      <c r="Z1001" s="180"/>
      <c r="AA1001" s="180"/>
      <c r="AB1001" s="180"/>
      <c r="AC1001" s="180"/>
      <c r="AD1001" s="180"/>
      <c r="AE1001" s="180"/>
      <c r="AF1001" s="180"/>
      <c r="AG1001" s="180"/>
      <c r="AH1001" s="180"/>
      <c r="AI1001" s="180"/>
      <c r="AJ1001" s="180"/>
      <c r="AK1001" s="180"/>
      <c r="AL1001" s="180"/>
      <c r="AM1001" s="180"/>
      <c r="AN1001" s="180"/>
      <c r="AO1001" s="180"/>
      <c r="AP1001" s="180"/>
      <c r="AQ1001" s="180"/>
      <c r="AR1001" s="180"/>
      <c r="AS1001" s="180"/>
      <c r="AT1001" s="180"/>
      <c r="AU1001" s="180"/>
      <c r="AV1001" s="180"/>
      <c r="AW1001" s="180"/>
    </row>
    <row r="1002" spans="1:49" s="712" customFormat="1" ht="12.75" hidden="1" outlineLevel="1" x14ac:dyDescent="0.2">
      <c r="A1002" s="820"/>
      <c r="B1002" s="833"/>
      <c r="C1002" s="843"/>
      <c r="D1002" s="233" t="str">
        <f>FleetTypeO&amp;" Eng Per AIRCRAFT Records Generated pa"</f>
        <v>A350-900 Eng Per AIRCRAFT Records Generated pa</v>
      </c>
      <c r="E1002" s="596">
        <v>11001</v>
      </c>
      <c r="F1002" s="596">
        <v>11002</v>
      </c>
      <c r="G1002" s="596">
        <v>11003</v>
      </c>
      <c r="H1002" s="596">
        <v>11004</v>
      </c>
      <c r="I1002" s="596">
        <v>11005</v>
      </c>
      <c r="J1002" s="596">
        <v>11006</v>
      </c>
      <c r="K1002" s="596">
        <v>11007</v>
      </c>
      <c r="L1002" s="596">
        <v>11008</v>
      </c>
      <c r="M1002" s="596">
        <v>11009</v>
      </c>
      <c r="N1002" s="596">
        <v>11010</v>
      </c>
      <c r="O1002" s="839"/>
      <c r="P1002" s="828"/>
      <c r="Q1002" s="180"/>
      <c r="R1002" s="180"/>
      <c r="S1002" s="180"/>
      <c r="T1002" s="180"/>
      <c r="U1002" s="180"/>
      <c r="V1002" s="180"/>
      <c r="W1002" s="180"/>
      <c r="X1002" s="180"/>
      <c r="Y1002" s="180"/>
      <c r="Z1002" s="180"/>
      <c r="AA1002" s="180"/>
      <c r="AB1002" s="180"/>
      <c r="AC1002" s="180"/>
      <c r="AD1002" s="180"/>
      <c r="AE1002" s="180"/>
      <c r="AF1002" s="180"/>
      <c r="AG1002" s="180"/>
      <c r="AH1002" s="180"/>
      <c r="AI1002" s="180"/>
      <c r="AJ1002" s="180"/>
      <c r="AK1002" s="180"/>
      <c r="AL1002" s="180"/>
      <c r="AM1002" s="180"/>
      <c r="AN1002" s="180"/>
      <c r="AO1002" s="180"/>
      <c r="AP1002" s="180"/>
      <c r="AQ1002" s="180"/>
      <c r="AR1002" s="180"/>
      <c r="AS1002" s="180"/>
      <c r="AT1002" s="180"/>
      <c r="AU1002" s="180"/>
      <c r="AV1002" s="180"/>
      <c r="AW1002" s="180"/>
    </row>
    <row r="1003" spans="1:49" s="712" customFormat="1" ht="15.75" hidden="1" customHeight="1" outlineLevel="1" x14ac:dyDescent="0.2">
      <c r="A1003" s="820"/>
      <c r="B1003" s="833"/>
      <c r="C1003" s="843"/>
      <c r="D1003" s="501" t="str">
        <f>"Total "&amp;FleetTypeO&amp;" FLEET Eng Records Generated pa"</f>
        <v>Total A350-900 FLEET Eng Records Generated pa</v>
      </c>
      <c r="E1003" s="505">
        <f t="shared" ref="E1003:N1003" si="216">E1002*FleetSize_O</f>
        <v>88008</v>
      </c>
      <c r="F1003" s="505">
        <f t="shared" si="216"/>
        <v>88016</v>
      </c>
      <c r="G1003" s="505">
        <f t="shared" si="216"/>
        <v>88024</v>
      </c>
      <c r="H1003" s="505">
        <f t="shared" si="216"/>
        <v>88032</v>
      </c>
      <c r="I1003" s="505">
        <f t="shared" si="216"/>
        <v>88040</v>
      </c>
      <c r="J1003" s="505">
        <f t="shared" si="216"/>
        <v>88048</v>
      </c>
      <c r="K1003" s="505">
        <f t="shared" si="216"/>
        <v>88056</v>
      </c>
      <c r="L1003" s="505">
        <f t="shared" si="216"/>
        <v>88064</v>
      </c>
      <c r="M1003" s="505">
        <f t="shared" si="216"/>
        <v>88072</v>
      </c>
      <c r="N1003" s="505">
        <f t="shared" si="216"/>
        <v>88080</v>
      </c>
      <c r="O1003" s="285" t="s">
        <v>898</v>
      </c>
      <c r="P1003" s="828"/>
      <c r="Q1003" s="180"/>
      <c r="R1003" s="180"/>
      <c r="S1003" s="180"/>
      <c r="T1003" s="180"/>
      <c r="U1003" s="180"/>
      <c r="V1003" s="180"/>
      <c r="W1003" s="180"/>
      <c r="X1003" s="180"/>
      <c r="Y1003" s="180"/>
      <c r="Z1003" s="180"/>
      <c r="AA1003" s="180"/>
      <c r="AB1003" s="180"/>
      <c r="AC1003" s="180"/>
      <c r="AD1003" s="180"/>
      <c r="AE1003" s="180"/>
      <c r="AF1003" s="180"/>
      <c r="AG1003" s="180"/>
      <c r="AH1003" s="180"/>
      <c r="AI1003" s="180"/>
      <c r="AJ1003" s="180"/>
      <c r="AK1003" s="180"/>
      <c r="AL1003" s="180"/>
      <c r="AM1003" s="180"/>
      <c r="AN1003" s="180"/>
      <c r="AO1003" s="180"/>
      <c r="AP1003" s="180"/>
      <c r="AQ1003" s="180"/>
      <c r="AR1003" s="180"/>
      <c r="AS1003" s="180"/>
      <c r="AT1003" s="180"/>
      <c r="AU1003" s="180"/>
      <c r="AV1003" s="180"/>
      <c r="AW1003" s="180"/>
    </row>
    <row r="1004" spans="1:49" s="712" customFormat="1" ht="15.75" hidden="1" customHeight="1" outlineLevel="1" x14ac:dyDescent="0.2">
      <c r="A1004" s="820"/>
      <c r="B1004" s="833"/>
      <c r="C1004" s="843"/>
      <c r="D1004" s="844"/>
      <c r="E1004" s="845"/>
      <c r="F1004" s="845"/>
      <c r="G1004" s="845"/>
      <c r="H1004" s="845"/>
      <c r="I1004" s="845"/>
      <c r="J1004" s="845"/>
      <c r="K1004" s="845"/>
      <c r="L1004" s="845"/>
      <c r="M1004" s="845"/>
      <c r="N1004" s="845"/>
      <c r="O1004" s="285"/>
      <c r="P1004" s="828"/>
      <c r="Q1004" s="180"/>
      <c r="R1004" s="180"/>
      <c r="S1004" s="180"/>
      <c r="T1004" s="180"/>
      <c r="U1004" s="180"/>
      <c r="V1004" s="180"/>
      <c r="W1004" s="180"/>
      <c r="X1004" s="180"/>
      <c r="Y1004" s="180"/>
      <c r="Z1004" s="180"/>
      <c r="AA1004" s="180"/>
      <c r="AB1004" s="180"/>
      <c r="AC1004" s="180"/>
      <c r="AD1004" s="180"/>
      <c r="AE1004" s="180"/>
      <c r="AF1004" s="180"/>
      <c r="AG1004" s="180"/>
      <c r="AH1004" s="180"/>
      <c r="AI1004" s="180"/>
      <c r="AJ1004" s="180"/>
      <c r="AK1004" s="180"/>
      <c r="AL1004" s="180"/>
      <c r="AM1004" s="180"/>
      <c r="AN1004" s="180"/>
      <c r="AO1004" s="180"/>
      <c r="AP1004" s="180"/>
      <c r="AQ1004" s="180"/>
      <c r="AR1004" s="180"/>
      <c r="AS1004" s="180"/>
      <c r="AT1004" s="180"/>
      <c r="AU1004" s="180"/>
      <c r="AV1004" s="180"/>
      <c r="AW1004" s="180"/>
    </row>
    <row r="1005" spans="1:49" s="712" customFormat="1" ht="12.75" hidden="1" outlineLevel="1" x14ac:dyDescent="0.2">
      <c r="A1005" s="820"/>
      <c r="B1005" s="833"/>
      <c r="C1005" s="843"/>
      <c r="D1005" s="484" t="str">
        <f>FleetTypeO &amp;" Planning (Plg)"</f>
        <v>A350-900 Planning (Plg)</v>
      </c>
      <c r="E1005" s="840"/>
      <c r="F1005" s="840"/>
      <c r="G1005" s="840"/>
      <c r="H1005" s="840"/>
      <c r="I1005" s="840"/>
      <c r="J1005" s="840"/>
      <c r="K1005" s="840"/>
      <c r="L1005" s="840"/>
      <c r="M1005" s="840"/>
      <c r="N1005" s="840"/>
      <c r="O1005" s="839"/>
      <c r="P1005" s="828"/>
      <c r="Q1005" s="180"/>
      <c r="R1005" s="180"/>
      <c r="S1005" s="180"/>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row>
    <row r="1006" spans="1:49" s="712" customFormat="1" ht="12.75" hidden="1" outlineLevel="1" x14ac:dyDescent="0.2">
      <c r="A1006" s="820"/>
      <c r="B1006" s="833"/>
      <c r="C1006" s="843"/>
      <c r="D1006" s="233" t="str">
        <f>FleetTypeO&amp;" Plg AIRCRAFT Records Generated pa"</f>
        <v>A350-900 Plg AIRCRAFT Records Generated pa</v>
      </c>
      <c r="E1006" s="596">
        <v>11001</v>
      </c>
      <c r="F1006" s="596">
        <v>11002</v>
      </c>
      <c r="G1006" s="596">
        <v>11003</v>
      </c>
      <c r="H1006" s="596">
        <v>11004</v>
      </c>
      <c r="I1006" s="596">
        <v>11005</v>
      </c>
      <c r="J1006" s="596">
        <v>11006</v>
      </c>
      <c r="K1006" s="596">
        <v>11007</v>
      </c>
      <c r="L1006" s="596">
        <v>11008</v>
      </c>
      <c r="M1006" s="596">
        <v>11009</v>
      </c>
      <c r="N1006" s="596">
        <v>11010</v>
      </c>
      <c r="O1006" s="839"/>
      <c r="P1006" s="828"/>
      <c r="Q1006" s="180"/>
      <c r="R1006" s="180"/>
      <c r="S1006" s="180"/>
      <c r="T1006" s="180"/>
      <c r="U1006" s="180"/>
      <c r="V1006" s="180"/>
      <c r="W1006" s="180"/>
      <c r="X1006" s="180"/>
      <c r="Y1006" s="180"/>
      <c r="Z1006" s="180"/>
      <c r="AA1006" s="180"/>
      <c r="AB1006" s="180"/>
      <c r="AC1006" s="180"/>
      <c r="AD1006" s="180"/>
      <c r="AE1006" s="180"/>
      <c r="AF1006" s="180"/>
      <c r="AG1006" s="180"/>
      <c r="AH1006" s="180"/>
      <c r="AI1006" s="180"/>
      <c r="AJ1006" s="180"/>
      <c r="AK1006" s="180"/>
      <c r="AL1006" s="180"/>
      <c r="AM1006" s="180"/>
      <c r="AN1006" s="180"/>
      <c r="AO1006" s="180"/>
      <c r="AP1006" s="180"/>
      <c r="AQ1006" s="180"/>
      <c r="AR1006" s="180"/>
      <c r="AS1006" s="180"/>
      <c r="AT1006" s="180"/>
      <c r="AU1006" s="180"/>
      <c r="AV1006" s="180"/>
      <c r="AW1006" s="180"/>
    </row>
    <row r="1007" spans="1:49" s="712" customFormat="1" ht="15.75" hidden="1" customHeight="1" outlineLevel="1" x14ac:dyDescent="0.2">
      <c r="A1007" s="820"/>
      <c r="B1007" s="833"/>
      <c r="C1007" s="843"/>
      <c r="D1007" s="501" t="str">
        <f>"Total "&amp;FleetTypeO&amp;" FLEET Plg Records Generated pa"</f>
        <v>Total A350-900 FLEET Plg Records Generated pa</v>
      </c>
      <c r="E1007" s="505">
        <f t="shared" ref="E1007:N1007" si="217">E1006*FleetSize_O</f>
        <v>88008</v>
      </c>
      <c r="F1007" s="505">
        <f t="shared" si="217"/>
        <v>88016</v>
      </c>
      <c r="G1007" s="505">
        <f t="shared" si="217"/>
        <v>88024</v>
      </c>
      <c r="H1007" s="505">
        <f t="shared" si="217"/>
        <v>88032</v>
      </c>
      <c r="I1007" s="505">
        <f t="shared" si="217"/>
        <v>88040</v>
      </c>
      <c r="J1007" s="505">
        <f t="shared" si="217"/>
        <v>88048</v>
      </c>
      <c r="K1007" s="505">
        <f t="shared" si="217"/>
        <v>88056</v>
      </c>
      <c r="L1007" s="505">
        <f t="shared" si="217"/>
        <v>88064</v>
      </c>
      <c r="M1007" s="505">
        <f t="shared" si="217"/>
        <v>88072</v>
      </c>
      <c r="N1007" s="505">
        <f t="shared" si="217"/>
        <v>88080</v>
      </c>
      <c r="O1007" s="285" t="s">
        <v>899</v>
      </c>
      <c r="P1007" s="828"/>
      <c r="Q1007" s="180"/>
      <c r="R1007" s="180"/>
      <c r="S1007" s="180"/>
      <c r="T1007" s="180"/>
      <c r="U1007" s="180"/>
      <c r="V1007" s="180"/>
      <c r="W1007" s="180"/>
      <c r="X1007" s="180"/>
      <c r="Y1007" s="180"/>
      <c r="Z1007" s="180"/>
      <c r="AA1007" s="180"/>
      <c r="AB1007" s="180"/>
      <c r="AC1007" s="180"/>
      <c r="AD1007" s="180"/>
      <c r="AE1007" s="180"/>
      <c r="AF1007" s="180"/>
      <c r="AG1007" s="180"/>
      <c r="AH1007" s="180"/>
      <c r="AI1007" s="180"/>
      <c r="AJ1007" s="180"/>
      <c r="AK1007" s="180"/>
      <c r="AL1007" s="180"/>
      <c r="AM1007" s="180"/>
      <c r="AN1007" s="180"/>
      <c r="AO1007" s="180"/>
      <c r="AP1007" s="180"/>
      <c r="AQ1007" s="180"/>
      <c r="AR1007" s="180"/>
      <c r="AS1007" s="180"/>
      <c r="AT1007" s="180"/>
      <c r="AU1007" s="180"/>
      <c r="AV1007" s="180"/>
      <c r="AW1007" s="180"/>
    </row>
    <row r="1008" spans="1:49" s="712" customFormat="1" ht="12.75" hidden="1" outlineLevel="1" x14ac:dyDescent="0.2">
      <c r="A1008" s="820"/>
      <c r="B1008" s="833"/>
      <c r="C1008" s="843"/>
      <c r="D1008" s="30"/>
      <c r="E1008" s="30"/>
      <c r="F1008" s="30"/>
      <c r="G1008" s="30"/>
      <c r="H1008" s="30"/>
      <c r="I1008" s="30"/>
      <c r="J1008" s="30"/>
      <c r="K1008" s="30"/>
      <c r="L1008" s="30"/>
      <c r="M1008" s="30"/>
      <c r="N1008" s="30"/>
      <c r="O1008" s="839"/>
      <c r="P1008" s="828"/>
      <c r="Q1008" s="180"/>
      <c r="R1008" s="180"/>
      <c r="S1008" s="180"/>
      <c r="T1008" s="180"/>
      <c r="U1008" s="180"/>
      <c r="V1008" s="180"/>
      <c r="W1008" s="180"/>
      <c r="X1008" s="180"/>
      <c r="Y1008" s="180"/>
      <c r="Z1008" s="180"/>
      <c r="AA1008" s="180"/>
      <c r="AB1008" s="180"/>
      <c r="AC1008" s="180"/>
      <c r="AD1008" s="180"/>
      <c r="AE1008" s="180"/>
      <c r="AF1008" s="180"/>
      <c r="AG1008" s="180"/>
      <c r="AH1008" s="180"/>
      <c r="AI1008" s="180"/>
      <c r="AJ1008" s="180"/>
      <c r="AK1008" s="180"/>
      <c r="AL1008" s="180"/>
      <c r="AM1008" s="180"/>
      <c r="AN1008" s="180"/>
      <c r="AO1008" s="180"/>
      <c r="AP1008" s="180"/>
      <c r="AQ1008" s="180"/>
      <c r="AR1008" s="180"/>
      <c r="AS1008" s="180"/>
      <c r="AT1008" s="180"/>
      <c r="AU1008" s="180"/>
      <c r="AV1008" s="180"/>
      <c r="AW1008" s="180"/>
    </row>
    <row r="1009" spans="1:49" s="712" customFormat="1" ht="12.75" hidden="1" outlineLevel="1" x14ac:dyDescent="0.2">
      <c r="A1009" s="820"/>
      <c r="B1009" s="833"/>
      <c r="C1009" s="843"/>
      <c r="D1009" s="484" t="str">
        <f>FleetTypeO &amp;" Clerical, Records &amp; Tech Pubs (CRT)"</f>
        <v>A350-900 Clerical, Records &amp; Tech Pubs (CRT)</v>
      </c>
      <c r="E1009" s="840"/>
      <c r="F1009" s="840"/>
      <c r="G1009" s="840"/>
      <c r="H1009" s="840"/>
      <c r="I1009" s="840"/>
      <c r="J1009" s="840"/>
      <c r="K1009" s="840"/>
      <c r="L1009" s="840"/>
      <c r="M1009" s="840"/>
      <c r="N1009" s="840"/>
      <c r="O1009" s="839"/>
      <c r="P1009" s="828"/>
      <c r="Q1009" s="180"/>
      <c r="R1009" s="180"/>
      <c r="S1009" s="180"/>
      <c r="T1009" s="180"/>
      <c r="U1009" s="180"/>
      <c r="V1009" s="180"/>
      <c r="W1009" s="180"/>
      <c r="X1009" s="180"/>
      <c r="Y1009" s="180"/>
      <c r="Z1009" s="180"/>
      <c r="AA1009" s="180"/>
      <c r="AB1009" s="180"/>
      <c r="AC1009" s="180"/>
      <c r="AD1009" s="180"/>
      <c r="AE1009" s="180"/>
      <c r="AF1009" s="180"/>
      <c r="AG1009" s="180"/>
      <c r="AH1009" s="180"/>
      <c r="AI1009" s="180"/>
      <c r="AJ1009" s="180"/>
      <c r="AK1009" s="180"/>
      <c r="AL1009" s="180"/>
      <c r="AM1009" s="180"/>
      <c r="AN1009" s="180"/>
      <c r="AO1009" s="180"/>
      <c r="AP1009" s="180"/>
      <c r="AQ1009" s="180"/>
      <c r="AR1009" s="180"/>
      <c r="AS1009" s="180"/>
      <c r="AT1009" s="180"/>
      <c r="AU1009" s="180"/>
      <c r="AV1009" s="180"/>
      <c r="AW1009" s="180"/>
    </row>
    <row r="1010" spans="1:49" s="712" customFormat="1" ht="12.75" hidden="1" outlineLevel="1" x14ac:dyDescent="0.2">
      <c r="A1010" s="820"/>
      <c r="B1010" s="833"/>
      <c r="C1010" s="256"/>
      <c r="D1010" s="233" t="str">
        <f>FleetTypeO&amp;" SCL Per AIRCRAFT CRT Records Generated pa"</f>
        <v>A350-900 SCL Per AIRCRAFT CRT Records Generated pa</v>
      </c>
      <c r="E1010" s="596">
        <v>12001</v>
      </c>
      <c r="F1010" s="596">
        <v>12002</v>
      </c>
      <c r="G1010" s="596">
        <v>12003</v>
      </c>
      <c r="H1010" s="596">
        <v>12004</v>
      </c>
      <c r="I1010" s="596">
        <v>12005</v>
      </c>
      <c r="J1010" s="596">
        <v>12006</v>
      </c>
      <c r="K1010" s="596">
        <v>12007</v>
      </c>
      <c r="L1010" s="596">
        <v>12008</v>
      </c>
      <c r="M1010" s="596">
        <v>12009</v>
      </c>
      <c r="N1010" s="596">
        <v>12010</v>
      </c>
      <c r="O1010" s="839"/>
      <c r="P1010" s="828"/>
      <c r="Q1010" s="180"/>
      <c r="R1010" s="180"/>
      <c r="S1010" s="180"/>
      <c r="T1010" s="180"/>
      <c r="U1010" s="180"/>
      <c r="V1010" s="180"/>
      <c r="W1010" s="180"/>
      <c r="X1010" s="180"/>
      <c r="Y1010" s="180"/>
      <c r="Z1010" s="180"/>
      <c r="AA1010" s="180"/>
      <c r="AB1010" s="180"/>
      <c r="AC1010" s="180"/>
      <c r="AD1010" s="180"/>
      <c r="AE1010" s="180"/>
      <c r="AF1010" s="180"/>
      <c r="AG1010" s="180"/>
      <c r="AH1010" s="180"/>
      <c r="AI1010" s="180"/>
      <c r="AJ1010" s="180"/>
      <c r="AK1010" s="180"/>
      <c r="AL1010" s="180"/>
      <c r="AM1010" s="180"/>
      <c r="AN1010" s="180"/>
      <c r="AO1010" s="180"/>
      <c r="AP1010" s="180"/>
      <c r="AQ1010" s="180"/>
      <c r="AR1010" s="180"/>
      <c r="AS1010" s="180"/>
      <c r="AT1010" s="180"/>
      <c r="AU1010" s="180"/>
      <c r="AV1010" s="180"/>
      <c r="AW1010" s="180"/>
    </row>
    <row r="1011" spans="1:49" s="712" customFormat="1" ht="12.75" hidden="1" outlineLevel="1" x14ac:dyDescent="0.2">
      <c r="A1011" s="820"/>
      <c r="B1011" s="833"/>
      <c r="C1011" s="843"/>
      <c r="D1011" s="501" t="str">
        <f>"Total "&amp;FleetTypeO&amp;" FLEET CRT Records Generated pa"</f>
        <v>Total A350-900 FLEET CRT Records Generated pa</v>
      </c>
      <c r="E1011" s="505">
        <f t="shared" ref="E1011:N1011" si="218">E1010*FleetSize_O</f>
        <v>96008</v>
      </c>
      <c r="F1011" s="505">
        <f t="shared" si="218"/>
        <v>96016</v>
      </c>
      <c r="G1011" s="505">
        <f t="shared" si="218"/>
        <v>96024</v>
      </c>
      <c r="H1011" s="505">
        <f t="shared" si="218"/>
        <v>96032</v>
      </c>
      <c r="I1011" s="505">
        <f t="shared" si="218"/>
        <v>96040</v>
      </c>
      <c r="J1011" s="505">
        <f t="shared" si="218"/>
        <v>96048</v>
      </c>
      <c r="K1011" s="505">
        <f t="shared" si="218"/>
        <v>96056</v>
      </c>
      <c r="L1011" s="505">
        <f t="shared" si="218"/>
        <v>96064</v>
      </c>
      <c r="M1011" s="505">
        <f t="shared" si="218"/>
        <v>96072</v>
      </c>
      <c r="N1011" s="505">
        <f t="shared" si="218"/>
        <v>96080</v>
      </c>
      <c r="O1011" s="285" t="s">
        <v>655</v>
      </c>
      <c r="P1011" s="828"/>
      <c r="Q1011" s="180"/>
      <c r="R1011" s="180"/>
      <c r="S1011" s="180"/>
      <c r="T1011" s="180"/>
      <c r="U1011" s="180"/>
      <c r="V1011" s="180"/>
      <c r="W1011" s="180"/>
      <c r="X1011" s="180"/>
      <c r="Y1011" s="180"/>
      <c r="Z1011" s="180"/>
      <c r="AA1011" s="180"/>
      <c r="AB1011" s="180"/>
      <c r="AC1011" s="180"/>
      <c r="AD1011" s="180"/>
      <c r="AE1011" s="180"/>
      <c r="AF1011" s="180"/>
      <c r="AG1011" s="180"/>
      <c r="AH1011" s="180"/>
      <c r="AI1011" s="180"/>
      <c r="AJ1011" s="180"/>
      <c r="AK1011" s="180"/>
      <c r="AL1011" s="180"/>
      <c r="AM1011" s="180"/>
      <c r="AN1011" s="180"/>
      <c r="AO1011" s="180"/>
      <c r="AP1011" s="180"/>
      <c r="AQ1011" s="180"/>
      <c r="AR1011" s="180"/>
      <c r="AS1011" s="180"/>
      <c r="AT1011" s="180"/>
      <c r="AU1011" s="180"/>
      <c r="AV1011" s="180"/>
      <c r="AW1011" s="180"/>
    </row>
    <row r="1012" spans="1:49" s="712" customFormat="1" ht="12.75" hidden="1" outlineLevel="1" x14ac:dyDescent="0.2">
      <c r="A1012" s="820"/>
      <c r="B1012" s="833"/>
      <c r="C1012" s="843"/>
      <c r="D1012" s="820"/>
      <c r="E1012" s="840"/>
      <c r="F1012" s="840"/>
      <c r="G1012" s="840"/>
      <c r="H1012" s="840"/>
      <c r="I1012" s="840"/>
      <c r="J1012" s="840"/>
      <c r="K1012" s="840"/>
      <c r="L1012" s="840"/>
      <c r="M1012" s="840"/>
      <c r="N1012" s="840"/>
      <c r="O1012" s="839"/>
      <c r="P1012" s="828"/>
      <c r="Q1012" s="180"/>
      <c r="R1012" s="180"/>
      <c r="S1012" s="180"/>
      <c r="T1012" s="180"/>
      <c r="U1012" s="180"/>
      <c r="V1012" s="180"/>
      <c r="W1012" s="180"/>
      <c r="X1012" s="180"/>
      <c r="Y1012" s="180"/>
      <c r="Z1012" s="180"/>
      <c r="AA1012" s="180"/>
      <c r="AB1012" s="180"/>
      <c r="AC1012" s="180"/>
      <c r="AD1012" s="180"/>
      <c r="AE1012" s="180"/>
      <c r="AF1012" s="180"/>
      <c r="AG1012" s="180"/>
      <c r="AH1012" s="180"/>
      <c r="AI1012" s="180"/>
      <c r="AJ1012" s="180"/>
      <c r="AK1012" s="180"/>
      <c r="AL1012" s="180"/>
      <c r="AM1012" s="180"/>
      <c r="AN1012" s="180"/>
      <c r="AO1012" s="180"/>
      <c r="AP1012" s="180"/>
      <c r="AQ1012" s="180"/>
      <c r="AR1012" s="180"/>
      <c r="AS1012" s="180"/>
      <c r="AT1012" s="180"/>
      <c r="AU1012" s="180"/>
      <c r="AV1012" s="180"/>
      <c r="AW1012" s="180"/>
    </row>
    <row r="1013" spans="1:49" s="712" customFormat="1" ht="12.75" hidden="1" outlineLevel="1" x14ac:dyDescent="0.2">
      <c r="A1013" s="820"/>
      <c r="B1013" s="833"/>
      <c r="C1013" s="843"/>
      <c r="D1013" s="484" t="str">
        <f>FleetTypeO &amp;" Supply Chain &amp; Logistics (SCL)"</f>
        <v>A350-900 Supply Chain &amp; Logistics (SCL)</v>
      </c>
      <c r="E1013" s="840"/>
      <c r="F1013" s="840"/>
      <c r="G1013" s="840"/>
      <c r="H1013" s="840"/>
      <c r="I1013" s="840"/>
      <c r="J1013" s="840"/>
      <c r="K1013" s="840"/>
      <c r="L1013" s="840"/>
      <c r="M1013" s="840"/>
      <c r="N1013" s="840"/>
      <c r="O1013" s="839"/>
      <c r="P1013" s="828"/>
      <c r="Q1013" s="180"/>
      <c r="R1013" s="180"/>
      <c r="S1013" s="180"/>
      <c r="T1013" s="180"/>
      <c r="U1013" s="180"/>
      <c r="V1013" s="180"/>
      <c r="W1013" s="180"/>
      <c r="X1013" s="180"/>
      <c r="Y1013" s="180"/>
      <c r="Z1013" s="180"/>
      <c r="AA1013" s="180"/>
      <c r="AB1013" s="180"/>
      <c r="AC1013" s="180"/>
      <c r="AD1013" s="180"/>
      <c r="AE1013" s="180"/>
      <c r="AF1013" s="180"/>
      <c r="AG1013" s="180"/>
      <c r="AH1013" s="180"/>
      <c r="AI1013" s="180"/>
      <c r="AJ1013" s="180"/>
      <c r="AK1013" s="180"/>
      <c r="AL1013" s="180"/>
      <c r="AM1013" s="180"/>
      <c r="AN1013" s="180"/>
      <c r="AO1013" s="180"/>
      <c r="AP1013" s="180"/>
      <c r="AQ1013" s="180"/>
      <c r="AR1013" s="180"/>
      <c r="AS1013" s="180"/>
      <c r="AT1013" s="180"/>
      <c r="AU1013" s="180"/>
      <c r="AV1013" s="180"/>
      <c r="AW1013" s="180"/>
    </row>
    <row r="1014" spans="1:49" s="712" customFormat="1" ht="12.75" hidden="1" outlineLevel="1" x14ac:dyDescent="0.2">
      <c r="A1014" s="820"/>
      <c r="B1014" s="833"/>
      <c r="C1014" s="256"/>
      <c r="D1014" s="233" t="str">
        <f>FleetTypeO&amp;" SCL Per AIRCRAFT OEMV Records Generated pa"</f>
        <v>A350-900 SCL Per AIRCRAFT OEMV Records Generated pa</v>
      </c>
      <c r="E1014" s="596">
        <v>13001</v>
      </c>
      <c r="F1014" s="596">
        <v>13002</v>
      </c>
      <c r="G1014" s="596">
        <v>13003</v>
      </c>
      <c r="H1014" s="596">
        <v>13004</v>
      </c>
      <c r="I1014" s="596">
        <v>13005</v>
      </c>
      <c r="J1014" s="596">
        <v>13006</v>
      </c>
      <c r="K1014" s="596">
        <v>13007</v>
      </c>
      <c r="L1014" s="596">
        <v>13008</v>
      </c>
      <c r="M1014" s="596">
        <v>13009</v>
      </c>
      <c r="N1014" s="596">
        <v>13010</v>
      </c>
      <c r="O1014" s="839"/>
      <c r="P1014" s="828"/>
      <c r="Q1014" s="180"/>
      <c r="R1014" s="180"/>
      <c r="S1014" s="180"/>
      <c r="T1014" s="180"/>
      <c r="U1014" s="180"/>
      <c r="V1014" s="180"/>
      <c r="W1014" s="180"/>
      <c r="X1014" s="180"/>
      <c r="Y1014" s="180"/>
      <c r="Z1014" s="180"/>
      <c r="AA1014" s="180"/>
      <c r="AB1014" s="180"/>
      <c r="AC1014" s="180"/>
      <c r="AD1014" s="180"/>
      <c r="AE1014" s="180"/>
      <c r="AF1014" s="180"/>
      <c r="AG1014" s="180"/>
      <c r="AH1014" s="180"/>
      <c r="AI1014" s="180"/>
      <c r="AJ1014" s="180"/>
      <c r="AK1014" s="180"/>
      <c r="AL1014" s="180"/>
      <c r="AM1014" s="180"/>
      <c r="AN1014" s="180"/>
      <c r="AO1014" s="180"/>
      <c r="AP1014" s="180"/>
      <c r="AQ1014" s="180"/>
      <c r="AR1014" s="180"/>
      <c r="AS1014" s="180"/>
      <c r="AT1014" s="180"/>
      <c r="AU1014" s="180"/>
      <c r="AV1014" s="180"/>
      <c r="AW1014" s="180"/>
    </row>
    <row r="1015" spans="1:49" s="712" customFormat="1" ht="12.75" hidden="1" outlineLevel="1" x14ac:dyDescent="0.2">
      <c r="A1015" s="820"/>
      <c r="B1015" s="833"/>
      <c r="C1015" s="843"/>
      <c r="D1015" s="501" t="str">
        <f>"Total "&amp;FleetTypeO&amp;" FLEET SCL Records Generated pa"</f>
        <v>Total A350-900 FLEET SCL Records Generated pa</v>
      </c>
      <c r="E1015" s="505">
        <f t="shared" ref="E1015:N1015" si="219">E1014*FleetSize_O</f>
        <v>104008</v>
      </c>
      <c r="F1015" s="505">
        <f t="shared" si="219"/>
        <v>104016</v>
      </c>
      <c r="G1015" s="505">
        <f t="shared" si="219"/>
        <v>104024</v>
      </c>
      <c r="H1015" s="505">
        <f t="shared" si="219"/>
        <v>104032</v>
      </c>
      <c r="I1015" s="505">
        <f t="shared" si="219"/>
        <v>104040</v>
      </c>
      <c r="J1015" s="505">
        <f t="shared" si="219"/>
        <v>104048</v>
      </c>
      <c r="K1015" s="505">
        <f t="shared" si="219"/>
        <v>104056</v>
      </c>
      <c r="L1015" s="505">
        <f t="shared" si="219"/>
        <v>104064</v>
      </c>
      <c r="M1015" s="505">
        <f t="shared" si="219"/>
        <v>104072</v>
      </c>
      <c r="N1015" s="505">
        <f t="shared" si="219"/>
        <v>104080</v>
      </c>
      <c r="O1015" s="285" t="s">
        <v>656</v>
      </c>
      <c r="P1015" s="828"/>
      <c r="Q1015" s="180"/>
      <c r="R1015" s="180"/>
      <c r="S1015" s="180"/>
      <c r="T1015" s="180"/>
      <c r="U1015" s="180"/>
      <c r="V1015" s="180"/>
      <c r="W1015" s="180"/>
      <c r="X1015" s="180"/>
      <c r="Y1015" s="180"/>
      <c r="Z1015" s="180"/>
      <c r="AA1015" s="180"/>
      <c r="AB1015" s="180"/>
      <c r="AC1015" s="180"/>
      <c r="AD1015" s="180"/>
      <c r="AE1015" s="180"/>
      <c r="AF1015" s="180"/>
      <c r="AG1015" s="180"/>
      <c r="AH1015" s="180"/>
      <c r="AI1015" s="180"/>
      <c r="AJ1015" s="180"/>
      <c r="AK1015" s="180"/>
      <c r="AL1015" s="180"/>
      <c r="AM1015" s="180"/>
      <c r="AN1015" s="180"/>
      <c r="AO1015" s="180"/>
      <c r="AP1015" s="180"/>
      <c r="AQ1015" s="180"/>
      <c r="AR1015" s="180"/>
      <c r="AS1015" s="180"/>
      <c r="AT1015" s="180"/>
      <c r="AU1015" s="180"/>
      <c r="AV1015" s="180"/>
      <c r="AW1015" s="180"/>
    </row>
    <row r="1016" spans="1:49" s="712" customFormat="1" ht="12.75" hidden="1" outlineLevel="1" x14ac:dyDescent="0.2">
      <c r="A1016" s="820"/>
      <c r="B1016" s="833"/>
      <c r="C1016" s="846"/>
      <c r="D1016" s="820"/>
      <c r="E1016" s="840"/>
      <c r="F1016" s="840"/>
      <c r="G1016" s="840"/>
      <c r="H1016" s="840"/>
      <c r="I1016" s="840"/>
      <c r="J1016" s="840"/>
      <c r="K1016" s="840"/>
      <c r="L1016" s="840"/>
      <c r="M1016" s="840"/>
      <c r="N1016" s="840"/>
      <c r="O1016" s="839"/>
      <c r="P1016" s="828"/>
      <c r="Q1016" s="180"/>
      <c r="R1016" s="180"/>
      <c r="S1016" s="180"/>
      <c r="T1016" s="180"/>
      <c r="U1016" s="180"/>
      <c r="V1016" s="180"/>
      <c r="W1016" s="180"/>
      <c r="X1016" s="180"/>
      <c r="Y1016" s="180"/>
      <c r="Z1016" s="180"/>
      <c r="AA1016" s="180"/>
      <c r="AB1016" s="180"/>
      <c r="AC1016" s="180"/>
      <c r="AD1016" s="180"/>
      <c r="AE1016" s="180"/>
      <c r="AF1016" s="180"/>
      <c r="AG1016" s="180"/>
      <c r="AH1016" s="180"/>
      <c r="AI1016" s="180"/>
      <c r="AJ1016" s="180"/>
      <c r="AK1016" s="180"/>
      <c r="AL1016" s="180"/>
      <c r="AM1016" s="180"/>
      <c r="AN1016" s="180"/>
      <c r="AO1016" s="180"/>
      <c r="AP1016" s="180"/>
      <c r="AQ1016" s="180"/>
      <c r="AR1016" s="180"/>
      <c r="AS1016" s="180"/>
      <c r="AT1016" s="180"/>
      <c r="AU1016" s="180"/>
      <c r="AV1016" s="180"/>
      <c r="AW1016" s="180"/>
    </row>
    <row r="1017" spans="1:49" s="712" customFormat="1" ht="12.75" hidden="1" outlineLevel="1" x14ac:dyDescent="0.2">
      <c r="A1017" s="820"/>
      <c r="B1017" s="833"/>
      <c r="C1017" s="846"/>
      <c r="D1017" s="484" t="str">
        <f>FleetTypeO &amp;" Quality, Safety &amp; Compliance (QSC)"</f>
        <v>A350-900 Quality, Safety &amp; Compliance (QSC)</v>
      </c>
      <c r="E1017" s="840"/>
      <c r="F1017" s="840"/>
      <c r="G1017" s="840"/>
      <c r="H1017" s="840"/>
      <c r="I1017" s="840"/>
      <c r="J1017" s="840"/>
      <c r="K1017" s="840"/>
      <c r="L1017" s="840"/>
      <c r="M1017" s="840"/>
      <c r="N1017" s="840"/>
      <c r="O1017" s="839"/>
      <c r="P1017" s="828"/>
      <c r="Q1017" s="180"/>
      <c r="R1017" s="180"/>
      <c r="S1017" s="180"/>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row>
    <row r="1018" spans="1:49" s="712" customFormat="1" ht="12.75" hidden="1" outlineLevel="1" x14ac:dyDescent="0.2">
      <c r="A1018" s="820"/>
      <c r="B1018" s="833"/>
      <c r="C1018" s="256"/>
      <c r="D1018" s="233" t="str">
        <f>FleetTypeO&amp;" QSC Per AIRCRAFT Records Generated pa"</f>
        <v>A350-900 QSC Per AIRCRAFT Records Generated pa</v>
      </c>
      <c r="E1018" s="596">
        <v>14001</v>
      </c>
      <c r="F1018" s="596">
        <v>14002</v>
      </c>
      <c r="G1018" s="596">
        <v>14003</v>
      </c>
      <c r="H1018" s="596">
        <v>14004</v>
      </c>
      <c r="I1018" s="596">
        <v>14005</v>
      </c>
      <c r="J1018" s="596">
        <v>14006</v>
      </c>
      <c r="K1018" s="596">
        <v>14007</v>
      </c>
      <c r="L1018" s="596">
        <v>14008</v>
      </c>
      <c r="M1018" s="596">
        <v>14009</v>
      </c>
      <c r="N1018" s="596">
        <v>14010</v>
      </c>
      <c r="O1018" s="839"/>
      <c r="P1018" s="828"/>
      <c r="Q1018" s="180"/>
      <c r="R1018" s="180"/>
      <c r="S1018" s="180"/>
      <c r="T1018" s="180"/>
      <c r="U1018" s="180"/>
      <c r="V1018" s="180"/>
      <c r="W1018" s="180"/>
      <c r="X1018" s="180"/>
      <c r="Y1018" s="180"/>
      <c r="Z1018" s="180"/>
      <c r="AA1018" s="180"/>
      <c r="AB1018" s="180"/>
      <c r="AC1018" s="180"/>
      <c r="AD1018" s="180"/>
      <c r="AE1018" s="180"/>
      <c r="AF1018" s="180"/>
      <c r="AG1018" s="180"/>
      <c r="AH1018" s="180"/>
      <c r="AI1018" s="180"/>
      <c r="AJ1018" s="180"/>
      <c r="AK1018" s="180"/>
      <c r="AL1018" s="180"/>
      <c r="AM1018" s="180"/>
      <c r="AN1018" s="180"/>
      <c r="AO1018" s="180"/>
      <c r="AP1018" s="180"/>
      <c r="AQ1018" s="180"/>
      <c r="AR1018" s="180"/>
      <c r="AS1018" s="180"/>
      <c r="AT1018" s="180"/>
      <c r="AU1018" s="180"/>
      <c r="AV1018" s="180"/>
      <c r="AW1018" s="180"/>
    </row>
    <row r="1019" spans="1:49" s="712" customFormat="1" ht="15.75" hidden="1" customHeight="1" outlineLevel="1" x14ac:dyDescent="0.2">
      <c r="A1019" s="820"/>
      <c r="B1019" s="833"/>
      <c r="C1019" s="843"/>
      <c r="D1019" s="501" t="str">
        <f>"Total "&amp;FleetTypeO&amp;" FLEET QSC Records Generated pa"</f>
        <v>Total A350-900 FLEET QSC Records Generated pa</v>
      </c>
      <c r="E1019" s="505">
        <f t="shared" ref="E1019:N1019" si="220">E1018*FleetSize_O</f>
        <v>112008</v>
      </c>
      <c r="F1019" s="505">
        <f t="shared" si="220"/>
        <v>112016</v>
      </c>
      <c r="G1019" s="505">
        <f t="shared" si="220"/>
        <v>112024</v>
      </c>
      <c r="H1019" s="505">
        <f t="shared" si="220"/>
        <v>112032</v>
      </c>
      <c r="I1019" s="505">
        <f t="shared" si="220"/>
        <v>112040</v>
      </c>
      <c r="J1019" s="505">
        <f t="shared" si="220"/>
        <v>112048</v>
      </c>
      <c r="K1019" s="505">
        <f t="shared" si="220"/>
        <v>112056</v>
      </c>
      <c r="L1019" s="505">
        <f t="shared" si="220"/>
        <v>112064</v>
      </c>
      <c r="M1019" s="505">
        <f t="shared" si="220"/>
        <v>112072</v>
      </c>
      <c r="N1019" s="505">
        <f t="shared" si="220"/>
        <v>112080</v>
      </c>
      <c r="O1019" s="285" t="s">
        <v>657</v>
      </c>
      <c r="P1019" s="828"/>
      <c r="Q1019" s="180"/>
      <c r="R1019" s="180"/>
      <c r="S1019" s="180"/>
      <c r="T1019" s="180"/>
      <c r="U1019" s="180"/>
      <c r="V1019" s="180"/>
      <c r="W1019" s="180"/>
      <c r="X1019" s="180"/>
      <c r="Y1019" s="180"/>
      <c r="Z1019" s="180"/>
      <c r="AA1019" s="180"/>
      <c r="AB1019" s="180"/>
      <c r="AC1019" s="180"/>
      <c r="AD1019" s="180"/>
      <c r="AE1019" s="180"/>
      <c r="AF1019" s="180"/>
      <c r="AG1019" s="180"/>
      <c r="AH1019" s="180"/>
      <c r="AI1019" s="180"/>
      <c r="AJ1019" s="180"/>
      <c r="AK1019" s="180"/>
      <c r="AL1019" s="180"/>
      <c r="AM1019" s="180"/>
      <c r="AN1019" s="180"/>
      <c r="AO1019" s="180"/>
      <c r="AP1019" s="180"/>
      <c r="AQ1019" s="180"/>
      <c r="AR1019" s="180"/>
      <c r="AS1019" s="180"/>
      <c r="AT1019" s="180"/>
      <c r="AU1019" s="180"/>
      <c r="AV1019" s="180"/>
      <c r="AW1019" s="180"/>
    </row>
    <row r="1020" spans="1:49" s="712" customFormat="1" ht="12.75" hidden="1" outlineLevel="1" x14ac:dyDescent="0.2">
      <c r="A1020" s="820"/>
      <c r="B1020" s="833"/>
      <c r="C1020" s="847"/>
      <c r="D1020" s="820"/>
      <c r="E1020" s="840"/>
      <c r="F1020" s="840"/>
      <c r="G1020" s="840"/>
      <c r="H1020" s="840"/>
      <c r="I1020" s="840"/>
      <c r="J1020" s="840"/>
      <c r="K1020" s="840"/>
      <c r="L1020" s="840"/>
      <c r="M1020" s="840"/>
      <c r="N1020" s="840"/>
      <c r="O1020" s="835"/>
      <c r="P1020" s="828"/>
      <c r="Q1020" s="180"/>
      <c r="R1020" s="180"/>
      <c r="S1020" s="180"/>
      <c r="T1020" s="180"/>
      <c r="U1020" s="180"/>
      <c r="V1020" s="180"/>
      <c r="W1020" s="180"/>
      <c r="X1020" s="180"/>
      <c r="Y1020" s="180"/>
      <c r="Z1020" s="180"/>
      <c r="AA1020" s="180"/>
      <c r="AB1020" s="180"/>
      <c r="AC1020" s="180"/>
      <c r="AD1020" s="180"/>
      <c r="AE1020" s="180"/>
      <c r="AF1020" s="180"/>
      <c r="AG1020" s="180"/>
      <c r="AH1020" s="180"/>
      <c r="AI1020" s="180"/>
      <c r="AJ1020" s="180"/>
      <c r="AK1020" s="180"/>
      <c r="AL1020" s="180"/>
      <c r="AM1020" s="180"/>
      <c r="AN1020" s="180"/>
      <c r="AO1020" s="180"/>
      <c r="AP1020" s="180"/>
      <c r="AQ1020" s="180"/>
      <c r="AR1020" s="180"/>
      <c r="AS1020" s="180"/>
      <c r="AT1020" s="180"/>
      <c r="AU1020" s="180"/>
      <c r="AV1020" s="180"/>
      <c r="AW1020" s="180"/>
    </row>
    <row r="1021" spans="1:49" s="712" customFormat="1" ht="12.75" hidden="1" outlineLevel="1" x14ac:dyDescent="0.2">
      <c r="A1021" s="820"/>
      <c r="B1021" s="833"/>
      <c r="C1021" s="847"/>
      <c r="D1021" s="484" t="str">
        <f>FleetTypeO &amp;" Engine Maintenance (EM)"</f>
        <v>A350-900 Engine Maintenance (EM)</v>
      </c>
      <c r="E1021" s="840"/>
      <c r="F1021" s="840"/>
      <c r="G1021" s="840"/>
      <c r="H1021" s="840"/>
      <c r="I1021" s="840"/>
      <c r="J1021" s="840"/>
      <c r="K1021" s="840"/>
      <c r="L1021" s="840"/>
      <c r="M1021" s="840"/>
      <c r="N1021" s="840"/>
      <c r="O1021" s="835"/>
      <c r="P1021" s="828"/>
      <c r="Q1021" s="180"/>
      <c r="R1021" s="180"/>
      <c r="S1021" s="180"/>
      <c r="T1021" s="180"/>
      <c r="U1021" s="180"/>
      <c r="V1021" s="180"/>
      <c r="W1021" s="180"/>
      <c r="X1021" s="180"/>
      <c r="Y1021" s="180"/>
      <c r="Z1021" s="180"/>
      <c r="AA1021" s="180"/>
      <c r="AB1021" s="180"/>
      <c r="AC1021" s="180"/>
      <c r="AD1021" s="180"/>
      <c r="AE1021" s="180"/>
      <c r="AF1021" s="180"/>
      <c r="AG1021" s="180"/>
      <c r="AH1021" s="180"/>
      <c r="AI1021" s="180"/>
      <c r="AJ1021" s="180"/>
      <c r="AK1021" s="180"/>
      <c r="AL1021" s="180"/>
      <c r="AM1021" s="180"/>
      <c r="AN1021" s="180"/>
      <c r="AO1021" s="180"/>
      <c r="AP1021" s="180"/>
      <c r="AQ1021" s="180"/>
      <c r="AR1021" s="180"/>
      <c r="AS1021" s="180"/>
      <c r="AT1021" s="180"/>
      <c r="AU1021" s="180"/>
      <c r="AV1021" s="180"/>
      <c r="AW1021" s="180"/>
    </row>
    <row r="1022" spans="1:49" s="712" customFormat="1" ht="12.75" hidden="1" outlineLevel="1" x14ac:dyDescent="0.2">
      <c r="A1022" s="820"/>
      <c r="B1022" s="833"/>
      <c r="C1022" s="256"/>
      <c r="D1022" s="233" t="str">
        <f>FleetTypeO&amp;" EM Per AIRCRAFT Records Generated pa"</f>
        <v>A350-900 EM Per AIRCRAFT Records Generated pa</v>
      </c>
      <c r="E1022" s="596">
        <v>15001</v>
      </c>
      <c r="F1022" s="596">
        <v>15002</v>
      </c>
      <c r="G1022" s="596">
        <v>15003</v>
      </c>
      <c r="H1022" s="596">
        <v>15004</v>
      </c>
      <c r="I1022" s="596">
        <v>15005</v>
      </c>
      <c r="J1022" s="596">
        <v>15006</v>
      </c>
      <c r="K1022" s="596">
        <v>15007</v>
      </c>
      <c r="L1022" s="596">
        <v>15008</v>
      </c>
      <c r="M1022" s="596">
        <v>15009</v>
      </c>
      <c r="N1022" s="596">
        <v>15010</v>
      </c>
      <c r="O1022" s="835"/>
      <c r="P1022" s="828"/>
      <c r="Q1022" s="180"/>
      <c r="R1022" s="180"/>
      <c r="S1022" s="180"/>
      <c r="T1022" s="180"/>
      <c r="U1022" s="180"/>
      <c r="V1022" s="180"/>
      <c r="W1022" s="180"/>
      <c r="X1022" s="180"/>
      <c r="Y1022" s="180"/>
      <c r="Z1022" s="180"/>
      <c r="AA1022" s="180"/>
      <c r="AB1022" s="180"/>
      <c r="AC1022" s="180"/>
      <c r="AD1022" s="180"/>
      <c r="AE1022" s="180"/>
      <c r="AF1022" s="180"/>
      <c r="AG1022" s="180"/>
      <c r="AH1022" s="180"/>
      <c r="AI1022" s="180"/>
      <c r="AJ1022" s="180"/>
      <c r="AK1022" s="180"/>
      <c r="AL1022" s="180"/>
      <c r="AM1022" s="180"/>
      <c r="AN1022" s="180"/>
      <c r="AO1022" s="180"/>
      <c r="AP1022" s="180"/>
      <c r="AQ1022" s="180"/>
      <c r="AR1022" s="180"/>
      <c r="AS1022" s="180"/>
      <c r="AT1022" s="180"/>
      <c r="AU1022" s="180"/>
      <c r="AV1022" s="180"/>
      <c r="AW1022" s="180"/>
    </row>
    <row r="1023" spans="1:49" s="712" customFormat="1" ht="15.75" hidden="1" customHeight="1" outlineLevel="1" x14ac:dyDescent="0.2">
      <c r="A1023" s="820"/>
      <c r="B1023" s="833"/>
      <c r="C1023" s="256"/>
      <c r="D1023" s="501" t="str">
        <f>"Total "&amp;FleetTypeO&amp;" FLEET EM Records Generated pa"</f>
        <v>Total A350-900 FLEET EM Records Generated pa</v>
      </c>
      <c r="E1023" s="505">
        <f t="shared" ref="E1023:N1023" si="221">E1022*FleetSize_O</f>
        <v>120008</v>
      </c>
      <c r="F1023" s="505">
        <f t="shared" si="221"/>
        <v>120016</v>
      </c>
      <c r="G1023" s="505">
        <f t="shared" si="221"/>
        <v>120024</v>
      </c>
      <c r="H1023" s="505">
        <f t="shared" si="221"/>
        <v>120032</v>
      </c>
      <c r="I1023" s="505">
        <f t="shared" si="221"/>
        <v>120040</v>
      </c>
      <c r="J1023" s="505">
        <f t="shared" si="221"/>
        <v>120048</v>
      </c>
      <c r="K1023" s="505">
        <f t="shared" si="221"/>
        <v>120056</v>
      </c>
      <c r="L1023" s="505">
        <f t="shared" si="221"/>
        <v>120064</v>
      </c>
      <c r="M1023" s="505">
        <f t="shared" si="221"/>
        <v>120072</v>
      </c>
      <c r="N1023" s="505">
        <f t="shared" si="221"/>
        <v>120080</v>
      </c>
      <c r="O1023" s="285" t="s">
        <v>658</v>
      </c>
      <c r="P1023" s="828"/>
      <c r="Q1023" s="180"/>
      <c r="R1023" s="180"/>
      <c r="S1023" s="180"/>
      <c r="T1023" s="180"/>
      <c r="U1023" s="180"/>
      <c r="V1023" s="180"/>
      <c r="W1023" s="180"/>
      <c r="X1023" s="180"/>
      <c r="Y1023" s="180"/>
      <c r="Z1023" s="180"/>
      <c r="AA1023" s="180"/>
      <c r="AB1023" s="180"/>
      <c r="AC1023" s="180"/>
      <c r="AD1023" s="180"/>
      <c r="AE1023" s="180"/>
      <c r="AF1023" s="180"/>
      <c r="AG1023" s="180"/>
      <c r="AH1023" s="180"/>
      <c r="AI1023" s="180"/>
      <c r="AJ1023" s="180"/>
      <c r="AK1023" s="180"/>
      <c r="AL1023" s="180"/>
      <c r="AM1023" s="180"/>
      <c r="AN1023" s="180"/>
      <c r="AO1023" s="180"/>
      <c r="AP1023" s="180"/>
      <c r="AQ1023" s="180"/>
      <c r="AR1023" s="180"/>
      <c r="AS1023" s="180"/>
      <c r="AT1023" s="180"/>
      <c r="AU1023" s="180"/>
      <c r="AV1023" s="180"/>
      <c r="AW1023" s="180"/>
    </row>
    <row r="1024" spans="1:49" s="712" customFormat="1" ht="12.75" hidden="1" outlineLevel="1" x14ac:dyDescent="0.2">
      <c r="A1024" s="820"/>
      <c r="B1024" s="833"/>
      <c r="C1024" s="256"/>
      <c r="D1024" s="30"/>
      <c r="E1024" s="30"/>
      <c r="F1024" s="30"/>
      <c r="G1024" s="30"/>
      <c r="H1024" s="30"/>
      <c r="I1024" s="30"/>
      <c r="J1024" s="30"/>
      <c r="K1024" s="30"/>
      <c r="L1024" s="30"/>
      <c r="M1024" s="30"/>
      <c r="N1024" s="30"/>
      <c r="O1024" s="839"/>
      <c r="P1024" s="828"/>
      <c r="Q1024" s="180"/>
      <c r="R1024" s="180"/>
      <c r="S1024" s="180"/>
      <c r="T1024" s="180"/>
      <c r="U1024" s="180"/>
      <c r="V1024" s="180"/>
      <c r="W1024" s="180"/>
      <c r="X1024" s="180"/>
      <c r="Y1024" s="180"/>
      <c r="Z1024" s="180"/>
      <c r="AA1024" s="180"/>
      <c r="AB1024" s="180"/>
      <c r="AC1024" s="180"/>
      <c r="AD1024" s="180"/>
      <c r="AE1024" s="180"/>
      <c r="AF1024" s="180"/>
      <c r="AG1024" s="180"/>
      <c r="AH1024" s="180"/>
      <c r="AI1024" s="180"/>
      <c r="AJ1024" s="180"/>
      <c r="AK1024" s="180"/>
      <c r="AL1024" s="180"/>
      <c r="AM1024" s="180"/>
      <c r="AN1024" s="180"/>
      <c r="AO1024" s="180"/>
      <c r="AP1024" s="180"/>
      <c r="AQ1024" s="180"/>
      <c r="AR1024" s="180"/>
      <c r="AS1024" s="180"/>
      <c r="AT1024" s="180"/>
      <c r="AU1024" s="180"/>
      <c r="AV1024" s="180"/>
      <c r="AW1024" s="180"/>
    </row>
    <row r="1025" spans="1:49" s="712" customFormat="1" ht="12.75" hidden="1" outlineLevel="1" x14ac:dyDescent="0.2">
      <c r="A1025" s="820"/>
      <c r="B1025" s="833"/>
      <c r="C1025" s="847"/>
      <c r="D1025" s="484" t="str">
        <f>FleetTypeO &amp;" Component Maintenance (CM)"</f>
        <v>A350-900 Component Maintenance (CM)</v>
      </c>
      <c r="E1025" s="840"/>
      <c r="F1025" s="840"/>
      <c r="G1025" s="840"/>
      <c r="H1025" s="840"/>
      <c r="I1025" s="840"/>
      <c r="J1025" s="840"/>
      <c r="K1025" s="840"/>
      <c r="L1025" s="840"/>
      <c r="M1025" s="840"/>
      <c r="N1025" s="840"/>
      <c r="O1025" s="835"/>
      <c r="P1025" s="828"/>
      <c r="Q1025" s="180"/>
      <c r="R1025" s="180"/>
      <c r="S1025" s="180"/>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row>
    <row r="1026" spans="1:49" s="712" customFormat="1" ht="12.75" hidden="1" outlineLevel="1" x14ac:dyDescent="0.2">
      <c r="A1026" s="820"/>
      <c r="B1026" s="833"/>
      <c r="C1026" s="256"/>
      <c r="D1026" s="233" t="str">
        <f>FleetTypeO&amp;" CM Per AIRCRAFT Records Generated pa"</f>
        <v>A350-900 CM Per AIRCRAFT Records Generated pa</v>
      </c>
      <c r="E1026" s="596">
        <v>15001</v>
      </c>
      <c r="F1026" s="596">
        <v>15002</v>
      </c>
      <c r="G1026" s="596">
        <v>15003</v>
      </c>
      <c r="H1026" s="596">
        <v>15004</v>
      </c>
      <c r="I1026" s="596">
        <v>15005</v>
      </c>
      <c r="J1026" s="596">
        <v>15006</v>
      </c>
      <c r="K1026" s="596">
        <v>15007</v>
      </c>
      <c r="L1026" s="596">
        <v>15008</v>
      </c>
      <c r="M1026" s="596">
        <v>15009</v>
      </c>
      <c r="N1026" s="596">
        <v>15010</v>
      </c>
      <c r="O1026" s="835"/>
      <c r="P1026" s="828"/>
      <c r="Q1026" s="180"/>
      <c r="R1026" s="180"/>
      <c r="S1026" s="180"/>
      <c r="T1026" s="180"/>
      <c r="U1026" s="180"/>
      <c r="V1026" s="180"/>
      <c r="W1026" s="180"/>
      <c r="X1026" s="180"/>
      <c r="Y1026" s="180"/>
      <c r="Z1026" s="180"/>
      <c r="AA1026" s="180"/>
      <c r="AB1026" s="180"/>
      <c r="AC1026" s="180"/>
      <c r="AD1026" s="180"/>
      <c r="AE1026" s="180"/>
      <c r="AF1026" s="180"/>
      <c r="AG1026" s="180"/>
      <c r="AH1026" s="180"/>
      <c r="AI1026" s="180"/>
      <c r="AJ1026" s="180"/>
      <c r="AK1026" s="180"/>
      <c r="AL1026" s="180"/>
      <c r="AM1026" s="180"/>
      <c r="AN1026" s="180"/>
      <c r="AO1026" s="180"/>
      <c r="AP1026" s="180"/>
      <c r="AQ1026" s="180"/>
      <c r="AR1026" s="180"/>
      <c r="AS1026" s="180"/>
      <c r="AT1026" s="180"/>
      <c r="AU1026" s="180"/>
      <c r="AV1026" s="180"/>
      <c r="AW1026" s="180"/>
    </row>
    <row r="1027" spans="1:49" s="712" customFormat="1" ht="15.75" hidden="1" customHeight="1" outlineLevel="1" x14ac:dyDescent="0.2">
      <c r="A1027" s="820"/>
      <c r="B1027" s="833"/>
      <c r="C1027" s="256"/>
      <c r="D1027" s="501" t="str">
        <f>"Total "&amp;FleetTypeO&amp;" FLEET CM Records Generated pa"</f>
        <v>Total A350-900 FLEET CM Records Generated pa</v>
      </c>
      <c r="E1027" s="505">
        <f t="shared" ref="E1027:N1027" si="222">E1026*FleetSize_O</f>
        <v>120008</v>
      </c>
      <c r="F1027" s="505">
        <f t="shared" si="222"/>
        <v>120016</v>
      </c>
      <c r="G1027" s="505">
        <f t="shared" si="222"/>
        <v>120024</v>
      </c>
      <c r="H1027" s="505">
        <f t="shared" si="222"/>
        <v>120032</v>
      </c>
      <c r="I1027" s="505">
        <f t="shared" si="222"/>
        <v>120040</v>
      </c>
      <c r="J1027" s="505">
        <f t="shared" si="222"/>
        <v>120048</v>
      </c>
      <c r="K1027" s="505">
        <f t="shared" si="222"/>
        <v>120056</v>
      </c>
      <c r="L1027" s="505">
        <f t="shared" si="222"/>
        <v>120064</v>
      </c>
      <c r="M1027" s="505">
        <f t="shared" si="222"/>
        <v>120072</v>
      </c>
      <c r="N1027" s="505">
        <f t="shared" si="222"/>
        <v>120080</v>
      </c>
      <c r="O1027" s="285" t="s">
        <v>659</v>
      </c>
      <c r="P1027" s="828"/>
      <c r="Q1027" s="180"/>
      <c r="R1027" s="180"/>
      <c r="S1027" s="180"/>
      <c r="T1027" s="180"/>
      <c r="U1027" s="180"/>
      <c r="V1027" s="180"/>
      <c r="W1027" s="180"/>
      <c r="X1027" s="180"/>
      <c r="Y1027" s="180"/>
      <c r="Z1027" s="180"/>
      <c r="AA1027" s="180"/>
      <c r="AB1027" s="180"/>
      <c r="AC1027" s="180"/>
      <c r="AD1027" s="180"/>
      <c r="AE1027" s="180"/>
      <c r="AF1027" s="180"/>
      <c r="AG1027" s="180"/>
      <c r="AH1027" s="180"/>
      <c r="AI1027" s="180"/>
      <c r="AJ1027" s="180"/>
      <c r="AK1027" s="180"/>
      <c r="AL1027" s="180"/>
      <c r="AM1027" s="180"/>
      <c r="AN1027" s="180"/>
      <c r="AO1027" s="180"/>
      <c r="AP1027" s="180"/>
      <c r="AQ1027" s="180"/>
      <c r="AR1027" s="180"/>
      <c r="AS1027" s="180"/>
      <c r="AT1027" s="180"/>
      <c r="AU1027" s="180"/>
      <c r="AV1027" s="180"/>
      <c r="AW1027" s="180"/>
    </row>
    <row r="1028" spans="1:49" s="712" customFormat="1" ht="12.75" hidden="1" outlineLevel="1" x14ac:dyDescent="0.2">
      <c r="A1028" s="820"/>
      <c r="B1028" s="833"/>
      <c r="C1028" s="256"/>
      <c r="D1028" s="30"/>
      <c r="E1028" s="30"/>
      <c r="F1028" s="30"/>
      <c r="G1028" s="30"/>
      <c r="H1028" s="30"/>
      <c r="I1028" s="30"/>
      <c r="J1028" s="30"/>
      <c r="K1028" s="30"/>
      <c r="L1028" s="30"/>
      <c r="M1028" s="30"/>
      <c r="N1028" s="30"/>
      <c r="O1028" s="839"/>
      <c r="P1028" s="828"/>
      <c r="Q1028" s="180"/>
      <c r="R1028" s="180"/>
      <c r="S1028" s="180"/>
      <c r="T1028" s="180"/>
      <c r="U1028" s="180"/>
      <c r="V1028" s="180"/>
      <c r="W1028" s="180"/>
      <c r="X1028" s="180"/>
      <c r="Y1028" s="180"/>
      <c r="Z1028" s="180"/>
      <c r="AA1028" s="180"/>
      <c r="AB1028" s="180"/>
      <c r="AC1028" s="180"/>
      <c r="AD1028" s="180"/>
      <c r="AE1028" s="180"/>
      <c r="AF1028" s="180"/>
      <c r="AG1028" s="180"/>
      <c r="AH1028" s="180"/>
      <c r="AI1028" s="180"/>
      <c r="AJ1028" s="180"/>
      <c r="AK1028" s="180"/>
      <c r="AL1028" s="180"/>
      <c r="AM1028" s="180"/>
      <c r="AN1028" s="180"/>
      <c r="AO1028" s="180"/>
      <c r="AP1028" s="180"/>
      <c r="AQ1028" s="180"/>
      <c r="AR1028" s="180"/>
      <c r="AS1028" s="180"/>
      <c r="AT1028" s="180"/>
      <c r="AU1028" s="180"/>
      <c r="AV1028" s="180"/>
      <c r="AW1028" s="180"/>
    </row>
    <row r="1029" spans="1:49" s="712" customFormat="1" ht="15.75" hidden="1" customHeight="1" outlineLevel="1" x14ac:dyDescent="0.2">
      <c r="A1029" s="820"/>
      <c r="B1029" s="833"/>
      <c r="C1029" s="847"/>
      <c r="D1029" s="484" t="str">
        <f>FleetTypeO &amp;" Sheetmetal &amp; Composite Structures (SMCS)"</f>
        <v>A350-900 Sheetmetal &amp; Composite Structures (SMCS)</v>
      </c>
      <c r="E1029" s="840"/>
      <c r="F1029" s="840"/>
      <c r="G1029" s="840"/>
      <c r="H1029" s="840"/>
      <c r="I1029" s="840"/>
      <c r="J1029" s="840"/>
      <c r="K1029" s="840"/>
      <c r="L1029" s="840"/>
      <c r="M1029" s="840"/>
      <c r="N1029" s="840"/>
      <c r="O1029" s="835"/>
      <c r="P1029" s="828"/>
      <c r="Q1029" s="180"/>
      <c r="R1029" s="180"/>
      <c r="S1029" s="180"/>
      <c r="T1029" s="180"/>
      <c r="U1029" s="180"/>
      <c r="V1029" s="180"/>
      <c r="W1029" s="180"/>
      <c r="X1029" s="180"/>
      <c r="Y1029" s="180"/>
      <c r="Z1029" s="180"/>
      <c r="AA1029" s="180"/>
      <c r="AB1029" s="180"/>
      <c r="AC1029" s="180"/>
      <c r="AD1029" s="180"/>
      <c r="AE1029" s="180"/>
      <c r="AF1029" s="180"/>
      <c r="AG1029" s="180"/>
      <c r="AH1029" s="180"/>
      <c r="AI1029" s="180"/>
      <c r="AJ1029" s="180"/>
      <c r="AK1029" s="180"/>
      <c r="AL1029" s="180"/>
      <c r="AM1029" s="180"/>
      <c r="AN1029" s="180"/>
      <c r="AO1029" s="180"/>
      <c r="AP1029" s="180"/>
      <c r="AQ1029" s="180"/>
      <c r="AR1029" s="180"/>
      <c r="AS1029" s="180"/>
      <c r="AT1029" s="180"/>
      <c r="AU1029" s="180"/>
      <c r="AV1029" s="180"/>
      <c r="AW1029" s="180"/>
    </row>
    <row r="1030" spans="1:49" s="712" customFormat="1" ht="12.75" hidden="1" outlineLevel="1" x14ac:dyDescent="0.2">
      <c r="A1030" s="820"/>
      <c r="B1030" s="833"/>
      <c r="C1030" s="256"/>
      <c r="D1030" s="233" t="str">
        <f>FleetTypeO&amp;" SMCS Per AIRCRAFT Records Generated pa"</f>
        <v>A350-900 SMCS Per AIRCRAFT Records Generated pa</v>
      </c>
      <c r="E1030" s="596">
        <v>15001</v>
      </c>
      <c r="F1030" s="596">
        <v>15002</v>
      </c>
      <c r="G1030" s="596">
        <v>15003</v>
      </c>
      <c r="H1030" s="596">
        <v>15004</v>
      </c>
      <c r="I1030" s="596">
        <v>15005</v>
      </c>
      <c r="J1030" s="596">
        <v>15006</v>
      </c>
      <c r="K1030" s="596">
        <v>15007</v>
      </c>
      <c r="L1030" s="596">
        <v>15008</v>
      </c>
      <c r="M1030" s="596">
        <v>15009</v>
      </c>
      <c r="N1030" s="596">
        <v>15010</v>
      </c>
      <c r="O1030" s="835"/>
      <c r="P1030" s="828"/>
      <c r="Q1030" s="180"/>
      <c r="R1030" s="180"/>
      <c r="S1030" s="180"/>
      <c r="T1030" s="180"/>
      <c r="U1030" s="180"/>
      <c r="V1030" s="180"/>
      <c r="W1030" s="180"/>
      <c r="X1030" s="180"/>
      <c r="Y1030" s="180"/>
      <c r="Z1030" s="180"/>
      <c r="AA1030" s="180"/>
      <c r="AB1030" s="180"/>
      <c r="AC1030" s="180"/>
      <c r="AD1030" s="180"/>
      <c r="AE1030" s="180"/>
      <c r="AF1030" s="180"/>
      <c r="AG1030" s="180"/>
      <c r="AH1030" s="180"/>
      <c r="AI1030" s="180"/>
      <c r="AJ1030" s="180"/>
      <c r="AK1030" s="180"/>
      <c r="AL1030" s="180"/>
      <c r="AM1030" s="180"/>
      <c r="AN1030" s="180"/>
      <c r="AO1030" s="180"/>
      <c r="AP1030" s="180"/>
      <c r="AQ1030" s="180"/>
      <c r="AR1030" s="180"/>
      <c r="AS1030" s="180"/>
      <c r="AT1030" s="180"/>
      <c r="AU1030" s="180"/>
      <c r="AV1030" s="180"/>
      <c r="AW1030" s="180"/>
    </row>
    <row r="1031" spans="1:49" s="712" customFormat="1" ht="15.75" hidden="1" customHeight="1" outlineLevel="1" x14ac:dyDescent="0.2">
      <c r="A1031" s="820"/>
      <c r="B1031" s="833"/>
      <c r="C1031" s="256"/>
      <c r="D1031" s="501" t="str">
        <f>"Total "&amp;FleetTypeO&amp;" FLEET SMCS Records Generated pa"</f>
        <v>Total A350-900 FLEET SMCS Records Generated pa</v>
      </c>
      <c r="E1031" s="505">
        <f t="shared" ref="E1031:N1031" si="223">E1030*FleetSize_O</f>
        <v>120008</v>
      </c>
      <c r="F1031" s="505">
        <f t="shared" si="223"/>
        <v>120016</v>
      </c>
      <c r="G1031" s="505">
        <f t="shared" si="223"/>
        <v>120024</v>
      </c>
      <c r="H1031" s="505">
        <f t="shared" si="223"/>
        <v>120032</v>
      </c>
      <c r="I1031" s="505">
        <f t="shared" si="223"/>
        <v>120040</v>
      </c>
      <c r="J1031" s="505">
        <f t="shared" si="223"/>
        <v>120048</v>
      </c>
      <c r="K1031" s="505">
        <f t="shared" si="223"/>
        <v>120056</v>
      </c>
      <c r="L1031" s="505">
        <f t="shared" si="223"/>
        <v>120064</v>
      </c>
      <c r="M1031" s="505">
        <f t="shared" si="223"/>
        <v>120072</v>
      </c>
      <c r="N1031" s="505">
        <f t="shared" si="223"/>
        <v>120080</v>
      </c>
      <c r="O1031" s="285" t="s">
        <v>660</v>
      </c>
      <c r="P1031" s="828"/>
      <c r="Q1031" s="180"/>
      <c r="R1031" s="180"/>
      <c r="S1031" s="180"/>
      <c r="T1031" s="180"/>
      <c r="U1031" s="180"/>
      <c r="V1031" s="180"/>
      <c r="W1031" s="180"/>
      <c r="X1031" s="180"/>
      <c r="Y1031" s="180"/>
      <c r="Z1031" s="180"/>
      <c r="AA1031" s="180"/>
      <c r="AB1031" s="180"/>
      <c r="AC1031" s="180"/>
      <c r="AD1031" s="180"/>
      <c r="AE1031" s="180"/>
      <c r="AF1031" s="180"/>
      <c r="AG1031" s="180"/>
      <c r="AH1031" s="180"/>
      <c r="AI1031" s="180"/>
      <c r="AJ1031" s="180"/>
      <c r="AK1031" s="180"/>
      <c r="AL1031" s="180"/>
      <c r="AM1031" s="180"/>
      <c r="AN1031" s="180"/>
      <c r="AO1031" s="180"/>
      <c r="AP1031" s="180"/>
      <c r="AQ1031" s="180"/>
      <c r="AR1031" s="180"/>
      <c r="AS1031" s="180"/>
      <c r="AT1031" s="180"/>
      <c r="AU1031" s="180"/>
      <c r="AV1031" s="180"/>
      <c r="AW1031" s="180"/>
    </row>
    <row r="1032" spans="1:49" s="712" customFormat="1" ht="12.75" hidden="1" outlineLevel="1" x14ac:dyDescent="0.2">
      <c r="A1032" s="820"/>
      <c r="B1032" s="833"/>
      <c r="C1032" s="256"/>
      <c r="D1032" s="30"/>
      <c r="E1032" s="30"/>
      <c r="F1032" s="30"/>
      <c r="G1032" s="30"/>
      <c r="H1032" s="30"/>
      <c r="I1032" s="30"/>
      <c r="J1032" s="30"/>
      <c r="K1032" s="30"/>
      <c r="L1032" s="30"/>
      <c r="M1032" s="30"/>
      <c r="N1032" s="30"/>
      <c r="O1032" s="839"/>
      <c r="P1032" s="828"/>
      <c r="Q1032" s="180"/>
      <c r="R1032" s="180"/>
      <c r="S1032" s="180"/>
      <c r="T1032" s="180"/>
      <c r="U1032" s="180"/>
      <c r="V1032" s="180"/>
      <c r="W1032" s="180"/>
      <c r="X1032" s="180"/>
      <c r="Y1032" s="180"/>
      <c r="Z1032" s="180"/>
      <c r="AA1032" s="180"/>
      <c r="AB1032" s="180"/>
      <c r="AC1032" s="180"/>
      <c r="AD1032" s="180"/>
      <c r="AE1032" s="180"/>
      <c r="AF1032" s="180"/>
      <c r="AG1032" s="180"/>
      <c r="AH1032" s="180"/>
      <c r="AI1032" s="180"/>
      <c r="AJ1032" s="180"/>
      <c r="AK1032" s="180"/>
      <c r="AL1032" s="180"/>
      <c r="AM1032" s="180"/>
      <c r="AN1032" s="180"/>
      <c r="AO1032" s="180"/>
      <c r="AP1032" s="180"/>
      <c r="AQ1032" s="180"/>
      <c r="AR1032" s="180"/>
      <c r="AS1032" s="180"/>
      <c r="AT1032" s="180"/>
      <c r="AU1032" s="180"/>
      <c r="AV1032" s="180"/>
      <c r="AW1032" s="180"/>
    </row>
    <row r="1033" spans="1:49" s="712" customFormat="1" ht="12.75" hidden="1" outlineLevel="1" x14ac:dyDescent="0.2">
      <c r="A1033" s="820"/>
      <c r="B1033" s="833"/>
      <c r="C1033" s="847"/>
      <c r="D1033" s="484" t="str">
        <f>FleetTypeO &amp;" Other 1 (O1)"</f>
        <v>A350-900 Other 1 (O1)</v>
      </c>
      <c r="E1033" s="840"/>
      <c r="F1033" s="840"/>
      <c r="G1033" s="840"/>
      <c r="H1033" s="840"/>
      <c r="I1033" s="840"/>
      <c r="J1033" s="840"/>
      <c r="K1033" s="840"/>
      <c r="L1033" s="840"/>
      <c r="M1033" s="840"/>
      <c r="N1033" s="840"/>
      <c r="O1033" s="835"/>
      <c r="P1033" s="828"/>
      <c r="Q1033" s="180"/>
      <c r="R1033" s="180"/>
      <c r="S1033" s="180"/>
      <c r="T1033" s="180"/>
      <c r="U1033" s="180"/>
      <c r="V1033" s="180"/>
      <c r="W1033" s="180"/>
      <c r="X1033" s="180"/>
      <c r="Y1033" s="180"/>
      <c r="Z1033" s="180"/>
      <c r="AA1033" s="180"/>
      <c r="AB1033" s="180"/>
      <c r="AC1033" s="180"/>
      <c r="AD1033" s="180"/>
      <c r="AE1033" s="180"/>
      <c r="AF1033" s="180"/>
      <c r="AG1033" s="180"/>
      <c r="AH1033" s="180"/>
      <c r="AI1033" s="180"/>
      <c r="AJ1033" s="180"/>
      <c r="AK1033" s="180"/>
      <c r="AL1033" s="180"/>
      <c r="AM1033" s="180"/>
      <c r="AN1033" s="180"/>
      <c r="AO1033" s="180"/>
      <c r="AP1033" s="180"/>
      <c r="AQ1033" s="180"/>
      <c r="AR1033" s="180"/>
      <c r="AS1033" s="180"/>
      <c r="AT1033" s="180"/>
      <c r="AU1033" s="180"/>
      <c r="AV1033" s="180"/>
      <c r="AW1033" s="180"/>
    </row>
    <row r="1034" spans="1:49" s="712" customFormat="1" ht="12.75" hidden="1" outlineLevel="1" x14ac:dyDescent="0.2">
      <c r="A1034" s="820"/>
      <c r="B1034" s="833"/>
      <c r="C1034" s="256"/>
      <c r="D1034" s="233" t="str">
        <f>FleetTypeO&amp;" O1 Per AIRCRAFT Records Generated pa"</f>
        <v>A350-900 O1 Per AIRCRAFT Records Generated pa</v>
      </c>
      <c r="E1034" s="596">
        <v>15001</v>
      </c>
      <c r="F1034" s="596">
        <v>15002</v>
      </c>
      <c r="G1034" s="596">
        <v>15003</v>
      </c>
      <c r="H1034" s="596">
        <v>15004</v>
      </c>
      <c r="I1034" s="596">
        <v>15005</v>
      </c>
      <c r="J1034" s="596">
        <v>15006</v>
      </c>
      <c r="K1034" s="596">
        <v>15007</v>
      </c>
      <c r="L1034" s="596">
        <v>15008</v>
      </c>
      <c r="M1034" s="596">
        <v>15009</v>
      </c>
      <c r="N1034" s="596">
        <v>15010</v>
      </c>
      <c r="O1034" s="835"/>
      <c r="P1034" s="828"/>
      <c r="Q1034" s="180"/>
      <c r="R1034" s="180"/>
      <c r="S1034" s="180"/>
      <c r="T1034" s="180"/>
      <c r="U1034" s="180"/>
      <c r="V1034" s="180"/>
      <c r="W1034" s="180"/>
      <c r="X1034" s="180"/>
      <c r="Y1034" s="180"/>
      <c r="Z1034" s="180"/>
      <c r="AA1034" s="180"/>
      <c r="AB1034" s="180"/>
      <c r="AC1034" s="180"/>
      <c r="AD1034" s="180"/>
      <c r="AE1034" s="180"/>
      <c r="AF1034" s="180"/>
      <c r="AG1034" s="180"/>
      <c r="AH1034" s="180"/>
      <c r="AI1034" s="180"/>
      <c r="AJ1034" s="180"/>
      <c r="AK1034" s="180"/>
      <c r="AL1034" s="180"/>
      <c r="AM1034" s="180"/>
      <c r="AN1034" s="180"/>
      <c r="AO1034" s="180"/>
      <c r="AP1034" s="180"/>
      <c r="AQ1034" s="180"/>
      <c r="AR1034" s="180"/>
      <c r="AS1034" s="180"/>
      <c r="AT1034" s="180"/>
      <c r="AU1034" s="180"/>
      <c r="AV1034" s="180"/>
      <c r="AW1034" s="180"/>
    </row>
    <row r="1035" spans="1:49" s="712" customFormat="1" ht="15.75" hidden="1" customHeight="1" outlineLevel="1" x14ac:dyDescent="0.2">
      <c r="A1035" s="820"/>
      <c r="B1035" s="833"/>
      <c r="C1035" s="256"/>
      <c r="D1035" s="501" t="str">
        <f>"Total "&amp;FleetTypeO&amp;" FLEET O1 Records Generated pa"</f>
        <v>Total A350-900 FLEET O1 Records Generated pa</v>
      </c>
      <c r="E1035" s="505">
        <f t="shared" ref="E1035:N1035" si="224">E1034*FleetSize_O</f>
        <v>120008</v>
      </c>
      <c r="F1035" s="505">
        <f t="shared" si="224"/>
        <v>120016</v>
      </c>
      <c r="G1035" s="505">
        <f t="shared" si="224"/>
        <v>120024</v>
      </c>
      <c r="H1035" s="505">
        <f t="shared" si="224"/>
        <v>120032</v>
      </c>
      <c r="I1035" s="505">
        <f t="shared" si="224"/>
        <v>120040</v>
      </c>
      <c r="J1035" s="505">
        <f t="shared" si="224"/>
        <v>120048</v>
      </c>
      <c r="K1035" s="505">
        <f t="shared" si="224"/>
        <v>120056</v>
      </c>
      <c r="L1035" s="505">
        <f t="shared" si="224"/>
        <v>120064</v>
      </c>
      <c r="M1035" s="505">
        <f t="shared" si="224"/>
        <v>120072</v>
      </c>
      <c r="N1035" s="505">
        <f t="shared" si="224"/>
        <v>120080</v>
      </c>
      <c r="O1035" s="285" t="s">
        <v>661</v>
      </c>
      <c r="P1035" s="828"/>
      <c r="Q1035" s="180"/>
      <c r="R1035" s="180"/>
      <c r="S1035" s="180"/>
      <c r="T1035" s="180"/>
      <c r="U1035" s="180"/>
      <c r="V1035" s="180"/>
      <c r="W1035" s="180"/>
      <c r="X1035" s="180"/>
      <c r="Y1035" s="180"/>
      <c r="Z1035" s="180"/>
      <c r="AA1035" s="180"/>
      <c r="AB1035" s="180"/>
      <c r="AC1035" s="180"/>
      <c r="AD1035" s="180"/>
      <c r="AE1035" s="180"/>
      <c r="AF1035" s="180"/>
      <c r="AG1035" s="180"/>
      <c r="AH1035" s="180"/>
      <c r="AI1035" s="180"/>
      <c r="AJ1035" s="180"/>
      <c r="AK1035" s="180"/>
      <c r="AL1035" s="180"/>
      <c r="AM1035" s="180"/>
      <c r="AN1035" s="180"/>
      <c r="AO1035" s="180"/>
      <c r="AP1035" s="180"/>
      <c r="AQ1035" s="180"/>
      <c r="AR1035" s="180"/>
      <c r="AS1035" s="180"/>
      <c r="AT1035" s="180"/>
      <c r="AU1035" s="180"/>
      <c r="AV1035" s="180"/>
      <c r="AW1035" s="180"/>
    </row>
    <row r="1036" spans="1:49" s="712" customFormat="1" ht="12.75" hidden="1" outlineLevel="1" x14ac:dyDescent="0.2">
      <c r="A1036" s="820"/>
      <c r="B1036" s="833"/>
      <c r="C1036" s="256"/>
      <c r="D1036" s="30"/>
      <c r="E1036" s="30"/>
      <c r="F1036" s="30"/>
      <c r="G1036" s="30"/>
      <c r="H1036" s="30"/>
      <c r="I1036" s="30"/>
      <c r="J1036" s="30"/>
      <c r="K1036" s="30"/>
      <c r="L1036" s="30"/>
      <c r="M1036" s="30"/>
      <c r="N1036" s="30"/>
      <c r="O1036" s="839"/>
      <c r="P1036" s="828"/>
      <c r="Q1036" s="180"/>
      <c r="R1036" s="180"/>
      <c r="S1036" s="180"/>
      <c r="T1036" s="180"/>
      <c r="U1036" s="180"/>
      <c r="V1036" s="180"/>
      <c r="W1036" s="180"/>
      <c r="X1036" s="180"/>
      <c r="Y1036" s="180"/>
      <c r="Z1036" s="180"/>
      <c r="AA1036" s="180"/>
      <c r="AB1036" s="180"/>
      <c r="AC1036" s="180"/>
      <c r="AD1036" s="180"/>
      <c r="AE1036" s="180"/>
      <c r="AF1036" s="180"/>
      <c r="AG1036" s="180"/>
      <c r="AH1036" s="180"/>
      <c r="AI1036" s="180"/>
      <c r="AJ1036" s="180"/>
      <c r="AK1036" s="180"/>
      <c r="AL1036" s="180"/>
      <c r="AM1036" s="180"/>
      <c r="AN1036" s="180"/>
      <c r="AO1036" s="180"/>
      <c r="AP1036" s="180"/>
      <c r="AQ1036" s="180"/>
      <c r="AR1036" s="180"/>
      <c r="AS1036" s="180"/>
      <c r="AT1036" s="180"/>
      <c r="AU1036" s="180"/>
      <c r="AV1036" s="180"/>
      <c r="AW1036" s="180"/>
    </row>
    <row r="1037" spans="1:49" s="712" customFormat="1" ht="12.75" hidden="1" outlineLevel="1" x14ac:dyDescent="0.2">
      <c r="A1037" s="820"/>
      <c r="B1037" s="833"/>
      <c r="C1037" s="847"/>
      <c r="D1037" s="484" t="str">
        <f>FleetTypeO &amp;" Other 2 (O2)"</f>
        <v>A350-900 Other 2 (O2)</v>
      </c>
      <c r="E1037" s="840"/>
      <c r="F1037" s="840"/>
      <c r="G1037" s="840"/>
      <c r="H1037" s="840"/>
      <c r="I1037" s="840"/>
      <c r="J1037" s="840"/>
      <c r="K1037" s="840"/>
      <c r="L1037" s="840"/>
      <c r="M1037" s="840"/>
      <c r="N1037" s="840"/>
      <c r="O1037" s="835"/>
      <c r="P1037" s="828"/>
      <c r="Q1037" s="180"/>
      <c r="R1037" s="180"/>
      <c r="S1037" s="180"/>
      <c r="T1037" s="180"/>
      <c r="U1037" s="180"/>
      <c r="V1037" s="180"/>
      <c r="W1037" s="180"/>
      <c r="X1037" s="180"/>
      <c r="Y1037" s="180"/>
      <c r="Z1037" s="180"/>
      <c r="AA1037" s="180"/>
      <c r="AB1037" s="180"/>
      <c r="AC1037" s="180"/>
      <c r="AD1037" s="180"/>
      <c r="AE1037" s="180"/>
      <c r="AF1037" s="180"/>
      <c r="AG1037" s="180"/>
      <c r="AH1037" s="180"/>
      <c r="AI1037" s="180"/>
      <c r="AJ1037" s="180"/>
      <c r="AK1037" s="180"/>
      <c r="AL1037" s="180"/>
      <c r="AM1037" s="180"/>
      <c r="AN1037" s="180"/>
      <c r="AO1037" s="180"/>
      <c r="AP1037" s="180"/>
      <c r="AQ1037" s="180"/>
      <c r="AR1037" s="180"/>
      <c r="AS1037" s="180"/>
      <c r="AT1037" s="180"/>
      <c r="AU1037" s="180"/>
      <c r="AV1037" s="180"/>
      <c r="AW1037" s="180"/>
    </row>
    <row r="1038" spans="1:49" s="712" customFormat="1" ht="12.75" hidden="1" outlineLevel="1" x14ac:dyDescent="0.2">
      <c r="A1038" s="820"/>
      <c r="B1038" s="833"/>
      <c r="C1038" s="256"/>
      <c r="D1038" s="233" t="str">
        <f>FleetTypeO&amp;" O2 Per AIRCRAFT Records Generated pa"</f>
        <v>A350-900 O2 Per AIRCRAFT Records Generated pa</v>
      </c>
      <c r="E1038" s="596">
        <v>15001</v>
      </c>
      <c r="F1038" s="596">
        <v>15002</v>
      </c>
      <c r="G1038" s="596">
        <v>15003</v>
      </c>
      <c r="H1038" s="596">
        <v>15004</v>
      </c>
      <c r="I1038" s="596">
        <v>15005</v>
      </c>
      <c r="J1038" s="596">
        <v>15006</v>
      </c>
      <c r="K1038" s="596">
        <v>15007</v>
      </c>
      <c r="L1038" s="596">
        <v>15008</v>
      </c>
      <c r="M1038" s="596">
        <v>15009</v>
      </c>
      <c r="N1038" s="596">
        <v>15010</v>
      </c>
      <c r="O1038" s="835"/>
      <c r="P1038" s="828"/>
      <c r="Q1038" s="180"/>
      <c r="R1038" s="180"/>
      <c r="S1038" s="180"/>
      <c r="T1038" s="180"/>
      <c r="U1038" s="180"/>
      <c r="V1038" s="180"/>
      <c r="W1038" s="180"/>
      <c r="X1038" s="180"/>
      <c r="Y1038" s="180"/>
      <c r="Z1038" s="180"/>
      <c r="AA1038" s="180"/>
      <c r="AB1038" s="180"/>
      <c r="AC1038" s="180"/>
      <c r="AD1038" s="180"/>
      <c r="AE1038" s="180"/>
      <c r="AF1038" s="180"/>
      <c r="AG1038" s="180"/>
      <c r="AH1038" s="180"/>
      <c r="AI1038" s="180"/>
      <c r="AJ1038" s="180"/>
      <c r="AK1038" s="180"/>
      <c r="AL1038" s="180"/>
      <c r="AM1038" s="180"/>
      <c r="AN1038" s="180"/>
      <c r="AO1038" s="180"/>
      <c r="AP1038" s="180"/>
      <c r="AQ1038" s="180"/>
      <c r="AR1038" s="180"/>
      <c r="AS1038" s="180"/>
      <c r="AT1038" s="180"/>
      <c r="AU1038" s="180"/>
      <c r="AV1038" s="180"/>
      <c r="AW1038" s="180"/>
    </row>
    <row r="1039" spans="1:49" s="712" customFormat="1" ht="15.75" hidden="1" customHeight="1" outlineLevel="1" x14ac:dyDescent="0.2">
      <c r="A1039" s="820"/>
      <c r="B1039" s="833"/>
      <c r="C1039" s="256"/>
      <c r="D1039" s="501" t="str">
        <f>"Total "&amp;FleetTypeO&amp;" FLEET O2 Records Generated pa"</f>
        <v>Total A350-900 FLEET O2 Records Generated pa</v>
      </c>
      <c r="E1039" s="505">
        <f t="shared" ref="E1039:N1039" si="225">E1038*FleetSize_O</f>
        <v>120008</v>
      </c>
      <c r="F1039" s="505">
        <f t="shared" si="225"/>
        <v>120016</v>
      </c>
      <c r="G1039" s="505">
        <f t="shared" si="225"/>
        <v>120024</v>
      </c>
      <c r="H1039" s="505">
        <f t="shared" si="225"/>
        <v>120032</v>
      </c>
      <c r="I1039" s="505">
        <f t="shared" si="225"/>
        <v>120040</v>
      </c>
      <c r="J1039" s="505">
        <f t="shared" si="225"/>
        <v>120048</v>
      </c>
      <c r="K1039" s="505">
        <f t="shared" si="225"/>
        <v>120056</v>
      </c>
      <c r="L1039" s="505">
        <f t="shared" si="225"/>
        <v>120064</v>
      </c>
      <c r="M1039" s="505">
        <f t="shared" si="225"/>
        <v>120072</v>
      </c>
      <c r="N1039" s="505">
        <f t="shared" si="225"/>
        <v>120080</v>
      </c>
      <c r="O1039" s="285" t="s">
        <v>663</v>
      </c>
      <c r="P1039" s="828"/>
      <c r="Q1039" s="180"/>
      <c r="R1039" s="180"/>
      <c r="S1039" s="180"/>
      <c r="T1039" s="180"/>
      <c r="U1039" s="180"/>
      <c r="V1039" s="180"/>
      <c r="W1039" s="180"/>
      <c r="X1039" s="180"/>
      <c r="Y1039" s="180"/>
      <c r="Z1039" s="180"/>
      <c r="AA1039" s="180"/>
      <c r="AB1039" s="180"/>
      <c r="AC1039" s="180"/>
      <c r="AD1039" s="180"/>
      <c r="AE1039" s="180"/>
      <c r="AF1039" s="180"/>
      <c r="AG1039" s="180"/>
      <c r="AH1039" s="180"/>
      <c r="AI1039" s="180"/>
      <c r="AJ1039" s="180"/>
      <c r="AK1039" s="180"/>
      <c r="AL1039" s="180"/>
      <c r="AM1039" s="180"/>
      <c r="AN1039" s="180"/>
      <c r="AO1039" s="180"/>
      <c r="AP1039" s="180"/>
      <c r="AQ1039" s="180"/>
      <c r="AR1039" s="180"/>
      <c r="AS1039" s="180"/>
      <c r="AT1039" s="180"/>
      <c r="AU1039" s="180"/>
      <c r="AV1039" s="180"/>
      <c r="AW1039" s="180"/>
    </row>
    <row r="1040" spans="1:49" s="712" customFormat="1" ht="12.75" hidden="1" outlineLevel="1" x14ac:dyDescent="0.2">
      <c r="A1040" s="820"/>
      <c r="B1040" s="833"/>
      <c r="C1040" s="256"/>
      <c r="D1040" s="30"/>
      <c r="E1040" s="30"/>
      <c r="F1040" s="30"/>
      <c r="G1040" s="30"/>
      <c r="H1040" s="30"/>
      <c r="I1040" s="30"/>
      <c r="J1040" s="30"/>
      <c r="K1040" s="30"/>
      <c r="L1040" s="30"/>
      <c r="M1040" s="30"/>
      <c r="N1040" s="30"/>
      <c r="O1040" s="839"/>
      <c r="P1040" s="828"/>
      <c r="Q1040" s="180"/>
      <c r="R1040" s="180"/>
      <c r="S1040" s="180"/>
      <c r="T1040" s="180"/>
      <c r="U1040" s="180"/>
      <c r="V1040" s="180"/>
      <c r="W1040" s="180"/>
      <c r="X1040" s="180"/>
      <c r="Y1040" s="180"/>
      <c r="Z1040" s="180"/>
      <c r="AA1040" s="180"/>
      <c r="AB1040" s="180"/>
      <c r="AC1040" s="180"/>
      <c r="AD1040" s="180"/>
      <c r="AE1040" s="180"/>
      <c r="AF1040" s="180"/>
      <c r="AG1040" s="180"/>
      <c r="AH1040" s="180"/>
      <c r="AI1040" s="180"/>
      <c r="AJ1040" s="180"/>
      <c r="AK1040" s="180"/>
      <c r="AL1040" s="180"/>
      <c r="AM1040" s="180"/>
      <c r="AN1040" s="180"/>
      <c r="AO1040" s="180"/>
      <c r="AP1040" s="180"/>
      <c r="AQ1040" s="180"/>
      <c r="AR1040" s="180"/>
      <c r="AS1040" s="180"/>
      <c r="AT1040" s="180"/>
      <c r="AU1040" s="180"/>
      <c r="AV1040" s="180"/>
      <c r="AW1040" s="180"/>
    </row>
    <row r="1041" spans="1:49" s="712" customFormat="1" ht="21.75" hidden="1" customHeight="1" outlineLevel="1" x14ac:dyDescent="0.2">
      <c r="A1041" s="820"/>
      <c r="B1041" s="833"/>
      <c r="C1041" s="848"/>
      <c r="D1041" s="849" t="str">
        <f>"Grand Total ("&amp;(FleetTypeO)&amp;") "&amp;"Records Generated pa"</f>
        <v>Grand Total (A350-900) Records Generated pa</v>
      </c>
      <c r="E1041" s="714">
        <f t="shared" ref="E1041:N1041" si="226">SUM(RecordsHMFleetTotalpa_O+RecordsLMFleetTotalpa_O+RecordsEngFleetTotalpa_O+RecordsPlgFleetTotalpa_O+RecordsCRTFleetTotalpa_O+RecordsSCLFleetTotalpa_O+RecordsQSCFleetTotalpa_O+RecordsEMFleetTotalpa_O+RecordsCMFleetTotalpa_O+RecordsSMCSFleetTotalpa_O+RecordsO1FleetTotalpa_O+RecordsO2FleetTotalpa_O)</f>
        <v>1183688</v>
      </c>
      <c r="F1041" s="714">
        <f t="shared" si="226"/>
        <v>1182347.4285714286</v>
      </c>
      <c r="G1041" s="714">
        <f t="shared" si="226"/>
        <v>1181364</v>
      </c>
      <c r="H1041" s="714">
        <f t="shared" si="226"/>
        <v>1184123.4285714286</v>
      </c>
      <c r="I1041" s="714">
        <f t="shared" si="226"/>
        <v>1185011.4285714286</v>
      </c>
      <c r="J1041" s="714">
        <f t="shared" si="226"/>
        <v>1185899.4285714286</v>
      </c>
      <c r="K1041" s="714">
        <f t="shared" si="226"/>
        <v>1186787.4285714286</v>
      </c>
      <c r="L1041" s="714">
        <f t="shared" si="226"/>
        <v>1187675.4285714286</v>
      </c>
      <c r="M1041" s="714">
        <f t="shared" si="226"/>
        <v>1188563.4285714286</v>
      </c>
      <c r="N1041" s="714">
        <f t="shared" si="226"/>
        <v>1189451.4285714286</v>
      </c>
      <c r="O1041" s="285" t="s">
        <v>664</v>
      </c>
      <c r="P1041" s="828"/>
      <c r="Q1041" s="180"/>
      <c r="R1041" s="180"/>
      <c r="S1041" s="180"/>
      <c r="T1041" s="180"/>
      <c r="U1041" s="180"/>
      <c r="V1041" s="180"/>
      <c r="W1041" s="180"/>
      <c r="X1041" s="180"/>
      <c r="Y1041" s="180"/>
      <c r="Z1041" s="180"/>
      <c r="AA1041" s="180"/>
      <c r="AB1041" s="180"/>
      <c r="AC1041" s="180"/>
      <c r="AD1041" s="180"/>
      <c r="AE1041" s="180"/>
      <c r="AF1041" s="180"/>
      <c r="AG1041" s="180"/>
      <c r="AH1041" s="180"/>
      <c r="AI1041" s="180"/>
      <c r="AJ1041" s="180"/>
      <c r="AK1041" s="180"/>
      <c r="AL1041" s="180"/>
      <c r="AM1041" s="180"/>
      <c r="AN1041" s="180"/>
      <c r="AO1041" s="180"/>
      <c r="AP1041" s="180"/>
      <c r="AQ1041" s="180"/>
      <c r="AR1041" s="180"/>
      <c r="AS1041" s="180"/>
      <c r="AT1041" s="180"/>
      <c r="AU1041" s="180"/>
      <c r="AV1041" s="180"/>
      <c r="AW1041" s="180"/>
    </row>
    <row r="1042" spans="1:49" s="193" customFormat="1" ht="12.75" hidden="1" outlineLevel="1" x14ac:dyDescent="0.2">
      <c r="A1042" s="820"/>
      <c r="B1042" s="833"/>
      <c r="C1042" s="837"/>
      <c r="D1042" s="30"/>
      <c r="E1042" s="833"/>
      <c r="F1042" s="833"/>
      <c r="G1042" s="833"/>
      <c r="H1042" s="833"/>
      <c r="I1042" s="833"/>
      <c r="J1042" s="833"/>
      <c r="K1042" s="833"/>
      <c r="L1042" s="833"/>
      <c r="M1042" s="833"/>
      <c r="N1042" s="833"/>
      <c r="O1042" s="861"/>
      <c r="P1042" s="828"/>
      <c r="Q1042" s="41"/>
      <c r="R1042" s="41"/>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row>
    <row r="1043" spans="1:49" s="193" customFormat="1" ht="13.5" hidden="1" outlineLevel="1" thickBot="1" x14ac:dyDescent="0.25">
      <c r="A1043" s="820"/>
      <c r="B1043" s="833"/>
      <c r="C1043" s="170"/>
      <c r="D1043" s="529"/>
      <c r="E1043" s="529"/>
      <c r="F1043" s="529"/>
      <c r="G1043" s="529"/>
      <c r="H1043" s="529"/>
      <c r="I1043" s="529"/>
      <c r="J1043" s="529"/>
      <c r="K1043" s="529"/>
      <c r="L1043" s="529"/>
      <c r="M1043" s="529"/>
      <c r="N1043" s="529"/>
      <c r="O1043" s="1111"/>
      <c r="P1043" s="828"/>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row>
    <row r="1044" spans="1:49" s="193" customFormat="1" ht="12.75" hidden="1" outlineLevel="1" x14ac:dyDescent="0.2">
      <c r="A1044" s="820"/>
      <c r="B1044" s="833"/>
      <c r="C1044" s="30"/>
      <c r="D1044" s="30"/>
      <c r="E1044" s="30"/>
      <c r="F1044" s="30"/>
      <c r="G1044" s="30"/>
      <c r="H1044" s="30"/>
      <c r="I1044" s="30"/>
      <c r="J1044" s="30"/>
      <c r="K1044" s="30"/>
      <c r="L1044" s="30"/>
      <c r="M1044" s="30"/>
      <c r="N1044" s="30"/>
      <c r="O1044" s="862"/>
      <c r="P1044" s="828"/>
      <c r="Q1044" s="41"/>
      <c r="R1044" s="41"/>
      <c r="S1044" s="41"/>
      <c r="T1044" s="41"/>
      <c r="U1044" s="41"/>
      <c r="V1044" s="41"/>
      <c r="W1044" s="41"/>
      <c r="X1044" s="41"/>
      <c r="Y1044" s="41"/>
      <c r="Z1044" s="41"/>
      <c r="AA1044" s="41"/>
      <c r="AB1044" s="41"/>
      <c r="AC1044" s="41"/>
      <c r="AD1044" s="41"/>
      <c r="AE1044" s="41"/>
      <c r="AF1044" s="41"/>
      <c r="AG1044" s="41"/>
      <c r="AH1044" s="41"/>
      <c r="AI1044" s="41"/>
      <c r="AJ1044" s="41"/>
      <c r="AK1044" s="41"/>
      <c r="AL1044" s="41"/>
      <c r="AM1044" s="41"/>
      <c r="AN1044" s="41"/>
      <c r="AO1044" s="41"/>
      <c r="AP1044" s="41"/>
      <c r="AQ1044" s="41"/>
      <c r="AR1044" s="41"/>
      <c r="AS1044" s="41"/>
      <c r="AT1044" s="41"/>
      <c r="AU1044" s="41"/>
      <c r="AV1044" s="41"/>
      <c r="AW1044" s="41"/>
    </row>
    <row r="1045" spans="1:49" s="122" customFormat="1" ht="15.75" collapsed="1" x14ac:dyDescent="0.2">
      <c r="A1045" s="1043">
        <v>16</v>
      </c>
      <c r="B1045" s="1039"/>
      <c r="C1045" s="1039"/>
      <c r="D1045" s="1039"/>
      <c r="E1045" s="1039"/>
      <c r="F1045" s="1039"/>
      <c r="G1045" s="1039"/>
      <c r="H1045" s="1039"/>
      <c r="I1045" s="1039"/>
      <c r="J1045" s="1039"/>
      <c r="K1045" s="1039"/>
      <c r="L1045" s="1039"/>
      <c r="M1045" s="1039"/>
      <c r="N1045" s="1039"/>
      <c r="O1045" s="1039"/>
      <c r="P1045" s="206"/>
      <c r="Q1045" s="206"/>
      <c r="R1045" s="206"/>
      <c r="S1045" s="206"/>
      <c r="T1045" s="206"/>
      <c r="U1045" s="206"/>
      <c r="V1045" s="206"/>
      <c r="W1045" s="206"/>
      <c r="X1045" s="206"/>
      <c r="Y1045" s="206"/>
      <c r="Z1045" s="206"/>
      <c r="AA1045" s="206"/>
      <c r="AB1045" s="206"/>
      <c r="AC1045" s="206"/>
      <c r="AD1045" s="206"/>
      <c r="AE1045" s="206"/>
      <c r="AF1045" s="206"/>
      <c r="AG1045" s="206"/>
      <c r="AH1045" s="206"/>
      <c r="AI1045" s="206"/>
      <c r="AJ1045" s="206"/>
      <c r="AK1045" s="206"/>
      <c r="AL1045" s="206"/>
      <c r="AM1045" s="206"/>
      <c r="AN1045" s="206"/>
      <c r="AO1045" s="206"/>
      <c r="AP1045" s="206"/>
      <c r="AQ1045" s="206"/>
      <c r="AR1045" s="206"/>
      <c r="AS1045" s="206"/>
      <c r="AT1045" s="206"/>
      <c r="AU1045" s="206"/>
      <c r="AV1045" s="206"/>
      <c r="AW1045" s="206"/>
    </row>
    <row r="1046" spans="1:49" s="712" customFormat="1" ht="13.5" thickBot="1" x14ac:dyDescent="0.25">
      <c r="A1046" s="820"/>
      <c r="B1046" s="180"/>
      <c r="C1046" s="852"/>
      <c r="D1046" s="820"/>
      <c r="E1046" s="840"/>
      <c r="F1046" s="840"/>
      <c r="G1046" s="840"/>
      <c r="H1046" s="840"/>
      <c r="I1046" s="840"/>
      <c r="J1046" s="840"/>
      <c r="K1046" s="840"/>
      <c r="L1046" s="840"/>
      <c r="M1046" s="840"/>
      <c r="N1046" s="840"/>
      <c r="O1046" s="828"/>
      <c r="P1046" s="828"/>
      <c r="Q1046" s="180"/>
      <c r="R1046" s="180"/>
      <c r="S1046" s="180"/>
      <c r="T1046" s="180"/>
      <c r="U1046" s="180"/>
      <c r="V1046" s="180"/>
      <c r="W1046" s="180"/>
      <c r="X1046" s="180"/>
      <c r="Y1046" s="180"/>
      <c r="Z1046" s="180"/>
      <c r="AA1046" s="180"/>
      <c r="AB1046" s="180"/>
      <c r="AC1046" s="180"/>
      <c r="AD1046" s="180"/>
      <c r="AE1046" s="180"/>
      <c r="AF1046" s="180"/>
      <c r="AG1046" s="180"/>
      <c r="AH1046" s="180"/>
      <c r="AI1046" s="180"/>
      <c r="AJ1046" s="180"/>
      <c r="AK1046" s="180"/>
      <c r="AL1046" s="180"/>
      <c r="AM1046" s="180"/>
      <c r="AN1046" s="180"/>
      <c r="AO1046" s="180"/>
      <c r="AP1046" s="180"/>
      <c r="AQ1046" s="180"/>
      <c r="AR1046" s="180"/>
      <c r="AS1046" s="180"/>
      <c r="AT1046" s="180"/>
      <c r="AU1046" s="180"/>
      <c r="AV1046" s="180"/>
      <c r="AW1046" s="180"/>
    </row>
    <row r="1047" spans="1:49" s="712" customFormat="1" ht="31.5" x14ac:dyDescent="0.2">
      <c r="A1047" s="1342" t="s">
        <v>4314</v>
      </c>
      <c r="B1047" s="180"/>
      <c r="C1047" s="1343" t="s">
        <v>187</v>
      </c>
      <c r="D1047" s="853"/>
      <c r="E1047" s="853"/>
      <c r="F1047" s="853"/>
      <c r="G1047" s="853"/>
      <c r="H1047" s="853"/>
      <c r="I1047" s="853"/>
      <c r="J1047" s="853"/>
      <c r="K1047" s="853"/>
      <c r="L1047" s="853"/>
      <c r="M1047" s="853"/>
      <c r="N1047" s="853"/>
      <c r="O1047" s="854"/>
      <c r="P1047" s="828"/>
      <c r="Q1047" s="180"/>
      <c r="R1047" s="180"/>
      <c r="S1047" s="180"/>
      <c r="T1047" s="180"/>
      <c r="U1047" s="180"/>
      <c r="V1047" s="180"/>
      <c r="W1047" s="180"/>
      <c r="X1047" s="180"/>
      <c r="Y1047" s="180"/>
      <c r="Z1047" s="180"/>
      <c r="AA1047" s="180"/>
      <c r="AB1047" s="180"/>
      <c r="AC1047" s="180"/>
      <c r="AD1047" s="180"/>
      <c r="AE1047" s="180"/>
      <c r="AF1047" s="180"/>
      <c r="AG1047" s="180"/>
      <c r="AH1047" s="180"/>
      <c r="AI1047" s="180"/>
      <c r="AJ1047" s="180"/>
      <c r="AK1047" s="180"/>
      <c r="AL1047" s="180"/>
      <c r="AM1047" s="180"/>
      <c r="AN1047" s="180"/>
      <c r="AO1047" s="180"/>
      <c r="AP1047" s="180"/>
      <c r="AQ1047" s="180"/>
      <c r="AR1047" s="180"/>
      <c r="AS1047" s="180"/>
      <c r="AT1047" s="180"/>
      <c r="AU1047" s="180"/>
      <c r="AV1047" s="180"/>
      <c r="AW1047" s="180"/>
    </row>
    <row r="1048" spans="1:49" s="193" customFormat="1" ht="12.75" x14ac:dyDescent="0.2">
      <c r="A1048" s="820"/>
      <c r="B1048" s="833"/>
      <c r="C1048" s="833"/>
      <c r="D1048" s="30"/>
      <c r="E1048" s="833"/>
      <c r="F1048" s="833"/>
      <c r="G1048" s="833"/>
      <c r="H1048" s="833"/>
      <c r="I1048" s="833"/>
      <c r="J1048" s="833"/>
      <c r="K1048" s="833"/>
      <c r="L1048" s="833"/>
      <c r="M1048" s="833"/>
      <c r="N1048" s="833"/>
      <c r="O1048" s="833"/>
      <c r="P1048" s="828"/>
      <c r="Q1048" s="41"/>
      <c r="R1048" s="41"/>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row>
    <row r="1049" spans="1:49" s="193" customFormat="1" ht="13.5" hidden="1" outlineLevel="1" collapsed="1" thickBot="1" x14ac:dyDescent="0.25">
      <c r="A1049" s="820"/>
      <c r="B1049" s="833"/>
      <c r="C1049" s="30"/>
      <c r="D1049" s="30"/>
      <c r="E1049" s="30"/>
      <c r="F1049" s="30"/>
      <c r="G1049" s="30"/>
      <c r="H1049" s="30"/>
      <c r="I1049" s="30"/>
      <c r="J1049" s="30"/>
      <c r="K1049" s="30"/>
      <c r="L1049" s="30"/>
      <c r="M1049" s="30"/>
      <c r="N1049" s="30"/>
      <c r="O1049" s="828"/>
      <c r="P1049" s="828"/>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row>
    <row r="1050" spans="1:49" s="193" customFormat="1" ht="20.100000000000001" hidden="1" customHeight="1" outlineLevel="1" x14ac:dyDescent="0.2">
      <c r="A1050" s="1380" t="s">
        <v>4146</v>
      </c>
      <c r="B1050" s="41"/>
      <c r="C1050" s="1344"/>
      <c r="D1050" s="804"/>
      <c r="E1050" s="804"/>
      <c r="F1050" s="804"/>
      <c r="G1050" s="804"/>
      <c r="H1050" s="804"/>
      <c r="I1050" s="804"/>
      <c r="J1050" s="804"/>
      <c r="K1050" s="804"/>
      <c r="L1050" s="804"/>
      <c r="M1050" s="804"/>
      <c r="N1050" s="804"/>
      <c r="O1050" s="863"/>
      <c r="P1050" s="828"/>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row>
    <row r="1051" spans="1:49" s="193" customFormat="1" ht="15.75" hidden="1" customHeight="1" outlineLevel="1" x14ac:dyDescent="0.2">
      <c r="A1051" s="1381"/>
      <c r="B1051" s="833"/>
      <c r="C1051" s="256"/>
      <c r="D1051" s="864" t="s">
        <v>19</v>
      </c>
      <c r="E1051" s="715">
        <f t="shared" ref="E1051:N1051" si="227">SUM(RecordsHMFleetTotalpa_A+RecordsHMFleetTotalpa_B+RecordsHMFleetTotalpa_C+RecordsHMFleetTotalpa_D+RecordsHMFleetTotalpa_E+RecordsHMFleetTotalpa_F+RecordsHMFleetTotalpa_G+RecordsHMFleetTotalpa_H+RecordsHMFleetTotalpa_I+RecordsHMFleetTotalpa_J+RecordsHMFleetTotalpa_K+RecordsHMFleetTotalpa_L+RecordsHMFleetTotalpa_M+RecordsHMFleetTotalpa_N+RecordsHMFleetTotalpa_O)</f>
        <v>313950</v>
      </c>
      <c r="F1051" s="715">
        <f t="shared" si="227"/>
        <v>288420.77922077925</v>
      </c>
      <c r="G1051" s="715">
        <f t="shared" si="227"/>
        <v>269095.83333333337</v>
      </c>
      <c r="H1051" s="715">
        <f t="shared" si="227"/>
        <v>311334.06593406596</v>
      </c>
      <c r="I1051" s="715">
        <f t="shared" si="227"/>
        <v>323142.85714285716</v>
      </c>
      <c r="J1051" s="715">
        <f t="shared" si="227"/>
        <v>335123.80952380958</v>
      </c>
      <c r="K1051" s="715">
        <f t="shared" si="227"/>
        <v>347244.6428571429</v>
      </c>
      <c r="L1051" s="715">
        <f t="shared" si="227"/>
        <v>359480.67226890754</v>
      </c>
      <c r="M1051" s="715">
        <f t="shared" si="227"/>
        <v>371812.6984126984</v>
      </c>
      <c r="N1051" s="715">
        <f t="shared" si="227"/>
        <v>384225.56390977441</v>
      </c>
      <c r="O1051" s="257" t="s">
        <v>670</v>
      </c>
      <c r="P1051" s="828"/>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c r="AP1051" s="41"/>
      <c r="AQ1051" s="41"/>
      <c r="AR1051" s="41"/>
      <c r="AS1051" s="41"/>
      <c r="AT1051" s="41"/>
      <c r="AU1051" s="41"/>
      <c r="AV1051" s="41"/>
      <c r="AW1051" s="41"/>
    </row>
    <row r="1052" spans="1:49" s="193" customFormat="1" ht="15.75" hidden="1" customHeight="1" outlineLevel="1" x14ac:dyDescent="0.2">
      <c r="A1052" s="1381"/>
      <c r="B1052" s="833"/>
      <c r="C1052" s="256"/>
      <c r="D1052" s="864" t="s">
        <v>18</v>
      </c>
      <c r="E1052" s="715">
        <f t="shared" ref="E1052:N1052" si="228">SUM(RecordsLMFleetTotalpa_A+RecordsLMFleetTotalpa_B+RecordsLMFleetTotalpa_C+RecordsLMFleetTotalpa_D+RecordsLMFleetTotalpa_E+RecordsLMFleetTotalpa_F+RecordsLMFleetTotalpa_G+RecordsLMFleetTotalpa_H+RecordsLMFleetTotalpa_I+RecordsLMFleetTotalpa_J+RecordsLMFleetTotalpa_K+RecordsLMFleetTotalpa_L+RecordsLMFleetTotalpa_M+RecordsLMFleetTotalpa_N+RecordsLMFleetTotalpa_O)</f>
        <v>1560156</v>
      </c>
      <c r="F1052" s="715">
        <f t="shared" si="228"/>
        <v>1560312</v>
      </c>
      <c r="G1052" s="715">
        <f t="shared" si="228"/>
        <v>1560468</v>
      </c>
      <c r="H1052" s="715">
        <f t="shared" si="228"/>
        <v>1560624</v>
      </c>
      <c r="I1052" s="715">
        <f t="shared" si="228"/>
        <v>1560780</v>
      </c>
      <c r="J1052" s="715">
        <f t="shared" si="228"/>
        <v>1560936</v>
      </c>
      <c r="K1052" s="715">
        <f t="shared" si="228"/>
        <v>1561092</v>
      </c>
      <c r="L1052" s="715">
        <f t="shared" si="228"/>
        <v>1561248</v>
      </c>
      <c r="M1052" s="715">
        <f t="shared" si="228"/>
        <v>1561404</v>
      </c>
      <c r="N1052" s="715">
        <f t="shared" si="228"/>
        <v>1561560</v>
      </c>
      <c r="O1052" s="257" t="s">
        <v>671</v>
      </c>
      <c r="P1052" s="828"/>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c r="AP1052" s="41"/>
      <c r="AQ1052" s="41"/>
      <c r="AR1052" s="41"/>
      <c r="AS1052" s="41"/>
      <c r="AT1052" s="41"/>
      <c r="AU1052" s="41"/>
      <c r="AV1052" s="41"/>
      <c r="AW1052" s="41"/>
    </row>
    <row r="1053" spans="1:49" s="193" customFormat="1" ht="15.75" hidden="1" customHeight="1" outlineLevel="1" x14ac:dyDescent="0.2">
      <c r="A1053" s="1381"/>
      <c r="B1053" s="833"/>
      <c r="C1053" s="256"/>
      <c r="D1053" s="864" t="s">
        <v>900</v>
      </c>
      <c r="E1053" s="715">
        <f t="shared" ref="E1053:N1053" si="229">SUM(RecordsEngFleetTotalpa_A+RecordsEngFleetTotalpa_B+RecordsEngFleetTotalpa_C+RecordsEngFleetTotalpa_D+RecordsEngFleetTotalpa_E+RecordsEngFleetTotalpa_F+RecordsEngFleetTotalpa_G+RecordsEngFleetTotalpa_H+RecordsEngFleetTotalpa_I+RecordsEngFleetTotalpa_J+RecordsEngFleetTotalpa_K+RecordsEngFleetTotalpa_L+RecordsEngFleetTotalpa_M+RecordsEngFleetTotalpa_N+RecordsEngFleetTotalpa_O)</f>
        <v>1881171</v>
      </c>
      <c r="F1053" s="715">
        <f t="shared" si="229"/>
        <v>1881342</v>
      </c>
      <c r="G1053" s="715">
        <f t="shared" si="229"/>
        <v>1881513</v>
      </c>
      <c r="H1053" s="715">
        <f t="shared" si="229"/>
        <v>1881684</v>
      </c>
      <c r="I1053" s="715">
        <f t="shared" si="229"/>
        <v>1881855</v>
      </c>
      <c r="J1053" s="715">
        <f t="shared" si="229"/>
        <v>1882026</v>
      </c>
      <c r="K1053" s="715">
        <f t="shared" si="229"/>
        <v>1882197</v>
      </c>
      <c r="L1053" s="715">
        <f t="shared" si="229"/>
        <v>1882368</v>
      </c>
      <c r="M1053" s="715">
        <f t="shared" si="229"/>
        <v>1882539</v>
      </c>
      <c r="N1053" s="715">
        <f t="shared" si="229"/>
        <v>1882710</v>
      </c>
      <c r="O1053" s="257" t="s">
        <v>902</v>
      </c>
      <c r="P1053" s="828"/>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row>
    <row r="1054" spans="1:49" s="193" customFormat="1" ht="15.75" hidden="1" customHeight="1" outlineLevel="1" x14ac:dyDescent="0.2">
      <c r="A1054" s="1381"/>
      <c r="B1054" s="833"/>
      <c r="C1054" s="256"/>
      <c r="D1054" s="864" t="s">
        <v>901</v>
      </c>
      <c r="E1054" s="715">
        <f t="shared" ref="E1054:N1054" si="230">SUM(RecordsPlgFleetTotalpa_A+RecordsPlgFleetTotalpa_B+RecordsPlgFleetTotalpa_C+RecordsPlgFleetTotalpa_D+RecordsPlgFleetTotalpa_E+RecordsPlgFleetTotalpa_F+RecordsPlgFleetTotalpa_G+RecordsPlgFleetTotalpa_H+RecordsPlgFleetTotalpa_I+RecordsPlgFleetTotalpa_J+RecordsPlgFleetTotalpa_K+RecordsPlgFleetTotalpa_L+RecordsPlgFleetTotalpa_M+RecordsPlgFleetTotalpa_N+RecordsPlgFleetTotalpa_O)</f>
        <v>1716156</v>
      </c>
      <c r="F1054" s="715">
        <f t="shared" si="230"/>
        <v>1716312</v>
      </c>
      <c r="G1054" s="715">
        <f t="shared" si="230"/>
        <v>1716468</v>
      </c>
      <c r="H1054" s="715">
        <f t="shared" si="230"/>
        <v>1716624</v>
      </c>
      <c r="I1054" s="715">
        <f t="shared" si="230"/>
        <v>1716780</v>
      </c>
      <c r="J1054" s="715">
        <f t="shared" si="230"/>
        <v>1716936</v>
      </c>
      <c r="K1054" s="715">
        <f t="shared" si="230"/>
        <v>1717092</v>
      </c>
      <c r="L1054" s="715">
        <f t="shared" si="230"/>
        <v>1717248</v>
      </c>
      <c r="M1054" s="715">
        <f t="shared" si="230"/>
        <v>1717404</v>
      </c>
      <c r="N1054" s="715">
        <f t="shared" si="230"/>
        <v>1717560</v>
      </c>
      <c r="O1054" s="257" t="s">
        <v>903</v>
      </c>
      <c r="P1054" s="828"/>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row>
    <row r="1055" spans="1:49" s="193" customFormat="1" ht="15.75" hidden="1" customHeight="1" outlineLevel="1" x14ac:dyDescent="0.2">
      <c r="A1055" s="1381"/>
      <c r="B1055" s="833"/>
      <c r="C1055" s="256"/>
      <c r="D1055" s="864" t="s">
        <v>665</v>
      </c>
      <c r="E1055" s="715">
        <f t="shared" ref="E1055:N1055" si="231">SUM(RecordsCRTFleetTotalpa_A+RecordsCRTFleetTotalpa_B+RecordsCRTFleetTotalpa_C+RecordsCRTFleetTotalpa_D+RecordsCRTFleetTotalpa_E+RecordsCRTFleetTotalpa_F+RecordsCRTFleetTotalpa_G+RecordsCRTFleetTotalpa_H+RecordsCRTFleetTotalpa_I+RecordsCRTFleetTotalpa_J+RecordsCRTFleetTotalpa_K+RecordsCRTFleetTotalpa_L+RecordsCRTFleetTotalpa_M+RecordsCRTFleetTotalpa_N+RecordsCRTFleetTotalpa_O)</f>
        <v>1872156</v>
      </c>
      <c r="F1055" s="715">
        <f t="shared" si="231"/>
        <v>1872312</v>
      </c>
      <c r="G1055" s="715">
        <f t="shared" si="231"/>
        <v>1872468</v>
      </c>
      <c r="H1055" s="715">
        <f t="shared" si="231"/>
        <v>1872624</v>
      </c>
      <c r="I1055" s="715">
        <f t="shared" si="231"/>
        <v>1872780</v>
      </c>
      <c r="J1055" s="715">
        <f t="shared" si="231"/>
        <v>1872936</v>
      </c>
      <c r="K1055" s="715">
        <f t="shared" si="231"/>
        <v>1873092</v>
      </c>
      <c r="L1055" s="715">
        <f t="shared" si="231"/>
        <v>1873248</v>
      </c>
      <c r="M1055" s="715">
        <f t="shared" si="231"/>
        <v>1873404</v>
      </c>
      <c r="N1055" s="715">
        <f t="shared" si="231"/>
        <v>1873560</v>
      </c>
      <c r="O1055" s="257" t="s">
        <v>672</v>
      </c>
      <c r="P1055" s="828"/>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row>
    <row r="1056" spans="1:49" s="193" customFormat="1" ht="15.75" hidden="1" customHeight="1" outlineLevel="1" x14ac:dyDescent="0.2">
      <c r="A1056" s="1381"/>
      <c r="B1056" s="833"/>
      <c r="C1056" s="256"/>
      <c r="D1056" s="864" t="s">
        <v>34</v>
      </c>
      <c r="E1056" s="715">
        <f t="shared" ref="E1056:N1056" si="232">SUM(RecordsSCLFleetTotalpa_A+RecordsSCLFleetTotalpa_B+RecordsSCLFleetTotalpa_C+RecordsSCLFleetTotalpa_D+RecordsSCLFleetTotalpa_E+RecordsSCLFleetTotalpa_F+RecordsSCLFleetTotalpa_G+RecordsSCLFleetTotalpa_H+RecordsSCLFleetTotalpa_I+RecordsSCLFleetTotalpa_J+RecordsSCLFleetTotalpa_K+RecordsSCLFleetTotalpa_L+RecordsSCLFleetTotalpa_M+RecordsSCLFleetTotalpa_N+RecordsSCLFleetTotalpa_O)</f>
        <v>2028156</v>
      </c>
      <c r="F1056" s="715">
        <f t="shared" si="232"/>
        <v>2028312</v>
      </c>
      <c r="G1056" s="715">
        <f t="shared" si="232"/>
        <v>2028468</v>
      </c>
      <c r="H1056" s="715">
        <f t="shared" si="232"/>
        <v>2028624</v>
      </c>
      <c r="I1056" s="715">
        <f t="shared" si="232"/>
        <v>2028780</v>
      </c>
      <c r="J1056" s="715">
        <f t="shared" si="232"/>
        <v>2028936</v>
      </c>
      <c r="K1056" s="715">
        <f t="shared" si="232"/>
        <v>2029092</v>
      </c>
      <c r="L1056" s="715">
        <f t="shared" si="232"/>
        <v>2029248</v>
      </c>
      <c r="M1056" s="715">
        <f t="shared" si="232"/>
        <v>2029404</v>
      </c>
      <c r="N1056" s="715">
        <f t="shared" si="232"/>
        <v>2029560</v>
      </c>
      <c r="O1056" s="257" t="s">
        <v>673</v>
      </c>
      <c r="P1056" s="828"/>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row>
    <row r="1057" spans="1:49" s="193" customFormat="1" ht="15.75" hidden="1" customHeight="1" outlineLevel="1" x14ac:dyDescent="0.2">
      <c r="A1057" s="1381"/>
      <c r="B1057" s="833"/>
      <c r="C1057" s="256"/>
      <c r="D1057" s="864" t="s">
        <v>666</v>
      </c>
      <c r="E1057" s="715">
        <f t="shared" ref="E1057:N1057" si="233">SUM(RecordsQSCFleetTotalpa_A+RecordsQSCFleetTotalpa_B+RecordsQSCFleetTotalpa_C+RecordsQSCFleetTotalpa_D+RecordsQSCFleetTotalpa_E+RecordsQSCFleetTotalpa_F+RecordsQSCFleetTotalpa_G+RecordsQSCFleetTotalpa_H+RecordsQSCFleetTotalpa_I+RecordsQSCFleetTotalpa_J+RecordsQSCFleetTotalpa_K+RecordsQSCFleetTotalpa_L+RecordsQSCFleetTotalpa_M+RecordsQSCFleetTotalpa_N+RecordsQSCFleetTotalpa_O)</f>
        <v>2184156</v>
      </c>
      <c r="F1057" s="715">
        <f t="shared" si="233"/>
        <v>2184312</v>
      </c>
      <c r="G1057" s="715">
        <f t="shared" si="233"/>
        <v>2184468</v>
      </c>
      <c r="H1057" s="715">
        <f t="shared" si="233"/>
        <v>2184624</v>
      </c>
      <c r="I1057" s="715">
        <f t="shared" si="233"/>
        <v>2184780</v>
      </c>
      <c r="J1057" s="715">
        <f t="shared" si="233"/>
        <v>2184936</v>
      </c>
      <c r="K1057" s="715">
        <f t="shared" si="233"/>
        <v>2185092</v>
      </c>
      <c r="L1057" s="715">
        <f t="shared" si="233"/>
        <v>2185248</v>
      </c>
      <c r="M1057" s="715">
        <f t="shared" si="233"/>
        <v>2185404</v>
      </c>
      <c r="N1057" s="715">
        <f t="shared" si="233"/>
        <v>2185560</v>
      </c>
      <c r="O1057" s="257" t="s">
        <v>674</v>
      </c>
      <c r="P1057" s="828"/>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row>
    <row r="1058" spans="1:49" s="193" customFormat="1" ht="15.75" hidden="1" customHeight="1" outlineLevel="1" x14ac:dyDescent="0.2">
      <c r="A1058" s="1381"/>
      <c r="B1058" s="833"/>
      <c r="C1058" s="256"/>
      <c r="D1058" s="864" t="s">
        <v>667</v>
      </c>
      <c r="E1058" s="715">
        <f t="shared" ref="E1058:N1058" si="234">SUM(RecordsEMFleetTotalpa_A+RecordsEMFleetTotalpa_B+RecordsEMFleetTotalpa_C+RecordsEMFleetTotalpa_D+RecordsEMFleetTotalpa_E+RecordsEMFleetTotalpa_F+RecordsEMFleetTotalpa_G+RecordsEMFleetTotalpa_H+RecordsEMFleetTotalpa_I+RecordsEMFleetTotalpa_J+RecordsEMFleetTotalpa_K+RecordsEMFleetTotalpa_L+RecordsEMFleetTotalpa_M+RecordsEMFleetTotalpa_N+RecordsEMFleetTotalpa_O)</f>
        <v>2340156</v>
      </c>
      <c r="F1058" s="715">
        <f t="shared" si="234"/>
        <v>2340312</v>
      </c>
      <c r="G1058" s="715">
        <f t="shared" si="234"/>
        <v>2340468</v>
      </c>
      <c r="H1058" s="715">
        <f t="shared" si="234"/>
        <v>2340624</v>
      </c>
      <c r="I1058" s="715">
        <f t="shared" si="234"/>
        <v>2340780</v>
      </c>
      <c r="J1058" s="715">
        <f t="shared" si="234"/>
        <v>2340936</v>
      </c>
      <c r="K1058" s="715">
        <f t="shared" si="234"/>
        <v>2341092</v>
      </c>
      <c r="L1058" s="715">
        <f t="shared" si="234"/>
        <v>2341248</v>
      </c>
      <c r="M1058" s="715">
        <f t="shared" si="234"/>
        <v>2341404</v>
      </c>
      <c r="N1058" s="715">
        <f t="shared" si="234"/>
        <v>2341560</v>
      </c>
      <c r="O1058" s="257" t="s">
        <v>675</v>
      </c>
      <c r="P1058" s="828"/>
      <c r="Q1058" s="41"/>
      <c r="R1058" s="41"/>
      <c r="S1058" s="41"/>
      <c r="T1058" s="41"/>
      <c r="U1058" s="41"/>
      <c r="V1058" s="41"/>
      <c r="W1058" s="41"/>
      <c r="X1058" s="41"/>
      <c r="Y1058" s="41"/>
      <c r="Z1058" s="41"/>
      <c r="AA1058" s="41"/>
      <c r="AB1058" s="41"/>
      <c r="AC1058" s="41"/>
      <c r="AD1058" s="41"/>
      <c r="AE1058" s="41"/>
      <c r="AF1058" s="41"/>
      <c r="AG1058" s="41"/>
      <c r="AH1058" s="41"/>
      <c r="AI1058" s="41"/>
      <c r="AJ1058" s="41"/>
      <c r="AK1058" s="41"/>
      <c r="AL1058" s="41"/>
      <c r="AM1058" s="41"/>
      <c r="AN1058" s="41"/>
      <c r="AO1058" s="41"/>
      <c r="AP1058" s="41"/>
      <c r="AQ1058" s="41"/>
      <c r="AR1058" s="41"/>
      <c r="AS1058" s="41"/>
      <c r="AT1058" s="41"/>
      <c r="AU1058" s="41"/>
      <c r="AV1058" s="41"/>
      <c r="AW1058" s="41"/>
    </row>
    <row r="1059" spans="1:49" s="193" customFormat="1" ht="15.75" hidden="1" customHeight="1" outlineLevel="1" x14ac:dyDescent="0.2">
      <c r="A1059" s="1381"/>
      <c r="B1059" s="833"/>
      <c r="C1059" s="256"/>
      <c r="D1059" s="864" t="s">
        <v>668</v>
      </c>
      <c r="E1059" s="715">
        <f t="shared" ref="E1059:N1059" si="235">SUM(RecordsCMFleetTotalpa_A+RecordsCMFleetTotalpa_B+RecordsCMFleetTotalpa_C+RecordsCMFleetTotalpa_D+RecordsCMFleetTotalpa_E+RecordsCMFleetTotalpa_F+RecordsCMFleetTotalpa_G+RecordsCMFleetTotalpa_H+RecordsCMFleetTotalpa_I+RecordsCMFleetTotalpa_J+RecordsCMFleetTotalpa_K+RecordsCMFleetTotalpa_L+RecordsCMFleetTotalpa_M+RecordsCMFleetTotalpa_N+RecordsCMFleetTotalpa_O)</f>
        <v>2340156</v>
      </c>
      <c r="F1059" s="715">
        <f t="shared" si="235"/>
        <v>2340312</v>
      </c>
      <c r="G1059" s="715">
        <f t="shared" si="235"/>
        <v>2340468</v>
      </c>
      <c r="H1059" s="715">
        <f t="shared" si="235"/>
        <v>2340624</v>
      </c>
      <c r="I1059" s="715">
        <f t="shared" si="235"/>
        <v>2340780</v>
      </c>
      <c r="J1059" s="715">
        <f t="shared" si="235"/>
        <v>2340936</v>
      </c>
      <c r="K1059" s="715">
        <f t="shared" si="235"/>
        <v>2341092</v>
      </c>
      <c r="L1059" s="715">
        <f t="shared" si="235"/>
        <v>2341248</v>
      </c>
      <c r="M1059" s="715">
        <f t="shared" si="235"/>
        <v>2341404</v>
      </c>
      <c r="N1059" s="715">
        <f t="shared" si="235"/>
        <v>2341560</v>
      </c>
      <c r="O1059" s="257" t="s">
        <v>676</v>
      </c>
      <c r="P1059" s="828"/>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row>
    <row r="1060" spans="1:49" s="193" customFormat="1" ht="15.75" hidden="1" customHeight="1" outlineLevel="1" x14ac:dyDescent="0.2">
      <c r="A1060" s="1381"/>
      <c r="B1060" s="833"/>
      <c r="C1060" s="256"/>
      <c r="D1060" s="864" t="s">
        <v>669</v>
      </c>
      <c r="E1060" s="715">
        <f t="shared" ref="E1060:N1060" si="236">SUM(RecordsSMCSFleetTotalpa_A+RecordsSMCSFleetTotalpa_B+RecordsSMCSFleetTotalpa_C+RecordsSMCSFleetTotalpa_D+RecordsSMCSFleetTotalpa_E+RecordsSMCSFleetTotalpa_F+RecordsSMCSFleetTotalpa_G+RecordsSMCSFleetTotalpa_H+RecordsSMCSFleetTotalpa_I+RecordsSMCSFleetTotalpa_J+RecordsSMCSFleetTotalpa_K+RecordsSMCSFleetTotalpa_L+RecordsSMCSFleetTotalpa_M+RecordsSMCSFleetTotalpa_N+RecordsSMCSFleetTotalpa_O)</f>
        <v>2340156</v>
      </c>
      <c r="F1060" s="715">
        <f t="shared" si="236"/>
        <v>2340312</v>
      </c>
      <c r="G1060" s="715">
        <f t="shared" si="236"/>
        <v>2340468</v>
      </c>
      <c r="H1060" s="715">
        <f t="shared" si="236"/>
        <v>2340624</v>
      </c>
      <c r="I1060" s="715">
        <f t="shared" si="236"/>
        <v>2340780</v>
      </c>
      <c r="J1060" s="715">
        <f t="shared" si="236"/>
        <v>2340936</v>
      </c>
      <c r="K1060" s="715">
        <f t="shared" si="236"/>
        <v>2341092</v>
      </c>
      <c r="L1060" s="715">
        <f t="shared" si="236"/>
        <v>2341248</v>
      </c>
      <c r="M1060" s="715">
        <f t="shared" si="236"/>
        <v>2341404</v>
      </c>
      <c r="N1060" s="715">
        <f t="shared" si="236"/>
        <v>2341560</v>
      </c>
      <c r="O1060" s="257" t="s">
        <v>677</v>
      </c>
      <c r="P1060" s="828"/>
      <c r="Q1060" s="41"/>
      <c r="R1060" s="41"/>
      <c r="S1060" s="41"/>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row>
    <row r="1061" spans="1:49" s="193" customFormat="1" ht="15.75" hidden="1" customHeight="1" outlineLevel="1" x14ac:dyDescent="0.2">
      <c r="A1061" s="1381"/>
      <c r="B1061" s="833"/>
      <c r="C1061" s="256"/>
      <c r="D1061" s="864" t="s">
        <v>190</v>
      </c>
      <c r="E1061" s="715">
        <f t="shared" ref="E1061:N1061" si="237">SUM(RecordsO1FleetTotalpa_A+RecordsO1FleetTotalpa_B+RecordsO1FleetTotalpa_C+RecordsO1FleetTotalpa_D+RecordsO1FleetTotalpa_E+RecordsO1FleetTotalpa_F+RecordsO1FleetTotalpa_G+RecordsO1FleetTotalpa_H+RecordsO1FleetTotalpa_I+RecordsO1FleetTotalpa_J+RecordsO1FleetTotalpa_K+RecordsO1FleetTotalpa_L+RecordsO1FleetTotalpa_M+RecordsO1FleetTotalpa_N+RecordsO1FleetTotalpa_O)</f>
        <v>1440096</v>
      </c>
      <c r="F1061" s="715">
        <f t="shared" si="237"/>
        <v>1440192</v>
      </c>
      <c r="G1061" s="715">
        <f t="shared" si="237"/>
        <v>1440288</v>
      </c>
      <c r="H1061" s="715">
        <f t="shared" si="237"/>
        <v>1440384</v>
      </c>
      <c r="I1061" s="715">
        <f t="shared" si="237"/>
        <v>1440480</v>
      </c>
      <c r="J1061" s="715">
        <f t="shared" si="237"/>
        <v>1440576</v>
      </c>
      <c r="K1061" s="715">
        <f t="shared" si="237"/>
        <v>1440672</v>
      </c>
      <c r="L1061" s="715">
        <f t="shared" si="237"/>
        <v>1440768</v>
      </c>
      <c r="M1061" s="715">
        <f t="shared" si="237"/>
        <v>1440864</v>
      </c>
      <c r="N1061" s="715">
        <f t="shared" si="237"/>
        <v>1440960</v>
      </c>
      <c r="O1061" s="257" t="s">
        <v>678</v>
      </c>
      <c r="P1061" s="828"/>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row>
    <row r="1062" spans="1:49" s="193" customFormat="1" ht="15.75" hidden="1" customHeight="1" outlineLevel="1" x14ac:dyDescent="0.2">
      <c r="A1062" s="1381"/>
      <c r="B1062" s="833"/>
      <c r="C1062" s="256"/>
      <c r="D1062" s="864" t="s">
        <v>191</v>
      </c>
      <c r="E1062" s="715">
        <f t="shared" ref="E1062:N1062" si="238">SUM(RecordsO2FleetTotalpa_A+RecordsO2FleetTotalpa_B+RecordsO2FleetTotalpa_C+RecordsO2FleetTotalpa_D+RecordsO2FleetTotalpa_E+RecordsO2FleetTotalpa_F+RecordsO2FleetTotalpa_G+RecordsO2FleetTotalpa_H+RecordsO2FleetTotalpa_I+RecordsO2FleetTotalpa_J+RecordsO2FleetTotalpa_K+RecordsO2FleetTotalpa_L+RecordsO2FleetTotalpa_M+RecordsO2FleetTotalpa_N+RecordsO2FleetTotalpa_O)</f>
        <v>1440096</v>
      </c>
      <c r="F1062" s="715">
        <f t="shared" si="238"/>
        <v>1440192</v>
      </c>
      <c r="G1062" s="715">
        <f t="shared" si="238"/>
        <v>1440288</v>
      </c>
      <c r="H1062" s="715">
        <f t="shared" si="238"/>
        <v>1440384</v>
      </c>
      <c r="I1062" s="715">
        <f t="shared" si="238"/>
        <v>1440480</v>
      </c>
      <c r="J1062" s="715">
        <f t="shared" si="238"/>
        <v>1440576</v>
      </c>
      <c r="K1062" s="715">
        <f t="shared" si="238"/>
        <v>1440672</v>
      </c>
      <c r="L1062" s="715">
        <f t="shared" si="238"/>
        <v>1440768</v>
      </c>
      <c r="M1062" s="715">
        <f t="shared" si="238"/>
        <v>1440864</v>
      </c>
      <c r="N1062" s="715">
        <f t="shared" si="238"/>
        <v>1440960</v>
      </c>
      <c r="O1062" s="257" t="s">
        <v>679</v>
      </c>
      <c r="P1062" s="828"/>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row>
    <row r="1063" spans="1:49" s="193" customFormat="1" ht="15" hidden="1" customHeight="1" outlineLevel="1" x14ac:dyDescent="0.2">
      <c r="A1063" s="1381"/>
      <c r="B1063" s="30"/>
      <c r="C1063" s="256"/>
      <c r="D1063" s="30"/>
      <c r="E1063" s="865"/>
      <c r="F1063" s="865"/>
      <c r="G1063" s="865"/>
      <c r="H1063" s="865"/>
      <c r="I1063" s="865"/>
      <c r="J1063" s="865"/>
      <c r="K1063" s="865"/>
      <c r="L1063" s="865"/>
      <c r="M1063" s="865"/>
      <c r="N1063" s="865"/>
      <c r="O1063" s="839"/>
      <c r="P1063" s="828"/>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row>
    <row r="1064" spans="1:49" s="193" customFormat="1" ht="12.75" hidden="1" outlineLevel="1" x14ac:dyDescent="0.2">
      <c r="A1064" s="1381"/>
      <c r="B1064" s="180"/>
      <c r="C1064" s="256"/>
      <c r="D1064" s="849" t="s">
        <v>114</v>
      </c>
      <c r="E1064" s="716">
        <f t="shared" ref="E1064:N1064" si="239">SUM(E1051:E1063)</f>
        <v>21456561</v>
      </c>
      <c r="F1064" s="716">
        <f t="shared" si="239"/>
        <v>21432642.779220778</v>
      </c>
      <c r="G1064" s="716">
        <f t="shared" si="239"/>
        <v>21414928.833333336</v>
      </c>
      <c r="H1064" s="716">
        <f t="shared" si="239"/>
        <v>21458778.065934066</v>
      </c>
      <c r="I1064" s="716">
        <f t="shared" si="239"/>
        <v>21472197.857142858</v>
      </c>
      <c r="J1064" s="716">
        <f t="shared" si="239"/>
        <v>21485789.80952381</v>
      </c>
      <c r="K1064" s="716">
        <f t="shared" si="239"/>
        <v>21499521.642857142</v>
      </c>
      <c r="L1064" s="716">
        <f t="shared" si="239"/>
        <v>21513368.672268908</v>
      </c>
      <c r="M1064" s="716">
        <f t="shared" si="239"/>
        <v>21527311.698412698</v>
      </c>
      <c r="N1064" s="716">
        <f t="shared" si="239"/>
        <v>21541335.563909777</v>
      </c>
      <c r="O1064" s="257" t="s">
        <v>680</v>
      </c>
      <c r="P1064" s="828"/>
      <c r="Q1064" s="41"/>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c r="AV1064" s="41"/>
      <c r="AW1064" s="41"/>
    </row>
    <row r="1065" spans="1:49" s="193" customFormat="1" ht="13.5" hidden="1" outlineLevel="1" thickBot="1" x14ac:dyDescent="0.25">
      <c r="A1065" s="1382"/>
      <c r="B1065" s="180"/>
      <c r="C1065" s="170"/>
      <c r="D1065" s="278"/>
      <c r="E1065" s="278"/>
      <c r="F1065" s="278"/>
      <c r="G1065" s="278"/>
      <c r="H1065" s="278"/>
      <c r="I1065" s="278"/>
      <c r="J1065" s="278"/>
      <c r="K1065" s="278"/>
      <c r="L1065" s="278"/>
      <c r="M1065" s="278"/>
      <c r="N1065" s="278"/>
      <c r="O1065" s="850"/>
      <c r="P1065" s="828"/>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row>
    <row r="1066" spans="1:49" s="193" customFormat="1" ht="12.75" hidden="1" outlineLevel="1" x14ac:dyDescent="0.2">
      <c r="A1066" s="180"/>
      <c r="B1066" s="180"/>
      <c r="C1066" s="30"/>
      <c r="D1066" s="30"/>
      <c r="E1066" s="30"/>
      <c r="F1066" s="30"/>
      <c r="G1066" s="30"/>
      <c r="H1066" s="30"/>
      <c r="I1066" s="30"/>
      <c r="J1066" s="30"/>
      <c r="K1066" s="30"/>
      <c r="L1066" s="30"/>
      <c r="M1066" s="30"/>
      <c r="N1066" s="30"/>
      <c r="O1066" s="862"/>
      <c r="P1066" s="828"/>
      <c r="Q1066" s="41"/>
      <c r="R1066" s="41"/>
      <c r="S1066" s="41"/>
      <c r="T1066" s="41"/>
      <c r="U1066" s="41"/>
      <c r="V1066" s="41"/>
      <c r="W1066" s="41"/>
      <c r="X1066" s="41"/>
      <c r="Y1066" s="41"/>
      <c r="Z1066" s="41"/>
      <c r="AA1066" s="41"/>
      <c r="AB1066" s="41"/>
      <c r="AC1066" s="41"/>
      <c r="AD1066" s="41"/>
      <c r="AE1066" s="41"/>
      <c r="AF1066" s="41"/>
      <c r="AG1066" s="41"/>
      <c r="AH1066" s="41"/>
      <c r="AI1066" s="41"/>
      <c r="AJ1066" s="41"/>
      <c r="AK1066" s="41"/>
      <c r="AL1066" s="41"/>
      <c r="AM1066" s="41"/>
      <c r="AN1066" s="41"/>
      <c r="AO1066" s="41"/>
      <c r="AP1066" s="41"/>
      <c r="AQ1066" s="41"/>
      <c r="AR1066" s="41"/>
      <c r="AS1066" s="41"/>
      <c r="AT1066" s="41"/>
      <c r="AU1066" s="41"/>
      <c r="AV1066" s="41"/>
      <c r="AW1066" s="41"/>
    </row>
    <row r="1067" spans="1:49" s="122" customFormat="1" ht="15.75" collapsed="1" x14ac:dyDescent="0.2">
      <c r="A1067" s="1043">
        <v>17</v>
      </c>
      <c r="B1067" s="1039"/>
      <c r="C1067" s="1039"/>
      <c r="D1067" s="1039"/>
      <c r="E1067" s="1039"/>
      <c r="F1067" s="1039"/>
      <c r="G1067" s="1039"/>
      <c r="H1067" s="1039"/>
      <c r="I1067" s="1039"/>
      <c r="J1067" s="1039"/>
      <c r="K1067" s="1039"/>
      <c r="L1067" s="1039"/>
      <c r="M1067" s="1039"/>
      <c r="N1067" s="1039"/>
      <c r="O1067" s="1039"/>
      <c r="P1067" s="206"/>
      <c r="Q1067" s="206"/>
      <c r="R1067" s="206"/>
      <c r="S1067" s="206"/>
      <c r="T1067" s="206"/>
      <c r="U1067" s="206"/>
      <c r="V1067" s="206"/>
      <c r="W1067" s="206"/>
      <c r="X1067" s="206"/>
      <c r="Y1067" s="206"/>
      <c r="Z1067" s="206"/>
      <c r="AA1067" s="206"/>
      <c r="AB1067" s="206"/>
      <c r="AC1067" s="206"/>
      <c r="AD1067" s="206"/>
      <c r="AE1067" s="206"/>
      <c r="AF1067" s="206"/>
      <c r="AG1067" s="206"/>
      <c r="AH1067" s="206"/>
      <c r="AI1067" s="206"/>
      <c r="AJ1067" s="206"/>
      <c r="AK1067" s="206"/>
      <c r="AL1067" s="206"/>
      <c r="AM1067" s="206"/>
      <c r="AN1067" s="206"/>
      <c r="AO1067" s="206"/>
      <c r="AP1067" s="206"/>
      <c r="AQ1067" s="206"/>
      <c r="AR1067" s="206"/>
      <c r="AS1067" s="206"/>
      <c r="AT1067" s="206"/>
      <c r="AU1067" s="206"/>
      <c r="AV1067" s="206"/>
      <c r="AW1067" s="206"/>
    </row>
    <row r="1068" spans="1:49" s="712" customFormat="1" ht="13.5" thickBot="1" x14ac:dyDescent="0.25">
      <c r="A1068" s="820"/>
      <c r="B1068" s="180"/>
      <c r="C1068" s="852"/>
      <c r="D1068" s="820"/>
      <c r="E1068" s="840"/>
      <c r="F1068" s="840"/>
      <c r="G1068" s="840"/>
      <c r="H1068" s="840"/>
      <c r="I1068" s="840"/>
      <c r="J1068" s="840"/>
      <c r="K1068" s="840"/>
      <c r="L1068" s="840"/>
      <c r="M1068" s="840"/>
      <c r="N1068" s="840"/>
      <c r="O1068" s="828"/>
      <c r="P1068" s="828"/>
      <c r="Q1068" s="180"/>
      <c r="R1068" s="180"/>
      <c r="S1068" s="180"/>
      <c r="T1068" s="180"/>
      <c r="U1068" s="180"/>
      <c r="V1068" s="180"/>
      <c r="W1068" s="180"/>
      <c r="X1068" s="180"/>
      <c r="Y1068" s="180"/>
      <c r="Z1068" s="180"/>
      <c r="AA1068" s="180"/>
      <c r="AB1068" s="180"/>
      <c r="AC1068" s="180"/>
      <c r="AD1068" s="180"/>
      <c r="AE1068" s="180"/>
      <c r="AF1068" s="180"/>
      <c r="AG1068" s="180"/>
      <c r="AH1068" s="180"/>
      <c r="AI1068" s="180"/>
      <c r="AJ1068" s="180"/>
      <c r="AK1068" s="180"/>
      <c r="AL1068" s="180"/>
      <c r="AM1068" s="180"/>
      <c r="AN1068" s="180"/>
      <c r="AO1068" s="180"/>
      <c r="AP1068" s="180"/>
      <c r="AQ1068" s="180"/>
      <c r="AR1068" s="180"/>
      <c r="AS1068" s="180"/>
      <c r="AT1068" s="180"/>
      <c r="AU1068" s="180"/>
      <c r="AV1068" s="180"/>
      <c r="AW1068" s="180"/>
    </row>
    <row r="1069" spans="1:49" s="712" customFormat="1" ht="31.5" x14ac:dyDescent="0.2">
      <c r="A1069" s="1283" t="s">
        <v>4313</v>
      </c>
      <c r="B1069" s="180"/>
      <c r="C1069" s="1343" t="s">
        <v>4311</v>
      </c>
      <c r="D1069" s="853"/>
      <c r="E1069" s="853"/>
      <c r="F1069" s="853"/>
      <c r="G1069" s="853"/>
      <c r="H1069" s="853"/>
      <c r="I1069" s="853"/>
      <c r="J1069" s="853"/>
      <c r="K1069" s="853"/>
      <c r="L1069" s="853"/>
      <c r="M1069" s="853"/>
      <c r="N1069" s="853"/>
      <c r="O1069" s="854"/>
      <c r="P1069" s="828"/>
      <c r="Q1069" s="180"/>
      <c r="R1069" s="180"/>
      <c r="S1069" s="180"/>
      <c r="T1069" s="180"/>
      <c r="U1069" s="180"/>
      <c r="V1069" s="180"/>
      <c r="W1069" s="180"/>
      <c r="X1069" s="180"/>
      <c r="Y1069" s="180"/>
      <c r="Z1069" s="180"/>
      <c r="AA1069" s="180"/>
      <c r="AB1069" s="180"/>
      <c r="AC1069" s="180"/>
      <c r="AD1069" s="180"/>
      <c r="AE1069" s="180"/>
      <c r="AF1069" s="180"/>
      <c r="AG1069" s="180"/>
      <c r="AH1069" s="180"/>
      <c r="AI1069" s="180"/>
      <c r="AJ1069" s="180"/>
      <c r="AK1069" s="180"/>
      <c r="AL1069" s="180"/>
      <c r="AM1069" s="180"/>
      <c r="AN1069" s="180"/>
      <c r="AO1069" s="180"/>
      <c r="AP1069" s="180"/>
      <c r="AQ1069" s="180"/>
      <c r="AR1069" s="180"/>
      <c r="AS1069" s="180"/>
      <c r="AT1069" s="180"/>
      <c r="AU1069" s="180"/>
      <c r="AV1069" s="180"/>
      <c r="AW1069" s="180"/>
    </row>
    <row r="1070" spans="1:49" s="193" customFormat="1" ht="12.75" x14ac:dyDescent="0.2">
      <c r="A1070" s="820"/>
      <c r="B1070" s="833"/>
      <c r="C1070" s="833"/>
      <c r="D1070" s="30"/>
      <c r="E1070" s="833"/>
      <c r="F1070" s="833"/>
      <c r="G1070" s="833"/>
      <c r="H1070" s="833"/>
      <c r="I1070" s="833"/>
      <c r="J1070" s="833"/>
      <c r="K1070" s="833"/>
      <c r="L1070" s="833"/>
      <c r="M1070" s="833"/>
      <c r="N1070" s="833"/>
      <c r="O1070" s="833"/>
      <c r="P1070" s="828"/>
      <c r="Q1070" s="41"/>
      <c r="R1070" s="41"/>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c r="AV1070" s="41"/>
      <c r="AW1070" s="41"/>
    </row>
    <row r="1071" spans="1:49" s="193" customFormat="1" ht="13.5" hidden="1" outlineLevel="1" thickBot="1" x14ac:dyDescent="0.25">
      <c r="A1071" s="256"/>
      <c r="B1071" s="180"/>
      <c r="C1071" s="30"/>
      <c r="D1071" s="30"/>
      <c r="E1071" s="30"/>
      <c r="F1071" s="30"/>
      <c r="G1071" s="30"/>
      <c r="H1071" s="30"/>
      <c r="I1071" s="30"/>
      <c r="J1071" s="30"/>
      <c r="K1071" s="30"/>
      <c r="L1071" s="30"/>
      <c r="M1071" s="30"/>
      <c r="N1071" s="30"/>
      <c r="O1071" s="828"/>
      <c r="P1071" s="828"/>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row>
    <row r="1072" spans="1:49" s="717" customFormat="1" ht="20.25" hidden="1" customHeight="1" outlineLevel="1" x14ac:dyDescent="0.2">
      <c r="A1072" s="1380" t="s">
        <v>4312</v>
      </c>
      <c r="B1072" s="180"/>
      <c r="C1072" s="866" t="s">
        <v>975</v>
      </c>
      <c r="D1072" s="867"/>
      <c r="E1072" s="867"/>
      <c r="F1072" s="867"/>
      <c r="G1072" s="867"/>
      <c r="H1072" s="867"/>
      <c r="I1072" s="867"/>
      <c r="J1072" s="867"/>
      <c r="K1072" s="867"/>
      <c r="L1072" s="867"/>
      <c r="M1072" s="867"/>
      <c r="N1072" s="867"/>
      <c r="O1072" s="868"/>
      <c r="P1072" s="828"/>
      <c r="Q1072" s="189"/>
      <c r="R1072" s="189"/>
      <c r="S1072" s="189"/>
      <c r="T1072" s="189"/>
      <c r="U1072" s="189"/>
      <c r="V1072" s="189"/>
      <c r="W1072" s="189"/>
      <c r="X1072" s="189"/>
      <c r="Y1072" s="189"/>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row>
    <row r="1073" spans="1:49" s="193" customFormat="1" ht="18" hidden="1" customHeight="1" outlineLevel="1" x14ac:dyDescent="0.2">
      <c r="A1073" s="1381"/>
      <c r="B1073" s="180"/>
      <c r="C1073" s="831"/>
      <c r="D1073" s="869" t="s">
        <v>907</v>
      </c>
      <c r="E1073" s="870">
        <v>1</v>
      </c>
      <c r="F1073" s="870">
        <v>1</v>
      </c>
      <c r="G1073" s="870">
        <v>1</v>
      </c>
      <c r="H1073" s="870">
        <v>1</v>
      </c>
      <c r="I1073" s="870">
        <v>1</v>
      </c>
      <c r="J1073" s="870">
        <v>1</v>
      </c>
      <c r="K1073" s="870">
        <v>1</v>
      </c>
      <c r="L1073" s="870">
        <v>1</v>
      </c>
      <c r="M1073" s="870">
        <v>1</v>
      </c>
      <c r="N1073" s="870">
        <v>1</v>
      </c>
      <c r="O1073" s="257" t="s">
        <v>915</v>
      </c>
      <c r="P1073" s="828"/>
      <c r="Q1073" s="41"/>
      <c r="R1073" s="41"/>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row>
    <row r="1074" spans="1:49" s="193" customFormat="1" ht="18" hidden="1" customHeight="1" outlineLevel="1" x14ac:dyDescent="0.2">
      <c r="A1074" s="1381"/>
      <c r="B1074" s="180"/>
      <c r="C1074" s="831"/>
      <c r="D1074" s="869" t="s">
        <v>906</v>
      </c>
      <c r="E1074" s="870">
        <v>1</v>
      </c>
      <c r="F1074" s="870">
        <v>1</v>
      </c>
      <c r="G1074" s="870">
        <v>1</v>
      </c>
      <c r="H1074" s="870">
        <v>1</v>
      </c>
      <c r="I1074" s="870">
        <v>1</v>
      </c>
      <c r="J1074" s="870">
        <v>1</v>
      </c>
      <c r="K1074" s="870">
        <v>1</v>
      </c>
      <c r="L1074" s="870">
        <v>1</v>
      </c>
      <c r="M1074" s="870">
        <v>1</v>
      </c>
      <c r="N1074" s="870">
        <v>1</v>
      </c>
      <c r="O1074" s="257" t="s">
        <v>916</v>
      </c>
      <c r="P1074" s="828"/>
      <c r="Q1074" s="41"/>
      <c r="R1074" s="41"/>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row>
    <row r="1075" spans="1:49" s="193" customFormat="1" ht="18" hidden="1" customHeight="1" outlineLevel="1" x14ac:dyDescent="0.2">
      <c r="A1075" s="1381"/>
      <c r="B1075" s="180"/>
      <c r="C1075" s="831"/>
      <c r="D1075" s="869" t="s">
        <v>905</v>
      </c>
      <c r="E1075" s="870">
        <v>1</v>
      </c>
      <c r="F1075" s="870">
        <v>1</v>
      </c>
      <c r="G1075" s="870">
        <v>1</v>
      </c>
      <c r="H1075" s="870">
        <v>1</v>
      </c>
      <c r="I1075" s="870">
        <v>1</v>
      </c>
      <c r="J1075" s="870">
        <v>1</v>
      </c>
      <c r="K1075" s="870">
        <v>1</v>
      </c>
      <c r="L1075" s="870">
        <v>1</v>
      </c>
      <c r="M1075" s="870">
        <v>1</v>
      </c>
      <c r="N1075" s="870">
        <v>1</v>
      </c>
      <c r="O1075" s="257" t="s">
        <v>917</v>
      </c>
      <c r="P1075" s="828"/>
      <c r="Q1075" s="41"/>
      <c r="R1075" s="41"/>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row>
    <row r="1076" spans="1:49" s="193" customFormat="1" ht="18" hidden="1" customHeight="1" outlineLevel="1" x14ac:dyDescent="0.2">
      <c r="A1076" s="1381"/>
      <c r="B1076" s="180"/>
      <c r="C1076" s="831"/>
      <c r="D1076" s="869" t="s">
        <v>904</v>
      </c>
      <c r="E1076" s="870">
        <v>1</v>
      </c>
      <c r="F1076" s="870">
        <v>1</v>
      </c>
      <c r="G1076" s="870">
        <v>1</v>
      </c>
      <c r="H1076" s="870">
        <v>1</v>
      </c>
      <c r="I1076" s="870">
        <v>1</v>
      </c>
      <c r="J1076" s="870">
        <v>1</v>
      </c>
      <c r="K1076" s="870">
        <v>1</v>
      </c>
      <c r="L1076" s="870">
        <v>1</v>
      </c>
      <c r="M1076" s="870">
        <v>1</v>
      </c>
      <c r="N1076" s="870">
        <v>1</v>
      </c>
      <c r="O1076" s="257" t="s">
        <v>918</v>
      </c>
      <c r="P1076" s="828"/>
      <c r="Q1076" s="41"/>
      <c r="R1076" s="41"/>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row>
    <row r="1077" spans="1:49" s="193" customFormat="1" ht="18" hidden="1" customHeight="1" outlineLevel="1" x14ac:dyDescent="0.2">
      <c r="A1077" s="1381"/>
      <c r="B1077" s="180"/>
      <c r="C1077" s="831"/>
      <c r="D1077" s="869" t="s">
        <v>908</v>
      </c>
      <c r="E1077" s="870">
        <v>1</v>
      </c>
      <c r="F1077" s="870">
        <v>1</v>
      </c>
      <c r="G1077" s="870">
        <v>1</v>
      </c>
      <c r="H1077" s="870">
        <v>1</v>
      </c>
      <c r="I1077" s="870">
        <v>1</v>
      </c>
      <c r="J1077" s="870">
        <v>1</v>
      </c>
      <c r="K1077" s="870">
        <v>1</v>
      </c>
      <c r="L1077" s="870">
        <v>1</v>
      </c>
      <c r="M1077" s="870">
        <v>1</v>
      </c>
      <c r="N1077" s="870">
        <v>1</v>
      </c>
      <c r="O1077" s="257" t="s">
        <v>919</v>
      </c>
      <c r="P1077" s="828"/>
      <c r="Q1077" s="41"/>
      <c r="R1077" s="41"/>
      <c r="S1077" s="41"/>
      <c r="T1077" s="41"/>
      <c r="U1077" s="41"/>
      <c r="V1077" s="41"/>
      <c r="W1077" s="41"/>
      <c r="X1077" s="41"/>
      <c r="Y1077" s="41"/>
      <c r="Z1077" s="41"/>
      <c r="AA1077" s="41"/>
      <c r="AB1077" s="41"/>
      <c r="AC1077" s="41"/>
      <c r="AD1077" s="41"/>
      <c r="AE1077" s="41"/>
      <c r="AF1077" s="41"/>
      <c r="AG1077" s="41"/>
      <c r="AH1077" s="41"/>
      <c r="AI1077" s="41"/>
      <c r="AJ1077" s="41"/>
      <c r="AK1077" s="41"/>
      <c r="AL1077" s="41"/>
      <c r="AM1077" s="41"/>
      <c r="AN1077" s="41"/>
      <c r="AO1077" s="41"/>
      <c r="AP1077" s="41"/>
      <c r="AQ1077" s="41"/>
      <c r="AR1077" s="41"/>
      <c r="AS1077" s="41"/>
      <c r="AT1077" s="41"/>
      <c r="AU1077" s="41"/>
      <c r="AV1077" s="41"/>
      <c r="AW1077" s="41"/>
    </row>
    <row r="1078" spans="1:49" s="193" customFormat="1" ht="18" hidden="1" customHeight="1" outlineLevel="1" x14ac:dyDescent="0.2">
      <c r="A1078" s="1381"/>
      <c r="B1078" s="180"/>
      <c r="C1078" s="831"/>
      <c r="D1078" s="869" t="s">
        <v>909</v>
      </c>
      <c r="E1078" s="870">
        <v>1</v>
      </c>
      <c r="F1078" s="870">
        <v>1</v>
      </c>
      <c r="G1078" s="870">
        <v>1</v>
      </c>
      <c r="H1078" s="870">
        <v>1</v>
      </c>
      <c r="I1078" s="870">
        <v>1</v>
      </c>
      <c r="J1078" s="870">
        <v>1</v>
      </c>
      <c r="K1078" s="870">
        <v>1</v>
      </c>
      <c r="L1078" s="870">
        <v>1</v>
      </c>
      <c r="M1078" s="870">
        <v>1</v>
      </c>
      <c r="N1078" s="870">
        <v>1</v>
      </c>
      <c r="O1078" s="257" t="s">
        <v>920</v>
      </c>
      <c r="P1078" s="828"/>
      <c r="Q1078" s="41"/>
      <c r="R1078" s="41"/>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row>
    <row r="1079" spans="1:49" s="193" customFormat="1" ht="18" hidden="1" customHeight="1" outlineLevel="1" x14ac:dyDescent="0.2">
      <c r="A1079" s="1381"/>
      <c r="B1079" s="180"/>
      <c r="C1079" s="831"/>
      <c r="D1079" s="869" t="s">
        <v>910</v>
      </c>
      <c r="E1079" s="870">
        <v>1</v>
      </c>
      <c r="F1079" s="870">
        <v>1</v>
      </c>
      <c r="G1079" s="870">
        <v>1</v>
      </c>
      <c r="H1079" s="870">
        <v>1</v>
      </c>
      <c r="I1079" s="870">
        <v>1</v>
      </c>
      <c r="J1079" s="870">
        <v>1</v>
      </c>
      <c r="K1079" s="870">
        <v>1</v>
      </c>
      <c r="L1079" s="870">
        <v>1</v>
      </c>
      <c r="M1079" s="870">
        <v>1</v>
      </c>
      <c r="N1079" s="870">
        <v>1</v>
      </c>
      <c r="O1079" s="257" t="s">
        <v>921</v>
      </c>
      <c r="P1079" s="828"/>
      <c r="Q1079" s="41"/>
      <c r="R1079" s="41"/>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row>
    <row r="1080" spans="1:49" s="193" customFormat="1" ht="18" hidden="1" customHeight="1" outlineLevel="1" x14ac:dyDescent="0.2">
      <c r="A1080" s="1381"/>
      <c r="B1080" s="180"/>
      <c r="C1080" s="831"/>
      <c r="D1080" s="869" t="s">
        <v>911</v>
      </c>
      <c r="E1080" s="870">
        <v>1</v>
      </c>
      <c r="F1080" s="870">
        <v>1</v>
      </c>
      <c r="G1080" s="870">
        <v>1</v>
      </c>
      <c r="H1080" s="870">
        <v>1</v>
      </c>
      <c r="I1080" s="870">
        <v>1</v>
      </c>
      <c r="J1080" s="870">
        <v>1</v>
      </c>
      <c r="K1080" s="870">
        <v>1</v>
      </c>
      <c r="L1080" s="870">
        <v>1</v>
      </c>
      <c r="M1080" s="870">
        <v>1</v>
      </c>
      <c r="N1080" s="870">
        <v>1</v>
      </c>
      <c r="O1080" s="257" t="s">
        <v>922</v>
      </c>
      <c r="P1080" s="828"/>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row>
    <row r="1081" spans="1:49" s="193" customFormat="1" ht="18" hidden="1" customHeight="1" outlineLevel="1" x14ac:dyDescent="0.2">
      <c r="A1081" s="1381"/>
      <c r="B1081" s="180"/>
      <c r="C1081" s="831"/>
      <c r="D1081" s="869" t="s">
        <v>912</v>
      </c>
      <c r="E1081" s="870">
        <v>1</v>
      </c>
      <c r="F1081" s="870">
        <v>1</v>
      </c>
      <c r="G1081" s="870">
        <v>1</v>
      </c>
      <c r="H1081" s="870">
        <v>1</v>
      </c>
      <c r="I1081" s="870">
        <v>1</v>
      </c>
      <c r="J1081" s="870">
        <v>1</v>
      </c>
      <c r="K1081" s="870">
        <v>1</v>
      </c>
      <c r="L1081" s="870">
        <v>1</v>
      </c>
      <c r="M1081" s="870">
        <v>1</v>
      </c>
      <c r="N1081" s="870">
        <v>1</v>
      </c>
      <c r="O1081" s="257" t="s">
        <v>923</v>
      </c>
      <c r="P1081" s="828"/>
      <c r="Q1081" s="41"/>
      <c r="R1081" s="41"/>
      <c r="S1081" s="41"/>
      <c r="T1081" s="41"/>
      <c r="U1081" s="41"/>
      <c r="V1081" s="41"/>
      <c r="W1081" s="41"/>
      <c r="X1081" s="41"/>
      <c r="Y1081" s="41"/>
      <c r="Z1081" s="41"/>
      <c r="AA1081" s="41"/>
      <c r="AB1081" s="41"/>
      <c r="AC1081" s="41"/>
      <c r="AD1081" s="41"/>
      <c r="AE1081" s="41"/>
      <c r="AF1081" s="41"/>
      <c r="AG1081" s="41"/>
      <c r="AH1081" s="41"/>
      <c r="AI1081" s="41"/>
      <c r="AJ1081" s="41"/>
      <c r="AK1081" s="41"/>
      <c r="AL1081" s="41"/>
      <c r="AM1081" s="41"/>
      <c r="AN1081" s="41"/>
      <c r="AO1081" s="41"/>
      <c r="AP1081" s="41"/>
      <c r="AQ1081" s="41"/>
      <c r="AR1081" s="41"/>
      <c r="AS1081" s="41"/>
      <c r="AT1081" s="41"/>
      <c r="AU1081" s="41"/>
      <c r="AV1081" s="41"/>
      <c r="AW1081" s="41"/>
    </row>
    <row r="1082" spans="1:49" s="193" customFormat="1" ht="18" hidden="1" customHeight="1" outlineLevel="1" x14ac:dyDescent="0.2">
      <c r="A1082" s="1381"/>
      <c r="B1082" s="180"/>
      <c r="C1082" s="831"/>
      <c r="D1082" s="869" t="s">
        <v>913</v>
      </c>
      <c r="E1082" s="870">
        <v>1</v>
      </c>
      <c r="F1082" s="870">
        <v>1</v>
      </c>
      <c r="G1082" s="870">
        <v>1</v>
      </c>
      <c r="H1082" s="870">
        <v>1</v>
      </c>
      <c r="I1082" s="870">
        <v>1</v>
      </c>
      <c r="J1082" s="870">
        <v>1</v>
      </c>
      <c r="K1082" s="870">
        <v>1</v>
      </c>
      <c r="L1082" s="870">
        <v>1</v>
      </c>
      <c r="M1082" s="870">
        <v>1</v>
      </c>
      <c r="N1082" s="870">
        <v>1</v>
      </c>
      <c r="O1082" s="257" t="s">
        <v>924</v>
      </c>
      <c r="P1082" s="828"/>
      <c r="Q1082" s="41"/>
      <c r="R1082" s="41"/>
      <c r="S1082" s="41"/>
      <c r="T1082" s="41"/>
      <c r="U1082" s="41"/>
      <c r="V1082" s="41"/>
      <c r="W1082" s="41"/>
      <c r="X1082" s="41"/>
      <c r="Y1082" s="41"/>
      <c r="Z1082" s="41"/>
      <c r="AA1082" s="41"/>
      <c r="AB1082" s="41"/>
      <c r="AC1082" s="41"/>
      <c r="AD1082" s="41"/>
      <c r="AE1082" s="41"/>
      <c r="AF1082" s="41"/>
      <c r="AG1082" s="41"/>
      <c r="AH1082" s="41"/>
      <c r="AI1082" s="41"/>
      <c r="AJ1082" s="41"/>
      <c r="AK1082" s="41"/>
      <c r="AL1082" s="41"/>
      <c r="AM1082" s="41"/>
      <c r="AN1082" s="41"/>
      <c r="AO1082" s="41"/>
      <c r="AP1082" s="41"/>
      <c r="AQ1082" s="41"/>
      <c r="AR1082" s="41"/>
      <c r="AS1082" s="41"/>
      <c r="AT1082" s="41"/>
      <c r="AU1082" s="41"/>
      <c r="AV1082" s="41"/>
      <c r="AW1082" s="41"/>
    </row>
    <row r="1083" spans="1:49" s="193" customFormat="1" ht="18" hidden="1" customHeight="1" outlineLevel="1" x14ac:dyDescent="0.2">
      <c r="A1083" s="1381"/>
      <c r="B1083" s="180"/>
      <c r="C1083" s="831"/>
      <c r="D1083" s="869" t="s">
        <v>914</v>
      </c>
      <c r="E1083" s="870">
        <v>1</v>
      </c>
      <c r="F1083" s="870">
        <v>1</v>
      </c>
      <c r="G1083" s="870">
        <v>1</v>
      </c>
      <c r="H1083" s="870">
        <v>1</v>
      </c>
      <c r="I1083" s="870">
        <v>1</v>
      </c>
      <c r="J1083" s="870">
        <v>1</v>
      </c>
      <c r="K1083" s="870">
        <v>1</v>
      </c>
      <c r="L1083" s="870">
        <v>1</v>
      </c>
      <c r="M1083" s="870">
        <v>1</v>
      </c>
      <c r="N1083" s="870">
        <v>1</v>
      </c>
      <c r="O1083" s="257" t="s">
        <v>925</v>
      </c>
      <c r="P1083" s="828"/>
      <c r="Q1083" s="41"/>
      <c r="R1083" s="41"/>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row>
    <row r="1084" spans="1:49" s="193" customFormat="1" ht="18" hidden="1" customHeight="1" outlineLevel="1" x14ac:dyDescent="0.2">
      <c r="A1084" s="1381"/>
      <c r="B1084" s="180"/>
      <c r="C1084" s="831"/>
      <c r="D1084" s="869" t="s">
        <v>1042</v>
      </c>
      <c r="E1084" s="870">
        <v>1</v>
      </c>
      <c r="F1084" s="870">
        <v>1</v>
      </c>
      <c r="G1084" s="870">
        <v>1</v>
      </c>
      <c r="H1084" s="870">
        <v>1</v>
      </c>
      <c r="I1084" s="870">
        <v>1</v>
      </c>
      <c r="J1084" s="870">
        <v>1</v>
      </c>
      <c r="K1084" s="870">
        <v>1</v>
      </c>
      <c r="L1084" s="870">
        <v>1</v>
      </c>
      <c r="M1084" s="870">
        <v>1</v>
      </c>
      <c r="N1084" s="870">
        <v>1</v>
      </c>
      <c r="O1084" s="257" t="s">
        <v>926</v>
      </c>
      <c r="P1084" s="828"/>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row>
    <row r="1085" spans="1:49" s="193" customFormat="1" ht="12.75" hidden="1" outlineLevel="1" x14ac:dyDescent="0.2">
      <c r="A1085" s="1381"/>
      <c r="B1085" s="180"/>
      <c r="C1085" s="270"/>
      <c r="D1085" s="41"/>
      <c r="E1085" s="41"/>
      <c r="F1085" s="41"/>
      <c r="G1085" s="41"/>
      <c r="H1085" s="41"/>
      <c r="I1085" s="41"/>
      <c r="J1085" s="41"/>
      <c r="K1085" s="41"/>
      <c r="L1085" s="41"/>
      <c r="M1085" s="41"/>
      <c r="N1085" s="41"/>
      <c r="O1085" s="41"/>
      <c r="P1085" s="828"/>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row>
    <row r="1086" spans="1:49" s="712" customFormat="1" ht="12.75" hidden="1" outlineLevel="1" x14ac:dyDescent="0.2">
      <c r="A1086" s="1381"/>
      <c r="B1086" s="180"/>
      <c r="C1086" s="890" t="s">
        <v>1129</v>
      </c>
      <c r="D1086" s="871"/>
      <c r="E1086" s="872"/>
      <c r="F1086" s="872"/>
      <c r="G1086" s="872"/>
      <c r="H1086" s="872"/>
      <c r="I1086" s="872"/>
      <c r="J1086" s="872"/>
      <c r="K1086" s="872"/>
      <c r="L1086" s="872"/>
      <c r="M1086" s="872"/>
      <c r="N1086" s="872"/>
      <c r="O1086" s="257"/>
      <c r="P1086" s="828"/>
      <c r="Q1086" s="180"/>
      <c r="R1086" s="180"/>
      <c r="S1086" s="180"/>
      <c r="T1086" s="180"/>
      <c r="U1086" s="180"/>
      <c r="V1086" s="180"/>
      <c r="W1086" s="180"/>
      <c r="X1086" s="180"/>
      <c r="Y1086" s="180"/>
      <c r="Z1086" s="180"/>
      <c r="AA1086" s="180"/>
      <c r="AB1086" s="180"/>
      <c r="AC1086" s="180"/>
      <c r="AD1086" s="180"/>
      <c r="AE1086" s="180"/>
      <c r="AF1086" s="180"/>
      <c r="AG1086" s="180"/>
      <c r="AH1086" s="180"/>
      <c r="AI1086" s="180"/>
      <c r="AJ1086" s="180"/>
      <c r="AK1086" s="180"/>
      <c r="AL1086" s="180"/>
      <c r="AM1086" s="180"/>
      <c r="AN1086" s="180"/>
      <c r="AO1086" s="180"/>
      <c r="AP1086" s="180"/>
      <c r="AQ1086" s="180"/>
      <c r="AR1086" s="180"/>
      <c r="AS1086" s="180"/>
      <c r="AT1086" s="180"/>
      <c r="AU1086" s="180"/>
      <c r="AV1086" s="180"/>
      <c r="AW1086" s="180"/>
    </row>
    <row r="1087" spans="1:49" s="712" customFormat="1" ht="12.75" hidden="1" outlineLevel="1" x14ac:dyDescent="0.2">
      <c r="A1087" s="1381"/>
      <c r="B1087" s="180"/>
      <c r="C1087" s="256"/>
      <c r="D1087" s="869" t="s">
        <v>1029</v>
      </c>
      <c r="E1087" s="718">
        <f t="shared" ref="E1087:N1087" si="240">FleetRecordsPerAnnumHM_TotalGrand*pSystemsPaperPercentHM</f>
        <v>313950</v>
      </c>
      <c r="F1087" s="718">
        <f t="shared" si="240"/>
        <v>288420.77922077925</v>
      </c>
      <c r="G1087" s="718">
        <f t="shared" si="240"/>
        <v>269095.83333333337</v>
      </c>
      <c r="H1087" s="718">
        <f t="shared" si="240"/>
        <v>311334.06593406596</v>
      </c>
      <c r="I1087" s="718">
        <f t="shared" si="240"/>
        <v>323142.85714285716</v>
      </c>
      <c r="J1087" s="718">
        <f t="shared" si="240"/>
        <v>335123.80952380958</v>
      </c>
      <c r="K1087" s="718">
        <f t="shared" si="240"/>
        <v>347244.6428571429</v>
      </c>
      <c r="L1087" s="718">
        <f t="shared" si="240"/>
        <v>359480.67226890754</v>
      </c>
      <c r="M1087" s="718">
        <f t="shared" si="240"/>
        <v>371812.6984126984</v>
      </c>
      <c r="N1087" s="718">
        <f t="shared" si="240"/>
        <v>384225.56390977441</v>
      </c>
      <c r="O1087" s="257" t="s">
        <v>1030</v>
      </c>
      <c r="P1087" s="828"/>
      <c r="Q1087" s="180"/>
      <c r="R1087" s="180"/>
      <c r="S1087" s="180"/>
      <c r="T1087" s="180"/>
      <c r="U1087" s="180"/>
      <c r="V1087" s="180"/>
      <c r="W1087" s="180"/>
      <c r="X1087" s="180"/>
      <c r="Y1087" s="180"/>
      <c r="Z1087" s="180"/>
      <c r="AA1087" s="180"/>
      <c r="AB1087" s="180"/>
      <c r="AC1087" s="180"/>
      <c r="AD1087" s="180"/>
      <c r="AE1087" s="180"/>
      <c r="AF1087" s="180"/>
      <c r="AG1087" s="180"/>
      <c r="AH1087" s="180"/>
      <c r="AI1087" s="180"/>
      <c r="AJ1087" s="180"/>
      <c r="AK1087" s="180"/>
      <c r="AL1087" s="180"/>
      <c r="AM1087" s="180"/>
      <c r="AN1087" s="180"/>
      <c r="AO1087" s="180"/>
      <c r="AP1087" s="180"/>
      <c r="AQ1087" s="180"/>
      <c r="AR1087" s="180"/>
      <c r="AS1087" s="180"/>
      <c r="AT1087" s="180"/>
      <c r="AU1087" s="180"/>
      <c r="AV1087" s="180"/>
      <c r="AW1087" s="180"/>
    </row>
    <row r="1088" spans="1:49" s="712" customFormat="1" ht="12.75" hidden="1" outlineLevel="1" x14ac:dyDescent="0.2">
      <c r="A1088" s="1381"/>
      <c r="B1088" s="180"/>
      <c r="C1088" s="256"/>
      <c r="D1088" s="869" t="s">
        <v>1031</v>
      </c>
      <c r="E1088" s="718">
        <f t="shared" ref="E1088:N1088" si="241">FleetRecordsPerAnnumLM_TotalGrand*pSystemsPaperPercentLM</f>
        <v>1560156</v>
      </c>
      <c r="F1088" s="718">
        <f t="shared" si="241"/>
        <v>1560312</v>
      </c>
      <c r="G1088" s="718">
        <f t="shared" si="241"/>
        <v>1560468</v>
      </c>
      <c r="H1088" s="718">
        <f t="shared" si="241"/>
        <v>1560624</v>
      </c>
      <c r="I1088" s="718">
        <f t="shared" si="241"/>
        <v>1560780</v>
      </c>
      <c r="J1088" s="718">
        <f t="shared" si="241"/>
        <v>1560936</v>
      </c>
      <c r="K1088" s="718">
        <f t="shared" si="241"/>
        <v>1561092</v>
      </c>
      <c r="L1088" s="718">
        <f t="shared" si="241"/>
        <v>1561248</v>
      </c>
      <c r="M1088" s="718">
        <f t="shared" si="241"/>
        <v>1561404</v>
      </c>
      <c r="N1088" s="718">
        <f t="shared" si="241"/>
        <v>1561560</v>
      </c>
      <c r="O1088" s="257" t="s">
        <v>1043</v>
      </c>
      <c r="P1088" s="828"/>
      <c r="Q1088" s="180"/>
      <c r="R1088" s="180"/>
      <c r="S1088" s="180"/>
      <c r="T1088" s="180"/>
      <c r="U1088" s="180"/>
      <c r="V1088" s="180"/>
      <c r="W1088" s="180"/>
      <c r="X1088" s="180"/>
      <c r="Y1088" s="180"/>
      <c r="Z1088" s="180"/>
      <c r="AA1088" s="180"/>
      <c r="AB1088" s="180"/>
      <c r="AC1088" s="180"/>
      <c r="AD1088" s="180"/>
      <c r="AE1088" s="180"/>
      <c r="AF1088" s="180"/>
      <c r="AG1088" s="180"/>
      <c r="AH1088" s="180"/>
      <c r="AI1088" s="180"/>
      <c r="AJ1088" s="180"/>
      <c r="AK1088" s="180"/>
      <c r="AL1088" s="180"/>
      <c r="AM1088" s="180"/>
      <c r="AN1088" s="180"/>
      <c r="AO1088" s="180"/>
      <c r="AP1088" s="180"/>
      <c r="AQ1088" s="180"/>
      <c r="AR1088" s="180"/>
      <c r="AS1088" s="180"/>
      <c r="AT1088" s="180"/>
      <c r="AU1088" s="180"/>
      <c r="AV1088" s="180"/>
      <c r="AW1088" s="180"/>
    </row>
    <row r="1089" spans="1:49" s="712" customFormat="1" ht="12.75" hidden="1" outlineLevel="1" x14ac:dyDescent="0.2">
      <c r="A1089" s="1381"/>
      <c r="B1089" s="180"/>
      <c r="C1089" s="256"/>
      <c r="D1089" s="869" t="s">
        <v>1032</v>
      </c>
      <c r="E1089" s="718">
        <f t="shared" ref="E1089:N1089" si="242">FleetRecordsPerAnnumEng_TotalGrand*pSystemsPaperPercentENG</f>
        <v>1881171</v>
      </c>
      <c r="F1089" s="718">
        <f t="shared" si="242"/>
        <v>1881342</v>
      </c>
      <c r="G1089" s="718">
        <f t="shared" si="242"/>
        <v>1881513</v>
      </c>
      <c r="H1089" s="718">
        <f t="shared" si="242"/>
        <v>1881684</v>
      </c>
      <c r="I1089" s="718">
        <f t="shared" si="242"/>
        <v>1881855</v>
      </c>
      <c r="J1089" s="718">
        <f t="shared" si="242"/>
        <v>1882026</v>
      </c>
      <c r="K1089" s="718">
        <f t="shared" si="242"/>
        <v>1882197</v>
      </c>
      <c r="L1089" s="718">
        <f t="shared" si="242"/>
        <v>1882368</v>
      </c>
      <c r="M1089" s="718">
        <f t="shared" si="242"/>
        <v>1882539</v>
      </c>
      <c r="N1089" s="718">
        <f t="shared" si="242"/>
        <v>1882710</v>
      </c>
      <c r="O1089" s="257" t="s">
        <v>1044</v>
      </c>
      <c r="P1089" s="828"/>
      <c r="Q1089" s="180"/>
      <c r="R1089" s="180"/>
      <c r="S1089" s="180"/>
      <c r="T1089" s="180"/>
      <c r="U1089" s="180"/>
      <c r="V1089" s="180"/>
      <c r="W1089" s="180"/>
      <c r="X1089" s="180"/>
      <c r="Y1089" s="180"/>
      <c r="Z1089" s="180"/>
      <c r="AA1089" s="180"/>
      <c r="AB1089" s="180"/>
      <c r="AC1089" s="180"/>
      <c r="AD1089" s="180"/>
      <c r="AE1089" s="180"/>
      <c r="AF1089" s="180"/>
      <c r="AG1089" s="180"/>
      <c r="AH1089" s="180"/>
      <c r="AI1089" s="180"/>
      <c r="AJ1089" s="180"/>
      <c r="AK1089" s="180"/>
      <c r="AL1089" s="180"/>
      <c r="AM1089" s="180"/>
      <c r="AN1089" s="180"/>
      <c r="AO1089" s="180"/>
      <c r="AP1089" s="180"/>
      <c r="AQ1089" s="180"/>
      <c r="AR1089" s="180"/>
      <c r="AS1089" s="180"/>
      <c r="AT1089" s="180"/>
      <c r="AU1089" s="180"/>
      <c r="AV1089" s="180"/>
      <c r="AW1089" s="180"/>
    </row>
    <row r="1090" spans="1:49" s="712" customFormat="1" ht="12.75" hidden="1" outlineLevel="1" x14ac:dyDescent="0.2">
      <c r="A1090" s="1381"/>
      <c r="B1090" s="180"/>
      <c r="C1090" s="256"/>
      <c r="D1090" s="869" t="s">
        <v>1033</v>
      </c>
      <c r="E1090" s="718">
        <f t="shared" ref="E1090:N1090" si="243">FleetRecordsPerAnnumPlg_TotalGrand*pSystemsPaperPercentPLG</f>
        <v>1716156</v>
      </c>
      <c r="F1090" s="718">
        <f t="shared" si="243"/>
        <v>1716312</v>
      </c>
      <c r="G1090" s="718">
        <f t="shared" si="243"/>
        <v>1716468</v>
      </c>
      <c r="H1090" s="718">
        <f t="shared" si="243"/>
        <v>1716624</v>
      </c>
      <c r="I1090" s="718">
        <f t="shared" si="243"/>
        <v>1716780</v>
      </c>
      <c r="J1090" s="718">
        <f t="shared" si="243"/>
        <v>1716936</v>
      </c>
      <c r="K1090" s="718">
        <f t="shared" si="243"/>
        <v>1717092</v>
      </c>
      <c r="L1090" s="718">
        <f t="shared" si="243"/>
        <v>1717248</v>
      </c>
      <c r="M1090" s="718">
        <f t="shared" si="243"/>
        <v>1717404</v>
      </c>
      <c r="N1090" s="718">
        <f t="shared" si="243"/>
        <v>1717560</v>
      </c>
      <c r="O1090" s="257" t="s">
        <v>1045</v>
      </c>
      <c r="P1090" s="828"/>
      <c r="Q1090" s="180"/>
      <c r="R1090" s="180"/>
      <c r="S1090" s="180"/>
      <c r="T1090" s="180"/>
      <c r="U1090" s="180"/>
      <c r="V1090" s="180"/>
      <c r="W1090" s="180"/>
      <c r="X1090" s="180"/>
      <c r="Y1090" s="180"/>
      <c r="Z1090" s="180"/>
      <c r="AA1090" s="180"/>
      <c r="AB1090" s="180"/>
      <c r="AC1090" s="180"/>
      <c r="AD1090" s="180"/>
      <c r="AE1090" s="180"/>
      <c r="AF1090" s="180"/>
      <c r="AG1090" s="180"/>
      <c r="AH1090" s="180"/>
      <c r="AI1090" s="180"/>
      <c r="AJ1090" s="180"/>
      <c r="AK1090" s="180"/>
      <c r="AL1090" s="180"/>
      <c r="AM1090" s="180"/>
      <c r="AN1090" s="180"/>
      <c r="AO1090" s="180"/>
      <c r="AP1090" s="180"/>
      <c r="AQ1090" s="180"/>
      <c r="AR1090" s="180"/>
      <c r="AS1090" s="180"/>
      <c r="AT1090" s="180"/>
      <c r="AU1090" s="180"/>
      <c r="AV1090" s="180"/>
      <c r="AW1090" s="180"/>
    </row>
    <row r="1091" spans="1:49" s="712" customFormat="1" ht="12.75" hidden="1" outlineLevel="1" x14ac:dyDescent="0.2">
      <c r="A1091" s="1381"/>
      <c r="B1091" s="180"/>
      <c r="C1091" s="256"/>
      <c r="D1091" s="869" t="s">
        <v>1034</v>
      </c>
      <c r="E1091" s="718">
        <f t="shared" ref="E1091:N1091" si="244">FleetRecordsPerAnnumCRT_TotalGrand*pSystemsPaperPercentCRT</f>
        <v>1872156</v>
      </c>
      <c r="F1091" s="718">
        <f t="shared" si="244"/>
        <v>1872312</v>
      </c>
      <c r="G1091" s="718">
        <f t="shared" si="244"/>
        <v>1872468</v>
      </c>
      <c r="H1091" s="718">
        <f t="shared" si="244"/>
        <v>1872624</v>
      </c>
      <c r="I1091" s="718">
        <f t="shared" si="244"/>
        <v>1872780</v>
      </c>
      <c r="J1091" s="718">
        <f t="shared" si="244"/>
        <v>1872936</v>
      </c>
      <c r="K1091" s="718">
        <f t="shared" si="244"/>
        <v>1873092</v>
      </c>
      <c r="L1091" s="718">
        <f t="shared" si="244"/>
        <v>1873248</v>
      </c>
      <c r="M1091" s="718">
        <f t="shared" si="244"/>
        <v>1873404</v>
      </c>
      <c r="N1091" s="718">
        <f t="shared" si="244"/>
        <v>1873560</v>
      </c>
      <c r="O1091" s="257" t="s">
        <v>1046</v>
      </c>
      <c r="P1091" s="828"/>
      <c r="Q1091" s="180"/>
      <c r="R1091" s="180"/>
      <c r="S1091" s="180"/>
      <c r="T1091" s="180"/>
      <c r="U1091" s="180"/>
      <c r="V1091" s="180"/>
      <c r="W1091" s="180"/>
      <c r="X1091" s="180"/>
      <c r="Y1091" s="180"/>
      <c r="Z1091" s="180"/>
      <c r="AA1091" s="180"/>
      <c r="AB1091" s="180"/>
      <c r="AC1091" s="180"/>
      <c r="AD1091" s="180"/>
      <c r="AE1091" s="180"/>
      <c r="AF1091" s="180"/>
      <c r="AG1091" s="180"/>
      <c r="AH1091" s="180"/>
      <c r="AI1091" s="180"/>
      <c r="AJ1091" s="180"/>
      <c r="AK1091" s="180"/>
      <c r="AL1091" s="180"/>
      <c r="AM1091" s="180"/>
      <c r="AN1091" s="180"/>
      <c r="AO1091" s="180"/>
      <c r="AP1091" s="180"/>
      <c r="AQ1091" s="180"/>
      <c r="AR1091" s="180"/>
      <c r="AS1091" s="180"/>
      <c r="AT1091" s="180"/>
      <c r="AU1091" s="180"/>
      <c r="AV1091" s="180"/>
      <c r="AW1091" s="180"/>
    </row>
    <row r="1092" spans="1:49" s="712" customFormat="1" ht="12.75" hidden="1" outlineLevel="1" x14ac:dyDescent="0.2">
      <c r="A1092" s="1381"/>
      <c r="B1092" s="180"/>
      <c r="C1092" s="256"/>
      <c r="D1092" s="869" t="s">
        <v>1035</v>
      </c>
      <c r="E1092" s="718">
        <f t="shared" ref="E1092:N1092" si="245">FleetRecordsPerAnnumSCL_TotalGrand*pSystemsPaperPercentSCL</f>
        <v>2028156</v>
      </c>
      <c r="F1092" s="718">
        <f t="shared" si="245"/>
        <v>2028312</v>
      </c>
      <c r="G1092" s="718">
        <f t="shared" si="245"/>
        <v>2028468</v>
      </c>
      <c r="H1092" s="718">
        <f t="shared" si="245"/>
        <v>2028624</v>
      </c>
      <c r="I1092" s="718">
        <f t="shared" si="245"/>
        <v>2028780</v>
      </c>
      <c r="J1092" s="718">
        <f t="shared" si="245"/>
        <v>2028936</v>
      </c>
      <c r="K1092" s="718">
        <f t="shared" si="245"/>
        <v>2029092</v>
      </c>
      <c r="L1092" s="718">
        <f t="shared" si="245"/>
        <v>2029248</v>
      </c>
      <c r="M1092" s="718">
        <f t="shared" si="245"/>
        <v>2029404</v>
      </c>
      <c r="N1092" s="718">
        <f t="shared" si="245"/>
        <v>2029560</v>
      </c>
      <c r="O1092" s="257" t="s">
        <v>1047</v>
      </c>
      <c r="P1092" s="828"/>
      <c r="Q1092" s="180"/>
      <c r="R1092" s="180"/>
      <c r="S1092" s="180"/>
      <c r="T1092" s="180"/>
      <c r="U1092" s="180"/>
      <c r="V1092" s="180"/>
      <c r="W1092" s="180"/>
      <c r="X1092" s="180"/>
      <c r="Y1092" s="180"/>
      <c r="Z1092" s="180"/>
      <c r="AA1092" s="180"/>
      <c r="AB1092" s="180"/>
      <c r="AC1092" s="180"/>
      <c r="AD1092" s="180"/>
      <c r="AE1092" s="180"/>
      <c r="AF1092" s="180"/>
      <c r="AG1092" s="180"/>
      <c r="AH1092" s="180"/>
      <c r="AI1092" s="180"/>
      <c r="AJ1092" s="180"/>
      <c r="AK1092" s="180"/>
      <c r="AL1092" s="180"/>
      <c r="AM1092" s="180"/>
      <c r="AN1092" s="180"/>
      <c r="AO1092" s="180"/>
      <c r="AP1092" s="180"/>
      <c r="AQ1092" s="180"/>
      <c r="AR1092" s="180"/>
      <c r="AS1092" s="180"/>
      <c r="AT1092" s="180"/>
      <c r="AU1092" s="180"/>
      <c r="AV1092" s="180"/>
      <c r="AW1092" s="180"/>
    </row>
    <row r="1093" spans="1:49" s="712" customFormat="1" ht="12.75" hidden="1" outlineLevel="1" x14ac:dyDescent="0.2">
      <c r="A1093" s="1381"/>
      <c r="B1093" s="180"/>
      <c r="C1093" s="256"/>
      <c r="D1093" s="869" t="s">
        <v>1036</v>
      </c>
      <c r="E1093" s="718">
        <f t="shared" ref="E1093:N1093" si="246">FleetRecordsPerAnnumQSC_TotalGrand*pSystemsPaperPercentQSC</f>
        <v>2184156</v>
      </c>
      <c r="F1093" s="718">
        <f t="shared" si="246"/>
        <v>2184312</v>
      </c>
      <c r="G1093" s="718">
        <f t="shared" si="246"/>
        <v>2184468</v>
      </c>
      <c r="H1093" s="718">
        <f t="shared" si="246"/>
        <v>2184624</v>
      </c>
      <c r="I1093" s="718">
        <f t="shared" si="246"/>
        <v>2184780</v>
      </c>
      <c r="J1093" s="718">
        <f t="shared" si="246"/>
        <v>2184936</v>
      </c>
      <c r="K1093" s="718">
        <f t="shared" si="246"/>
        <v>2185092</v>
      </c>
      <c r="L1093" s="718">
        <f t="shared" si="246"/>
        <v>2185248</v>
      </c>
      <c r="M1093" s="718">
        <f t="shared" si="246"/>
        <v>2185404</v>
      </c>
      <c r="N1093" s="718">
        <f t="shared" si="246"/>
        <v>2185560</v>
      </c>
      <c r="O1093" s="257" t="s">
        <v>1048</v>
      </c>
      <c r="P1093" s="828"/>
      <c r="Q1093" s="180"/>
      <c r="R1093" s="180"/>
      <c r="S1093" s="180"/>
      <c r="T1093" s="180"/>
      <c r="U1093" s="180"/>
      <c r="V1093" s="180"/>
      <c r="W1093" s="180"/>
      <c r="X1093" s="180"/>
      <c r="Y1093" s="180"/>
      <c r="Z1093" s="180"/>
      <c r="AA1093" s="180"/>
      <c r="AB1093" s="180"/>
      <c r="AC1093" s="180"/>
      <c r="AD1093" s="180"/>
      <c r="AE1093" s="180"/>
      <c r="AF1093" s="180"/>
      <c r="AG1093" s="180"/>
      <c r="AH1093" s="180"/>
      <c r="AI1093" s="180"/>
      <c r="AJ1093" s="180"/>
      <c r="AK1093" s="180"/>
      <c r="AL1093" s="180"/>
      <c r="AM1093" s="180"/>
      <c r="AN1093" s="180"/>
      <c r="AO1093" s="180"/>
      <c r="AP1093" s="180"/>
      <c r="AQ1093" s="180"/>
      <c r="AR1093" s="180"/>
      <c r="AS1093" s="180"/>
      <c r="AT1093" s="180"/>
      <c r="AU1093" s="180"/>
      <c r="AV1093" s="180"/>
      <c r="AW1093" s="180"/>
    </row>
    <row r="1094" spans="1:49" s="712" customFormat="1" ht="12.75" hidden="1" outlineLevel="1" x14ac:dyDescent="0.2">
      <c r="A1094" s="1381"/>
      <c r="B1094" s="180"/>
      <c r="C1094" s="256"/>
      <c r="D1094" s="869" t="s">
        <v>1037</v>
      </c>
      <c r="E1094" s="718">
        <f t="shared" ref="E1094:N1094" si="247">FleetRecordsPerAnnumEM_TotalGrand*pSystemsPaperPercentEM</f>
        <v>2340156</v>
      </c>
      <c r="F1094" s="718">
        <f t="shared" si="247"/>
        <v>2340312</v>
      </c>
      <c r="G1094" s="718">
        <f t="shared" si="247"/>
        <v>2340468</v>
      </c>
      <c r="H1094" s="718">
        <f t="shared" si="247"/>
        <v>2340624</v>
      </c>
      <c r="I1094" s="718">
        <f t="shared" si="247"/>
        <v>2340780</v>
      </c>
      <c r="J1094" s="718">
        <f t="shared" si="247"/>
        <v>2340936</v>
      </c>
      <c r="K1094" s="718">
        <f t="shared" si="247"/>
        <v>2341092</v>
      </c>
      <c r="L1094" s="718">
        <f t="shared" si="247"/>
        <v>2341248</v>
      </c>
      <c r="M1094" s="718">
        <f t="shared" si="247"/>
        <v>2341404</v>
      </c>
      <c r="N1094" s="718">
        <f t="shared" si="247"/>
        <v>2341560</v>
      </c>
      <c r="O1094" s="257" t="s">
        <v>1050</v>
      </c>
      <c r="P1094" s="828"/>
      <c r="Q1094" s="180"/>
      <c r="R1094" s="180"/>
      <c r="S1094" s="180"/>
      <c r="T1094" s="180"/>
      <c r="U1094" s="180"/>
      <c r="V1094" s="180"/>
      <c r="W1094" s="180"/>
      <c r="X1094" s="180"/>
      <c r="Y1094" s="180"/>
      <c r="Z1094" s="180"/>
      <c r="AA1094" s="180"/>
      <c r="AB1094" s="180"/>
      <c r="AC1094" s="180"/>
      <c r="AD1094" s="180"/>
      <c r="AE1094" s="180"/>
      <c r="AF1094" s="180"/>
      <c r="AG1094" s="180"/>
      <c r="AH1094" s="180"/>
      <c r="AI1094" s="180"/>
      <c r="AJ1094" s="180"/>
      <c r="AK1094" s="180"/>
      <c r="AL1094" s="180"/>
      <c r="AM1094" s="180"/>
      <c r="AN1094" s="180"/>
      <c r="AO1094" s="180"/>
      <c r="AP1094" s="180"/>
      <c r="AQ1094" s="180"/>
      <c r="AR1094" s="180"/>
      <c r="AS1094" s="180"/>
      <c r="AT1094" s="180"/>
      <c r="AU1094" s="180"/>
      <c r="AV1094" s="180"/>
      <c r="AW1094" s="180"/>
    </row>
    <row r="1095" spans="1:49" s="712" customFormat="1" ht="12.75" hidden="1" outlineLevel="1" x14ac:dyDescent="0.2">
      <c r="A1095" s="1381"/>
      <c r="B1095" s="180"/>
      <c r="C1095" s="256"/>
      <c r="D1095" s="869" t="s">
        <v>1038</v>
      </c>
      <c r="E1095" s="718">
        <f t="shared" ref="E1095:N1095" si="248">FleetRecordsPerAnnumCM_TotalGrand*pSystemsPaperPercentCM</f>
        <v>2340156</v>
      </c>
      <c r="F1095" s="718">
        <f t="shared" si="248"/>
        <v>2340312</v>
      </c>
      <c r="G1095" s="718">
        <f t="shared" si="248"/>
        <v>2340468</v>
      </c>
      <c r="H1095" s="718">
        <f t="shared" si="248"/>
        <v>2340624</v>
      </c>
      <c r="I1095" s="718">
        <f t="shared" si="248"/>
        <v>2340780</v>
      </c>
      <c r="J1095" s="718">
        <f t="shared" si="248"/>
        <v>2340936</v>
      </c>
      <c r="K1095" s="718">
        <f t="shared" si="248"/>
        <v>2341092</v>
      </c>
      <c r="L1095" s="718">
        <f t="shared" si="248"/>
        <v>2341248</v>
      </c>
      <c r="M1095" s="718">
        <f t="shared" si="248"/>
        <v>2341404</v>
      </c>
      <c r="N1095" s="718">
        <f t="shared" si="248"/>
        <v>2341560</v>
      </c>
      <c r="O1095" s="257" t="s">
        <v>1049</v>
      </c>
      <c r="P1095" s="828"/>
      <c r="Q1095" s="180"/>
      <c r="R1095" s="180"/>
      <c r="S1095" s="180"/>
      <c r="T1095" s="180"/>
      <c r="U1095" s="180"/>
      <c r="V1095" s="180"/>
      <c r="W1095" s="180"/>
      <c r="X1095" s="180"/>
      <c r="Y1095" s="180"/>
      <c r="Z1095" s="180"/>
      <c r="AA1095" s="180"/>
      <c r="AB1095" s="180"/>
      <c r="AC1095" s="180"/>
      <c r="AD1095" s="180"/>
      <c r="AE1095" s="180"/>
      <c r="AF1095" s="180"/>
      <c r="AG1095" s="180"/>
      <c r="AH1095" s="180"/>
      <c r="AI1095" s="180"/>
      <c r="AJ1095" s="180"/>
      <c r="AK1095" s="180"/>
      <c r="AL1095" s="180"/>
      <c r="AM1095" s="180"/>
      <c r="AN1095" s="180"/>
      <c r="AO1095" s="180"/>
      <c r="AP1095" s="180"/>
      <c r="AQ1095" s="180"/>
      <c r="AR1095" s="180"/>
      <c r="AS1095" s="180"/>
      <c r="AT1095" s="180"/>
      <c r="AU1095" s="180"/>
      <c r="AV1095" s="180"/>
      <c r="AW1095" s="180"/>
    </row>
    <row r="1096" spans="1:49" s="712" customFormat="1" ht="12.75" hidden="1" outlineLevel="1" x14ac:dyDescent="0.2">
      <c r="A1096" s="1381"/>
      <c r="B1096" s="180"/>
      <c r="C1096" s="256"/>
      <c r="D1096" s="869" t="s">
        <v>1039</v>
      </c>
      <c r="E1096" s="718">
        <f t="shared" ref="E1096:N1096" si="249">FleetRecordsPerAnnumSMCS_TotalGrand*pSystemsPaperPercentSMCS</f>
        <v>2340156</v>
      </c>
      <c r="F1096" s="718">
        <f t="shared" si="249"/>
        <v>2340312</v>
      </c>
      <c r="G1096" s="718">
        <f t="shared" si="249"/>
        <v>2340468</v>
      </c>
      <c r="H1096" s="718">
        <f t="shared" si="249"/>
        <v>2340624</v>
      </c>
      <c r="I1096" s="718">
        <f t="shared" si="249"/>
        <v>2340780</v>
      </c>
      <c r="J1096" s="718">
        <f t="shared" si="249"/>
        <v>2340936</v>
      </c>
      <c r="K1096" s="718">
        <f t="shared" si="249"/>
        <v>2341092</v>
      </c>
      <c r="L1096" s="718">
        <f t="shared" si="249"/>
        <v>2341248</v>
      </c>
      <c r="M1096" s="718">
        <f t="shared" si="249"/>
        <v>2341404</v>
      </c>
      <c r="N1096" s="718">
        <f t="shared" si="249"/>
        <v>2341560</v>
      </c>
      <c r="O1096" s="257" t="s">
        <v>1051</v>
      </c>
      <c r="P1096" s="828"/>
      <c r="Q1096" s="180"/>
      <c r="R1096" s="180"/>
      <c r="S1096" s="180"/>
      <c r="T1096" s="180"/>
      <c r="U1096" s="180"/>
      <c r="V1096" s="180"/>
      <c r="W1096" s="180"/>
      <c r="X1096" s="180"/>
      <c r="Y1096" s="180"/>
      <c r="Z1096" s="180"/>
      <c r="AA1096" s="180"/>
      <c r="AB1096" s="180"/>
      <c r="AC1096" s="180"/>
      <c r="AD1096" s="180"/>
      <c r="AE1096" s="180"/>
      <c r="AF1096" s="180"/>
      <c r="AG1096" s="180"/>
      <c r="AH1096" s="180"/>
      <c r="AI1096" s="180"/>
      <c r="AJ1096" s="180"/>
      <c r="AK1096" s="180"/>
      <c r="AL1096" s="180"/>
      <c r="AM1096" s="180"/>
      <c r="AN1096" s="180"/>
      <c r="AO1096" s="180"/>
      <c r="AP1096" s="180"/>
      <c r="AQ1096" s="180"/>
      <c r="AR1096" s="180"/>
      <c r="AS1096" s="180"/>
      <c r="AT1096" s="180"/>
      <c r="AU1096" s="180"/>
      <c r="AV1096" s="180"/>
      <c r="AW1096" s="180"/>
    </row>
    <row r="1097" spans="1:49" s="712" customFormat="1" ht="12.75" hidden="1" outlineLevel="1" x14ac:dyDescent="0.2">
      <c r="A1097" s="1381"/>
      <c r="B1097" s="180"/>
      <c r="C1097" s="256"/>
      <c r="D1097" s="869" t="s">
        <v>1040</v>
      </c>
      <c r="E1097" s="718">
        <f t="shared" ref="E1097:N1097" si="250">FleetRecordsPerAnnumO1_TotalGrand*pSystemsPaperPercentO1</f>
        <v>1440096</v>
      </c>
      <c r="F1097" s="718">
        <f t="shared" si="250"/>
        <v>1440192</v>
      </c>
      <c r="G1097" s="718">
        <f t="shared" si="250"/>
        <v>1440288</v>
      </c>
      <c r="H1097" s="718">
        <f t="shared" si="250"/>
        <v>1440384</v>
      </c>
      <c r="I1097" s="718">
        <f t="shared" si="250"/>
        <v>1440480</v>
      </c>
      <c r="J1097" s="718">
        <f t="shared" si="250"/>
        <v>1440576</v>
      </c>
      <c r="K1097" s="718">
        <f t="shared" si="250"/>
        <v>1440672</v>
      </c>
      <c r="L1097" s="718">
        <f t="shared" si="250"/>
        <v>1440768</v>
      </c>
      <c r="M1097" s="718">
        <f t="shared" si="250"/>
        <v>1440864</v>
      </c>
      <c r="N1097" s="718">
        <f t="shared" si="250"/>
        <v>1440960</v>
      </c>
      <c r="O1097" s="257" t="s">
        <v>1052</v>
      </c>
      <c r="P1097" s="828"/>
      <c r="Q1097" s="180"/>
      <c r="R1097" s="180"/>
      <c r="S1097" s="180"/>
      <c r="T1097" s="180"/>
      <c r="U1097" s="180"/>
      <c r="V1097" s="180"/>
      <c r="W1097" s="180"/>
      <c r="X1097" s="180"/>
      <c r="Y1097" s="180"/>
      <c r="Z1097" s="180"/>
      <c r="AA1097" s="180"/>
      <c r="AB1097" s="180"/>
      <c r="AC1097" s="180"/>
      <c r="AD1097" s="180"/>
      <c r="AE1097" s="180"/>
      <c r="AF1097" s="180"/>
      <c r="AG1097" s="180"/>
      <c r="AH1097" s="180"/>
      <c r="AI1097" s="180"/>
      <c r="AJ1097" s="180"/>
      <c r="AK1097" s="180"/>
      <c r="AL1097" s="180"/>
      <c r="AM1097" s="180"/>
      <c r="AN1097" s="180"/>
      <c r="AO1097" s="180"/>
      <c r="AP1097" s="180"/>
      <c r="AQ1097" s="180"/>
      <c r="AR1097" s="180"/>
      <c r="AS1097" s="180"/>
      <c r="AT1097" s="180"/>
      <c r="AU1097" s="180"/>
      <c r="AV1097" s="180"/>
      <c r="AW1097" s="180"/>
    </row>
    <row r="1098" spans="1:49" s="712" customFormat="1" ht="12.75" hidden="1" outlineLevel="1" x14ac:dyDescent="0.2">
      <c r="A1098" s="1381"/>
      <c r="B1098" s="180"/>
      <c r="C1098" s="256"/>
      <c r="D1098" s="869" t="s">
        <v>1041</v>
      </c>
      <c r="E1098" s="718">
        <f t="shared" ref="E1098:N1098" si="251">FleetRecordsPerAnnumO2_TotalGrand*pSystemsPaperPercentO2</f>
        <v>1440096</v>
      </c>
      <c r="F1098" s="718">
        <f t="shared" si="251"/>
        <v>1440192</v>
      </c>
      <c r="G1098" s="718">
        <f t="shared" si="251"/>
        <v>1440288</v>
      </c>
      <c r="H1098" s="718">
        <f t="shared" si="251"/>
        <v>1440384</v>
      </c>
      <c r="I1098" s="718">
        <f t="shared" si="251"/>
        <v>1440480</v>
      </c>
      <c r="J1098" s="718">
        <f t="shared" si="251"/>
        <v>1440576</v>
      </c>
      <c r="K1098" s="718">
        <f t="shared" si="251"/>
        <v>1440672</v>
      </c>
      <c r="L1098" s="718">
        <f t="shared" si="251"/>
        <v>1440768</v>
      </c>
      <c r="M1098" s="718">
        <f t="shared" si="251"/>
        <v>1440864</v>
      </c>
      <c r="N1098" s="718">
        <f t="shared" si="251"/>
        <v>1440960</v>
      </c>
      <c r="O1098" s="257" t="s">
        <v>1053</v>
      </c>
      <c r="P1098" s="828"/>
      <c r="Q1098" s="180"/>
      <c r="R1098" s="180"/>
      <c r="S1098" s="180"/>
      <c r="T1098" s="180"/>
      <c r="U1098" s="180"/>
      <c r="V1098" s="180"/>
      <c r="W1098" s="180"/>
      <c r="X1098" s="180"/>
      <c r="Y1098" s="180"/>
      <c r="Z1098" s="180"/>
      <c r="AA1098" s="180"/>
      <c r="AB1098" s="180"/>
      <c r="AC1098" s="180"/>
      <c r="AD1098" s="180"/>
      <c r="AE1098" s="180"/>
      <c r="AF1098" s="180"/>
      <c r="AG1098" s="180"/>
      <c r="AH1098" s="180"/>
      <c r="AI1098" s="180"/>
      <c r="AJ1098" s="180"/>
      <c r="AK1098" s="180"/>
      <c r="AL1098" s="180"/>
      <c r="AM1098" s="180"/>
      <c r="AN1098" s="180"/>
      <c r="AO1098" s="180"/>
      <c r="AP1098" s="180"/>
      <c r="AQ1098" s="180"/>
      <c r="AR1098" s="180"/>
      <c r="AS1098" s="180"/>
      <c r="AT1098" s="180"/>
      <c r="AU1098" s="180"/>
      <c r="AV1098" s="180"/>
      <c r="AW1098" s="180"/>
    </row>
    <row r="1099" spans="1:49" s="712" customFormat="1" ht="12.75" hidden="1" outlineLevel="1" x14ac:dyDescent="0.2">
      <c r="A1099" s="1381"/>
      <c r="B1099" s="180"/>
      <c r="C1099" s="256"/>
      <c r="D1099" s="871" t="s">
        <v>110</v>
      </c>
      <c r="E1099" s="719">
        <f>SUM(E1087:E1098)</f>
        <v>21456561</v>
      </c>
      <c r="F1099" s="719">
        <f t="shared" ref="F1099:N1099" si="252">SUM(F1087:F1098)</f>
        <v>21432642.779220778</v>
      </c>
      <c r="G1099" s="719">
        <f t="shared" si="252"/>
        <v>21414928.833333336</v>
      </c>
      <c r="H1099" s="719">
        <f t="shared" si="252"/>
        <v>21458778.065934066</v>
      </c>
      <c r="I1099" s="719">
        <f t="shared" si="252"/>
        <v>21472197.857142858</v>
      </c>
      <c r="J1099" s="719">
        <f t="shared" si="252"/>
        <v>21485789.80952381</v>
      </c>
      <c r="K1099" s="719">
        <f t="shared" si="252"/>
        <v>21499521.642857142</v>
      </c>
      <c r="L1099" s="719">
        <f t="shared" si="252"/>
        <v>21513368.672268908</v>
      </c>
      <c r="M1099" s="719">
        <f t="shared" si="252"/>
        <v>21527311.698412698</v>
      </c>
      <c r="N1099" s="719">
        <f t="shared" si="252"/>
        <v>21541335.563909777</v>
      </c>
      <c r="O1099" s="257" t="s">
        <v>287</v>
      </c>
      <c r="P1099" s="828"/>
      <c r="Q1099" s="180"/>
      <c r="R1099" s="180"/>
      <c r="S1099" s="180"/>
      <c r="T1099" s="180"/>
      <c r="U1099" s="180"/>
      <c r="V1099" s="180"/>
      <c r="W1099" s="180"/>
      <c r="X1099" s="180"/>
      <c r="Y1099" s="180"/>
      <c r="Z1099" s="180"/>
      <c r="AA1099" s="180"/>
      <c r="AB1099" s="180"/>
      <c r="AC1099" s="180"/>
      <c r="AD1099" s="180"/>
      <c r="AE1099" s="180"/>
      <c r="AF1099" s="180"/>
      <c r="AG1099" s="180"/>
      <c r="AH1099" s="180"/>
      <c r="AI1099" s="180"/>
      <c r="AJ1099" s="180"/>
      <c r="AK1099" s="180"/>
      <c r="AL1099" s="180"/>
      <c r="AM1099" s="180"/>
      <c r="AN1099" s="180"/>
      <c r="AO1099" s="180"/>
      <c r="AP1099" s="180"/>
      <c r="AQ1099" s="180"/>
      <c r="AR1099" s="180"/>
      <c r="AS1099" s="180"/>
      <c r="AT1099" s="180"/>
      <c r="AU1099" s="180"/>
      <c r="AV1099" s="180"/>
      <c r="AW1099" s="180"/>
    </row>
    <row r="1100" spans="1:49" s="193" customFormat="1" ht="13.5" hidden="1" outlineLevel="1" thickBot="1" x14ac:dyDescent="0.25">
      <c r="A1100" s="1382"/>
      <c r="B1100" s="180"/>
      <c r="C1100" s="287"/>
      <c r="D1100" s="529"/>
      <c r="E1100" s="511"/>
      <c r="F1100" s="511"/>
      <c r="G1100" s="511"/>
      <c r="H1100" s="511"/>
      <c r="I1100" s="511"/>
      <c r="J1100" s="511"/>
      <c r="K1100" s="511"/>
      <c r="L1100" s="511"/>
      <c r="M1100" s="511"/>
      <c r="N1100" s="511"/>
      <c r="O1100" s="873"/>
      <c r="P1100" s="828"/>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row>
    <row r="1101" spans="1:49" s="717" customFormat="1" ht="20.25" hidden="1" customHeight="1" outlineLevel="1" x14ac:dyDescent="0.2">
      <c r="A1101" s="180"/>
      <c r="B1101" s="180"/>
      <c r="C1101" s="866" t="s">
        <v>977</v>
      </c>
      <c r="D1101" s="867"/>
      <c r="E1101" s="867"/>
      <c r="F1101" s="867"/>
      <c r="G1101" s="867"/>
      <c r="H1101" s="867"/>
      <c r="I1101" s="867"/>
      <c r="J1101" s="867"/>
      <c r="K1101" s="867"/>
      <c r="L1101" s="867"/>
      <c r="M1101" s="867"/>
      <c r="N1101" s="867"/>
      <c r="O1101" s="874"/>
      <c r="P1101" s="828"/>
      <c r="Q1101" s="189"/>
      <c r="R1101" s="189"/>
      <c r="S1101" s="189"/>
      <c r="T1101" s="189"/>
      <c r="U1101" s="189"/>
      <c r="V1101" s="189"/>
      <c r="W1101" s="189"/>
      <c r="X1101" s="189"/>
      <c r="Y1101" s="189"/>
      <c r="Z1101" s="189"/>
      <c r="AA1101" s="189"/>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row>
    <row r="1102" spans="1:49" s="193" customFormat="1" ht="18" hidden="1" customHeight="1" outlineLevel="1" x14ac:dyDescent="0.2">
      <c r="A1102" s="180"/>
      <c r="B1102" s="180"/>
      <c r="C1102" s="831"/>
      <c r="D1102" s="869" t="s">
        <v>927</v>
      </c>
      <c r="E1102" s="875">
        <v>1</v>
      </c>
      <c r="F1102" s="875">
        <v>0.5</v>
      </c>
      <c r="G1102" s="875">
        <v>0.45</v>
      </c>
      <c r="H1102" s="875">
        <v>0.4</v>
      </c>
      <c r="I1102" s="875">
        <v>0.4</v>
      </c>
      <c r="J1102" s="875">
        <v>0.4</v>
      </c>
      <c r="K1102" s="875">
        <v>0.4</v>
      </c>
      <c r="L1102" s="875">
        <v>0.4</v>
      </c>
      <c r="M1102" s="875">
        <v>0.4</v>
      </c>
      <c r="N1102" s="875">
        <v>0.4</v>
      </c>
      <c r="O1102" s="257" t="s">
        <v>928</v>
      </c>
      <c r="P1102" s="828"/>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row>
    <row r="1103" spans="1:49" s="193" customFormat="1" ht="18" hidden="1" customHeight="1" outlineLevel="1" x14ac:dyDescent="0.2">
      <c r="A1103" s="180"/>
      <c r="B1103" s="180"/>
      <c r="C1103" s="831"/>
      <c r="D1103" s="869" t="s">
        <v>929</v>
      </c>
      <c r="E1103" s="875">
        <v>1</v>
      </c>
      <c r="F1103" s="875">
        <v>0.5</v>
      </c>
      <c r="G1103" s="875">
        <v>0.45</v>
      </c>
      <c r="H1103" s="875">
        <v>0.4</v>
      </c>
      <c r="I1103" s="875">
        <v>0.4</v>
      </c>
      <c r="J1103" s="875">
        <v>0.4</v>
      </c>
      <c r="K1103" s="875">
        <v>0.4</v>
      </c>
      <c r="L1103" s="875">
        <v>0.4</v>
      </c>
      <c r="M1103" s="875">
        <v>0.4</v>
      </c>
      <c r="N1103" s="875">
        <v>0.4</v>
      </c>
      <c r="O1103" s="257" t="s">
        <v>930</v>
      </c>
      <c r="P1103" s="828"/>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row>
    <row r="1104" spans="1:49" s="193" customFormat="1" ht="18" hidden="1" customHeight="1" outlineLevel="1" x14ac:dyDescent="0.2">
      <c r="A1104" s="180"/>
      <c r="B1104" s="180"/>
      <c r="C1104" s="831"/>
      <c r="D1104" s="869" t="s">
        <v>931</v>
      </c>
      <c r="E1104" s="875">
        <v>1</v>
      </c>
      <c r="F1104" s="875">
        <v>0.5</v>
      </c>
      <c r="G1104" s="875">
        <v>0.45</v>
      </c>
      <c r="H1104" s="875">
        <v>0.4</v>
      </c>
      <c r="I1104" s="875">
        <v>0.4</v>
      </c>
      <c r="J1104" s="875">
        <v>0.4</v>
      </c>
      <c r="K1104" s="875">
        <v>0.4</v>
      </c>
      <c r="L1104" s="875">
        <v>0.4</v>
      </c>
      <c r="M1104" s="875">
        <v>0.4</v>
      </c>
      <c r="N1104" s="875">
        <v>0.4</v>
      </c>
      <c r="O1104" s="257" t="s">
        <v>932</v>
      </c>
      <c r="P1104" s="828"/>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row>
    <row r="1105" spans="1:49" s="193" customFormat="1" ht="18" hidden="1" customHeight="1" outlineLevel="1" x14ac:dyDescent="0.2">
      <c r="A1105" s="180"/>
      <c r="B1105" s="180"/>
      <c r="C1105" s="831"/>
      <c r="D1105" s="869" t="s">
        <v>933</v>
      </c>
      <c r="E1105" s="875">
        <v>1</v>
      </c>
      <c r="F1105" s="875">
        <v>0.5</v>
      </c>
      <c r="G1105" s="875">
        <v>0.45</v>
      </c>
      <c r="H1105" s="875">
        <v>0.4</v>
      </c>
      <c r="I1105" s="875">
        <v>0.4</v>
      </c>
      <c r="J1105" s="875">
        <v>0.4</v>
      </c>
      <c r="K1105" s="875">
        <v>0.4</v>
      </c>
      <c r="L1105" s="875">
        <v>0.4</v>
      </c>
      <c r="M1105" s="875">
        <v>0.4</v>
      </c>
      <c r="N1105" s="875">
        <v>0.4</v>
      </c>
      <c r="O1105" s="257" t="s">
        <v>934</v>
      </c>
      <c r="P1105" s="828"/>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row>
    <row r="1106" spans="1:49" s="193" customFormat="1" ht="18" hidden="1" customHeight="1" outlineLevel="1" x14ac:dyDescent="0.2">
      <c r="A1106" s="180"/>
      <c r="B1106" s="180"/>
      <c r="C1106" s="831"/>
      <c r="D1106" s="869" t="s">
        <v>935</v>
      </c>
      <c r="E1106" s="875">
        <v>1</v>
      </c>
      <c r="F1106" s="875">
        <v>0.5</v>
      </c>
      <c r="G1106" s="875">
        <v>0.45</v>
      </c>
      <c r="H1106" s="875">
        <v>0.4</v>
      </c>
      <c r="I1106" s="875">
        <v>0.4</v>
      </c>
      <c r="J1106" s="875">
        <v>0.4</v>
      </c>
      <c r="K1106" s="875">
        <v>0.4</v>
      </c>
      <c r="L1106" s="875">
        <v>0.4</v>
      </c>
      <c r="M1106" s="875">
        <v>0.4</v>
      </c>
      <c r="N1106" s="875">
        <v>0.4</v>
      </c>
      <c r="O1106" s="257" t="s">
        <v>936</v>
      </c>
      <c r="P1106" s="828"/>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row>
    <row r="1107" spans="1:49" s="193" customFormat="1" ht="18" hidden="1" customHeight="1" outlineLevel="1" x14ac:dyDescent="0.2">
      <c r="A1107" s="180"/>
      <c r="B1107" s="180"/>
      <c r="C1107" s="831"/>
      <c r="D1107" s="869" t="s">
        <v>937</v>
      </c>
      <c r="E1107" s="875">
        <v>1</v>
      </c>
      <c r="F1107" s="875">
        <v>0.5</v>
      </c>
      <c r="G1107" s="875">
        <v>0.45</v>
      </c>
      <c r="H1107" s="875">
        <v>0.4</v>
      </c>
      <c r="I1107" s="875">
        <v>0.4</v>
      </c>
      <c r="J1107" s="875">
        <v>0.4</v>
      </c>
      <c r="K1107" s="875">
        <v>0.4</v>
      </c>
      <c r="L1107" s="875">
        <v>0.4</v>
      </c>
      <c r="M1107" s="875">
        <v>0.4</v>
      </c>
      <c r="N1107" s="875">
        <v>0.4</v>
      </c>
      <c r="O1107" s="257" t="s">
        <v>938</v>
      </c>
      <c r="P1107" s="828"/>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row>
    <row r="1108" spans="1:49" s="193" customFormat="1" ht="18" hidden="1" customHeight="1" outlineLevel="1" x14ac:dyDescent="0.2">
      <c r="A1108" s="180"/>
      <c r="B1108" s="180"/>
      <c r="C1108" s="831"/>
      <c r="D1108" s="869" t="s">
        <v>939</v>
      </c>
      <c r="E1108" s="875">
        <v>1</v>
      </c>
      <c r="F1108" s="875">
        <v>0.5</v>
      </c>
      <c r="G1108" s="875">
        <v>0.45</v>
      </c>
      <c r="H1108" s="875">
        <v>0.4</v>
      </c>
      <c r="I1108" s="875">
        <v>0.4</v>
      </c>
      <c r="J1108" s="875">
        <v>0.4</v>
      </c>
      <c r="K1108" s="875">
        <v>0.4</v>
      </c>
      <c r="L1108" s="875">
        <v>0.4</v>
      </c>
      <c r="M1108" s="875">
        <v>0.4</v>
      </c>
      <c r="N1108" s="875">
        <v>0.4</v>
      </c>
      <c r="O1108" s="257" t="s">
        <v>940</v>
      </c>
      <c r="P1108" s="828"/>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row>
    <row r="1109" spans="1:49" s="193" customFormat="1" ht="18" hidden="1" customHeight="1" outlineLevel="1" x14ac:dyDescent="0.2">
      <c r="A1109" s="180"/>
      <c r="B1109" s="180"/>
      <c r="C1109" s="831"/>
      <c r="D1109" s="869" t="s">
        <v>941</v>
      </c>
      <c r="E1109" s="875">
        <v>1</v>
      </c>
      <c r="F1109" s="875">
        <v>0.5</v>
      </c>
      <c r="G1109" s="875">
        <v>0.45</v>
      </c>
      <c r="H1109" s="875">
        <v>0.4</v>
      </c>
      <c r="I1109" s="875">
        <v>0.4</v>
      </c>
      <c r="J1109" s="875">
        <v>0.4</v>
      </c>
      <c r="K1109" s="875">
        <v>0.4</v>
      </c>
      <c r="L1109" s="875">
        <v>0.4</v>
      </c>
      <c r="M1109" s="875">
        <v>0.4</v>
      </c>
      <c r="N1109" s="875">
        <v>0.4</v>
      </c>
      <c r="O1109" s="257" t="s">
        <v>942</v>
      </c>
      <c r="P1109" s="828"/>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row>
    <row r="1110" spans="1:49" s="193" customFormat="1" ht="18" hidden="1" customHeight="1" outlineLevel="1" x14ac:dyDescent="0.2">
      <c r="A1110" s="180"/>
      <c r="B1110" s="180"/>
      <c r="C1110" s="831"/>
      <c r="D1110" s="869" t="s">
        <v>943</v>
      </c>
      <c r="E1110" s="875">
        <v>1</v>
      </c>
      <c r="F1110" s="875">
        <v>0.5</v>
      </c>
      <c r="G1110" s="875">
        <v>0.45</v>
      </c>
      <c r="H1110" s="875">
        <v>0.4</v>
      </c>
      <c r="I1110" s="875">
        <v>0.4</v>
      </c>
      <c r="J1110" s="875">
        <v>0.4</v>
      </c>
      <c r="K1110" s="875">
        <v>0.4</v>
      </c>
      <c r="L1110" s="875">
        <v>0.4</v>
      </c>
      <c r="M1110" s="875">
        <v>0.4</v>
      </c>
      <c r="N1110" s="875">
        <v>0.4</v>
      </c>
      <c r="O1110" s="257" t="s">
        <v>944</v>
      </c>
      <c r="P1110" s="828"/>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row>
    <row r="1111" spans="1:49" s="193" customFormat="1" ht="18" hidden="1" customHeight="1" outlineLevel="1" x14ac:dyDescent="0.2">
      <c r="A1111" s="180"/>
      <c r="B1111" s="180"/>
      <c r="C1111" s="831"/>
      <c r="D1111" s="869" t="s">
        <v>945</v>
      </c>
      <c r="E1111" s="875">
        <v>1</v>
      </c>
      <c r="F1111" s="875">
        <v>0.5</v>
      </c>
      <c r="G1111" s="875">
        <v>0.45</v>
      </c>
      <c r="H1111" s="875">
        <v>0.4</v>
      </c>
      <c r="I1111" s="875">
        <v>0.4</v>
      </c>
      <c r="J1111" s="875">
        <v>0.4</v>
      </c>
      <c r="K1111" s="875">
        <v>0.4</v>
      </c>
      <c r="L1111" s="875">
        <v>0.4</v>
      </c>
      <c r="M1111" s="875">
        <v>0.4</v>
      </c>
      <c r="N1111" s="875">
        <v>0.4</v>
      </c>
      <c r="O1111" s="257" t="s">
        <v>946</v>
      </c>
      <c r="P1111" s="828"/>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row>
    <row r="1112" spans="1:49" s="193" customFormat="1" ht="18" hidden="1" customHeight="1" outlineLevel="1" x14ac:dyDescent="0.2">
      <c r="A1112" s="180"/>
      <c r="B1112" s="180"/>
      <c r="C1112" s="831"/>
      <c r="D1112" s="869" t="s">
        <v>947</v>
      </c>
      <c r="E1112" s="875">
        <v>1</v>
      </c>
      <c r="F1112" s="875">
        <v>0.5</v>
      </c>
      <c r="G1112" s="875">
        <v>0.45</v>
      </c>
      <c r="H1112" s="875">
        <v>0.4</v>
      </c>
      <c r="I1112" s="875">
        <v>0.4</v>
      </c>
      <c r="J1112" s="875">
        <v>0.4</v>
      </c>
      <c r="K1112" s="875">
        <v>0.4</v>
      </c>
      <c r="L1112" s="875">
        <v>0.4</v>
      </c>
      <c r="M1112" s="875">
        <v>0.4</v>
      </c>
      <c r="N1112" s="875">
        <v>0.4</v>
      </c>
      <c r="O1112" s="257" t="s">
        <v>948</v>
      </c>
      <c r="P1112" s="828"/>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row>
    <row r="1113" spans="1:49" s="193" customFormat="1" ht="18" hidden="1" customHeight="1" outlineLevel="1" x14ac:dyDescent="0.2">
      <c r="A1113" s="180"/>
      <c r="B1113" s="180"/>
      <c r="C1113" s="831"/>
      <c r="D1113" s="869" t="s">
        <v>949</v>
      </c>
      <c r="E1113" s="875">
        <v>1</v>
      </c>
      <c r="F1113" s="875">
        <v>0.5</v>
      </c>
      <c r="G1113" s="875">
        <v>0.45</v>
      </c>
      <c r="H1113" s="875">
        <v>0.4</v>
      </c>
      <c r="I1113" s="875">
        <v>0.4</v>
      </c>
      <c r="J1113" s="875">
        <v>0.4</v>
      </c>
      <c r="K1113" s="875">
        <v>0.4</v>
      </c>
      <c r="L1113" s="875">
        <v>0.4</v>
      </c>
      <c r="M1113" s="875">
        <v>0.4</v>
      </c>
      <c r="N1113" s="875">
        <v>0.4</v>
      </c>
      <c r="O1113" s="257" t="s">
        <v>950</v>
      </c>
      <c r="P1113" s="828"/>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row>
    <row r="1114" spans="1:49" s="193" customFormat="1" ht="18" hidden="1" customHeight="1" outlineLevel="1" x14ac:dyDescent="0.2">
      <c r="A1114" s="180"/>
      <c r="B1114" s="180"/>
      <c r="C1114" s="831"/>
      <c r="D1114" s="869"/>
      <c r="E1114" s="872"/>
      <c r="F1114" s="872"/>
      <c r="G1114" s="872"/>
      <c r="H1114" s="872"/>
      <c r="I1114" s="872"/>
      <c r="J1114" s="872"/>
      <c r="K1114" s="872"/>
      <c r="L1114" s="872"/>
      <c r="M1114" s="872"/>
      <c r="N1114" s="872"/>
      <c r="O1114" s="257"/>
      <c r="P1114" s="828"/>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row>
    <row r="1115" spans="1:49" s="712" customFormat="1" ht="12.75" hidden="1" outlineLevel="1" x14ac:dyDescent="0.2">
      <c r="A1115" s="180"/>
      <c r="B1115" s="180"/>
      <c r="C1115" s="890" t="s">
        <v>1130</v>
      </c>
      <c r="D1115" s="871"/>
      <c r="E1115" s="872"/>
      <c r="F1115" s="872"/>
      <c r="G1115" s="872"/>
      <c r="H1115" s="872"/>
      <c r="I1115" s="872"/>
      <c r="J1115" s="872"/>
      <c r="K1115" s="872"/>
      <c r="L1115" s="872"/>
      <c r="M1115" s="872"/>
      <c r="N1115" s="872"/>
      <c r="O1115" s="257"/>
      <c r="P1115" s="828"/>
      <c r="Q1115" s="180"/>
      <c r="R1115" s="180"/>
      <c r="S1115" s="180"/>
      <c r="T1115" s="180"/>
      <c r="U1115" s="180"/>
      <c r="V1115" s="180"/>
      <c r="W1115" s="180"/>
      <c r="X1115" s="180"/>
      <c r="Y1115" s="180"/>
      <c r="Z1115" s="180"/>
      <c r="AA1115" s="180"/>
      <c r="AB1115" s="180"/>
      <c r="AC1115" s="180"/>
      <c r="AD1115" s="180"/>
      <c r="AE1115" s="180"/>
      <c r="AF1115" s="180"/>
      <c r="AG1115" s="180"/>
      <c r="AH1115" s="180"/>
      <c r="AI1115" s="180"/>
      <c r="AJ1115" s="180"/>
      <c r="AK1115" s="180"/>
      <c r="AL1115" s="180"/>
      <c r="AM1115" s="180"/>
      <c r="AN1115" s="180"/>
      <c r="AO1115" s="180"/>
      <c r="AP1115" s="180"/>
      <c r="AQ1115" s="180"/>
      <c r="AR1115" s="180"/>
      <c r="AS1115" s="180"/>
      <c r="AT1115" s="180"/>
      <c r="AU1115" s="180"/>
      <c r="AV1115" s="180"/>
      <c r="AW1115" s="180"/>
    </row>
    <row r="1116" spans="1:49" s="712" customFormat="1" ht="12.75" hidden="1" outlineLevel="1" x14ac:dyDescent="0.2">
      <c r="A1116" s="180"/>
      <c r="B1116" s="180"/>
      <c r="C1116" s="256"/>
      <c r="D1116" s="869" t="s">
        <v>1131</v>
      </c>
      <c r="E1116" s="718">
        <f t="shared" ref="E1116:N1116" si="253">FleetRecordsPerAnnumHM_TotalGrand*hSystemsPaperPercentHM</f>
        <v>313950</v>
      </c>
      <c r="F1116" s="718">
        <f t="shared" si="253"/>
        <v>144210.38961038963</v>
      </c>
      <c r="G1116" s="718">
        <f t="shared" si="253"/>
        <v>121093.12500000001</v>
      </c>
      <c r="H1116" s="718">
        <f t="shared" si="253"/>
        <v>124533.62637362639</v>
      </c>
      <c r="I1116" s="718">
        <f t="shared" si="253"/>
        <v>129257.14285714287</v>
      </c>
      <c r="J1116" s="718">
        <f t="shared" si="253"/>
        <v>134049.52380952385</v>
      </c>
      <c r="K1116" s="718">
        <f t="shared" si="253"/>
        <v>138897.85714285716</v>
      </c>
      <c r="L1116" s="718">
        <f t="shared" si="253"/>
        <v>143792.26890756303</v>
      </c>
      <c r="M1116" s="718">
        <f t="shared" si="253"/>
        <v>148725.07936507938</v>
      </c>
      <c r="N1116" s="718">
        <f t="shared" si="253"/>
        <v>153690.22556390977</v>
      </c>
      <c r="O1116" s="257" t="s">
        <v>1132</v>
      </c>
      <c r="P1116" s="828"/>
      <c r="Q1116" s="180"/>
      <c r="R1116" s="180"/>
      <c r="S1116" s="180"/>
      <c r="T1116" s="180"/>
      <c r="U1116" s="180"/>
      <c r="V1116" s="180"/>
      <c r="W1116" s="180"/>
      <c r="X1116" s="180"/>
      <c r="Y1116" s="180"/>
      <c r="Z1116" s="180"/>
      <c r="AA1116" s="180"/>
      <c r="AB1116" s="180"/>
      <c r="AC1116" s="180"/>
      <c r="AD1116" s="180"/>
      <c r="AE1116" s="180"/>
      <c r="AF1116" s="180"/>
      <c r="AG1116" s="180"/>
      <c r="AH1116" s="180"/>
      <c r="AI1116" s="180"/>
      <c r="AJ1116" s="180"/>
      <c r="AK1116" s="180"/>
      <c r="AL1116" s="180"/>
      <c r="AM1116" s="180"/>
      <c r="AN1116" s="180"/>
      <c r="AO1116" s="180"/>
      <c r="AP1116" s="180"/>
      <c r="AQ1116" s="180"/>
      <c r="AR1116" s="180"/>
      <c r="AS1116" s="180"/>
      <c r="AT1116" s="180"/>
      <c r="AU1116" s="180"/>
      <c r="AV1116" s="180"/>
      <c r="AW1116" s="180"/>
    </row>
    <row r="1117" spans="1:49" s="712" customFormat="1" ht="12.75" hidden="1" outlineLevel="1" x14ac:dyDescent="0.2">
      <c r="A1117" s="180"/>
      <c r="B1117" s="180"/>
      <c r="C1117" s="256"/>
      <c r="D1117" s="869" t="s">
        <v>1133</v>
      </c>
      <c r="E1117" s="718">
        <f t="shared" ref="E1117:N1117" si="254">FleetRecordsPerAnnumLM_TotalGrand*hSystemsPaperPercentLM</f>
        <v>1560156</v>
      </c>
      <c r="F1117" s="718">
        <f t="shared" si="254"/>
        <v>780156</v>
      </c>
      <c r="G1117" s="718">
        <f t="shared" si="254"/>
        <v>702210.6</v>
      </c>
      <c r="H1117" s="718">
        <f t="shared" si="254"/>
        <v>624249.59999999998</v>
      </c>
      <c r="I1117" s="718">
        <f t="shared" si="254"/>
        <v>624312</v>
      </c>
      <c r="J1117" s="718">
        <f t="shared" si="254"/>
        <v>624374.4</v>
      </c>
      <c r="K1117" s="718">
        <f t="shared" si="254"/>
        <v>624436.80000000005</v>
      </c>
      <c r="L1117" s="718">
        <f t="shared" si="254"/>
        <v>624499.20000000007</v>
      </c>
      <c r="M1117" s="718">
        <f t="shared" si="254"/>
        <v>624561.6</v>
      </c>
      <c r="N1117" s="718">
        <f t="shared" si="254"/>
        <v>624624</v>
      </c>
      <c r="O1117" s="257" t="s">
        <v>1134</v>
      </c>
      <c r="P1117" s="828"/>
      <c r="Q1117" s="180"/>
      <c r="R1117" s="180"/>
      <c r="S1117" s="180"/>
      <c r="T1117" s="180"/>
      <c r="U1117" s="180"/>
      <c r="V1117" s="180"/>
      <c r="W1117" s="180"/>
      <c r="X1117" s="180"/>
      <c r="Y1117" s="180"/>
      <c r="Z1117" s="180"/>
      <c r="AA1117" s="180"/>
      <c r="AB1117" s="180"/>
      <c r="AC1117" s="180"/>
      <c r="AD1117" s="180"/>
      <c r="AE1117" s="180"/>
      <c r="AF1117" s="180"/>
      <c r="AG1117" s="180"/>
      <c r="AH1117" s="180"/>
      <c r="AI1117" s="180"/>
      <c r="AJ1117" s="180"/>
      <c r="AK1117" s="180"/>
      <c r="AL1117" s="180"/>
      <c r="AM1117" s="180"/>
      <c r="AN1117" s="180"/>
      <c r="AO1117" s="180"/>
      <c r="AP1117" s="180"/>
      <c r="AQ1117" s="180"/>
      <c r="AR1117" s="180"/>
      <c r="AS1117" s="180"/>
      <c r="AT1117" s="180"/>
      <c r="AU1117" s="180"/>
      <c r="AV1117" s="180"/>
      <c r="AW1117" s="180"/>
    </row>
    <row r="1118" spans="1:49" s="712" customFormat="1" ht="12.75" hidden="1" outlineLevel="1" x14ac:dyDescent="0.2">
      <c r="A1118" s="180"/>
      <c r="B1118" s="180"/>
      <c r="C1118" s="256"/>
      <c r="D1118" s="869" t="s">
        <v>1135</v>
      </c>
      <c r="E1118" s="718">
        <f t="shared" ref="E1118:N1118" si="255">FleetRecordsPerAnnumEng_TotalGrand*hSystemsPaperPercentENG</f>
        <v>1881171</v>
      </c>
      <c r="F1118" s="718">
        <f t="shared" si="255"/>
        <v>940671</v>
      </c>
      <c r="G1118" s="718">
        <f t="shared" si="255"/>
        <v>846680.85</v>
      </c>
      <c r="H1118" s="718">
        <f t="shared" si="255"/>
        <v>752673.60000000009</v>
      </c>
      <c r="I1118" s="718">
        <f t="shared" si="255"/>
        <v>752742</v>
      </c>
      <c r="J1118" s="718">
        <f t="shared" si="255"/>
        <v>752810.4</v>
      </c>
      <c r="K1118" s="718">
        <f t="shared" si="255"/>
        <v>752878.8</v>
      </c>
      <c r="L1118" s="718">
        <f t="shared" si="255"/>
        <v>752947.20000000007</v>
      </c>
      <c r="M1118" s="718">
        <f t="shared" si="255"/>
        <v>753015.60000000009</v>
      </c>
      <c r="N1118" s="718">
        <f t="shared" si="255"/>
        <v>753084</v>
      </c>
      <c r="O1118" s="257" t="s">
        <v>1136</v>
      </c>
      <c r="P1118" s="828"/>
      <c r="Q1118" s="180"/>
      <c r="R1118" s="180"/>
      <c r="S1118" s="180"/>
      <c r="T1118" s="180"/>
      <c r="U1118" s="180"/>
      <c r="V1118" s="180"/>
      <c r="W1118" s="180"/>
      <c r="X1118" s="180"/>
      <c r="Y1118" s="180"/>
      <c r="Z1118" s="180"/>
      <c r="AA1118" s="180"/>
      <c r="AB1118" s="180"/>
      <c r="AC1118" s="180"/>
      <c r="AD1118" s="180"/>
      <c r="AE1118" s="180"/>
      <c r="AF1118" s="180"/>
      <c r="AG1118" s="180"/>
      <c r="AH1118" s="180"/>
      <c r="AI1118" s="180"/>
      <c r="AJ1118" s="180"/>
      <c r="AK1118" s="180"/>
      <c r="AL1118" s="180"/>
      <c r="AM1118" s="180"/>
      <c r="AN1118" s="180"/>
      <c r="AO1118" s="180"/>
      <c r="AP1118" s="180"/>
      <c r="AQ1118" s="180"/>
      <c r="AR1118" s="180"/>
      <c r="AS1118" s="180"/>
      <c r="AT1118" s="180"/>
      <c r="AU1118" s="180"/>
      <c r="AV1118" s="180"/>
      <c r="AW1118" s="180"/>
    </row>
    <row r="1119" spans="1:49" s="712" customFormat="1" ht="12.75" hidden="1" outlineLevel="1" x14ac:dyDescent="0.2">
      <c r="A1119" s="180"/>
      <c r="B1119" s="180"/>
      <c r="C1119" s="256"/>
      <c r="D1119" s="869" t="s">
        <v>1137</v>
      </c>
      <c r="E1119" s="718">
        <f t="shared" ref="E1119:N1119" si="256">FleetRecordsPerAnnumPlg_TotalGrand*hSystemsPaperPercentPLG</f>
        <v>1716156</v>
      </c>
      <c r="F1119" s="718">
        <f t="shared" si="256"/>
        <v>858156</v>
      </c>
      <c r="G1119" s="718">
        <f t="shared" si="256"/>
        <v>772410.6</v>
      </c>
      <c r="H1119" s="718">
        <f t="shared" si="256"/>
        <v>686649.60000000009</v>
      </c>
      <c r="I1119" s="718">
        <f t="shared" si="256"/>
        <v>686712</v>
      </c>
      <c r="J1119" s="718">
        <f t="shared" si="256"/>
        <v>686774.4</v>
      </c>
      <c r="K1119" s="718">
        <f t="shared" si="256"/>
        <v>686836.8</v>
      </c>
      <c r="L1119" s="718">
        <f t="shared" si="256"/>
        <v>686899.20000000007</v>
      </c>
      <c r="M1119" s="718">
        <f t="shared" si="256"/>
        <v>686961.60000000009</v>
      </c>
      <c r="N1119" s="718">
        <f t="shared" si="256"/>
        <v>687024</v>
      </c>
      <c r="O1119" s="257" t="s">
        <v>1138</v>
      </c>
      <c r="P1119" s="828"/>
      <c r="Q1119" s="180"/>
      <c r="R1119" s="180"/>
      <c r="S1119" s="180"/>
      <c r="T1119" s="180"/>
      <c r="U1119" s="180"/>
      <c r="V1119" s="180"/>
      <c r="W1119" s="180"/>
      <c r="X1119" s="180"/>
      <c r="Y1119" s="180"/>
      <c r="Z1119" s="180"/>
      <c r="AA1119" s="180"/>
      <c r="AB1119" s="180"/>
      <c r="AC1119" s="180"/>
      <c r="AD1119" s="180"/>
      <c r="AE1119" s="180"/>
      <c r="AF1119" s="180"/>
      <c r="AG1119" s="180"/>
      <c r="AH1119" s="180"/>
      <c r="AI1119" s="180"/>
      <c r="AJ1119" s="180"/>
      <c r="AK1119" s="180"/>
      <c r="AL1119" s="180"/>
      <c r="AM1119" s="180"/>
      <c r="AN1119" s="180"/>
      <c r="AO1119" s="180"/>
      <c r="AP1119" s="180"/>
      <c r="AQ1119" s="180"/>
      <c r="AR1119" s="180"/>
      <c r="AS1119" s="180"/>
      <c r="AT1119" s="180"/>
      <c r="AU1119" s="180"/>
      <c r="AV1119" s="180"/>
      <c r="AW1119" s="180"/>
    </row>
    <row r="1120" spans="1:49" s="712" customFormat="1" ht="12.75" hidden="1" outlineLevel="1" x14ac:dyDescent="0.2">
      <c r="A1120" s="180"/>
      <c r="B1120" s="180"/>
      <c r="C1120" s="256"/>
      <c r="D1120" s="869" t="s">
        <v>1139</v>
      </c>
      <c r="E1120" s="718">
        <f t="shared" ref="E1120:N1120" si="257">FleetRecordsPerAnnumCRT_TotalGrand*hSystemsPaperPercentCRT</f>
        <v>1872156</v>
      </c>
      <c r="F1120" s="718">
        <f t="shared" si="257"/>
        <v>936156</v>
      </c>
      <c r="G1120" s="718">
        <f t="shared" si="257"/>
        <v>842610.6</v>
      </c>
      <c r="H1120" s="718">
        <f t="shared" si="257"/>
        <v>749049.60000000009</v>
      </c>
      <c r="I1120" s="718">
        <f t="shared" si="257"/>
        <v>749112</v>
      </c>
      <c r="J1120" s="718">
        <f t="shared" si="257"/>
        <v>749174.4</v>
      </c>
      <c r="K1120" s="718">
        <f t="shared" si="257"/>
        <v>749236.8</v>
      </c>
      <c r="L1120" s="718">
        <f t="shared" si="257"/>
        <v>749299.20000000007</v>
      </c>
      <c r="M1120" s="718">
        <f t="shared" si="257"/>
        <v>749361.60000000009</v>
      </c>
      <c r="N1120" s="718">
        <f t="shared" si="257"/>
        <v>749424</v>
      </c>
      <c r="O1120" s="257" t="s">
        <v>1140</v>
      </c>
      <c r="P1120" s="828"/>
      <c r="Q1120" s="180"/>
      <c r="R1120" s="180"/>
      <c r="S1120" s="180"/>
      <c r="T1120" s="180"/>
      <c r="U1120" s="180"/>
      <c r="V1120" s="180"/>
      <c r="W1120" s="180"/>
      <c r="X1120" s="180"/>
      <c r="Y1120" s="180"/>
      <c r="Z1120" s="180"/>
      <c r="AA1120" s="180"/>
      <c r="AB1120" s="180"/>
      <c r="AC1120" s="180"/>
      <c r="AD1120" s="180"/>
      <c r="AE1120" s="180"/>
      <c r="AF1120" s="180"/>
      <c r="AG1120" s="180"/>
      <c r="AH1120" s="180"/>
      <c r="AI1120" s="180"/>
      <c r="AJ1120" s="180"/>
      <c r="AK1120" s="180"/>
      <c r="AL1120" s="180"/>
      <c r="AM1120" s="180"/>
      <c r="AN1120" s="180"/>
      <c r="AO1120" s="180"/>
      <c r="AP1120" s="180"/>
      <c r="AQ1120" s="180"/>
      <c r="AR1120" s="180"/>
      <c r="AS1120" s="180"/>
      <c r="AT1120" s="180"/>
      <c r="AU1120" s="180"/>
      <c r="AV1120" s="180"/>
      <c r="AW1120" s="180"/>
    </row>
    <row r="1121" spans="1:49" s="712" customFormat="1" ht="12.75" hidden="1" outlineLevel="1" x14ac:dyDescent="0.2">
      <c r="A1121" s="180"/>
      <c r="B1121" s="180"/>
      <c r="C1121" s="256"/>
      <c r="D1121" s="869" t="s">
        <v>1141</v>
      </c>
      <c r="E1121" s="718">
        <f t="shared" ref="E1121:N1121" si="258">FleetRecordsPerAnnumSCL_TotalGrand*hSystemsPaperPercentSCL</f>
        <v>2028156</v>
      </c>
      <c r="F1121" s="718">
        <f t="shared" si="258"/>
        <v>1014156</v>
      </c>
      <c r="G1121" s="718">
        <f t="shared" si="258"/>
        <v>912810.6</v>
      </c>
      <c r="H1121" s="718">
        <f t="shared" si="258"/>
        <v>811449.60000000009</v>
      </c>
      <c r="I1121" s="718">
        <f t="shared" si="258"/>
        <v>811512</v>
      </c>
      <c r="J1121" s="718">
        <f t="shared" si="258"/>
        <v>811574.4</v>
      </c>
      <c r="K1121" s="718">
        <f t="shared" si="258"/>
        <v>811636.8</v>
      </c>
      <c r="L1121" s="718">
        <f t="shared" si="258"/>
        <v>811699.20000000007</v>
      </c>
      <c r="M1121" s="718">
        <f t="shared" si="258"/>
        <v>811761.60000000009</v>
      </c>
      <c r="N1121" s="718">
        <f t="shared" si="258"/>
        <v>811824</v>
      </c>
      <c r="O1121" s="257" t="s">
        <v>1142</v>
      </c>
      <c r="P1121" s="828"/>
      <c r="Q1121" s="180"/>
      <c r="R1121" s="180"/>
      <c r="S1121" s="180"/>
      <c r="T1121" s="180"/>
      <c r="U1121" s="180"/>
      <c r="V1121" s="180"/>
      <c r="W1121" s="180"/>
      <c r="X1121" s="180"/>
      <c r="Y1121" s="180"/>
      <c r="Z1121" s="180"/>
      <c r="AA1121" s="180"/>
      <c r="AB1121" s="180"/>
      <c r="AC1121" s="180"/>
      <c r="AD1121" s="180"/>
      <c r="AE1121" s="180"/>
      <c r="AF1121" s="180"/>
      <c r="AG1121" s="180"/>
      <c r="AH1121" s="180"/>
      <c r="AI1121" s="180"/>
      <c r="AJ1121" s="180"/>
      <c r="AK1121" s="180"/>
      <c r="AL1121" s="180"/>
      <c r="AM1121" s="180"/>
      <c r="AN1121" s="180"/>
      <c r="AO1121" s="180"/>
      <c r="AP1121" s="180"/>
      <c r="AQ1121" s="180"/>
      <c r="AR1121" s="180"/>
      <c r="AS1121" s="180"/>
      <c r="AT1121" s="180"/>
      <c r="AU1121" s="180"/>
      <c r="AV1121" s="180"/>
      <c r="AW1121" s="180"/>
    </row>
    <row r="1122" spans="1:49" s="712" customFormat="1" ht="12.75" hidden="1" outlineLevel="1" x14ac:dyDescent="0.2">
      <c r="A1122" s="180"/>
      <c r="B1122" s="180"/>
      <c r="C1122" s="256"/>
      <c r="D1122" s="869" t="s">
        <v>1143</v>
      </c>
      <c r="E1122" s="718">
        <f t="shared" ref="E1122:N1122" si="259">FleetRecordsPerAnnumQSC_TotalGrand*hSystemsPaperPercentQSC</f>
        <v>2184156</v>
      </c>
      <c r="F1122" s="718">
        <f t="shared" si="259"/>
        <v>1092156</v>
      </c>
      <c r="G1122" s="718">
        <f t="shared" si="259"/>
        <v>983010.6</v>
      </c>
      <c r="H1122" s="718">
        <f t="shared" si="259"/>
        <v>873849.60000000009</v>
      </c>
      <c r="I1122" s="718">
        <f t="shared" si="259"/>
        <v>873912</v>
      </c>
      <c r="J1122" s="718">
        <f t="shared" si="259"/>
        <v>873974.4</v>
      </c>
      <c r="K1122" s="718">
        <f t="shared" si="259"/>
        <v>874036.8</v>
      </c>
      <c r="L1122" s="718">
        <f t="shared" si="259"/>
        <v>874099.20000000007</v>
      </c>
      <c r="M1122" s="718">
        <f t="shared" si="259"/>
        <v>874161.60000000009</v>
      </c>
      <c r="N1122" s="718">
        <f t="shared" si="259"/>
        <v>874224</v>
      </c>
      <c r="O1122" s="257" t="s">
        <v>1144</v>
      </c>
      <c r="P1122" s="828"/>
      <c r="Q1122" s="180"/>
      <c r="R1122" s="180"/>
      <c r="S1122" s="180"/>
      <c r="T1122" s="180"/>
      <c r="U1122" s="180"/>
      <c r="V1122" s="180"/>
      <c r="W1122" s="180"/>
      <c r="X1122" s="180"/>
      <c r="Y1122" s="180"/>
      <c r="Z1122" s="180"/>
      <c r="AA1122" s="180"/>
      <c r="AB1122" s="180"/>
      <c r="AC1122" s="180"/>
      <c r="AD1122" s="180"/>
      <c r="AE1122" s="180"/>
      <c r="AF1122" s="180"/>
      <c r="AG1122" s="180"/>
      <c r="AH1122" s="180"/>
      <c r="AI1122" s="180"/>
      <c r="AJ1122" s="180"/>
      <c r="AK1122" s="180"/>
      <c r="AL1122" s="180"/>
      <c r="AM1122" s="180"/>
      <c r="AN1122" s="180"/>
      <c r="AO1122" s="180"/>
      <c r="AP1122" s="180"/>
      <c r="AQ1122" s="180"/>
      <c r="AR1122" s="180"/>
      <c r="AS1122" s="180"/>
      <c r="AT1122" s="180"/>
      <c r="AU1122" s="180"/>
      <c r="AV1122" s="180"/>
      <c r="AW1122" s="180"/>
    </row>
    <row r="1123" spans="1:49" s="712" customFormat="1" ht="12.75" hidden="1" outlineLevel="1" x14ac:dyDescent="0.2">
      <c r="A1123" s="180"/>
      <c r="B1123" s="180"/>
      <c r="C1123" s="256"/>
      <c r="D1123" s="869" t="s">
        <v>1145</v>
      </c>
      <c r="E1123" s="718">
        <f t="shared" ref="E1123:N1123" si="260">FleetRecordsPerAnnumEM_TotalGrand*hSystemsPaperPercentEM</f>
        <v>2340156</v>
      </c>
      <c r="F1123" s="718">
        <f t="shared" si="260"/>
        <v>1170156</v>
      </c>
      <c r="G1123" s="718">
        <f t="shared" si="260"/>
        <v>1053210.6000000001</v>
      </c>
      <c r="H1123" s="718">
        <f t="shared" si="260"/>
        <v>936249.60000000009</v>
      </c>
      <c r="I1123" s="718">
        <f t="shared" si="260"/>
        <v>936312</v>
      </c>
      <c r="J1123" s="718">
        <f t="shared" si="260"/>
        <v>936374.4</v>
      </c>
      <c r="K1123" s="718">
        <f t="shared" si="260"/>
        <v>936436.8</v>
      </c>
      <c r="L1123" s="718">
        <f t="shared" si="260"/>
        <v>936499.20000000007</v>
      </c>
      <c r="M1123" s="718">
        <f t="shared" si="260"/>
        <v>936561.60000000009</v>
      </c>
      <c r="N1123" s="718">
        <f t="shared" si="260"/>
        <v>936624</v>
      </c>
      <c r="O1123" s="257" t="s">
        <v>1146</v>
      </c>
      <c r="P1123" s="828"/>
      <c r="Q1123" s="180"/>
      <c r="R1123" s="180"/>
      <c r="S1123" s="180"/>
      <c r="T1123" s="180"/>
      <c r="U1123" s="180"/>
      <c r="V1123" s="180"/>
      <c r="W1123" s="180"/>
      <c r="X1123" s="180"/>
      <c r="Y1123" s="180"/>
      <c r="Z1123" s="180"/>
      <c r="AA1123" s="180"/>
      <c r="AB1123" s="180"/>
      <c r="AC1123" s="180"/>
      <c r="AD1123" s="180"/>
      <c r="AE1123" s="180"/>
      <c r="AF1123" s="180"/>
      <c r="AG1123" s="180"/>
      <c r="AH1123" s="180"/>
      <c r="AI1123" s="180"/>
      <c r="AJ1123" s="180"/>
      <c r="AK1123" s="180"/>
      <c r="AL1123" s="180"/>
      <c r="AM1123" s="180"/>
      <c r="AN1123" s="180"/>
      <c r="AO1123" s="180"/>
      <c r="AP1123" s="180"/>
      <c r="AQ1123" s="180"/>
      <c r="AR1123" s="180"/>
      <c r="AS1123" s="180"/>
      <c r="AT1123" s="180"/>
      <c r="AU1123" s="180"/>
      <c r="AV1123" s="180"/>
      <c r="AW1123" s="180"/>
    </row>
    <row r="1124" spans="1:49" s="712" customFormat="1" ht="12.75" hidden="1" outlineLevel="1" x14ac:dyDescent="0.2">
      <c r="A1124" s="180"/>
      <c r="B1124" s="180"/>
      <c r="C1124" s="256"/>
      <c r="D1124" s="869" t="s">
        <v>1147</v>
      </c>
      <c r="E1124" s="718">
        <f t="shared" ref="E1124:N1124" si="261">FleetRecordsPerAnnumCM_TotalGrand*hSystemsPaperPercentCM</f>
        <v>2340156</v>
      </c>
      <c r="F1124" s="718">
        <f t="shared" si="261"/>
        <v>1170156</v>
      </c>
      <c r="G1124" s="718">
        <f t="shared" si="261"/>
        <v>1053210.6000000001</v>
      </c>
      <c r="H1124" s="718">
        <f t="shared" si="261"/>
        <v>936249.60000000009</v>
      </c>
      <c r="I1124" s="718">
        <f t="shared" si="261"/>
        <v>936312</v>
      </c>
      <c r="J1124" s="718">
        <f t="shared" si="261"/>
        <v>936374.4</v>
      </c>
      <c r="K1124" s="718">
        <f t="shared" si="261"/>
        <v>936436.8</v>
      </c>
      <c r="L1124" s="718">
        <f t="shared" si="261"/>
        <v>936499.20000000007</v>
      </c>
      <c r="M1124" s="718">
        <f t="shared" si="261"/>
        <v>936561.60000000009</v>
      </c>
      <c r="N1124" s="718">
        <f t="shared" si="261"/>
        <v>936624</v>
      </c>
      <c r="O1124" s="257" t="s">
        <v>1148</v>
      </c>
      <c r="P1124" s="828"/>
      <c r="Q1124" s="180"/>
      <c r="R1124" s="180"/>
      <c r="S1124" s="180"/>
      <c r="T1124" s="180"/>
      <c r="U1124" s="180"/>
      <c r="V1124" s="180"/>
      <c r="W1124" s="180"/>
      <c r="X1124" s="180"/>
      <c r="Y1124" s="180"/>
      <c r="Z1124" s="180"/>
      <c r="AA1124" s="180"/>
      <c r="AB1124" s="180"/>
      <c r="AC1124" s="180"/>
      <c r="AD1124" s="180"/>
      <c r="AE1124" s="180"/>
      <c r="AF1124" s="180"/>
      <c r="AG1124" s="180"/>
      <c r="AH1124" s="180"/>
      <c r="AI1124" s="180"/>
      <c r="AJ1124" s="180"/>
      <c r="AK1124" s="180"/>
      <c r="AL1124" s="180"/>
      <c r="AM1124" s="180"/>
      <c r="AN1124" s="180"/>
      <c r="AO1124" s="180"/>
      <c r="AP1124" s="180"/>
      <c r="AQ1124" s="180"/>
      <c r="AR1124" s="180"/>
      <c r="AS1124" s="180"/>
      <c r="AT1124" s="180"/>
      <c r="AU1124" s="180"/>
      <c r="AV1124" s="180"/>
      <c r="AW1124" s="180"/>
    </row>
    <row r="1125" spans="1:49" s="712" customFormat="1" ht="12.75" hidden="1" outlineLevel="1" x14ac:dyDescent="0.2">
      <c r="A1125" s="180"/>
      <c r="B1125" s="180"/>
      <c r="C1125" s="256"/>
      <c r="D1125" s="869" t="s">
        <v>1149</v>
      </c>
      <c r="E1125" s="718">
        <f t="shared" ref="E1125:N1125" si="262">FleetRecordsPerAnnumSMCS_TotalGrand*hSystemsPaperPercentSMCS</f>
        <v>2340156</v>
      </c>
      <c r="F1125" s="718">
        <f t="shared" si="262"/>
        <v>1170156</v>
      </c>
      <c r="G1125" s="718">
        <f t="shared" si="262"/>
        <v>1053210.6000000001</v>
      </c>
      <c r="H1125" s="718">
        <f t="shared" si="262"/>
        <v>936249.60000000009</v>
      </c>
      <c r="I1125" s="718">
        <f t="shared" si="262"/>
        <v>936312</v>
      </c>
      <c r="J1125" s="718">
        <f t="shared" si="262"/>
        <v>936374.4</v>
      </c>
      <c r="K1125" s="718">
        <f t="shared" si="262"/>
        <v>936436.8</v>
      </c>
      <c r="L1125" s="718">
        <f t="shared" si="262"/>
        <v>936499.20000000007</v>
      </c>
      <c r="M1125" s="718">
        <f t="shared" si="262"/>
        <v>936561.60000000009</v>
      </c>
      <c r="N1125" s="718">
        <f t="shared" si="262"/>
        <v>936624</v>
      </c>
      <c r="O1125" s="257" t="s">
        <v>1150</v>
      </c>
      <c r="P1125" s="828"/>
      <c r="Q1125" s="180"/>
      <c r="R1125" s="180"/>
      <c r="S1125" s="180"/>
      <c r="T1125" s="180"/>
      <c r="U1125" s="180"/>
      <c r="V1125" s="180"/>
      <c r="W1125" s="180"/>
      <c r="X1125" s="180"/>
      <c r="Y1125" s="180"/>
      <c r="Z1125" s="180"/>
      <c r="AA1125" s="180"/>
      <c r="AB1125" s="180"/>
      <c r="AC1125" s="180"/>
      <c r="AD1125" s="180"/>
      <c r="AE1125" s="180"/>
      <c r="AF1125" s="180"/>
      <c r="AG1125" s="180"/>
      <c r="AH1125" s="180"/>
      <c r="AI1125" s="180"/>
      <c r="AJ1125" s="180"/>
      <c r="AK1125" s="180"/>
      <c r="AL1125" s="180"/>
      <c r="AM1125" s="180"/>
      <c r="AN1125" s="180"/>
      <c r="AO1125" s="180"/>
      <c r="AP1125" s="180"/>
      <c r="AQ1125" s="180"/>
      <c r="AR1125" s="180"/>
      <c r="AS1125" s="180"/>
      <c r="AT1125" s="180"/>
      <c r="AU1125" s="180"/>
      <c r="AV1125" s="180"/>
      <c r="AW1125" s="180"/>
    </row>
    <row r="1126" spans="1:49" s="712" customFormat="1" ht="12.75" hidden="1" outlineLevel="1" x14ac:dyDescent="0.2">
      <c r="A1126" s="180"/>
      <c r="B1126" s="180"/>
      <c r="C1126" s="256"/>
      <c r="D1126" s="869" t="s">
        <v>1151</v>
      </c>
      <c r="E1126" s="718">
        <f t="shared" ref="E1126:N1126" si="263">FleetRecordsPerAnnumO1_TotalGrand*hSystemsPaperPercentO1</f>
        <v>1440096</v>
      </c>
      <c r="F1126" s="718">
        <f t="shared" si="263"/>
        <v>720096</v>
      </c>
      <c r="G1126" s="718">
        <f t="shared" si="263"/>
        <v>648129.6</v>
      </c>
      <c r="H1126" s="718">
        <f t="shared" si="263"/>
        <v>576153.59999999998</v>
      </c>
      <c r="I1126" s="718">
        <f t="shared" si="263"/>
        <v>576192</v>
      </c>
      <c r="J1126" s="718">
        <f t="shared" si="263"/>
        <v>576230.40000000002</v>
      </c>
      <c r="K1126" s="718">
        <f t="shared" si="263"/>
        <v>576268.80000000005</v>
      </c>
      <c r="L1126" s="718">
        <f t="shared" si="263"/>
        <v>576307.20000000007</v>
      </c>
      <c r="M1126" s="718">
        <f t="shared" si="263"/>
        <v>576345.59999999998</v>
      </c>
      <c r="N1126" s="718">
        <f t="shared" si="263"/>
        <v>576384</v>
      </c>
      <c r="O1126" s="257" t="s">
        <v>1152</v>
      </c>
      <c r="P1126" s="828"/>
      <c r="Q1126" s="180"/>
      <c r="R1126" s="180"/>
      <c r="S1126" s="180"/>
      <c r="T1126" s="180"/>
      <c r="U1126" s="180"/>
      <c r="V1126" s="180"/>
      <c r="W1126" s="180"/>
      <c r="X1126" s="180"/>
      <c r="Y1126" s="180"/>
      <c r="Z1126" s="180"/>
      <c r="AA1126" s="180"/>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row>
    <row r="1127" spans="1:49" s="712" customFormat="1" ht="12.75" hidden="1" outlineLevel="1" x14ac:dyDescent="0.2">
      <c r="A1127" s="180"/>
      <c r="B1127" s="180"/>
      <c r="C1127" s="256"/>
      <c r="D1127" s="869" t="s">
        <v>1153</v>
      </c>
      <c r="E1127" s="718">
        <f t="shared" ref="E1127:N1127" si="264">FleetRecordsPerAnnumO2_TotalGrand*hSystemsPaperPercentO2</f>
        <v>1440096</v>
      </c>
      <c r="F1127" s="718">
        <f t="shared" si="264"/>
        <v>720096</v>
      </c>
      <c r="G1127" s="718">
        <f t="shared" si="264"/>
        <v>648129.6</v>
      </c>
      <c r="H1127" s="718">
        <f t="shared" si="264"/>
        <v>576153.59999999998</v>
      </c>
      <c r="I1127" s="718">
        <f t="shared" si="264"/>
        <v>576192</v>
      </c>
      <c r="J1127" s="718">
        <f t="shared" si="264"/>
        <v>576230.40000000002</v>
      </c>
      <c r="K1127" s="718">
        <f t="shared" si="264"/>
        <v>576268.80000000005</v>
      </c>
      <c r="L1127" s="718">
        <f t="shared" si="264"/>
        <v>576307.20000000007</v>
      </c>
      <c r="M1127" s="718">
        <f t="shared" si="264"/>
        <v>576345.59999999998</v>
      </c>
      <c r="N1127" s="718">
        <f t="shared" si="264"/>
        <v>576384</v>
      </c>
      <c r="O1127" s="257" t="s">
        <v>1154</v>
      </c>
      <c r="P1127" s="828"/>
      <c r="Q1127" s="180"/>
      <c r="R1127" s="180"/>
      <c r="S1127" s="180"/>
      <c r="T1127" s="180"/>
      <c r="U1127" s="180"/>
      <c r="V1127" s="180"/>
      <c r="W1127" s="180"/>
      <c r="X1127" s="180"/>
      <c r="Y1127" s="180"/>
      <c r="Z1127" s="180"/>
      <c r="AA1127" s="180"/>
      <c r="AB1127" s="180"/>
      <c r="AC1127" s="180"/>
      <c r="AD1127" s="180"/>
      <c r="AE1127" s="180"/>
      <c r="AF1127" s="180"/>
      <c r="AG1127" s="180"/>
      <c r="AH1127" s="180"/>
      <c r="AI1127" s="180"/>
      <c r="AJ1127" s="180"/>
      <c r="AK1127" s="180"/>
      <c r="AL1127" s="180"/>
      <c r="AM1127" s="180"/>
      <c r="AN1127" s="180"/>
      <c r="AO1127" s="180"/>
      <c r="AP1127" s="180"/>
      <c r="AQ1127" s="180"/>
      <c r="AR1127" s="180"/>
      <c r="AS1127" s="180"/>
      <c r="AT1127" s="180"/>
      <c r="AU1127" s="180"/>
      <c r="AV1127" s="180"/>
      <c r="AW1127" s="180"/>
    </row>
    <row r="1128" spans="1:49" s="712" customFormat="1" ht="12.75" hidden="1" outlineLevel="1" x14ac:dyDescent="0.2">
      <c r="A1128" s="180"/>
      <c r="B1128" s="180"/>
      <c r="C1128" s="256"/>
      <c r="D1128" s="871" t="s">
        <v>111</v>
      </c>
      <c r="E1128" s="719">
        <f>SUM(E1116:E1127)</f>
        <v>21456561</v>
      </c>
      <c r="F1128" s="719">
        <f t="shared" ref="F1128:N1128" si="265">SUM(F1116:F1127)</f>
        <v>10716321.389610389</v>
      </c>
      <c r="G1128" s="719">
        <f t="shared" si="265"/>
        <v>9636717.9749999978</v>
      </c>
      <c r="H1128" s="719">
        <f t="shared" si="265"/>
        <v>8583511.2263736259</v>
      </c>
      <c r="I1128" s="719">
        <f t="shared" si="265"/>
        <v>8588879.1428571418</v>
      </c>
      <c r="J1128" s="719">
        <f t="shared" si="265"/>
        <v>8594315.9238095246</v>
      </c>
      <c r="K1128" s="719">
        <f t="shared" si="265"/>
        <v>8599808.6571428571</v>
      </c>
      <c r="L1128" s="719">
        <f t="shared" si="265"/>
        <v>8605347.4689075649</v>
      </c>
      <c r="M1128" s="719">
        <f t="shared" si="265"/>
        <v>8610924.679365078</v>
      </c>
      <c r="N1128" s="719">
        <f t="shared" si="265"/>
        <v>8616534.2255639099</v>
      </c>
      <c r="O1128" s="257" t="s">
        <v>288</v>
      </c>
      <c r="P1128" s="828"/>
      <c r="Q1128" s="180"/>
      <c r="R1128" s="180"/>
      <c r="S1128" s="180"/>
      <c r="T1128" s="180"/>
      <c r="U1128" s="180"/>
      <c r="V1128" s="180"/>
      <c r="W1128" s="180"/>
      <c r="X1128" s="180"/>
      <c r="Y1128" s="180"/>
      <c r="Z1128" s="180"/>
      <c r="AA1128" s="180"/>
      <c r="AB1128" s="180"/>
      <c r="AC1128" s="180"/>
      <c r="AD1128" s="180"/>
      <c r="AE1128" s="180"/>
      <c r="AF1128" s="180"/>
      <c r="AG1128" s="180"/>
      <c r="AH1128" s="180"/>
      <c r="AI1128" s="180"/>
      <c r="AJ1128" s="180"/>
      <c r="AK1128" s="180"/>
      <c r="AL1128" s="180"/>
      <c r="AM1128" s="180"/>
      <c r="AN1128" s="180"/>
      <c r="AO1128" s="180"/>
      <c r="AP1128" s="180"/>
      <c r="AQ1128" s="180"/>
      <c r="AR1128" s="180"/>
      <c r="AS1128" s="180"/>
      <c r="AT1128" s="180"/>
      <c r="AU1128" s="180"/>
      <c r="AV1128" s="180"/>
      <c r="AW1128" s="180"/>
    </row>
    <row r="1129" spans="1:49" s="193" customFormat="1" ht="13.5" hidden="1" outlineLevel="1" thickBot="1" x14ac:dyDescent="0.25">
      <c r="A1129" s="180"/>
      <c r="B1129" s="180"/>
      <c r="C1129" s="270"/>
      <c r="D1129" s="30"/>
      <c r="E1129" s="38"/>
      <c r="F1129" s="38"/>
      <c r="G1129" s="38"/>
      <c r="H1129" s="38"/>
      <c r="I1129" s="38"/>
      <c r="J1129" s="38"/>
      <c r="K1129" s="38"/>
      <c r="L1129" s="38"/>
      <c r="M1129" s="38"/>
      <c r="N1129" s="38"/>
      <c r="O1129" s="829"/>
      <c r="P1129" s="828"/>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row>
    <row r="1130" spans="1:49" s="717" customFormat="1" ht="20.25" hidden="1" customHeight="1" outlineLevel="1" x14ac:dyDescent="0.2">
      <c r="A1130" s="180"/>
      <c r="B1130" s="180"/>
      <c r="C1130" s="866" t="s">
        <v>976</v>
      </c>
      <c r="D1130" s="867"/>
      <c r="E1130" s="867"/>
      <c r="F1130" s="867"/>
      <c r="G1130" s="867"/>
      <c r="H1130" s="867"/>
      <c r="I1130" s="867"/>
      <c r="J1130" s="867"/>
      <c r="K1130" s="867"/>
      <c r="L1130" s="867"/>
      <c r="M1130" s="867"/>
      <c r="N1130" s="867"/>
      <c r="O1130" s="874"/>
      <c r="P1130" s="828"/>
      <c r="Q1130" s="189"/>
      <c r="R1130" s="189"/>
      <c r="S1130" s="189"/>
      <c r="T1130" s="189"/>
      <c r="U1130" s="189"/>
      <c r="V1130" s="189"/>
      <c r="W1130" s="189"/>
      <c r="X1130" s="189"/>
      <c r="Y1130" s="189"/>
      <c r="Z1130" s="189"/>
      <c r="AA1130" s="189"/>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row>
    <row r="1131" spans="1:49" s="193" customFormat="1" ht="18" hidden="1" customHeight="1" outlineLevel="1" x14ac:dyDescent="0.2">
      <c r="A1131" s="180"/>
      <c r="B1131" s="180"/>
      <c r="C1131" s="831"/>
      <c r="D1131" s="869" t="s">
        <v>951</v>
      </c>
      <c r="E1131" s="875">
        <v>1</v>
      </c>
      <c r="F1131" s="875">
        <v>0.04</v>
      </c>
      <c r="G1131" s="875">
        <v>0.03</v>
      </c>
      <c r="H1131" s="875">
        <v>3.5000000000000003E-2</v>
      </c>
      <c r="I1131" s="875">
        <v>0.03</v>
      </c>
      <c r="J1131" s="875">
        <v>2.5000000000000001E-2</v>
      </c>
      <c r="K1131" s="875">
        <v>0.02</v>
      </c>
      <c r="L1131" s="875">
        <v>1.4999999999999999E-2</v>
      </c>
      <c r="M1131" s="875">
        <v>0.01</v>
      </c>
      <c r="N1131" s="875">
        <v>5.0000000000000001E-3</v>
      </c>
      <c r="O1131" s="257" t="s">
        <v>952</v>
      </c>
      <c r="P1131" s="828"/>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row>
    <row r="1132" spans="1:49" s="193" customFormat="1" ht="18" hidden="1" customHeight="1" outlineLevel="1" x14ac:dyDescent="0.2">
      <c r="A1132" s="180"/>
      <c r="B1132" s="180"/>
      <c r="C1132" s="831"/>
      <c r="D1132" s="869" t="s">
        <v>953</v>
      </c>
      <c r="E1132" s="875">
        <v>1</v>
      </c>
      <c r="F1132" s="875">
        <v>0.04</v>
      </c>
      <c r="G1132" s="875">
        <v>0.03</v>
      </c>
      <c r="H1132" s="875">
        <v>3.5000000000000003E-2</v>
      </c>
      <c r="I1132" s="875">
        <v>0.03</v>
      </c>
      <c r="J1132" s="875">
        <v>2.5000000000000001E-2</v>
      </c>
      <c r="K1132" s="875">
        <v>0.02</v>
      </c>
      <c r="L1132" s="875">
        <v>1.4999999999999999E-2</v>
      </c>
      <c r="M1132" s="875">
        <v>0.01</v>
      </c>
      <c r="N1132" s="875">
        <v>5.0000000000000001E-3</v>
      </c>
      <c r="O1132" s="257" t="s">
        <v>954</v>
      </c>
      <c r="P1132" s="828"/>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row>
    <row r="1133" spans="1:49" s="193" customFormat="1" ht="18" hidden="1" customHeight="1" outlineLevel="1" x14ac:dyDescent="0.2">
      <c r="A1133" s="180"/>
      <c r="B1133" s="180"/>
      <c r="C1133" s="831"/>
      <c r="D1133" s="869" t="s">
        <v>955</v>
      </c>
      <c r="E1133" s="875">
        <v>1</v>
      </c>
      <c r="F1133" s="875">
        <v>0.04</v>
      </c>
      <c r="G1133" s="875">
        <v>0.03</v>
      </c>
      <c r="H1133" s="875">
        <v>3.5000000000000003E-2</v>
      </c>
      <c r="I1133" s="875">
        <v>0.03</v>
      </c>
      <c r="J1133" s="875">
        <v>2.5000000000000001E-2</v>
      </c>
      <c r="K1133" s="875">
        <v>0.02</v>
      </c>
      <c r="L1133" s="875">
        <v>1.4999999999999999E-2</v>
      </c>
      <c r="M1133" s="875">
        <v>0.01</v>
      </c>
      <c r="N1133" s="875">
        <v>5.0000000000000001E-3</v>
      </c>
      <c r="O1133" s="257" t="s">
        <v>956</v>
      </c>
      <c r="P1133" s="828"/>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row>
    <row r="1134" spans="1:49" s="193" customFormat="1" ht="18" hidden="1" customHeight="1" outlineLevel="1" x14ac:dyDescent="0.2">
      <c r="A1134" s="180"/>
      <c r="B1134" s="180"/>
      <c r="C1134" s="831"/>
      <c r="D1134" s="869" t="s">
        <v>957</v>
      </c>
      <c r="E1134" s="875">
        <v>1</v>
      </c>
      <c r="F1134" s="875">
        <v>0.04</v>
      </c>
      <c r="G1134" s="875">
        <v>0.03</v>
      </c>
      <c r="H1134" s="875">
        <v>3.5000000000000003E-2</v>
      </c>
      <c r="I1134" s="875">
        <v>0.03</v>
      </c>
      <c r="J1134" s="875">
        <v>2.5000000000000001E-2</v>
      </c>
      <c r="K1134" s="875">
        <v>0.02</v>
      </c>
      <c r="L1134" s="875">
        <v>1.4999999999999999E-2</v>
      </c>
      <c r="M1134" s="875">
        <v>0.01</v>
      </c>
      <c r="N1134" s="875">
        <v>5.0000000000000001E-3</v>
      </c>
      <c r="O1134" s="257" t="s">
        <v>958</v>
      </c>
      <c r="P1134" s="828"/>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row>
    <row r="1135" spans="1:49" s="193" customFormat="1" ht="18" hidden="1" customHeight="1" outlineLevel="1" x14ac:dyDescent="0.2">
      <c r="A1135" s="180"/>
      <c r="B1135" s="180"/>
      <c r="C1135" s="831"/>
      <c r="D1135" s="869" t="s">
        <v>959</v>
      </c>
      <c r="E1135" s="875">
        <v>1</v>
      </c>
      <c r="F1135" s="875">
        <v>0.04</v>
      </c>
      <c r="G1135" s="875">
        <v>0.03</v>
      </c>
      <c r="H1135" s="875">
        <v>3.5000000000000003E-2</v>
      </c>
      <c r="I1135" s="875">
        <v>0.03</v>
      </c>
      <c r="J1135" s="875">
        <v>2.5000000000000001E-2</v>
      </c>
      <c r="K1135" s="875">
        <v>0.02</v>
      </c>
      <c r="L1135" s="875">
        <v>1.4999999999999999E-2</v>
      </c>
      <c r="M1135" s="875">
        <v>0.01</v>
      </c>
      <c r="N1135" s="875">
        <v>5.0000000000000001E-3</v>
      </c>
      <c r="O1135" s="257" t="s">
        <v>960</v>
      </c>
      <c r="P1135" s="828"/>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row>
    <row r="1136" spans="1:49" s="193" customFormat="1" ht="18" hidden="1" customHeight="1" outlineLevel="1" x14ac:dyDescent="0.2">
      <c r="A1136" s="180"/>
      <c r="B1136" s="180"/>
      <c r="C1136" s="831"/>
      <c r="D1136" s="869" t="s">
        <v>961</v>
      </c>
      <c r="E1136" s="875">
        <v>1</v>
      </c>
      <c r="F1136" s="875">
        <v>0.04</v>
      </c>
      <c r="G1136" s="875">
        <v>0.03</v>
      </c>
      <c r="H1136" s="875">
        <v>3.5000000000000003E-2</v>
      </c>
      <c r="I1136" s="875">
        <v>0.03</v>
      </c>
      <c r="J1136" s="875">
        <v>2.5000000000000001E-2</v>
      </c>
      <c r="K1136" s="875">
        <v>0.02</v>
      </c>
      <c r="L1136" s="875">
        <v>1.4999999999999999E-2</v>
      </c>
      <c r="M1136" s="875">
        <v>0.01</v>
      </c>
      <c r="N1136" s="875">
        <v>5.0000000000000001E-3</v>
      </c>
      <c r="O1136" s="257" t="s">
        <v>962</v>
      </c>
      <c r="P1136" s="828"/>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row>
    <row r="1137" spans="1:49" s="193" customFormat="1" ht="18" hidden="1" customHeight="1" outlineLevel="1" x14ac:dyDescent="0.2">
      <c r="A1137" s="180"/>
      <c r="B1137" s="180"/>
      <c r="C1137" s="831"/>
      <c r="D1137" s="869" t="s">
        <v>963</v>
      </c>
      <c r="E1137" s="875">
        <v>1</v>
      </c>
      <c r="F1137" s="875">
        <v>0.04</v>
      </c>
      <c r="G1137" s="875">
        <v>0.03</v>
      </c>
      <c r="H1137" s="875">
        <v>3.5000000000000003E-2</v>
      </c>
      <c r="I1137" s="875">
        <v>0.03</v>
      </c>
      <c r="J1137" s="875">
        <v>2.5000000000000001E-2</v>
      </c>
      <c r="K1137" s="875">
        <v>0.02</v>
      </c>
      <c r="L1137" s="875">
        <v>1.4999999999999999E-2</v>
      </c>
      <c r="M1137" s="875">
        <v>0.01</v>
      </c>
      <c r="N1137" s="875">
        <v>5.0000000000000001E-3</v>
      </c>
      <c r="O1137" s="257" t="s">
        <v>964</v>
      </c>
      <c r="P1137" s="828"/>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row>
    <row r="1138" spans="1:49" s="193" customFormat="1" ht="18" hidden="1" customHeight="1" outlineLevel="1" x14ac:dyDescent="0.2">
      <c r="A1138" s="180"/>
      <c r="B1138" s="180"/>
      <c r="C1138" s="831"/>
      <c r="D1138" s="869" t="s">
        <v>965</v>
      </c>
      <c r="E1138" s="875">
        <v>1</v>
      </c>
      <c r="F1138" s="875">
        <v>0.04</v>
      </c>
      <c r="G1138" s="875">
        <v>0.03</v>
      </c>
      <c r="H1138" s="875">
        <v>3.5000000000000003E-2</v>
      </c>
      <c r="I1138" s="875">
        <v>0.03</v>
      </c>
      <c r="J1138" s="875">
        <v>2.5000000000000001E-2</v>
      </c>
      <c r="K1138" s="875">
        <v>0.02</v>
      </c>
      <c r="L1138" s="875">
        <v>1.4999999999999999E-2</v>
      </c>
      <c r="M1138" s="875">
        <v>0.01</v>
      </c>
      <c r="N1138" s="875">
        <v>5.0000000000000001E-3</v>
      </c>
      <c r="O1138" s="257" t="s">
        <v>966</v>
      </c>
      <c r="P1138" s="828"/>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row>
    <row r="1139" spans="1:49" s="193" customFormat="1" ht="18" hidden="1" customHeight="1" outlineLevel="1" x14ac:dyDescent="0.2">
      <c r="A1139" s="180"/>
      <c r="B1139" s="180"/>
      <c r="C1139" s="831"/>
      <c r="D1139" s="869" t="s">
        <v>967</v>
      </c>
      <c r="E1139" s="875">
        <v>1</v>
      </c>
      <c r="F1139" s="875">
        <v>0.04</v>
      </c>
      <c r="G1139" s="875">
        <v>0.03</v>
      </c>
      <c r="H1139" s="875">
        <v>3.5000000000000003E-2</v>
      </c>
      <c r="I1139" s="875">
        <v>0.03</v>
      </c>
      <c r="J1139" s="875">
        <v>2.5000000000000001E-2</v>
      </c>
      <c r="K1139" s="875">
        <v>0.02</v>
      </c>
      <c r="L1139" s="875">
        <v>1.4999999999999999E-2</v>
      </c>
      <c r="M1139" s="875">
        <v>0.01</v>
      </c>
      <c r="N1139" s="875">
        <v>5.0000000000000001E-3</v>
      </c>
      <c r="O1139" s="257" t="s">
        <v>968</v>
      </c>
      <c r="P1139" s="828"/>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row>
    <row r="1140" spans="1:49" s="193" customFormat="1" ht="18" hidden="1" customHeight="1" outlineLevel="1" x14ac:dyDescent="0.2">
      <c r="A1140" s="180"/>
      <c r="B1140" s="180"/>
      <c r="C1140" s="831"/>
      <c r="D1140" s="869" t="s">
        <v>969</v>
      </c>
      <c r="E1140" s="875">
        <v>1</v>
      </c>
      <c r="F1140" s="875">
        <v>0.04</v>
      </c>
      <c r="G1140" s="875">
        <v>0.03</v>
      </c>
      <c r="H1140" s="875">
        <v>3.5000000000000003E-2</v>
      </c>
      <c r="I1140" s="875">
        <v>0.03</v>
      </c>
      <c r="J1140" s="875">
        <v>2.5000000000000001E-2</v>
      </c>
      <c r="K1140" s="875">
        <v>0.02</v>
      </c>
      <c r="L1140" s="875">
        <v>1.4999999999999999E-2</v>
      </c>
      <c r="M1140" s="875">
        <v>0.01</v>
      </c>
      <c r="N1140" s="875">
        <v>5.0000000000000001E-3</v>
      </c>
      <c r="O1140" s="257" t="s">
        <v>970</v>
      </c>
      <c r="P1140" s="828"/>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row>
    <row r="1141" spans="1:49" s="193" customFormat="1" ht="18" hidden="1" customHeight="1" outlineLevel="1" x14ac:dyDescent="0.2">
      <c r="A1141" s="180"/>
      <c r="B1141" s="180"/>
      <c r="C1141" s="831"/>
      <c r="D1141" s="869" t="s">
        <v>971</v>
      </c>
      <c r="E1141" s="875">
        <v>1</v>
      </c>
      <c r="F1141" s="875">
        <v>0.04</v>
      </c>
      <c r="G1141" s="875">
        <v>0.03</v>
      </c>
      <c r="H1141" s="875">
        <v>3.5000000000000003E-2</v>
      </c>
      <c r="I1141" s="875">
        <v>0.03</v>
      </c>
      <c r="J1141" s="875">
        <v>2.5000000000000001E-2</v>
      </c>
      <c r="K1141" s="875">
        <v>0.02</v>
      </c>
      <c r="L1141" s="875">
        <v>1.4999999999999999E-2</v>
      </c>
      <c r="M1141" s="875">
        <v>0.01</v>
      </c>
      <c r="N1141" s="875">
        <v>5.0000000000000001E-3</v>
      </c>
      <c r="O1141" s="257" t="s">
        <v>972</v>
      </c>
      <c r="P1141" s="828"/>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row>
    <row r="1142" spans="1:49" s="193" customFormat="1" ht="18" hidden="1" customHeight="1" outlineLevel="1" x14ac:dyDescent="0.2">
      <c r="A1142" s="180"/>
      <c r="B1142" s="180"/>
      <c r="C1142" s="831"/>
      <c r="D1142" s="869" t="s">
        <v>973</v>
      </c>
      <c r="E1142" s="875">
        <v>1</v>
      </c>
      <c r="F1142" s="875">
        <v>0.04</v>
      </c>
      <c r="G1142" s="875">
        <v>0.03</v>
      </c>
      <c r="H1142" s="875">
        <v>3.5000000000000003E-2</v>
      </c>
      <c r="I1142" s="875">
        <v>0.03</v>
      </c>
      <c r="J1142" s="875">
        <v>2.5000000000000001E-2</v>
      </c>
      <c r="K1142" s="875">
        <v>0.02</v>
      </c>
      <c r="L1142" s="875">
        <v>1.4999999999999999E-2</v>
      </c>
      <c r="M1142" s="875">
        <v>0.01</v>
      </c>
      <c r="N1142" s="875">
        <v>5.0000000000000001E-3</v>
      </c>
      <c r="O1142" s="257" t="s">
        <v>974</v>
      </c>
      <c r="P1142" s="828"/>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row>
    <row r="1143" spans="1:49" s="712" customFormat="1" ht="12.75" hidden="1" outlineLevel="1" x14ac:dyDescent="0.2">
      <c r="A1143" s="180"/>
      <c r="B1143" s="180"/>
      <c r="C1143" s="831"/>
      <c r="D1143" s="871"/>
      <c r="E1143" s="840"/>
      <c r="F1143" s="840"/>
      <c r="G1143" s="840"/>
      <c r="H1143" s="840"/>
      <c r="I1143" s="840"/>
      <c r="J1143" s="840"/>
      <c r="K1143" s="840"/>
      <c r="L1143" s="840"/>
      <c r="M1143" s="840"/>
      <c r="N1143" s="840"/>
      <c r="O1143" s="257"/>
      <c r="P1143" s="828"/>
      <c r="Q1143" s="180"/>
      <c r="R1143" s="180"/>
      <c r="S1143" s="180"/>
      <c r="T1143" s="180"/>
      <c r="U1143" s="180"/>
      <c r="V1143" s="180"/>
      <c r="W1143" s="180"/>
      <c r="X1143" s="180"/>
      <c r="Y1143" s="180"/>
      <c r="Z1143" s="180"/>
      <c r="AA1143" s="180"/>
      <c r="AB1143" s="180"/>
      <c r="AC1143" s="180"/>
      <c r="AD1143" s="180"/>
      <c r="AE1143" s="180"/>
      <c r="AF1143" s="180"/>
      <c r="AG1143" s="180"/>
      <c r="AH1143" s="180"/>
      <c r="AI1143" s="180"/>
      <c r="AJ1143" s="180"/>
      <c r="AK1143" s="180"/>
      <c r="AL1143" s="180"/>
      <c r="AM1143" s="180"/>
      <c r="AN1143" s="180"/>
      <c r="AO1143" s="180"/>
      <c r="AP1143" s="180"/>
      <c r="AQ1143" s="180"/>
      <c r="AR1143" s="180"/>
      <c r="AS1143" s="180"/>
      <c r="AT1143" s="180"/>
      <c r="AU1143" s="180"/>
      <c r="AV1143" s="180"/>
      <c r="AW1143" s="180"/>
    </row>
    <row r="1144" spans="1:49" s="712" customFormat="1" ht="12.75" hidden="1" outlineLevel="1" x14ac:dyDescent="0.2">
      <c r="A1144" s="180"/>
      <c r="B1144" s="180"/>
      <c r="C1144" s="889" t="s">
        <v>1155</v>
      </c>
      <c r="D1144" s="871"/>
      <c r="E1144" s="872"/>
      <c r="F1144" s="872"/>
      <c r="G1144" s="872"/>
      <c r="H1144" s="872"/>
      <c r="I1144" s="872"/>
      <c r="J1144" s="872"/>
      <c r="K1144" s="872"/>
      <c r="L1144" s="872"/>
      <c r="M1144" s="872"/>
      <c r="N1144" s="872"/>
      <c r="O1144" s="257"/>
      <c r="P1144" s="828"/>
      <c r="Q1144" s="180"/>
      <c r="R1144" s="180"/>
      <c r="S1144" s="180"/>
      <c r="T1144" s="180"/>
      <c r="U1144" s="180"/>
      <c r="V1144" s="180"/>
      <c r="W1144" s="180"/>
      <c r="X1144" s="180"/>
      <c r="Y1144" s="180"/>
      <c r="Z1144" s="180"/>
      <c r="AA1144" s="180"/>
      <c r="AB1144" s="180"/>
      <c r="AC1144" s="180"/>
      <c r="AD1144" s="180"/>
      <c r="AE1144" s="180"/>
      <c r="AF1144" s="180"/>
      <c r="AG1144" s="180"/>
      <c r="AH1144" s="180"/>
      <c r="AI1144" s="180"/>
      <c r="AJ1144" s="180"/>
      <c r="AK1144" s="180"/>
      <c r="AL1144" s="180"/>
      <c r="AM1144" s="180"/>
      <c r="AN1144" s="180"/>
      <c r="AO1144" s="180"/>
      <c r="AP1144" s="180"/>
      <c r="AQ1144" s="180"/>
      <c r="AR1144" s="180"/>
      <c r="AS1144" s="180"/>
      <c r="AT1144" s="180"/>
      <c r="AU1144" s="180"/>
      <c r="AV1144" s="180"/>
      <c r="AW1144" s="180"/>
    </row>
    <row r="1145" spans="1:49" s="712" customFormat="1" ht="12.75" hidden="1" outlineLevel="1" x14ac:dyDescent="0.2">
      <c r="A1145" s="180"/>
      <c r="B1145" s="180"/>
      <c r="C1145" s="256"/>
      <c r="D1145" s="876" t="s">
        <v>1156</v>
      </c>
      <c r="E1145" s="718">
        <f t="shared" ref="E1145:N1145" si="266">FleetRecordsPerAnnumHM_TotalGrand*eSystemsPaperPercentHM</f>
        <v>313950</v>
      </c>
      <c r="F1145" s="718">
        <f t="shared" si="266"/>
        <v>11536.83116883117</v>
      </c>
      <c r="G1145" s="718">
        <f t="shared" si="266"/>
        <v>8072.8750000000009</v>
      </c>
      <c r="H1145" s="718">
        <f t="shared" si="266"/>
        <v>10896.69230769231</v>
      </c>
      <c r="I1145" s="718">
        <f t="shared" si="266"/>
        <v>9694.2857142857138</v>
      </c>
      <c r="J1145" s="718">
        <f t="shared" si="266"/>
        <v>8378.0952380952403</v>
      </c>
      <c r="K1145" s="718">
        <f t="shared" si="266"/>
        <v>6944.8928571428578</v>
      </c>
      <c r="L1145" s="718">
        <f t="shared" si="266"/>
        <v>5392.2100840336125</v>
      </c>
      <c r="M1145" s="718">
        <f t="shared" si="266"/>
        <v>3718.1269841269841</v>
      </c>
      <c r="N1145" s="718">
        <f t="shared" si="266"/>
        <v>1921.1278195488721</v>
      </c>
      <c r="O1145" s="257" t="s">
        <v>1157</v>
      </c>
      <c r="P1145" s="828"/>
      <c r="Q1145" s="180"/>
      <c r="R1145" s="180"/>
      <c r="S1145" s="180"/>
      <c r="T1145" s="180"/>
      <c r="U1145" s="180"/>
      <c r="V1145" s="180"/>
      <c r="W1145" s="180"/>
      <c r="X1145" s="180"/>
      <c r="Y1145" s="180"/>
      <c r="Z1145" s="180"/>
      <c r="AA1145" s="180"/>
      <c r="AB1145" s="180"/>
      <c r="AC1145" s="180"/>
      <c r="AD1145" s="180"/>
      <c r="AE1145" s="180"/>
      <c r="AF1145" s="180"/>
      <c r="AG1145" s="180"/>
      <c r="AH1145" s="180"/>
      <c r="AI1145" s="180"/>
      <c r="AJ1145" s="180"/>
      <c r="AK1145" s="180"/>
      <c r="AL1145" s="180"/>
      <c r="AM1145" s="180"/>
      <c r="AN1145" s="180"/>
      <c r="AO1145" s="180"/>
      <c r="AP1145" s="180"/>
      <c r="AQ1145" s="180"/>
      <c r="AR1145" s="180"/>
      <c r="AS1145" s="180"/>
      <c r="AT1145" s="180"/>
      <c r="AU1145" s="180"/>
      <c r="AV1145" s="180"/>
      <c r="AW1145" s="180"/>
    </row>
    <row r="1146" spans="1:49" s="712" customFormat="1" ht="12.75" hidden="1" outlineLevel="1" x14ac:dyDescent="0.2">
      <c r="A1146" s="180"/>
      <c r="B1146" s="180"/>
      <c r="C1146" s="256"/>
      <c r="D1146" s="876" t="s">
        <v>1158</v>
      </c>
      <c r="E1146" s="718">
        <f t="shared" ref="E1146:N1146" si="267">FleetRecordsPerAnnumLM_TotalGrand*eSystemsPaperPercentLM</f>
        <v>1560156</v>
      </c>
      <c r="F1146" s="718">
        <f t="shared" si="267"/>
        <v>62412.480000000003</v>
      </c>
      <c r="G1146" s="718">
        <f t="shared" si="267"/>
        <v>46814.04</v>
      </c>
      <c r="H1146" s="718">
        <f t="shared" si="267"/>
        <v>54621.840000000004</v>
      </c>
      <c r="I1146" s="718">
        <f t="shared" si="267"/>
        <v>46823.4</v>
      </c>
      <c r="J1146" s="718">
        <f t="shared" si="267"/>
        <v>39023.4</v>
      </c>
      <c r="K1146" s="718">
        <f t="shared" si="267"/>
        <v>31221.84</v>
      </c>
      <c r="L1146" s="718">
        <f t="shared" si="267"/>
        <v>23418.719999999998</v>
      </c>
      <c r="M1146" s="718">
        <f t="shared" si="267"/>
        <v>15614.04</v>
      </c>
      <c r="N1146" s="718">
        <f t="shared" si="267"/>
        <v>7807.8</v>
      </c>
      <c r="O1146" s="257" t="s">
        <v>1159</v>
      </c>
      <c r="P1146" s="828"/>
      <c r="Q1146" s="180"/>
      <c r="R1146" s="180"/>
      <c r="S1146" s="180"/>
      <c r="T1146" s="180"/>
      <c r="U1146" s="180"/>
      <c r="V1146" s="180"/>
      <c r="W1146" s="180"/>
      <c r="X1146" s="180"/>
      <c r="Y1146" s="180"/>
      <c r="Z1146" s="180"/>
      <c r="AA1146" s="180"/>
      <c r="AB1146" s="180"/>
      <c r="AC1146" s="180"/>
      <c r="AD1146" s="180"/>
      <c r="AE1146" s="180"/>
      <c r="AF1146" s="180"/>
      <c r="AG1146" s="180"/>
      <c r="AH1146" s="180"/>
      <c r="AI1146" s="180"/>
      <c r="AJ1146" s="180"/>
      <c r="AK1146" s="180"/>
      <c r="AL1146" s="180"/>
      <c r="AM1146" s="180"/>
      <c r="AN1146" s="180"/>
      <c r="AO1146" s="180"/>
      <c r="AP1146" s="180"/>
      <c r="AQ1146" s="180"/>
      <c r="AR1146" s="180"/>
      <c r="AS1146" s="180"/>
      <c r="AT1146" s="180"/>
      <c r="AU1146" s="180"/>
      <c r="AV1146" s="180"/>
      <c r="AW1146" s="180"/>
    </row>
    <row r="1147" spans="1:49" s="712" customFormat="1" ht="12.75" hidden="1" outlineLevel="1" x14ac:dyDescent="0.2">
      <c r="A1147" s="180"/>
      <c r="B1147" s="180"/>
      <c r="C1147" s="256"/>
      <c r="D1147" s="876" t="s">
        <v>1160</v>
      </c>
      <c r="E1147" s="718">
        <f t="shared" ref="E1147:N1147" si="268">FleetRecordsPerAnnumEng_TotalGrand*eSystemsPaperPercentENG</f>
        <v>1881171</v>
      </c>
      <c r="F1147" s="718">
        <f t="shared" si="268"/>
        <v>75253.680000000008</v>
      </c>
      <c r="G1147" s="718">
        <f t="shared" si="268"/>
        <v>56445.39</v>
      </c>
      <c r="H1147" s="718">
        <f t="shared" si="268"/>
        <v>65858.94</v>
      </c>
      <c r="I1147" s="718">
        <f t="shared" si="268"/>
        <v>56455.65</v>
      </c>
      <c r="J1147" s="718">
        <f t="shared" si="268"/>
        <v>47050.65</v>
      </c>
      <c r="K1147" s="718">
        <f t="shared" si="268"/>
        <v>37643.94</v>
      </c>
      <c r="L1147" s="718">
        <f t="shared" si="268"/>
        <v>28235.52</v>
      </c>
      <c r="M1147" s="718">
        <f t="shared" si="268"/>
        <v>18825.39</v>
      </c>
      <c r="N1147" s="718">
        <f t="shared" si="268"/>
        <v>9413.5500000000011</v>
      </c>
      <c r="O1147" s="257" t="s">
        <v>1161</v>
      </c>
      <c r="P1147" s="828"/>
      <c r="Q1147" s="180"/>
      <c r="R1147" s="180"/>
      <c r="S1147" s="180"/>
      <c r="T1147" s="180"/>
      <c r="U1147" s="180"/>
      <c r="V1147" s="180"/>
      <c r="W1147" s="180"/>
      <c r="X1147" s="180"/>
      <c r="Y1147" s="180"/>
      <c r="Z1147" s="180"/>
      <c r="AA1147" s="180"/>
      <c r="AB1147" s="180"/>
      <c r="AC1147" s="180"/>
      <c r="AD1147" s="180"/>
      <c r="AE1147" s="180"/>
      <c r="AF1147" s="180"/>
      <c r="AG1147" s="180"/>
      <c r="AH1147" s="180"/>
      <c r="AI1147" s="180"/>
      <c r="AJ1147" s="180"/>
      <c r="AK1147" s="180"/>
      <c r="AL1147" s="180"/>
      <c r="AM1147" s="180"/>
      <c r="AN1147" s="180"/>
      <c r="AO1147" s="180"/>
      <c r="AP1147" s="180"/>
      <c r="AQ1147" s="180"/>
      <c r="AR1147" s="180"/>
      <c r="AS1147" s="180"/>
      <c r="AT1147" s="180"/>
      <c r="AU1147" s="180"/>
      <c r="AV1147" s="180"/>
      <c r="AW1147" s="180"/>
    </row>
    <row r="1148" spans="1:49" s="712" customFormat="1" ht="12.75" hidden="1" outlineLevel="1" x14ac:dyDescent="0.2">
      <c r="A1148" s="180"/>
      <c r="B1148" s="180"/>
      <c r="C1148" s="256"/>
      <c r="D1148" s="876" t="s">
        <v>1162</v>
      </c>
      <c r="E1148" s="718">
        <f t="shared" ref="E1148:N1148" si="269">FleetRecordsPerAnnumPlg_TotalGrand*eSystemsPaperPercentPLG</f>
        <v>1716156</v>
      </c>
      <c r="F1148" s="718">
        <f t="shared" si="269"/>
        <v>68652.479999999996</v>
      </c>
      <c r="G1148" s="718">
        <f t="shared" si="269"/>
        <v>51494.04</v>
      </c>
      <c r="H1148" s="718">
        <f t="shared" si="269"/>
        <v>60081.840000000004</v>
      </c>
      <c r="I1148" s="718">
        <f t="shared" si="269"/>
        <v>51503.4</v>
      </c>
      <c r="J1148" s="718">
        <f t="shared" si="269"/>
        <v>42923.4</v>
      </c>
      <c r="K1148" s="718">
        <f t="shared" si="269"/>
        <v>34341.840000000004</v>
      </c>
      <c r="L1148" s="718">
        <f t="shared" si="269"/>
        <v>25758.719999999998</v>
      </c>
      <c r="M1148" s="718">
        <f t="shared" si="269"/>
        <v>17174.04</v>
      </c>
      <c r="N1148" s="718">
        <f t="shared" si="269"/>
        <v>8587.7999999999993</v>
      </c>
      <c r="O1148" s="257" t="s">
        <v>1163</v>
      </c>
      <c r="P1148" s="828"/>
      <c r="Q1148" s="180"/>
      <c r="R1148" s="180"/>
      <c r="S1148" s="180"/>
      <c r="T1148" s="180"/>
      <c r="U1148" s="180"/>
      <c r="V1148" s="180"/>
      <c r="W1148" s="180"/>
      <c r="X1148" s="180"/>
      <c r="Y1148" s="180"/>
      <c r="Z1148" s="180"/>
      <c r="AA1148" s="180"/>
      <c r="AB1148" s="180"/>
      <c r="AC1148" s="180"/>
      <c r="AD1148" s="180"/>
      <c r="AE1148" s="180"/>
      <c r="AF1148" s="180"/>
      <c r="AG1148" s="180"/>
      <c r="AH1148" s="180"/>
      <c r="AI1148" s="180"/>
      <c r="AJ1148" s="180"/>
      <c r="AK1148" s="180"/>
      <c r="AL1148" s="180"/>
      <c r="AM1148" s="180"/>
      <c r="AN1148" s="180"/>
      <c r="AO1148" s="180"/>
      <c r="AP1148" s="180"/>
      <c r="AQ1148" s="180"/>
      <c r="AR1148" s="180"/>
      <c r="AS1148" s="180"/>
      <c r="AT1148" s="180"/>
      <c r="AU1148" s="180"/>
      <c r="AV1148" s="180"/>
      <c r="AW1148" s="180"/>
    </row>
    <row r="1149" spans="1:49" s="712" customFormat="1" ht="12.75" hidden="1" outlineLevel="1" x14ac:dyDescent="0.2">
      <c r="A1149" s="180"/>
      <c r="B1149" s="180"/>
      <c r="C1149" s="256"/>
      <c r="D1149" s="876" t="s">
        <v>1164</v>
      </c>
      <c r="E1149" s="718">
        <f t="shared" ref="E1149:N1149" si="270">FleetRecordsPerAnnumCRT_TotalGrand*eSystemsPaperPercentCRT</f>
        <v>1872156</v>
      </c>
      <c r="F1149" s="718">
        <f t="shared" si="270"/>
        <v>74892.479999999996</v>
      </c>
      <c r="G1149" s="718">
        <f t="shared" si="270"/>
        <v>56174.04</v>
      </c>
      <c r="H1149" s="718">
        <f t="shared" si="270"/>
        <v>65541.840000000011</v>
      </c>
      <c r="I1149" s="718">
        <f t="shared" si="270"/>
        <v>56183.4</v>
      </c>
      <c r="J1149" s="718">
        <f t="shared" si="270"/>
        <v>46823.4</v>
      </c>
      <c r="K1149" s="718">
        <f t="shared" si="270"/>
        <v>37461.840000000004</v>
      </c>
      <c r="L1149" s="718">
        <f t="shared" si="270"/>
        <v>28098.719999999998</v>
      </c>
      <c r="M1149" s="718">
        <f t="shared" si="270"/>
        <v>18734.04</v>
      </c>
      <c r="N1149" s="718">
        <f t="shared" si="270"/>
        <v>9367.8000000000011</v>
      </c>
      <c r="O1149" s="257" t="s">
        <v>1165</v>
      </c>
      <c r="P1149" s="828"/>
      <c r="Q1149" s="180"/>
      <c r="R1149" s="180"/>
      <c r="S1149" s="180"/>
      <c r="T1149" s="180"/>
      <c r="U1149" s="180"/>
      <c r="V1149" s="180"/>
      <c r="W1149" s="180"/>
      <c r="X1149" s="180"/>
      <c r="Y1149" s="180"/>
      <c r="Z1149" s="180"/>
      <c r="AA1149" s="180"/>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row>
    <row r="1150" spans="1:49" s="712" customFormat="1" ht="12.75" hidden="1" outlineLevel="1" x14ac:dyDescent="0.2">
      <c r="A1150" s="180"/>
      <c r="B1150" s="180"/>
      <c r="C1150" s="256"/>
      <c r="D1150" s="876" t="s">
        <v>1166</v>
      </c>
      <c r="E1150" s="718">
        <f t="shared" ref="E1150:N1150" si="271">FleetRecordsPerAnnumSCL_TotalGrand*eSystemsPaperPercentSCL</f>
        <v>2028156</v>
      </c>
      <c r="F1150" s="718">
        <f t="shared" si="271"/>
        <v>81132.479999999996</v>
      </c>
      <c r="G1150" s="718">
        <f t="shared" si="271"/>
        <v>60854.04</v>
      </c>
      <c r="H1150" s="718">
        <f t="shared" si="271"/>
        <v>71001.840000000011</v>
      </c>
      <c r="I1150" s="718">
        <f t="shared" si="271"/>
        <v>60863.399999999994</v>
      </c>
      <c r="J1150" s="718">
        <f t="shared" si="271"/>
        <v>50723.4</v>
      </c>
      <c r="K1150" s="718">
        <f t="shared" si="271"/>
        <v>40581.840000000004</v>
      </c>
      <c r="L1150" s="718">
        <f t="shared" si="271"/>
        <v>30438.719999999998</v>
      </c>
      <c r="M1150" s="718">
        <f t="shared" si="271"/>
        <v>20294.04</v>
      </c>
      <c r="N1150" s="718">
        <f t="shared" si="271"/>
        <v>10147.800000000001</v>
      </c>
      <c r="O1150" s="257" t="s">
        <v>1167</v>
      </c>
      <c r="P1150" s="828"/>
      <c r="Q1150" s="180"/>
      <c r="R1150" s="180"/>
      <c r="S1150" s="180"/>
      <c r="T1150" s="180"/>
      <c r="U1150" s="180"/>
      <c r="V1150" s="180"/>
      <c r="W1150" s="180"/>
      <c r="X1150" s="180"/>
      <c r="Y1150" s="180"/>
      <c r="Z1150" s="180"/>
      <c r="AA1150" s="180"/>
      <c r="AB1150" s="180"/>
      <c r="AC1150" s="180"/>
      <c r="AD1150" s="180"/>
      <c r="AE1150" s="180"/>
      <c r="AF1150" s="180"/>
      <c r="AG1150" s="180"/>
      <c r="AH1150" s="180"/>
      <c r="AI1150" s="180"/>
      <c r="AJ1150" s="180"/>
      <c r="AK1150" s="180"/>
      <c r="AL1150" s="180"/>
      <c r="AM1150" s="180"/>
      <c r="AN1150" s="180"/>
      <c r="AO1150" s="180"/>
      <c r="AP1150" s="180"/>
      <c r="AQ1150" s="180"/>
      <c r="AR1150" s="180"/>
      <c r="AS1150" s="180"/>
      <c r="AT1150" s="180"/>
      <c r="AU1150" s="180"/>
      <c r="AV1150" s="180"/>
      <c r="AW1150" s="180"/>
    </row>
    <row r="1151" spans="1:49" s="712" customFormat="1" ht="12.75" hidden="1" outlineLevel="1" x14ac:dyDescent="0.2">
      <c r="A1151" s="180"/>
      <c r="B1151" s="180"/>
      <c r="C1151" s="256"/>
      <c r="D1151" s="876" t="s">
        <v>1168</v>
      </c>
      <c r="E1151" s="718">
        <f t="shared" ref="E1151:N1151" si="272">FleetRecordsPerAnnumQSC_TotalGrand*eSystemsPaperPercentQSC</f>
        <v>2184156</v>
      </c>
      <c r="F1151" s="718">
        <f t="shared" si="272"/>
        <v>87372.479999999996</v>
      </c>
      <c r="G1151" s="718">
        <f t="shared" si="272"/>
        <v>65534.04</v>
      </c>
      <c r="H1151" s="718">
        <f t="shared" si="272"/>
        <v>76461.840000000011</v>
      </c>
      <c r="I1151" s="718">
        <f t="shared" si="272"/>
        <v>65543.399999999994</v>
      </c>
      <c r="J1151" s="718">
        <f t="shared" si="272"/>
        <v>54623.4</v>
      </c>
      <c r="K1151" s="718">
        <f t="shared" si="272"/>
        <v>43701.840000000004</v>
      </c>
      <c r="L1151" s="718">
        <f t="shared" si="272"/>
        <v>32778.720000000001</v>
      </c>
      <c r="M1151" s="718">
        <f t="shared" si="272"/>
        <v>21854.04</v>
      </c>
      <c r="N1151" s="718">
        <f t="shared" si="272"/>
        <v>10927.800000000001</v>
      </c>
      <c r="O1151" s="257" t="s">
        <v>1169</v>
      </c>
      <c r="P1151" s="828"/>
      <c r="Q1151" s="180"/>
      <c r="R1151" s="180"/>
      <c r="S1151" s="180"/>
      <c r="T1151" s="180"/>
      <c r="U1151" s="180"/>
      <c r="V1151" s="180"/>
      <c r="W1151" s="180"/>
      <c r="X1151" s="180"/>
      <c r="Y1151" s="180"/>
      <c r="Z1151" s="180"/>
      <c r="AA1151" s="180"/>
      <c r="AB1151" s="180"/>
      <c r="AC1151" s="180"/>
      <c r="AD1151" s="180"/>
      <c r="AE1151" s="180"/>
      <c r="AF1151" s="180"/>
      <c r="AG1151" s="180"/>
      <c r="AH1151" s="180"/>
      <c r="AI1151" s="180"/>
      <c r="AJ1151" s="180"/>
      <c r="AK1151" s="180"/>
      <c r="AL1151" s="180"/>
      <c r="AM1151" s="180"/>
      <c r="AN1151" s="180"/>
      <c r="AO1151" s="180"/>
      <c r="AP1151" s="180"/>
      <c r="AQ1151" s="180"/>
      <c r="AR1151" s="180"/>
      <c r="AS1151" s="180"/>
      <c r="AT1151" s="180"/>
      <c r="AU1151" s="180"/>
      <c r="AV1151" s="180"/>
      <c r="AW1151" s="180"/>
    </row>
    <row r="1152" spans="1:49" s="712" customFormat="1" ht="12.75" hidden="1" outlineLevel="1" x14ac:dyDescent="0.2">
      <c r="A1152" s="180"/>
      <c r="B1152" s="180"/>
      <c r="C1152" s="256"/>
      <c r="D1152" s="876" t="s">
        <v>1170</v>
      </c>
      <c r="E1152" s="718">
        <f t="shared" ref="E1152:N1152" si="273">FleetRecordsPerAnnumEM_TotalGrand*eSystemsPaperPercentEM</f>
        <v>2340156</v>
      </c>
      <c r="F1152" s="718">
        <f t="shared" si="273"/>
        <v>93612.479999999996</v>
      </c>
      <c r="G1152" s="718">
        <f t="shared" si="273"/>
        <v>70214.039999999994</v>
      </c>
      <c r="H1152" s="718">
        <f t="shared" si="273"/>
        <v>81921.840000000011</v>
      </c>
      <c r="I1152" s="718">
        <f t="shared" si="273"/>
        <v>70223.399999999994</v>
      </c>
      <c r="J1152" s="718">
        <f t="shared" si="273"/>
        <v>58523.4</v>
      </c>
      <c r="K1152" s="718">
        <f t="shared" si="273"/>
        <v>46821.840000000004</v>
      </c>
      <c r="L1152" s="718">
        <f t="shared" si="273"/>
        <v>35118.720000000001</v>
      </c>
      <c r="M1152" s="718">
        <f t="shared" si="273"/>
        <v>23414.04</v>
      </c>
      <c r="N1152" s="718">
        <f t="shared" si="273"/>
        <v>11707.800000000001</v>
      </c>
      <c r="O1152" s="257" t="s">
        <v>1171</v>
      </c>
      <c r="P1152" s="828"/>
      <c r="Q1152" s="180"/>
      <c r="R1152" s="180"/>
      <c r="S1152" s="180"/>
      <c r="T1152" s="180"/>
      <c r="U1152" s="180"/>
      <c r="V1152" s="180"/>
      <c r="W1152" s="180"/>
      <c r="X1152" s="180"/>
      <c r="Y1152" s="180"/>
      <c r="Z1152" s="180"/>
      <c r="AA1152" s="180"/>
      <c r="AB1152" s="180"/>
      <c r="AC1152" s="180"/>
      <c r="AD1152" s="180"/>
      <c r="AE1152" s="180"/>
      <c r="AF1152" s="180"/>
      <c r="AG1152" s="180"/>
      <c r="AH1152" s="180"/>
      <c r="AI1152" s="180"/>
      <c r="AJ1152" s="180"/>
      <c r="AK1152" s="180"/>
      <c r="AL1152" s="180"/>
      <c r="AM1152" s="180"/>
      <c r="AN1152" s="180"/>
      <c r="AO1152" s="180"/>
      <c r="AP1152" s="180"/>
      <c r="AQ1152" s="180"/>
      <c r="AR1152" s="180"/>
      <c r="AS1152" s="180"/>
      <c r="AT1152" s="180"/>
      <c r="AU1152" s="180"/>
      <c r="AV1152" s="180"/>
      <c r="AW1152" s="180"/>
    </row>
    <row r="1153" spans="1:49" s="712" customFormat="1" ht="12.75" hidden="1" outlineLevel="1" x14ac:dyDescent="0.2">
      <c r="A1153" s="180"/>
      <c r="B1153" s="180"/>
      <c r="C1153" s="256"/>
      <c r="D1153" s="876" t="s">
        <v>1172</v>
      </c>
      <c r="E1153" s="718">
        <f t="shared" ref="E1153:N1153" si="274">FleetRecordsPerAnnumCM_TotalGrand*eSystemsPaperPercentCM</f>
        <v>2340156</v>
      </c>
      <c r="F1153" s="718">
        <f t="shared" si="274"/>
        <v>93612.479999999996</v>
      </c>
      <c r="G1153" s="718">
        <f t="shared" si="274"/>
        <v>70214.039999999994</v>
      </c>
      <c r="H1153" s="718">
        <f t="shared" si="274"/>
        <v>81921.840000000011</v>
      </c>
      <c r="I1153" s="718">
        <f t="shared" si="274"/>
        <v>70223.399999999994</v>
      </c>
      <c r="J1153" s="718">
        <f t="shared" si="274"/>
        <v>58523.4</v>
      </c>
      <c r="K1153" s="718">
        <f t="shared" si="274"/>
        <v>46821.840000000004</v>
      </c>
      <c r="L1153" s="718">
        <f t="shared" si="274"/>
        <v>35118.720000000001</v>
      </c>
      <c r="M1153" s="718">
        <f t="shared" si="274"/>
        <v>23414.04</v>
      </c>
      <c r="N1153" s="718">
        <f t="shared" si="274"/>
        <v>11707.800000000001</v>
      </c>
      <c r="O1153" s="257" t="s">
        <v>1173</v>
      </c>
      <c r="P1153" s="828"/>
      <c r="Q1153" s="180"/>
      <c r="R1153" s="180"/>
      <c r="S1153" s="180"/>
      <c r="T1153" s="180"/>
      <c r="U1153" s="180"/>
      <c r="V1153" s="180"/>
      <c r="W1153" s="180"/>
      <c r="X1153" s="180"/>
      <c r="Y1153" s="180"/>
      <c r="Z1153" s="180"/>
      <c r="AA1153" s="180"/>
      <c r="AB1153" s="180"/>
      <c r="AC1153" s="180"/>
      <c r="AD1153" s="180"/>
      <c r="AE1153" s="180"/>
      <c r="AF1153" s="180"/>
      <c r="AG1153" s="180"/>
      <c r="AH1153" s="180"/>
      <c r="AI1153" s="180"/>
      <c r="AJ1153" s="180"/>
      <c r="AK1153" s="180"/>
      <c r="AL1153" s="180"/>
      <c r="AM1153" s="180"/>
      <c r="AN1153" s="180"/>
      <c r="AO1153" s="180"/>
      <c r="AP1153" s="180"/>
      <c r="AQ1153" s="180"/>
      <c r="AR1153" s="180"/>
      <c r="AS1153" s="180"/>
      <c r="AT1153" s="180"/>
      <c r="AU1153" s="180"/>
      <c r="AV1153" s="180"/>
      <c r="AW1153" s="180"/>
    </row>
    <row r="1154" spans="1:49" s="712" customFormat="1" ht="12.75" hidden="1" outlineLevel="1" x14ac:dyDescent="0.2">
      <c r="A1154" s="180"/>
      <c r="B1154" s="180"/>
      <c r="C1154" s="256"/>
      <c r="D1154" s="876" t="s">
        <v>1174</v>
      </c>
      <c r="E1154" s="718">
        <f t="shared" ref="E1154:N1154" si="275">FleetRecordsPerAnnumSMCS_TotalGrand*eSystemsPaperPercentSMCS</f>
        <v>2340156</v>
      </c>
      <c r="F1154" s="718">
        <f t="shared" si="275"/>
        <v>93612.479999999996</v>
      </c>
      <c r="G1154" s="718">
        <f t="shared" si="275"/>
        <v>70214.039999999994</v>
      </c>
      <c r="H1154" s="718">
        <f t="shared" si="275"/>
        <v>81921.840000000011</v>
      </c>
      <c r="I1154" s="718">
        <f t="shared" si="275"/>
        <v>70223.399999999994</v>
      </c>
      <c r="J1154" s="718">
        <f t="shared" si="275"/>
        <v>58523.4</v>
      </c>
      <c r="K1154" s="718">
        <f t="shared" si="275"/>
        <v>46821.840000000004</v>
      </c>
      <c r="L1154" s="718">
        <f t="shared" si="275"/>
        <v>35118.720000000001</v>
      </c>
      <c r="M1154" s="718">
        <f t="shared" si="275"/>
        <v>23414.04</v>
      </c>
      <c r="N1154" s="718">
        <f t="shared" si="275"/>
        <v>11707.800000000001</v>
      </c>
      <c r="O1154" s="257" t="s">
        <v>1175</v>
      </c>
      <c r="P1154" s="828"/>
      <c r="Q1154" s="180"/>
      <c r="R1154" s="180"/>
      <c r="S1154" s="180"/>
      <c r="T1154" s="180"/>
      <c r="U1154" s="180"/>
      <c r="V1154" s="180"/>
      <c r="W1154" s="180"/>
      <c r="X1154" s="180"/>
      <c r="Y1154" s="180"/>
      <c r="Z1154" s="180"/>
      <c r="AA1154" s="180"/>
      <c r="AB1154" s="180"/>
      <c r="AC1154" s="180"/>
      <c r="AD1154" s="180"/>
      <c r="AE1154" s="180"/>
      <c r="AF1154" s="180"/>
      <c r="AG1154" s="180"/>
      <c r="AH1154" s="180"/>
      <c r="AI1154" s="180"/>
      <c r="AJ1154" s="180"/>
      <c r="AK1154" s="180"/>
      <c r="AL1154" s="180"/>
      <c r="AM1154" s="180"/>
      <c r="AN1154" s="180"/>
      <c r="AO1154" s="180"/>
      <c r="AP1154" s="180"/>
      <c r="AQ1154" s="180"/>
      <c r="AR1154" s="180"/>
      <c r="AS1154" s="180"/>
      <c r="AT1154" s="180"/>
      <c r="AU1154" s="180"/>
      <c r="AV1154" s="180"/>
      <c r="AW1154" s="180"/>
    </row>
    <row r="1155" spans="1:49" s="712" customFormat="1" ht="12.75" hidden="1" outlineLevel="1" x14ac:dyDescent="0.2">
      <c r="A1155" s="180"/>
      <c r="B1155" s="180"/>
      <c r="C1155" s="256"/>
      <c r="D1155" s="876" t="s">
        <v>1176</v>
      </c>
      <c r="E1155" s="718">
        <f t="shared" ref="E1155:N1155" si="276">FleetRecordsPerAnnumO1_TotalGrand*eSystemsPaperPercentO1</f>
        <v>1440096</v>
      </c>
      <c r="F1155" s="718">
        <f t="shared" si="276"/>
        <v>57607.68</v>
      </c>
      <c r="G1155" s="718">
        <f t="shared" si="276"/>
        <v>43208.639999999999</v>
      </c>
      <c r="H1155" s="718">
        <f t="shared" si="276"/>
        <v>50413.440000000002</v>
      </c>
      <c r="I1155" s="718">
        <f t="shared" si="276"/>
        <v>43214.400000000001</v>
      </c>
      <c r="J1155" s="718">
        <f t="shared" si="276"/>
        <v>36014.400000000001</v>
      </c>
      <c r="K1155" s="718">
        <f t="shared" si="276"/>
        <v>28813.440000000002</v>
      </c>
      <c r="L1155" s="718">
        <f t="shared" si="276"/>
        <v>21611.52</v>
      </c>
      <c r="M1155" s="718">
        <f t="shared" si="276"/>
        <v>14408.64</v>
      </c>
      <c r="N1155" s="718">
        <f t="shared" si="276"/>
        <v>7204.8</v>
      </c>
      <c r="O1155" s="257" t="s">
        <v>1177</v>
      </c>
      <c r="P1155" s="828"/>
      <c r="Q1155" s="180"/>
      <c r="R1155" s="180"/>
      <c r="S1155" s="180"/>
      <c r="T1155" s="180"/>
      <c r="U1155" s="180"/>
      <c r="V1155" s="180"/>
      <c r="W1155" s="180"/>
      <c r="X1155" s="180"/>
      <c r="Y1155" s="180"/>
      <c r="Z1155" s="180"/>
      <c r="AA1155" s="180"/>
      <c r="AB1155" s="180"/>
      <c r="AC1155" s="180"/>
      <c r="AD1155" s="180"/>
      <c r="AE1155" s="180"/>
      <c r="AF1155" s="180"/>
      <c r="AG1155" s="180"/>
      <c r="AH1155" s="180"/>
      <c r="AI1155" s="180"/>
      <c r="AJ1155" s="180"/>
      <c r="AK1155" s="180"/>
      <c r="AL1155" s="180"/>
      <c r="AM1155" s="180"/>
      <c r="AN1155" s="180"/>
      <c r="AO1155" s="180"/>
      <c r="AP1155" s="180"/>
      <c r="AQ1155" s="180"/>
      <c r="AR1155" s="180"/>
      <c r="AS1155" s="180"/>
      <c r="AT1155" s="180"/>
      <c r="AU1155" s="180"/>
      <c r="AV1155" s="180"/>
      <c r="AW1155" s="180"/>
    </row>
    <row r="1156" spans="1:49" s="712" customFormat="1" ht="12.75" hidden="1" outlineLevel="1" x14ac:dyDescent="0.2">
      <c r="A1156" s="180"/>
      <c r="B1156" s="180"/>
      <c r="C1156" s="256"/>
      <c r="D1156" s="876" t="s">
        <v>1178</v>
      </c>
      <c r="E1156" s="718">
        <f t="shared" ref="E1156:N1156" si="277">FleetRecordsPerAnnumO2_TotalGrand*eSystemsPaperPercentO2</f>
        <v>1440096</v>
      </c>
      <c r="F1156" s="718">
        <f t="shared" si="277"/>
        <v>57607.68</v>
      </c>
      <c r="G1156" s="718">
        <f t="shared" si="277"/>
        <v>43208.639999999999</v>
      </c>
      <c r="H1156" s="718">
        <f t="shared" si="277"/>
        <v>50413.440000000002</v>
      </c>
      <c r="I1156" s="718">
        <f t="shared" si="277"/>
        <v>43214.400000000001</v>
      </c>
      <c r="J1156" s="718">
        <f t="shared" si="277"/>
        <v>36014.400000000001</v>
      </c>
      <c r="K1156" s="718">
        <f t="shared" si="277"/>
        <v>28813.440000000002</v>
      </c>
      <c r="L1156" s="718">
        <f t="shared" si="277"/>
        <v>21611.52</v>
      </c>
      <c r="M1156" s="718">
        <f t="shared" si="277"/>
        <v>14408.64</v>
      </c>
      <c r="N1156" s="718">
        <f t="shared" si="277"/>
        <v>7204.8</v>
      </c>
      <c r="O1156" s="257" t="s">
        <v>1179</v>
      </c>
      <c r="P1156" s="828"/>
      <c r="Q1156" s="180"/>
      <c r="R1156" s="180"/>
      <c r="S1156" s="180"/>
      <c r="T1156" s="180"/>
      <c r="U1156" s="180"/>
      <c r="V1156" s="180"/>
      <c r="W1156" s="180"/>
      <c r="X1156" s="180"/>
      <c r="Y1156" s="180"/>
      <c r="Z1156" s="180"/>
      <c r="AA1156" s="180"/>
      <c r="AB1156" s="180"/>
      <c r="AC1156" s="180"/>
      <c r="AD1156" s="180"/>
      <c r="AE1156" s="180"/>
      <c r="AF1156" s="180"/>
      <c r="AG1156" s="180"/>
      <c r="AH1156" s="180"/>
      <c r="AI1156" s="180"/>
      <c r="AJ1156" s="180"/>
      <c r="AK1156" s="180"/>
      <c r="AL1156" s="180"/>
      <c r="AM1156" s="180"/>
      <c r="AN1156" s="180"/>
      <c r="AO1156" s="180"/>
      <c r="AP1156" s="180"/>
      <c r="AQ1156" s="180"/>
      <c r="AR1156" s="180"/>
      <c r="AS1156" s="180"/>
      <c r="AT1156" s="180"/>
      <c r="AU1156" s="180"/>
      <c r="AV1156" s="180"/>
      <c r="AW1156" s="180"/>
    </row>
    <row r="1157" spans="1:49" s="712" customFormat="1" ht="12.75" hidden="1" outlineLevel="1" x14ac:dyDescent="0.2">
      <c r="A1157" s="180"/>
      <c r="B1157" s="180"/>
      <c r="C1157" s="256"/>
      <c r="D1157" s="876" t="s">
        <v>112</v>
      </c>
      <c r="E1157" s="719">
        <f>SUM(E1145:E1156)</f>
        <v>21456561</v>
      </c>
      <c r="F1157" s="719">
        <f t="shared" ref="F1157:N1157" si="278">SUM(F1145:F1156)</f>
        <v>857305.71116883121</v>
      </c>
      <c r="G1157" s="719">
        <f t="shared" si="278"/>
        <v>642447.86499999999</v>
      </c>
      <c r="H1157" s="719">
        <f t="shared" si="278"/>
        <v>751057.23230769229</v>
      </c>
      <c r="I1157" s="719">
        <f t="shared" si="278"/>
        <v>644165.93571428582</v>
      </c>
      <c r="J1157" s="719">
        <f t="shared" si="278"/>
        <v>537144.74523809529</v>
      </c>
      <c r="K1157" s="719">
        <f t="shared" si="278"/>
        <v>429990.43285714294</v>
      </c>
      <c r="L1157" s="719">
        <f t="shared" si="278"/>
        <v>322700.53008403361</v>
      </c>
      <c r="M1157" s="719">
        <f t="shared" si="278"/>
        <v>215273.11698412703</v>
      </c>
      <c r="N1157" s="719">
        <f t="shared" si="278"/>
        <v>107706.67781954889</v>
      </c>
      <c r="O1157" s="257" t="s">
        <v>682</v>
      </c>
      <c r="P1157" s="828"/>
      <c r="Q1157" s="180"/>
      <c r="R1157" s="180"/>
      <c r="S1157" s="180"/>
      <c r="T1157" s="180"/>
      <c r="U1157" s="180"/>
      <c r="V1157" s="180"/>
      <c r="W1157" s="180"/>
      <c r="X1157" s="180"/>
      <c r="Y1157" s="180"/>
      <c r="Z1157" s="180"/>
      <c r="AA1157" s="180"/>
      <c r="AB1157" s="180"/>
      <c r="AC1157" s="180"/>
      <c r="AD1157" s="180"/>
      <c r="AE1157" s="180"/>
      <c r="AF1157" s="180"/>
      <c r="AG1157" s="180"/>
      <c r="AH1157" s="180"/>
      <c r="AI1157" s="180"/>
      <c r="AJ1157" s="180"/>
      <c r="AK1157" s="180"/>
      <c r="AL1157" s="180"/>
      <c r="AM1157" s="180"/>
      <c r="AN1157" s="180"/>
      <c r="AO1157" s="180"/>
      <c r="AP1157" s="180"/>
      <c r="AQ1157" s="180"/>
      <c r="AR1157" s="180"/>
      <c r="AS1157" s="180"/>
      <c r="AT1157" s="180"/>
      <c r="AU1157" s="180"/>
      <c r="AV1157" s="180"/>
      <c r="AW1157" s="180"/>
    </row>
    <row r="1158" spans="1:49" s="193" customFormat="1" ht="12.75" hidden="1" outlineLevel="1" x14ac:dyDescent="0.2">
      <c r="A1158" s="180"/>
      <c r="B1158" s="180"/>
      <c r="C1158" s="270"/>
      <c r="D1158" s="30"/>
      <c r="E1158" s="38"/>
      <c r="F1158" s="38"/>
      <c r="G1158" s="38"/>
      <c r="H1158" s="38"/>
      <c r="I1158" s="38"/>
      <c r="J1158" s="38"/>
      <c r="K1158" s="38"/>
      <c r="L1158" s="38"/>
      <c r="M1158" s="38"/>
      <c r="N1158" s="38"/>
      <c r="O1158" s="829"/>
      <c r="P1158" s="828"/>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row>
    <row r="1159" spans="1:49" s="193" customFormat="1" ht="14.25" hidden="1" customHeight="1" outlineLevel="1" thickBot="1" x14ac:dyDescent="0.25">
      <c r="A1159" s="180"/>
      <c r="B1159" s="180"/>
      <c r="C1159" s="877"/>
      <c r="D1159" s="878"/>
      <c r="E1159" s="878"/>
      <c r="F1159" s="878"/>
      <c r="G1159" s="878"/>
      <c r="H1159" s="878"/>
      <c r="I1159" s="878"/>
      <c r="J1159" s="878"/>
      <c r="K1159" s="878"/>
      <c r="L1159" s="878"/>
      <c r="M1159" s="878"/>
      <c r="N1159" s="878"/>
      <c r="O1159" s="879"/>
      <c r="P1159" s="828"/>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row>
    <row r="1160" spans="1:49" hidden="1" outlineLevel="1" x14ac:dyDescent="0.25">
      <c r="A1160" s="180"/>
      <c r="B1160" s="17"/>
      <c r="C1160" s="880"/>
      <c r="D1160" s="881"/>
      <c r="E1160" s="882"/>
      <c r="F1160" s="18"/>
      <c r="G1160" s="18"/>
      <c r="H1160" s="18"/>
      <c r="I1160" s="18"/>
      <c r="J1160" s="18"/>
      <c r="K1160" s="18"/>
      <c r="L1160" s="18"/>
      <c r="M1160" s="18"/>
      <c r="N1160" s="18"/>
      <c r="O1160" s="883"/>
      <c r="P1160" s="819"/>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row>
    <row r="1161" spans="1:49" s="122" customFormat="1" ht="15.75" collapsed="1" x14ac:dyDescent="0.2">
      <c r="A1161" s="1043" t="s">
        <v>4214</v>
      </c>
      <c r="B1161" s="1039"/>
      <c r="C1161" s="1039"/>
      <c r="D1161" s="1039"/>
      <c r="E1161" s="1039"/>
      <c r="F1161" s="1039"/>
      <c r="G1161" s="1039"/>
      <c r="H1161" s="1039"/>
      <c r="I1161" s="1039"/>
      <c r="J1161" s="1039"/>
      <c r="K1161" s="1039"/>
      <c r="L1161" s="1039"/>
      <c r="M1161" s="1039"/>
      <c r="N1161" s="1039"/>
      <c r="O1161" s="1039"/>
      <c r="P1161" s="206"/>
      <c r="Q1161" s="206"/>
      <c r="R1161" s="206"/>
      <c r="S1161" s="206"/>
      <c r="T1161" s="206"/>
      <c r="U1161" s="206"/>
      <c r="V1161" s="206"/>
      <c r="W1161" s="206"/>
      <c r="X1161" s="206"/>
      <c r="Y1161" s="206"/>
      <c r="Z1161" s="206"/>
      <c r="AA1161" s="206"/>
      <c r="AB1161" s="206"/>
      <c r="AC1161" s="206"/>
      <c r="AD1161" s="206"/>
      <c r="AE1161" s="206"/>
      <c r="AF1161" s="206"/>
      <c r="AG1161" s="206"/>
      <c r="AH1161" s="206"/>
      <c r="AI1161" s="206"/>
      <c r="AJ1161" s="206"/>
      <c r="AK1161" s="206"/>
      <c r="AL1161" s="206"/>
      <c r="AM1161" s="206"/>
      <c r="AN1161" s="206"/>
      <c r="AO1161" s="206"/>
      <c r="AP1161" s="206"/>
      <c r="AQ1161" s="206"/>
      <c r="AR1161" s="206"/>
      <c r="AS1161" s="206"/>
      <c r="AT1161" s="206"/>
      <c r="AU1161" s="206"/>
      <c r="AV1161" s="206"/>
      <c r="AW1161" s="206"/>
    </row>
    <row r="1162" spans="1:49" x14ac:dyDescent="0.25">
      <c r="A1162" s="41"/>
      <c r="B1162" s="17"/>
      <c r="C1162" s="880"/>
      <c r="D1162" s="881"/>
      <c r="E1162" s="882"/>
      <c r="F1162" s="18"/>
      <c r="G1162" s="18"/>
      <c r="H1162" s="18"/>
      <c r="I1162" s="18"/>
      <c r="J1162" s="18"/>
      <c r="K1162" s="18"/>
      <c r="L1162" s="18"/>
      <c r="M1162" s="18"/>
      <c r="N1162" s="18"/>
      <c r="O1162" s="883"/>
      <c r="P1162" s="819"/>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row>
    <row r="1163" spans="1:49" x14ac:dyDescent="0.25">
      <c r="A1163" s="41"/>
      <c r="B1163" s="17"/>
      <c r="C1163" s="880"/>
      <c r="D1163" s="881"/>
      <c r="E1163" s="882"/>
      <c r="F1163" s="18"/>
      <c r="G1163" s="18"/>
      <c r="H1163" s="18"/>
      <c r="I1163" s="18"/>
      <c r="J1163" s="18"/>
      <c r="K1163" s="18"/>
      <c r="L1163" s="18"/>
      <c r="M1163" s="18"/>
      <c r="N1163" s="18"/>
      <c r="O1163" s="883"/>
      <c r="P1163" s="819"/>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row>
    <row r="1164" spans="1:49" s="138" customFormat="1" x14ac:dyDescent="0.25">
      <c r="A1164" s="41"/>
      <c r="B1164" s="17"/>
      <c r="C1164" s="880"/>
      <c r="D1164" s="881"/>
      <c r="E1164" s="882"/>
      <c r="F1164" s="18"/>
      <c r="G1164" s="18"/>
      <c r="H1164" s="18"/>
      <c r="I1164" s="18"/>
      <c r="J1164" s="18"/>
      <c r="K1164" s="18"/>
      <c r="L1164" s="18"/>
      <c r="M1164" s="18"/>
      <c r="N1164" s="18"/>
      <c r="O1164" s="883"/>
      <c r="P1164" s="819"/>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row>
    <row r="1165" spans="1:49" s="138" customFormat="1" x14ac:dyDescent="0.25">
      <c r="A1165" s="41"/>
      <c r="B1165" s="17"/>
      <c r="C1165" s="880"/>
      <c r="D1165" s="881"/>
      <c r="E1165" s="882"/>
      <c r="F1165" s="18"/>
      <c r="G1165" s="18"/>
      <c r="H1165" s="18"/>
      <c r="I1165" s="18"/>
      <c r="J1165" s="18"/>
      <c r="K1165" s="18"/>
      <c r="L1165" s="18"/>
      <c r="M1165" s="18"/>
      <c r="N1165" s="18"/>
      <c r="O1165" s="883"/>
      <c r="P1165" s="819"/>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row>
    <row r="1166" spans="1:49" s="138" customFormat="1" x14ac:dyDescent="0.25">
      <c r="A1166" s="41"/>
      <c r="B1166" s="17"/>
      <c r="C1166" s="880"/>
      <c r="D1166" s="881"/>
      <c r="E1166" s="882"/>
      <c r="F1166" s="18"/>
      <c r="G1166" s="18"/>
      <c r="H1166" s="18"/>
      <c r="I1166" s="18"/>
      <c r="J1166" s="18"/>
      <c r="K1166" s="18"/>
      <c r="L1166" s="18"/>
      <c r="M1166" s="18"/>
      <c r="N1166" s="18"/>
      <c r="O1166" s="883"/>
      <c r="P1166" s="819"/>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row>
    <row r="1167" spans="1:49" s="138" customFormat="1" x14ac:dyDescent="0.25">
      <c r="A1167" s="41"/>
      <c r="B1167" s="17"/>
      <c r="C1167" s="880"/>
      <c r="D1167" s="881"/>
      <c r="E1167" s="882"/>
      <c r="F1167" s="18"/>
      <c r="G1167" s="18"/>
      <c r="H1167" s="18"/>
      <c r="I1167" s="18"/>
      <c r="J1167" s="18"/>
      <c r="K1167" s="18"/>
      <c r="L1167" s="18"/>
      <c r="M1167" s="18"/>
      <c r="N1167" s="18"/>
      <c r="O1167" s="883"/>
      <c r="P1167" s="819"/>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row>
    <row r="1168" spans="1:49" s="138" customFormat="1" x14ac:dyDescent="0.25">
      <c r="A1168" s="41"/>
      <c r="B1168" s="17"/>
      <c r="C1168" s="880"/>
      <c r="D1168" s="881"/>
      <c r="E1168" s="882"/>
      <c r="F1168" s="18"/>
      <c r="G1168" s="18"/>
      <c r="H1168" s="18"/>
      <c r="I1168" s="18"/>
      <c r="J1168" s="18"/>
      <c r="K1168" s="18"/>
      <c r="L1168" s="18"/>
      <c r="M1168" s="18"/>
      <c r="N1168" s="18"/>
      <c r="O1168" s="883"/>
      <c r="P1168" s="819"/>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row>
  </sheetData>
  <sheetProtection selectLockedCells="1" sort="0" autoFilter="0" pivotTables="0"/>
  <mergeCells count="10">
    <mergeCell ref="M2:O2"/>
    <mergeCell ref="B3:L4"/>
    <mergeCell ref="M3:O4"/>
    <mergeCell ref="A1050:A1065"/>
    <mergeCell ref="A1072:A1100"/>
    <mergeCell ref="A25:A84"/>
    <mergeCell ref="A8:A11"/>
    <mergeCell ref="A15:A17"/>
    <mergeCell ref="A2:A4"/>
    <mergeCell ref="B2:L2"/>
  </mergeCells>
  <conditionalFormatting sqref="B1073:XFD1084 B1085:C1085 P1085:XFD1085 D24:XFD24 A167:XFD228 A303:XFD365 A1050:B1050 D88:XFD88 D1050:XFD1050 B1114:D1114 O1114:XFD1114 B1086:XFD1113 B1129:XFD1143 C23:XFD23 A23:B24 A25:XFD85 A87:XFD87 A89:XFD160 A164:XFD165 A233:XFD233 C301:XFD301 A235:XFD296 A372:XFD433 A370:XFD370 A440:XFD501 A438:XFD438 A506:XFD506 A508:XFD568 A575:XFD636 A573:XFD573 A641:XFD641 A643:XFD704 A709:XFD709 A711:XFD772 A777:XFD777 A779:XFD840 A845:XFD845 A847:XFD908 A913:XFD913 A915:XFD976 A981:XFD1044 A1049:XFD1049 B1051:XFD1066 A1066 B1158:XFD1160 A1101:A1160 A1071:XFD1072 B88 A5:XFD5 A1162:XFD1048576">
    <cfRule type="containsText" dxfId="752" priority="142" operator="containsText" text="eSystems ">
      <formula>NOT(ISERROR(SEARCH("eSystems ",A5)))</formula>
    </cfRule>
    <cfRule type="containsText" dxfId="751" priority="143" operator="containsText" text="hSystems ">
      <formula>NOT(ISERROR(SEARCH("hSystems ",A5)))</formula>
    </cfRule>
    <cfRule type="containsText" dxfId="750" priority="144" operator="containsText" text="pSystems ">
      <formula>NOT(ISERROR(SEARCH("pSystems ",A5)))</formula>
    </cfRule>
  </conditionalFormatting>
  <conditionalFormatting sqref="B1115:XFD1128 E1114:N1114">
    <cfRule type="containsText" dxfId="749" priority="139" operator="containsText" text="eSystems ">
      <formula>NOT(ISERROR(SEARCH("eSystems ",B1114)))</formula>
    </cfRule>
    <cfRule type="containsText" dxfId="748" priority="140" operator="containsText" text="hSystems ">
      <formula>NOT(ISERROR(SEARCH("hSystems ",B1114)))</formula>
    </cfRule>
    <cfRule type="containsText" dxfId="747" priority="141" operator="containsText" text="pSystems ">
      <formula>NOT(ISERROR(SEARCH("pSystems ",B1114)))</formula>
    </cfRule>
  </conditionalFormatting>
  <conditionalFormatting sqref="B1144:XFD1157">
    <cfRule type="containsText" dxfId="746" priority="136" operator="containsText" text="eSystems ">
      <formula>NOT(ISERROR(SEARCH("eSystems ",B1144)))</formula>
    </cfRule>
    <cfRule type="containsText" dxfId="745" priority="137" operator="containsText" text="hSystems ">
      <formula>NOT(ISERROR(SEARCH("hSystems ",B1144)))</formula>
    </cfRule>
    <cfRule type="containsText" dxfId="744" priority="138" operator="containsText" text="pSystems ">
      <formula>NOT(ISERROR(SEARCH("pSystems ",B1144)))</formula>
    </cfRule>
  </conditionalFormatting>
  <conditionalFormatting sqref="A166:B166 D166:XFD166">
    <cfRule type="containsText" dxfId="743" priority="133" operator="containsText" text="eSystems ">
      <formula>NOT(ISERROR(SEARCH("eSystems ",A166)))</formula>
    </cfRule>
    <cfRule type="containsText" dxfId="742" priority="134" operator="containsText" text="hSystems ">
      <formula>NOT(ISERROR(SEARCH("hSystems ",A166)))</formula>
    </cfRule>
    <cfRule type="containsText" dxfId="741" priority="135" operator="containsText" text="pSystems ">
      <formula>NOT(ISERROR(SEARCH("pSystems ",A166)))</formula>
    </cfRule>
  </conditionalFormatting>
  <conditionalFormatting sqref="A234:B234 D234:XFD234">
    <cfRule type="containsText" dxfId="740" priority="130" operator="containsText" text="eSystems ">
      <formula>NOT(ISERROR(SEARCH("eSystems ",A234)))</formula>
    </cfRule>
    <cfRule type="containsText" dxfId="739" priority="131" operator="containsText" text="hSystems ">
      <formula>NOT(ISERROR(SEARCH("hSystems ",A234)))</formula>
    </cfRule>
    <cfRule type="containsText" dxfId="738" priority="132" operator="containsText" text="pSystems ">
      <formula>NOT(ISERROR(SEARCH("pSystems ",A234)))</formula>
    </cfRule>
  </conditionalFormatting>
  <conditionalFormatting sqref="A302:B302 D302:XFD302">
    <cfRule type="containsText" dxfId="737" priority="127" operator="containsText" text="eSystems ">
      <formula>NOT(ISERROR(SEARCH("eSystems ",A302)))</formula>
    </cfRule>
    <cfRule type="containsText" dxfId="736" priority="128" operator="containsText" text="hSystems ">
      <formula>NOT(ISERROR(SEARCH("hSystems ",A302)))</formula>
    </cfRule>
    <cfRule type="containsText" dxfId="735" priority="129" operator="containsText" text="pSystems ">
      <formula>NOT(ISERROR(SEARCH("pSystems ",A302)))</formula>
    </cfRule>
  </conditionalFormatting>
  <conditionalFormatting sqref="A371:B371 D371:XFD371">
    <cfRule type="containsText" dxfId="734" priority="124" operator="containsText" text="eSystems ">
      <formula>NOT(ISERROR(SEARCH("eSystems ",A371)))</formula>
    </cfRule>
    <cfRule type="containsText" dxfId="733" priority="125" operator="containsText" text="hSystems ">
      <formula>NOT(ISERROR(SEARCH("hSystems ",A371)))</formula>
    </cfRule>
    <cfRule type="containsText" dxfId="732" priority="126" operator="containsText" text="pSystems ">
      <formula>NOT(ISERROR(SEARCH("pSystems ",A371)))</formula>
    </cfRule>
  </conditionalFormatting>
  <conditionalFormatting sqref="A439:B439 D439:XFD439">
    <cfRule type="containsText" dxfId="731" priority="121" operator="containsText" text="eSystems ">
      <formula>NOT(ISERROR(SEARCH("eSystems ",A439)))</formula>
    </cfRule>
    <cfRule type="containsText" dxfId="730" priority="122" operator="containsText" text="hSystems ">
      <formula>NOT(ISERROR(SEARCH("hSystems ",A439)))</formula>
    </cfRule>
    <cfRule type="containsText" dxfId="729" priority="123" operator="containsText" text="pSystems ">
      <formula>NOT(ISERROR(SEARCH("pSystems ",A439)))</formula>
    </cfRule>
  </conditionalFormatting>
  <conditionalFormatting sqref="A507:B507 D507:XFD507">
    <cfRule type="containsText" dxfId="728" priority="118" operator="containsText" text="eSystems ">
      <formula>NOT(ISERROR(SEARCH("eSystems ",A507)))</formula>
    </cfRule>
    <cfRule type="containsText" dxfId="727" priority="119" operator="containsText" text="hSystems ">
      <formula>NOT(ISERROR(SEARCH("hSystems ",A507)))</formula>
    </cfRule>
    <cfRule type="containsText" dxfId="726" priority="120" operator="containsText" text="pSystems ">
      <formula>NOT(ISERROR(SEARCH("pSystems ",A507)))</formula>
    </cfRule>
  </conditionalFormatting>
  <conditionalFormatting sqref="A574:B574 D574:XFD574">
    <cfRule type="containsText" dxfId="725" priority="115" operator="containsText" text="eSystems ">
      <formula>NOT(ISERROR(SEARCH("eSystems ",A574)))</formula>
    </cfRule>
    <cfRule type="containsText" dxfId="724" priority="116" operator="containsText" text="hSystems ">
      <formula>NOT(ISERROR(SEARCH("hSystems ",A574)))</formula>
    </cfRule>
    <cfRule type="containsText" dxfId="723" priority="117" operator="containsText" text="pSystems ">
      <formula>NOT(ISERROR(SEARCH("pSystems ",A574)))</formula>
    </cfRule>
  </conditionalFormatting>
  <conditionalFormatting sqref="A642:B642 D642:XFD642">
    <cfRule type="containsText" dxfId="722" priority="112" operator="containsText" text="eSystems ">
      <formula>NOT(ISERROR(SEARCH("eSystems ",A642)))</formula>
    </cfRule>
    <cfRule type="containsText" dxfId="721" priority="113" operator="containsText" text="hSystems ">
      <formula>NOT(ISERROR(SEARCH("hSystems ",A642)))</formula>
    </cfRule>
    <cfRule type="containsText" dxfId="720" priority="114" operator="containsText" text="pSystems ">
      <formula>NOT(ISERROR(SEARCH("pSystems ",A642)))</formula>
    </cfRule>
  </conditionalFormatting>
  <conditionalFormatting sqref="A710:B710 D710:XFD710">
    <cfRule type="containsText" dxfId="719" priority="109" operator="containsText" text="eSystems ">
      <formula>NOT(ISERROR(SEARCH("eSystems ",A710)))</formula>
    </cfRule>
    <cfRule type="containsText" dxfId="718" priority="110" operator="containsText" text="hSystems ">
      <formula>NOT(ISERROR(SEARCH("hSystems ",A710)))</formula>
    </cfRule>
    <cfRule type="containsText" dxfId="717" priority="111" operator="containsText" text="pSystems ">
      <formula>NOT(ISERROR(SEARCH("pSystems ",A710)))</formula>
    </cfRule>
  </conditionalFormatting>
  <conditionalFormatting sqref="A778:B778 D778:XFD778">
    <cfRule type="containsText" dxfId="716" priority="106" operator="containsText" text="eSystems ">
      <formula>NOT(ISERROR(SEARCH("eSystems ",A778)))</formula>
    </cfRule>
    <cfRule type="containsText" dxfId="715" priority="107" operator="containsText" text="hSystems ">
      <formula>NOT(ISERROR(SEARCH("hSystems ",A778)))</formula>
    </cfRule>
    <cfRule type="containsText" dxfId="714" priority="108" operator="containsText" text="pSystems ">
      <formula>NOT(ISERROR(SEARCH("pSystems ",A778)))</formula>
    </cfRule>
  </conditionalFormatting>
  <conditionalFormatting sqref="A846:B846 D846:XFD846">
    <cfRule type="containsText" dxfId="713" priority="103" operator="containsText" text="eSystems ">
      <formula>NOT(ISERROR(SEARCH("eSystems ",A846)))</formula>
    </cfRule>
    <cfRule type="containsText" dxfId="712" priority="104" operator="containsText" text="hSystems ">
      <formula>NOT(ISERROR(SEARCH("hSystems ",A846)))</formula>
    </cfRule>
    <cfRule type="containsText" dxfId="711" priority="105" operator="containsText" text="pSystems ">
      <formula>NOT(ISERROR(SEARCH("pSystems ",A846)))</formula>
    </cfRule>
  </conditionalFormatting>
  <conditionalFormatting sqref="A914:B914 D914:XFD914">
    <cfRule type="containsText" dxfId="710" priority="100" operator="containsText" text="eSystems ">
      <formula>NOT(ISERROR(SEARCH("eSystems ",A914)))</formula>
    </cfRule>
    <cfRule type="containsText" dxfId="709" priority="101" operator="containsText" text="hSystems ">
      <formula>NOT(ISERROR(SEARCH("hSystems ",A914)))</formula>
    </cfRule>
    <cfRule type="containsText" dxfId="708" priority="102" operator="containsText" text="pSystems ">
      <formula>NOT(ISERROR(SEARCH("pSystems ",A914)))</formula>
    </cfRule>
  </conditionalFormatting>
  <conditionalFormatting sqref="D163:XFD163 A162:XFD162 B163">
    <cfRule type="containsText" dxfId="707" priority="91" operator="containsText" text="eSystems ">
      <formula>NOT(ISERROR(SEARCH("eSystems ",A162)))</formula>
    </cfRule>
    <cfRule type="containsText" dxfId="706" priority="92" operator="containsText" text="hSystems ">
      <formula>NOT(ISERROR(SEARCH("hSystems ",A162)))</formula>
    </cfRule>
    <cfRule type="containsText" dxfId="705" priority="93" operator="containsText" text="pSystems ">
      <formula>NOT(ISERROR(SEARCH("pSystems ",A162)))</formula>
    </cfRule>
  </conditionalFormatting>
  <conditionalFormatting sqref="A232:XFD232">
    <cfRule type="containsText" dxfId="704" priority="88" operator="containsText" text="eSystems ">
      <formula>NOT(ISERROR(SEARCH("eSystems ",A232)))</formula>
    </cfRule>
    <cfRule type="containsText" dxfId="703" priority="89" operator="containsText" text="hSystems ">
      <formula>NOT(ISERROR(SEARCH("hSystems ",A232)))</formula>
    </cfRule>
    <cfRule type="containsText" dxfId="702" priority="90" operator="containsText" text="pSystems ">
      <formula>NOT(ISERROR(SEARCH("pSystems ",A232)))</formula>
    </cfRule>
  </conditionalFormatting>
  <conditionalFormatting sqref="D231:XFD231 A230:XFD230 B231">
    <cfRule type="containsText" dxfId="701" priority="85" operator="containsText" text="eSystems ">
      <formula>NOT(ISERROR(SEARCH("eSystems ",A230)))</formula>
    </cfRule>
    <cfRule type="containsText" dxfId="700" priority="86" operator="containsText" text="hSystems ">
      <formula>NOT(ISERROR(SEARCH("hSystems ",A230)))</formula>
    </cfRule>
    <cfRule type="containsText" dxfId="699" priority="87" operator="containsText" text="pSystems ">
      <formula>NOT(ISERROR(SEARCH("pSystems ",A230)))</formula>
    </cfRule>
  </conditionalFormatting>
  <conditionalFormatting sqref="A301:B301">
    <cfRule type="containsText" dxfId="698" priority="82" operator="containsText" text="eSystems ">
      <formula>NOT(ISERROR(SEARCH("eSystems ",A301)))</formula>
    </cfRule>
    <cfRule type="containsText" dxfId="697" priority="83" operator="containsText" text="hSystems ">
      <formula>NOT(ISERROR(SEARCH("hSystems ",A301)))</formula>
    </cfRule>
    <cfRule type="containsText" dxfId="696" priority="84" operator="containsText" text="pSystems ">
      <formula>NOT(ISERROR(SEARCH("pSystems ",A301)))</formula>
    </cfRule>
  </conditionalFormatting>
  <conditionalFormatting sqref="A300:XFD300">
    <cfRule type="containsText" dxfId="695" priority="79" operator="containsText" text="eSystems ">
      <formula>NOT(ISERROR(SEARCH("eSystems ",A300)))</formula>
    </cfRule>
    <cfRule type="containsText" dxfId="694" priority="80" operator="containsText" text="hSystems ">
      <formula>NOT(ISERROR(SEARCH("hSystems ",A300)))</formula>
    </cfRule>
    <cfRule type="containsText" dxfId="693" priority="81" operator="containsText" text="pSystems ">
      <formula>NOT(ISERROR(SEARCH("pSystems ",A300)))</formula>
    </cfRule>
  </conditionalFormatting>
  <conditionalFormatting sqref="D299:XFD299 A298:XFD298 B299">
    <cfRule type="containsText" dxfId="692" priority="76" operator="containsText" text="eSystems ">
      <formula>NOT(ISERROR(SEARCH("eSystems ",A298)))</formula>
    </cfRule>
    <cfRule type="containsText" dxfId="691" priority="77" operator="containsText" text="hSystems ">
      <formula>NOT(ISERROR(SEARCH("hSystems ",A298)))</formula>
    </cfRule>
    <cfRule type="containsText" dxfId="690" priority="78" operator="containsText" text="pSystems ">
      <formula>NOT(ISERROR(SEARCH("pSystems ",A298)))</formula>
    </cfRule>
  </conditionalFormatting>
  <conditionalFormatting sqref="A369:XFD369">
    <cfRule type="containsText" dxfId="689" priority="73" operator="containsText" text="eSystems ">
      <formula>NOT(ISERROR(SEARCH("eSystems ",A369)))</formula>
    </cfRule>
    <cfRule type="containsText" dxfId="688" priority="74" operator="containsText" text="hSystems ">
      <formula>NOT(ISERROR(SEARCH("hSystems ",A369)))</formula>
    </cfRule>
    <cfRule type="containsText" dxfId="687" priority="75" operator="containsText" text="pSystems ">
      <formula>NOT(ISERROR(SEARCH("pSystems ",A369)))</formula>
    </cfRule>
  </conditionalFormatting>
  <conditionalFormatting sqref="D368:XFD368 A367:XFD367 B368">
    <cfRule type="containsText" dxfId="686" priority="70" operator="containsText" text="eSystems ">
      <formula>NOT(ISERROR(SEARCH("eSystems ",A367)))</formula>
    </cfRule>
    <cfRule type="containsText" dxfId="685" priority="71" operator="containsText" text="hSystems ">
      <formula>NOT(ISERROR(SEARCH("hSystems ",A367)))</formula>
    </cfRule>
    <cfRule type="containsText" dxfId="684" priority="72" operator="containsText" text="pSystems ">
      <formula>NOT(ISERROR(SEARCH("pSystems ",A367)))</formula>
    </cfRule>
  </conditionalFormatting>
  <conditionalFormatting sqref="A437:XFD437">
    <cfRule type="containsText" dxfId="683" priority="67" operator="containsText" text="eSystems ">
      <formula>NOT(ISERROR(SEARCH("eSystems ",A437)))</formula>
    </cfRule>
    <cfRule type="containsText" dxfId="682" priority="68" operator="containsText" text="hSystems ">
      <formula>NOT(ISERROR(SEARCH("hSystems ",A437)))</formula>
    </cfRule>
    <cfRule type="containsText" dxfId="681" priority="69" operator="containsText" text="pSystems ">
      <formula>NOT(ISERROR(SEARCH("pSystems ",A437)))</formula>
    </cfRule>
  </conditionalFormatting>
  <conditionalFormatting sqref="D436:XFD436 A435:XFD435 B436">
    <cfRule type="containsText" dxfId="680" priority="64" operator="containsText" text="eSystems ">
      <formula>NOT(ISERROR(SEARCH("eSystems ",A435)))</formula>
    </cfRule>
    <cfRule type="containsText" dxfId="679" priority="65" operator="containsText" text="hSystems ">
      <formula>NOT(ISERROR(SEARCH("hSystems ",A435)))</formula>
    </cfRule>
    <cfRule type="containsText" dxfId="678" priority="66" operator="containsText" text="pSystems ">
      <formula>NOT(ISERROR(SEARCH("pSystems ",A435)))</formula>
    </cfRule>
  </conditionalFormatting>
  <conditionalFormatting sqref="A505:XFD505">
    <cfRule type="containsText" dxfId="677" priority="58" operator="containsText" text="eSystems ">
      <formula>NOT(ISERROR(SEARCH("eSystems ",A505)))</formula>
    </cfRule>
    <cfRule type="containsText" dxfId="676" priority="59" operator="containsText" text="hSystems ">
      <formula>NOT(ISERROR(SEARCH("hSystems ",A505)))</formula>
    </cfRule>
    <cfRule type="containsText" dxfId="675" priority="60" operator="containsText" text="pSystems ">
      <formula>NOT(ISERROR(SEARCH("pSystems ",A505)))</formula>
    </cfRule>
  </conditionalFormatting>
  <conditionalFormatting sqref="D504:XFD504 A503:XFD503 B504">
    <cfRule type="containsText" dxfId="674" priority="55" operator="containsText" text="eSystems ">
      <formula>NOT(ISERROR(SEARCH("eSystems ",A503)))</formula>
    </cfRule>
    <cfRule type="containsText" dxfId="673" priority="56" operator="containsText" text="hSystems ">
      <formula>NOT(ISERROR(SEARCH("hSystems ",A503)))</formula>
    </cfRule>
    <cfRule type="containsText" dxfId="672" priority="57" operator="containsText" text="pSystems ">
      <formula>NOT(ISERROR(SEARCH("pSystems ",A503)))</formula>
    </cfRule>
  </conditionalFormatting>
  <conditionalFormatting sqref="A572:XFD572">
    <cfRule type="containsText" dxfId="671" priority="52" operator="containsText" text="eSystems ">
      <formula>NOT(ISERROR(SEARCH("eSystems ",A572)))</formula>
    </cfRule>
    <cfRule type="containsText" dxfId="670" priority="53" operator="containsText" text="hSystems ">
      <formula>NOT(ISERROR(SEARCH("hSystems ",A572)))</formula>
    </cfRule>
    <cfRule type="containsText" dxfId="669" priority="54" operator="containsText" text="pSystems ">
      <formula>NOT(ISERROR(SEARCH("pSystems ",A572)))</formula>
    </cfRule>
  </conditionalFormatting>
  <conditionalFormatting sqref="D571:XFD571 A570:XFD570 B571">
    <cfRule type="containsText" dxfId="668" priority="49" operator="containsText" text="eSystems ">
      <formula>NOT(ISERROR(SEARCH("eSystems ",A570)))</formula>
    </cfRule>
    <cfRule type="containsText" dxfId="667" priority="50" operator="containsText" text="hSystems ">
      <formula>NOT(ISERROR(SEARCH("hSystems ",A570)))</formula>
    </cfRule>
    <cfRule type="containsText" dxfId="666" priority="51" operator="containsText" text="pSystems ">
      <formula>NOT(ISERROR(SEARCH("pSystems ",A570)))</formula>
    </cfRule>
  </conditionalFormatting>
  <conditionalFormatting sqref="A640:XFD640">
    <cfRule type="containsText" dxfId="665" priority="46" operator="containsText" text="eSystems ">
      <formula>NOT(ISERROR(SEARCH("eSystems ",A640)))</formula>
    </cfRule>
    <cfRule type="containsText" dxfId="664" priority="47" operator="containsText" text="hSystems ">
      <formula>NOT(ISERROR(SEARCH("hSystems ",A640)))</formula>
    </cfRule>
    <cfRule type="containsText" dxfId="663" priority="48" operator="containsText" text="pSystems ">
      <formula>NOT(ISERROR(SEARCH("pSystems ",A640)))</formula>
    </cfRule>
  </conditionalFormatting>
  <conditionalFormatting sqref="D639:XFD639 A638:XFD638 B639">
    <cfRule type="containsText" dxfId="662" priority="43" operator="containsText" text="eSystems ">
      <formula>NOT(ISERROR(SEARCH("eSystems ",A638)))</formula>
    </cfRule>
    <cfRule type="containsText" dxfId="661" priority="44" operator="containsText" text="hSystems ">
      <formula>NOT(ISERROR(SEARCH("hSystems ",A638)))</formula>
    </cfRule>
    <cfRule type="containsText" dxfId="660" priority="45" operator="containsText" text="pSystems ">
      <formula>NOT(ISERROR(SEARCH("pSystems ",A638)))</formula>
    </cfRule>
  </conditionalFormatting>
  <conditionalFormatting sqref="A708:XFD708">
    <cfRule type="containsText" dxfId="659" priority="40" operator="containsText" text="eSystems ">
      <formula>NOT(ISERROR(SEARCH("eSystems ",A708)))</formula>
    </cfRule>
    <cfRule type="containsText" dxfId="658" priority="41" operator="containsText" text="hSystems ">
      <formula>NOT(ISERROR(SEARCH("hSystems ",A708)))</formula>
    </cfRule>
    <cfRule type="containsText" dxfId="657" priority="42" operator="containsText" text="pSystems ">
      <formula>NOT(ISERROR(SEARCH("pSystems ",A708)))</formula>
    </cfRule>
  </conditionalFormatting>
  <conditionalFormatting sqref="D707:XFD707 A706:XFD706 B707">
    <cfRule type="containsText" dxfId="656" priority="37" operator="containsText" text="eSystems ">
      <formula>NOT(ISERROR(SEARCH("eSystems ",A706)))</formula>
    </cfRule>
    <cfRule type="containsText" dxfId="655" priority="38" operator="containsText" text="hSystems ">
      <formula>NOT(ISERROR(SEARCH("hSystems ",A706)))</formula>
    </cfRule>
    <cfRule type="containsText" dxfId="654" priority="39" operator="containsText" text="pSystems ">
      <formula>NOT(ISERROR(SEARCH("pSystems ",A706)))</formula>
    </cfRule>
  </conditionalFormatting>
  <conditionalFormatting sqref="A776:XFD776">
    <cfRule type="containsText" dxfId="653" priority="34" operator="containsText" text="eSystems ">
      <formula>NOT(ISERROR(SEARCH("eSystems ",A776)))</formula>
    </cfRule>
    <cfRule type="containsText" dxfId="652" priority="35" operator="containsText" text="hSystems ">
      <formula>NOT(ISERROR(SEARCH("hSystems ",A776)))</formula>
    </cfRule>
    <cfRule type="containsText" dxfId="651" priority="36" operator="containsText" text="pSystems ">
      <formula>NOT(ISERROR(SEARCH("pSystems ",A776)))</formula>
    </cfRule>
  </conditionalFormatting>
  <conditionalFormatting sqref="D775:XFD775 A774:XFD774 B775">
    <cfRule type="containsText" dxfId="650" priority="31" operator="containsText" text="eSystems ">
      <formula>NOT(ISERROR(SEARCH("eSystems ",A774)))</formula>
    </cfRule>
    <cfRule type="containsText" dxfId="649" priority="32" operator="containsText" text="hSystems ">
      <formula>NOT(ISERROR(SEARCH("hSystems ",A774)))</formula>
    </cfRule>
    <cfRule type="containsText" dxfId="648" priority="33" operator="containsText" text="pSystems ">
      <formula>NOT(ISERROR(SEARCH("pSystems ",A774)))</formula>
    </cfRule>
  </conditionalFormatting>
  <conditionalFormatting sqref="A844:XFD844">
    <cfRule type="containsText" dxfId="647" priority="28" operator="containsText" text="eSystems ">
      <formula>NOT(ISERROR(SEARCH("eSystems ",A844)))</formula>
    </cfRule>
    <cfRule type="containsText" dxfId="646" priority="29" operator="containsText" text="hSystems ">
      <formula>NOT(ISERROR(SEARCH("hSystems ",A844)))</formula>
    </cfRule>
    <cfRule type="containsText" dxfId="645" priority="30" operator="containsText" text="pSystems ">
      <formula>NOT(ISERROR(SEARCH("pSystems ",A844)))</formula>
    </cfRule>
  </conditionalFormatting>
  <conditionalFormatting sqref="D843:XFD843 A842:XFD842 B843">
    <cfRule type="containsText" dxfId="644" priority="25" operator="containsText" text="eSystems ">
      <formula>NOT(ISERROR(SEARCH("eSystems ",A842)))</formula>
    </cfRule>
    <cfRule type="containsText" dxfId="643" priority="26" operator="containsText" text="hSystems ">
      <formula>NOT(ISERROR(SEARCH("hSystems ",A842)))</formula>
    </cfRule>
    <cfRule type="containsText" dxfId="642" priority="27" operator="containsText" text="pSystems ">
      <formula>NOT(ISERROR(SEARCH("pSystems ",A842)))</formula>
    </cfRule>
  </conditionalFormatting>
  <conditionalFormatting sqref="A912:XFD912">
    <cfRule type="containsText" dxfId="641" priority="22" operator="containsText" text="eSystems ">
      <formula>NOT(ISERROR(SEARCH("eSystems ",A912)))</formula>
    </cfRule>
    <cfRule type="containsText" dxfId="640" priority="23" operator="containsText" text="hSystems ">
      <formula>NOT(ISERROR(SEARCH("hSystems ",A912)))</formula>
    </cfRule>
    <cfRule type="containsText" dxfId="639" priority="24" operator="containsText" text="pSystems ">
      <formula>NOT(ISERROR(SEARCH("pSystems ",A912)))</formula>
    </cfRule>
  </conditionalFormatting>
  <conditionalFormatting sqref="D911:XFD911 A910:XFD910 B911">
    <cfRule type="containsText" dxfId="638" priority="19" operator="containsText" text="eSystems ">
      <formula>NOT(ISERROR(SEARCH("eSystems ",A910)))</formula>
    </cfRule>
    <cfRule type="containsText" dxfId="637" priority="20" operator="containsText" text="hSystems ">
      <formula>NOT(ISERROR(SEARCH("hSystems ",A910)))</formula>
    </cfRule>
    <cfRule type="containsText" dxfId="636" priority="21" operator="containsText" text="pSystems ">
      <formula>NOT(ISERROR(SEARCH("pSystems ",A910)))</formula>
    </cfRule>
  </conditionalFormatting>
  <conditionalFormatting sqref="A980:XFD980">
    <cfRule type="containsText" dxfId="635" priority="16" operator="containsText" text="eSystems ">
      <formula>NOT(ISERROR(SEARCH("eSystems ",A980)))</formula>
    </cfRule>
    <cfRule type="containsText" dxfId="634" priority="17" operator="containsText" text="hSystems ">
      <formula>NOT(ISERROR(SEARCH("hSystems ",A980)))</formula>
    </cfRule>
    <cfRule type="containsText" dxfId="633" priority="18" operator="containsText" text="pSystems ">
      <formula>NOT(ISERROR(SEARCH("pSystems ",A980)))</formula>
    </cfRule>
  </conditionalFormatting>
  <conditionalFormatting sqref="D979:XFD979 A978:XFD978 B979">
    <cfRule type="containsText" dxfId="632" priority="13" operator="containsText" text="eSystems ">
      <formula>NOT(ISERROR(SEARCH("eSystems ",A978)))</formula>
    </cfRule>
    <cfRule type="containsText" dxfId="631" priority="14" operator="containsText" text="hSystems ">
      <formula>NOT(ISERROR(SEARCH("hSystems ",A978)))</formula>
    </cfRule>
    <cfRule type="containsText" dxfId="630" priority="15" operator="containsText" text="pSystems ">
      <formula>NOT(ISERROR(SEARCH("pSystems ",A978)))</formula>
    </cfRule>
  </conditionalFormatting>
  <conditionalFormatting sqref="A1048:XFD1048">
    <cfRule type="containsText" dxfId="629" priority="10" operator="containsText" text="eSystems ">
      <formula>NOT(ISERROR(SEARCH("eSystems ",A1048)))</formula>
    </cfRule>
    <cfRule type="containsText" dxfId="628" priority="11" operator="containsText" text="hSystems ">
      <formula>NOT(ISERROR(SEARCH("hSystems ",A1048)))</formula>
    </cfRule>
    <cfRule type="containsText" dxfId="627" priority="12" operator="containsText" text="pSystems ">
      <formula>NOT(ISERROR(SEARCH("pSystems ",A1048)))</formula>
    </cfRule>
  </conditionalFormatting>
  <conditionalFormatting sqref="D1047:XFD1047 A1046:XFD1046 B1047">
    <cfRule type="containsText" dxfId="626" priority="7" operator="containsText" text="eSystems ">
      <formula>NOT(ISERROR(SEARCH("eSystems ",A1046)))</formula>
    </cfRule>
    <cfRule type="containsText" dxfId="625" priority="8" operator="containsText" text="hSystems ">
      <formula>NOT(ISERROR(SEARCH("hSystems ",A1046)))</formula>
    </cfRule>
    <cfRule type="containsText" dxfId="624" priority="9" operator="containsText" text="pSystems ">
      <formula>NOT(ISERROR(SEARCH("pSystems ",A1046)))</formula>
    </cfRule>
  </conditionalFormatting>
  <conditionalFormatting sqref="A1070:XFD1070">
    <cfRule type="containsText" dxfId="623" priority="4" operator="containsText" text="eSystems ">
      <formula>NOT(ISERROR(SEARCH("eSystems ",A1070)))</formula>
    </cfRule>
    <cfRule type="containsText" dxfId="622" priority="5" operator="containsText" text="hSystems ">
      <formula>NOT(ISERROR(SEARCH("hSystems ",A1070)))</formula>
    </cfRule>
    <cfRule type="containsText" dxfId="621" priority="6" operator="containsText" text="pSystems ">
      <formula>NOT(ISERROR(SEARCH("pSystems ",A1070)))</formula>
    </cfRule>
  </conditionalFormatting>
  <conditionalFormatting sqref="D1069:XFD1069 A1068:XFD1068 B1069">
    <cfRule type="containsText" dxfId="620" priority="1" operator="containsText" text="eSystems ">
      <formula>NOT(ISERROR(SEARCH("eSystems ",A1068)))</formula>
    </cfRule>
    <cfRule type="containsText" dxfId="619" priority="2" operator="containsText" text="hSystems ">
      <formula>NOT(ISERROR(SEARCH("hSystems ",A1068)))</formula>
    </cfRule>
    <cfRule type="containsText" dxfId="618" priority="3" operator="containsText" text="pSystems ">
      <formula>NOT(ISERROR(SEARCH("pSystems ",A1068)))</formula>
    </cfRule>
  </conditionalFormatting>
  <pageMargins left="0.74803149606299213" right="0.74803149606299213" top="0.98425196850393704" bottom="0.98425196850393704" header="0.51181102362204722" footer="0.51181102362204722"/>
  <pageSetup scale="10" orientation="portrait" r:id="rId1"/>
  <headerFooter>
    <oddHeader>&amp;L&amp;G</oddHead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sheetPr>
  <dimension ref="A1:AG861"/>
  <sheetViews>
    <sheetView workbookViewId="0"/>
  </sheetViews>
  <sheetFormatPr defaultColWidth="11" defaultRowHeight="12.75" outlineLevelRow="1" x14ac:dyDescent="0.2"/>
  <cols>
    <col min="1" max="1" width="80.7109375" style="3" customWidth="1"/>
    <col min="2" max="2" width="5.7109375" style="3" customWidth="1"/>
    <col min="3" max="3" width="50.7109375" style="3" customWidth="1"/>
    <col min="4" max="4" width="75.7109375" style="14" customWidth="1"/>
    <col min="5" max="8" width="15.7109375" style="3" customWidth="1"/>
    <col min="9" max="9" width="15.7109375" style="6" customWidth="1"/>
    <col min="10" max="14" width="15.7109375" style="3" customWidth="1"/>
    <col min="15" max="15" width="42.42578125" style="3" customWidth="1"/>
    <col min="16" max="16" width="10.7109375" style="26" customWidth="1"/>
    <col min="17" max="17" width="11" style="6"/>
    <col min="18" max="16384" width="11" style="3"/>
  </cols>
  <sheetData>
    <row r="1" spans="1:33" s="8" customFormat="1" ht="30" customHeight="1" x14ac:dyDescent="0.2">
      <c r="A1" s="1183" t="s">
        <v>66</v>
      </c>
      <c r="B1" s="155"/>
      <c r="C1" s="1182" t="s">
        <v>4376</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128" customFormat="1" ht="11.25" customHeight="1" x14ac:dyDescent="0.2">
      <c r="A5" s="188"/>
      <c r="B5" s="147"/>
      <c r="C5" s="147"/>
      <c r="D5" s="147"/>
      <c r="E5" s="147"/>
      <c r="F5" s="147"/>
      <c r="G5" s="147"/>
      <c r="H5" s="147"/>
      <c r="I5" s="147"/>
      <c r="J5" s="147"/>
      <c r="K5" s="147"/>
      <c r="L5" s="147"/>
      <c r="M5" s="163"/>
      <c r="N5" s="163"/>
      <c r="O5" s="163"/>
    </row>
    <row r="6" spans="1:33" ht="13.5" customHeight="1" x14ac:dyDescent="0.2">
      <c r="A6" s="19"/>
      <c r="C6" s="215" t="s">
        <v>218</v>
      </c>
      <c r="D6" s="214" t="s">
        <v>69</v>
      </c>
      <c r="E6" s="12"/>
      <c r="F6" s="12"/>
      <c r="G6" s="12"/>
      <c r="H6" s="12"/>
      <c r="I6" s="12"/>
      <c r="J6" s="19"/>
      <c r="K6" s="19"/>
      <c r="L6" s="19"/>
      <c r="M6" s="19"/>
      <c r="N6" s="19"/>
      <c r="O6" s="19"/>
      <c r="P6" s="19"/>
      <c r="Q6" s="19"/>
      <c r="R6" s="19"/>
      <c r="S6" s="19"/>
      <c r="T6" s="19"/>
      <c r="U6" s="19"/>
      <c r="V6" s="19"/>
      <c r="W6" s="19"/>
      <c r="X6" s="19"/>
      <c r="Y6" s="19"/>
      <c r="Z6" s="19"/>
      <c r="AA6" s="19"/>
      <c r="AB6" s="19"/>
      <c r="AC6" s="19"/>
      <c r="AD6" s="19"/>
      <c r="AE6" s="19"/>
      <c r="AF6" s="19"/>
      <c r="AG6" s="19"/>
    </row>
    <row r="7" spans="1:33" ht="13.5" customHeight="1" x14ac:dyDescent="0.2">
      <c r="A7" s="19"/>
      <c r="C7" s="214"/>
      <c r="D7" s="720"/>
      <c r="E7" s="12"/>
      <c r="F7" s="12"/>
      <c r="G7" s="12"/>
      <c r="H7" s="12"/>
      <c r="I7" s="12"/>
      <c r="J7" s="19"/>
      <c r="K7" s="19"/>
      <c r="L7" s="19"/>
      <c r="M7" s="19"/>
      <c r="N7" s="19"/>
      <c r="O7" s="19"/>
      <c r="P7" s="19"/>
      <c r="Q7" s="19"/>
      <c r="R7" s="19"/>
      <c r="S7" s="19"/>
      <c r="T7" s="19"/>
      <c r="U7" s="19"/>
      <c r="V7" s="19"/>
      <c r="W7" s="19"/>
      <c r="X7" s="19"/>
      <c r="Y7" s="19"/>
      <c r="Z7" s="19"/>
      <c r="AA7" s="19"/>
      <c r="AB7" s="19"/>
      <c r="AC7" s="19"/>
      <c r="AD7" s="19"/>
      <c r="AE7" s="19"/>
      <c r="AF7" s="19"/>
      <c r="AG7" s="19"/>
    </row>
    <row r="8" spans="1:33" ht="13.5" customHeight="1" x14ac:dyDescent="0.2">
      <c r="A8" s="1404" t="s">
        <v>4211</v>
      </c>
      <c r="D8" s="1044" t="s">
        <v>22</v>
      </c>
      <c r="E8" s="42" t="s">
        <v>12</v>
      </c>
      <c r="F8" s="42" t="s">
        <v>11</v>
      </c>
      <c r="G8" s="42" t="s">
        <v>10</v>
      </c>
      <c r="H8" s="42" t="s">
        <v>39</v>
      </c>
      <c r="I8" s="42" t="s">
        <v>40</v>
      </c>
      <c r="J8" s="42" t="s">
        <v>41</v>
      </c>
      <c r="K8" s="42" t="s">
        <v>42</v>
      </c>
      <c r="L8" s="42" t="s">
        <v>43</v>
      </c>
      <c r="M8" s="42" t="s">
        <v>44</v>
      </c>
      <c r="N8" s="42" t="s">
        <v>45</v>
      </c>
      <c r="O8" s="19"/>
      <c r="P8" s="19"/>
      <c r="Q8" s="19"/>
      <c r="R8" s="19"/>
      <c r="S8" s="19"/>
      <c r="T8" s="19"/>
      <c r="U8" s="19"/>
      <c r="V8" s="19"/>
      <c r="W8" s="19"/>
      <c r="X8" s="19"/>
      <c r="Y8" s="19"/>
      <c r="Z8" s="19"/>
      <c r="AA8" s="19"/>
      <c r="AB8" s="19"/>
      <c r="AC8" s="19"/>
      <c r="AD8" s="19"/>
      <c r="AE8" s="19"/>
      <c r="AF8" s="19"/>
      <c r="AG8" s="19"/>
    </row>
    <row r="9" spans="1:33" ht="13.5" customHeight="1" x14ac:dyDescent="0.2">
      <c r="A9" s="1405"/>
      <c r="D9" s="720"/>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9"/>
      <c r="P9" s="19"/>
      <c r="Q9" s="19"/>
      <c r="R9" s="19"/>
      <c r="S9" s="19"/>
      <c r="T9" s="19"/>
      <c r="U9" s="19"/>
      <c r="V9" s="19"/>
      <c r="W9" s="19"/>
      <c r="X9" s="19"/>
      <c r="Y9" s="19"/>
      <c r="Z9" s="19"/>
      <c r="AA9" s="19"/>
      <c r="AB9" s="19"/>
      <c r="AC9" s="19"/>
      <c r="AD9" s="19"/>
      <c r="AE9" s="19"/>
      <c r="AF9" s="19"/>
      <c r="AG9" s="19"/>
    </row>
    <row r="10" spans="1:33" ht="13.5" customHeight="1" x14ac:dyDescent="0.2">
      <c r="A10" s="1405"/>
      <c r="D10" s="720"/>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9"/>
      <c r="P10" s="19"/>
      <c r="Q10" s="19"/>
      <c r="R10" s="19"/>
      <c r="S10" s="19"/>
      <c r="T10" s="19"/>
      <c r="U10" s="19"/>
      <c r="V10" s="19"/>
      <c r="W10" s="19"/>
      <c r="X10" s="19"/>
      <c r="Y10" s="19"/>
      <c r="Z10" s="19"/>
      <c r="AA10" s="19"/>
      <c r="AB10" s="19"/>
      <c r="AC10" s="19"/>
      <c r="AD10" s="19"/>
      <c r="AE10" s="19"/>
      <c r="AF10" s="19"/>
      <c r="AG10" s="19"/>
    </row>
    <row r="11" spans="1:33" ht="13.5" customHeight="1" x14ac:dyDescent="0.2">
      <c r="A11" s="1406"/>
      <c r="D11" s="721"/>
      <c r="E11" s="12"/>
      <c r="F11" s="12"/>
      <c r="G11" s="12"/>
      <c r="H11" s="12"/>
      <c r="I11" s="12"/>
      <c r="J11" s="19"/>
      <c r="K11" s="19"/>
      <c r="L11" s="19"/>
      <c r="M11" s="19"/>
      <c r="N11" s="19"/>
      <c r="O11" s="19"/>
      <c r="P11" s="19"/>
      <c r="Q11" s="19"/>
      <c r="R11" s="19"/>
      <c r="S11" s="19"/>
      <c r="T11" s="19"/>
      <c r="U11" s="19"/>
      <c r="V11" s="19"/>
      <c r="W11" s="19"/>
      <c r="X11" s="19"/>
      <c r="Y11" s="19"/>
      <c r="Z11" s="19"/>
      <c r="AA11" s="19"/>
      <c r="AB11" s="19"/>
      <c r="AC11" s="19"/>
      <c r="AD11" s="19"/>
      <c r="AE11" s="19"/>
      <c r="AF11" s="19"/>
      <c r="AG11" s="19"/>
    </row>
    <row r="12" spans="1:33" customFormat="1" ht="14.1" customHeight="1" x14ac:dyDescent="0.2">
      <c r="A12" s="63"/>
      <c r="B12" s="63"/>
      <c r="C12" s="3"/>
      <c r="D12" s="12"/>
      <c r="E12" s="3"/>
      <c r="F12" s="3"/>
      <c r="G12" s="3"/>
      <c r="H12" s="16"/>
      <c r="I12" s="3"/>
      <c r="J12" s="3"/>
      <c r="K12" s="3"/>
      <c r="L12" s="3"/>
      <c r="M12" s="3"/>
      <c r="N12" s="3"/>
      <c r="O12" s="3"/>
      <c r="P12" s="18"/>
      <c r="Q12" s="18"/>
      <c r="R12" s="18"/>
      <c r="S12" s="18"/>
      <c r="T12" s="18"/>
      <c r="U12" s="18"/>
      <c r="V12" s="18"/>
      <c r="W12" s="18"/>
      <c r="X12" s="18"/>
      <c r="Y12" s="18"/>
      <c r="Z12" s="18"/>
      <c r="AA12" s="18"/>
      <c r="AB12" s="18"/>
      <c r="AC12" s="18"/>
      <c r="AD12" s="18"/>
      <c r="AE12" s="18"/>
      <c r="AF12" s="18"/>
      <c r="AG12" s="18"/>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189" customFormat="1" ht="13.5" thickBot="1" x14ac:dyDescent="0.25">
      <c r="B14" s="3"/>
      <c r="C14" s="3"/>
      <c r="O14" s="891"/>
      <c r="P14" s="892"/>
      <c r="Q14" s="892"/>
      <c r="R14" s="892"/>
      <c r="S14" s="892"/>
      <c r="T14" s="892"/>
      <c r="U14" s="892"/>
      <c r="V14" s="892"/>
      <c r="W14" s="892"/>
      <c r="X14" s="892"/>
      <c r="Y14" s="892"/>
      <c r="Z14" s="892"/>
      <c r="AA14" s="892"/>
      <c r="AB14" s="892"/>
      <c r="AC14" s="892"/>
      <c r="AD14" s="892"/>
    </row>
    <row r="15" spans="1:33" s="189" customFormat="1" ht="20.100000000000001" customHeight="1" x14ac:dyDescent="0.2">
      <c r="A15" s="1397" t="s">
        <v>4143</v>
      </c>
      <c r="B15" s="3"/>
      <c r="C15" s="975" t="s">
        <v>267</v>
      </c>
      <c r="D15" s="867"/>
      <c r="E15" s="867"/>
      <c r="F15" s="867"/>
      <c r="G15" s="867"/>
      <c r="H15" s="867"/>
      <c r="I15" s="867"/>
      <c r="J15" s="867"/>
      <c r="K15" s="867"/>
      <c r="L15" s="867"/>
      <c r="M15" s="867"/>
      <c r="N15" s="867"/>
      <c r="O15" s="894"/>
      <c r="P15" s="892"/>
      <c r="Q15" s="892"/>
      <c r="R15" s="892"/>
      <c r="S15" s="892"/>
      <c r="T15" s="892"/>
      <c r="U15" s="892"/>
      <c r="V15" s="892"/>
      <c r="W15" s="892"/>
      <c r="X15" s="892"/>
      <c r="Y15" s="892"/>
      <c r="Z15" s="892"/>
      <c r="AA15" s="892"/>
      <c r="AB15" s="892"/>
      <c r="AC15" s="892"/>
      <c r="AD15" s="892"/>
    </row>
    <row r="16" spans="1:33" s="189" customFormat="1" x14ac:dyDescent="0.2">
      <c r="A16" s="1398"/>
      <c r="B16" s="3"/>
      <c r="C16" s="167"/>
      <c r="D16" s="896" t="s">
        <v>264</v>
      </c>
      <c r="E16" s="892"/>
      <c r="F16" s="892"/>
      <c r="G16" s="892"/>
      <c r="H16" s="892"/>
      <c r="I16" s="892"/>
      <c r="J16" s="892"/>
      <c r="K16" s="892"/>
      <c r="L16" s="892"/>
      <c r="M16" s="892"/>
      <c r="N16" s="892"/>
      <c r="O16" s="895"/>
      <c r="P16" s="892"/>
      <c r="Q16" s="892"/>
      <c r="R16" s="892"/>
      <c r="S16" s="892"/>
      <c r="T16" s="892"/>
      <c r="U16" s="892"/>
      <c r="V16" s="892"/>
      <c r="W16" s="892"/>
      <c r="X16" s="892"/>
      <c r="Y16" s="892"/>
      <c r="Z16" s="892"/>
      <c r="AA16" s="892"/>
      <c r="AB16" s="892"/>
      <c r="AC16" s="892"/>
      <c r="AD16" s="892"/>
    </row>
    <row r="17" spans="1:32" x14ac:dyDescent="0.2">
      <c r="A17" s="1398"/>
      <c r="C17" s="167"/>
      <c r="D17" s="820" t="s">
        <v>117</v>
      </c>
      <c r="E17" s="248">
        <f t="shared" ref="E17:N17" si="0">pSystemsPaperRecords_Total</f>
        <v>21456561</v>
      </c>
      <c r="F17" s="248">
        <f t="shared" si="0"/>
        <v>21432642.779220778</v>
      </c>
      <c r="G17" s="248">
        <f t="shared" si="0"/>
        <v>21414928.833333336</v>
      </c>
      <c r="H17" s="248">
        <f t="shared" si="0"/>
        <v>21458778.065934066</v>
      </c>
      <c r="I17" s="248">
        <f t="shared" si="0"/>
        <v>21472197.857142858</v>
      </c>
      <c r="J17" s="248">
        <f t="shared" si="0"/>
        <v>21485789.80952381</v>
      </c>
      <c r="K17" s="248">
        <f t="shared" si="0"/>
        <v>21499521.642857142</v>
      </c>
      <c r="L17" s="248">
        <f t="shared" si="0"/>
        <v>21513368.672268908</v>
      </c>
      <c r="M17" s="248">
        <f t="shared" si="0"/>
        <v>21527311.698412698</v>
      </c>
      <c r="N17" s="248">
        <f t="shared" si="0"/>
        <v>21541335.563909777</v>
      </c>
      <c r="O17" s="897"/>
      <c r="P17" s="13"/>
      <c r="Q17" s="19"/>
      <c r="R17" s="19"/>
      <c r="S17" s="19"/>
      <c r="T17" s="19"/>
      <c r="U17" s="19"/>
      <c r="V17" s="19"/>
      <c r="W17" s="19"/>
      <c r="X17" s="19"/>
      <c r="Y17" s="19"/>
      <c r="Z17" s="19"/>
      <c r="AA17" s="19"/>
      <c r="AB17" s="19"/>
      <c r="AC17" s="19"/>
      <c r="AD17" s="19"/>
    </row>
    <row r="18" spans="1:32" x14ac:dyDescent="0.2">
      <c r="A18" s="1398"/>
      <c r="C18" s="167"/>
      <c r="D18" s="898" t="s">
        <v>118</v>
      </c>
      <c r="E18" s="248">
        <f t="shared" ref="E18:N18" si="1">hSystemsPaperRecords_Total</f>
        <v>21456561</v>
      </c>
      <c r="F18" s="248">
        <f t="shared" si="1"/>
        <v>10716321.389610389</v>
      </c>
      <c r="G18" s="248">
        <f t="shared" si="1"/>
        <v>9636717.9749999978</v>
      </c>
      <c r="H18" s="248">
        <f t="shared" si="1"/>
        <v>8583511.2263736259</v>
      </c>
      <c r="I18" s="248">
        <f t="shared" si="1"/>
        <v>8588879.1428571418</v>
      </c>
      <c r="J18" s="248">
        <f t="shared" si="1"/>
        <v>8594315.9238095246</v>
      </c>
      <c r="K18" s="248">
        <f t="shared" si="1"/>
        <v>8599808.6571428571</v>
      </c>
      <c r="L18" s="248">
        <f t="shared" si="1"/>
        <v>8605347.4689075649</v>
      </c>
      <c r="M18" s="248">
        <f t="shared" si="1"/>
        <v>8610924.679365078</v>
      </c>
      <c r="N18" s="248">
        <f t="shared" si="1"/>
        <v>8616534.2255639099</v>
      </c>
      <c r="O18" s="897"/>
      <c r="P18" s="13"/>
      <c r="Q18" s="19"/>
      <c r="R18" s="19"/>
      <c r="S18" s="19"/>
      <c r="T18" s="19"/>
      <c r="U18" s="19"/>
      <c r="V18" s="19"/>
      <c r="W18" s="19"/>
      <c r="X18" s="19"/>
      <c r="Y18" s="19"/>
      <c r="Z18" s="19"/>
      <c r="AA18" s="19"/>
      <c r="AB18" s="19"/>
      <c r="AC18" s="19"/>
      <c r="AD18" s="19"/>
    </row>
    <row r="19" spans="1:32" x14ac:dyDescent="0.2">
      <c r="A19" s="1398"/>
      <c r="C19" s="167"/>
      <c r="D19" s="899" t="s">
        <v>119</v>
      </c>
      <c r="E19" s="248">
        <f t="shared" ref="E19:N19" si="2">eSystemsPaperRecords_Total</f>
        <v>21456561</v>
      </c>
      <c r="F19" s="248">
        <f t="shared" si="2"/>
        <v>857305.71116883121</v>
      </c>
      <c r="G19" s="248">
        <f t="shared" si="2"/>
        <v>642447.86499999999</v>
      </c>
      <c r="H19" s="248">
        <f t="shared" si="2"/>
        <v>751057.23230769229</v>
      </c>
      <c r="I19" s="248">
        <f t="shared" si="2"/>
        <v>644165.93571428582</v>
      </c>
      <c r="J19" s="248">
        <f t="shared" si="2"/>
        <v>537144.74523809529</v>
      </c>
      <c r="K19" s="248">
        <f t="shared" si="2"/>
        <v>429990.43285714294</v>
      </c>
      <c r="L19" s="248">
        <f t="shared" si="2"/>
        <v>322700.53008403361</v>
      </c>
      <c r="M19" s="248">
        <f t="shared" si="2"/>
        <v>215273.11698412703</v>
      </c>
      <c r="N19" s="248">
        <f t="shared" si="2"/>
        <v>107706.67781954889</v>
      </c>
      <c r="O19" s="897"/>
      <c r="P19" s="13"/>
      <c r="Q19" s="19"/>
      <c r="R19" s="19"/>
      <c r="S19" s="19"/>
      <c r="T19" s="19"/>
      <c r="U19" s="19"/>
      <c r="V19" s="19"/>
      <c r="W19" s="19"/>
      <c r="X19" s="19"/>
      <c r="Y19" s="19"/>
      <c r="Z19" s="19"/>
      <c r="AA19" s="19"/>
      <c r="AB19" s="19"/>
      <c r="AC19" s="19"/>
      <c r="AD19" s="19"/>
    </row>
    <row r="20" spans="1:32" s="114" customFormat="1" ht="13.5" customHeight="1" thickBot="1" x14ac:dyDescent="0.25">
      <c r="A20" s="1399"/>
      <c r="B20" s="3"/>
      <c r="C20" s="250"/>
      <c r="D20" s="251"/>
      <c r="E20" s="251"/>
      <c r="F20" s="251"/>
      <c r="G20" s="251"/>
      <c r="H20" s="251"/>
      <c r="I20" s="251"/>
      <c r="J20" s="251"/>
      <c r="K20" s="251"/>
      <c r="L20" s="251"/>
      <c r="M20" s="251"/>
      <c r="N20" s="251"/>
      <c r="O20" s="900"/>
      <c r="P20" s="113"/>
    </row>
    <row r="21" spans="1:32" s="114" customFormat="1" ht="12.75" customHeight="1" x14ac:dyDescent="0.2">
      <c r="B21" s="172"/>
      <c r="C21" s="172"/>
      <c r="D21" s="172"/>
      <c r="E21" s="172"/>
      <c r="F21" s="172"/>
      <c r="G21" s="172"/>
      <c r="H21" s="172"/>
      <c r="I21" s="172"/>
      <c r="J21" s="172"/>
      <c r="K21" s="172"/>
      <c r="L21" s="172"/>
      <c r="M21" s="172"/>
      <c r="N21" s="172"/>
      <c r="O21" s="673"/>
      <c r="P21" s="113"/>
    </row>
    <row r="22" spans="1:32" s="122" customFormat="1" ht="15.75" x14ac:dyDescent="0.2">
      <c r="A22" s="1043">
        <v>2</v>
      </c>
      <c r="B22" s="1039"/>
      <c r="C22" s="1039"/>
      <c r="D22" s="1039"/>
      <c r="E22" s="1039"/>
      <c r="F22" s="1039"/>
      <c r="G22" s="1039"/>
      <c r="H22" s="1039"/>
      <c r="I22" s="1039"/>
      <c r="J22" s="1039"/>
      <c r="K22" s="1039"/>
      <c r="L22" s="1039"/>
      <c r="M22" s="1039"/>
      <c r="N22" s="1039"/>
      <c r="O22" s="1039"/>
      <c r="P22" s="206"/>
      <c r="Q22" s="206"/>
      <c r="R22" s="206"/>
      <c r="S22" s="206"/>
      <c r="T22" s="206"/>
      <c r="U22" s="206"/>
      <c r="V22" s="206"/>
      <c r="W22" s="206"/>
      <c r="X22" s="206"/>
      <c r="Y22" s="206"/>
      <c r="Z22" s="206"/>
      <c r="AA22" s="206"/>
      <c r="AB22" s="206"/>
      <c r="AC22" s="206"/>
      <c r="AD22" s="206"/>
      <c r="AE22" s="206"/>
      <c r="AF22" s="206"/>
    </row>
    <row r="23" spans="1:32" s="114" customFormat="1" ht="12.75" customHeight="1" thickBot="1" x14ac:dyDescent="0.25">
      <c r="B23" s="172"/>
      <c r="C23" s="172"/>
      <c r="D23" s="172"/>
      <c r="E23" s="172"/>
      <c r="F23" s="172"/>
      <c r="G23" s="172"/>
      <c r="H23" s="172"/>
      <c r="I23" s="172"/>
      <c r="J23" s="172"/>
      <c r="K23" s="172"/>
      <c r="L23" s="172"/>
      <c r="M23" s="172"/>
      <c r="N23" s="172"/>
      <c r="O23" s="673"/>
      <c r="P23" s="113"/>
    </row>
    <row r="24" spans="1:32" s="18" customFormat="1" ht="20.100000000000001" customHeight="1" x14ac:dyDescent="0.2">
      <c r="A24" s="1397" t="s">
        <v>4284</v>
      </c>
      <c r="B24" s="267"/>
      <c r="C24" s="967" t="s">
        <v>268</v>
      </c>
      <c r="D24" s="23"/>
      <c r="E24" s="23"/>
      <c r="F24" s="23"/>
      <c r="G24" s="23"/>
      <c r="H24" s="23"/>
      <c r="I24" s="23"/>
      <c r="J24" s="23"/>
      <c r="K24" s="23"/>
      <c r="L24" s="23"/>
      <c r="M24" s="23"/>
      <c r="N24" s="23"/>
      <c r="O24" s="23"/>
      <c r="P24" s="12"/>
      <c r="Q24" s="12"/>
    </row>
    <row r="25" spans="1:32" s="18" customFormat="1" ht="12" customHeight="1" x14ac:dyDescent="0.2">
      <c r="A25" s="1398"/>
      <c r="B25" s="267"/>
      <c r="C25" s="267"/>
      <c r="D25" s="30"/>
      <c r="E25" s="23"/>
      <c r="F25" s="23"/>
      <c r="G25" s="23"/>
      <c r="H25" s="23"/>
      <c r="I25" s="23"/>
      <c r="J25" s="23"/>
      <c r="K25" s="23"/>
      <c r="L25" s="23"/>
      <c r="M25" s="23"/>
      <c r="N25" s="23"/>
      <c r="O25" s="23"/>
      <c r="P25" s="12"/>
      <c r="Q25" s="12"/>
    </row>
    <row r="26" spans="1:32" s="18" customFormat="1" ht="20.25" customHeight="1" x14ac:dyDescent="0.2">
      <c r="A26" s="1398"/>
      <c r="B26" s="267"/>
      <c r="C26" s="267"/>
      <c r="D26" s="30"/>
      <c r="E26" s="23"/>
      <c r="F26" s="23"/>
      <c r="G26" s="23"/>
      <c r="H26" s="23"/>
      <c r="I26" s="23"/>
      <c r="J26" s="23"/>
      <c r="K26" s="23"/>
      <c r="L26" s="23"/>
      <c r="M26" s="23"/>
      <c r="N26" s="23"/>
      <c r="O26" s="23"/>
      <c r="P26" s="12"/>
      <c r="Q26" s="12"/>
    </row>
    <row r="27" spans="1:32" ht="19.5" customHeight="1" x14ac:dyDescent="0.2">
      <c r="A27" s="1399"/>
      <c r="B27" s="13"/>
      <c r="C27" s="56"/>
      <c r="D27" s="667"/>
      <c r="E27" s="15"/>
      <c r="F27" s="15"/>
      <c r="G27" s="15"/>
      <c r="H27" s="13"/>
      <c r="I27" s="19"/>
      <c r="J27" s="19"/>
      <c r="K27" s="19"/>
      <c r="L27" s="19"/>
      <c r="M27" s="19"/>
      <c r="N27" s="19"/>
      <c r="O27" s="35"/>
      <c r="P27" s="13"/>
      <c r="Q27" s="19"/>
      <c r="R27" s="19"/>
      <c r="S27" s="19"/>
      <c r="T27" s="19"/>
      <c r="U27" s="19"/>
      <c r="V27" s="19"/>
      <c r="W27" s="19"/>
      <c r="X27" s="19"/>
      <c r="Y27" s="19"/>
      <c r="Z27" s="19"/>
      <c r="AA27" s="19"/>
      <c r="AB27" s="19"/>
      <c r="AC27" s="19"/>
      <c r="AD27" s="19"/>
    </row>
    <row r="28" spans="1:32" s="114" customFormat="1" ht="12.75" customHeight="1" x14ac:dyDescent="0.2">
      <c r="B28" s="172"/>
      <c r="C28" s="172"/>
      <c r="D28" s="172"/>
      <c r="E28" s="172"/>
      <c r="F28" s="172"/>
      <c r="G28" s="172"/>
      <c r="H28" s="172"/>
      <c r="I28" s="172"/>
      <c r="J28" s="172"/>
      <c r="K28" s="172"/>
      <c r="L28" s="172"/>
      <c r="M28" s="172"/>
      <c r="N28" s="172"/>
      <c r="O28" s="673"/>
      <c r="P28" s="113"/>
    </row>
    <row r="29" spans="1:32" s="114" customFormat="1" ht="12.75" hidden="1" customHeight="1" outlineLevel="1" thickBot="1" x14ac:dyDescent="0.25">
      <c r="A29"/>
      <c r="B29" s="172"/>
      <c r="C29" s="172"/>
      <c r="D29" s="172"/>
      <c r="E29" s="172"/>
      <c r="F29" s="172"/>
      <c r="G29" s="172"/>
      <c r="H29" s="172"/>
      <c r="I29" s="172"/>
      <c r="J29" s="172"/>
      <c r="K29" s="172"/>
      <c r="L29" s="172"/>
      <c r="M29" s="172"/>
      <c r="N29" s="172"/>
      <c r="O29" s="673"/>
      <c r="P29" s="113"/>
    </row>
    <row r="30" spans="1:32" s="114" customFormat="1" ht="20.100000000000001" hidden="1" customHeight="1" outlineLevel="1" x14ac:dyDescent="0.2">
      <c r="A30" s="1397" t="s">
        <v>4285</v>
      </c>
      <c r="B30" s="172"/>
      <c r="C30" s="1100"/>
      <c r="D30" s="253"/>
      <c r="E30" s="253"/>
      <c r="F30" s="253"/>
      <c r="G30" s="253"/>
      <c r="H30" s="253"/>
      <c r="I30" s="253"/>
      <c r="J30" s="253"/>
      <c r="K30" s="253"/>
      <c r="L30" s="253"/>
      <c r="M30" s="253"/>
      <c r="N30" s="253"/>
      <c r="O30" s="901"/>
      <c r="P30" s="113"/>
    </row>
    <row r="31" spans="1:32" s="114" customFormat="1" hidden="1" outlineLevel="1" x14ac:dyDescent="0.2">
      <c r="A31" s="1398"/>
      <c r="B31" s="172"/>
      <c r="C31" s="263"/>
      <c r="D31" s="896" t="s">
        <v>265</v>
      </c>
      <c r="E31" s="172"/>
      <c r="F31" s="172"/>
      <c r="G31" s="172"/>
      <c r="H31" s="172"/>
      <c r="I31" s="172"/>
      <c r="J31" s="172"/>
      <c r="K31" s="172"/>
      <c r="L31" s="172"/>
      <c r="M31" s="172"/>
      <c r="N31" s="172"/>
      <c r="O31" s="902"/>
      <c r="P31" s="113"/>
    </row>
    <row r="32" spans="1:32" s="114" customFormat="1" hidden="1" outlineLevel="1" x14ac:dyDescent="0.2">
      <c r="A32" s="1398"/>
      <c r="B32" s="172"/>
      <c r="C32" s="254"/>
      <c r="D32" s="903">
        <v>0.11</v>
      </c>
      <c r="E32" s="522">
        <f>$D$32</f>
        <v>0.11</v>
      </c>
      <c r="F32" s="522">
        <f>$D$32*(1+Inflation)</f>
        <v>0.11220000000000001</v>
      </c>
      <c r="G32" s="522">
        <f>$D$32*(1+Inflation)^2</f>
        <v>0.114444</v>
      </c>
      <c r="H32" s="522">
        <f>$D$32*(1+Inflation)^3</f>
        <v>0.11673288</v>
      </c>
      <c r="I32" s="522">
        <f>$D$32*(1+Inflation)^4</f>
        <v>0.1190675376</v>
      </c>
      <c r="J32" s="522">
        <f>$D$32*(1+Inflation)^5</f>
        <v>0.121448888352</v>
      </c>
      <c r="K32" s="522">
        <f>$D$32*(1+Inflation)^6</f>
        <v>0.12387786611904</v>
      </c>
      <c r="L32" s="522">
        <f>$D$32*(1+Inflation)^7</f>
        <v>0.12635542344142078</v>
      </c>
      <c r="M32" s="522">
        <f>$D$32*(1+Inflation)^8</f>
        <v>0.1288825319102492</v>
      </c>
      <c r="N32" s="522">
        <f>$D$32*(1+Inflation)^9</f>
        <v>0.13146018254845418</v>
      </c>
      <c r="O32" s="902"/>
      <c r="P32" s="113"/>
    </row>
    <row r="33" spans="1:32" s="173" customFormat="1" ht="12.75" hidden="1" customHeight="1" outlineLevel="1" x14ac:dyDescent="0.2">
      <c r="A33" s="1398"/>
      <c r="B33" s="172"/>
      <c r="C33" s="255"/>
      <c r="D33" s="904"/>
      <c r="E33" s="523"/>
      <c r="F33" s="523"/>
      <c r="G33" s="523"/>
      <c r="H33" s="523"/>
      <c r="I33" s="523"/>
      <c r="J33" s="523"/>
      <c r="K33" s="523"/>
      <c r="L33" s="523"/>
      <c r="M33" s="523"/>
      <c r="N33" s="523"/>
      <c r="O33" s="902"/>
      <c r="P33" s="172"/>
    </row>
    <row r="34" spans="1:32" s="41" customFormat="1" ht="13.5" hidden="1" customHeight="1" outlineLevel="1" x14ac:dyDescent="0.2">
      <c r="A34" s="1398"/>
      <c r="B34" s="30"/>
      <c r="C34" s="256"/>
      <c r="D34" s="820" t="s">
        <v>120</v>
      </c>
      <c r="E34" s="524">
        <f t="shared" ref="E34:N34" si="3">SUM(E32*E17)</f>
        <v>2360221.71</v>
      </c>
      <c r="F34" s="524">
        <f t="shared" si="3"/>
        <v>2404742.5198285715</v>
      </c>
      <c r="G34" s="524">
        <f t="shared" si="3"/>
        <v>2450810.1154020005</v>
      </c>
      <c r="H34" s="524">
        <f t="shared" si="3"/>
        <v>2504944.9649173133</v>
      </c>
      <c r="I34" s="524">
        <f t="shared" si="3"/>
        <v>2556641.7257099967</v>
      </c>
      <c r="J34" s="524">
        <f t="shared" si="3"/>
        <v>2609425.2877313965</v>
      </c>
      <c r="K34" s="524">
        <f t="shared" si="3"/>
        <v>2663314.8636972602</v>
      </c>
      <c r="L34" s="524">
        <f t="shared" si="3"/>
        <v>2718330.8082359345</v>
      </c>
      <c r="M34" s="524">
        <f t="shared" si="3"/>
        <v>2774494.4369125557</v>
      </c>
      <c r="N34" s="524">
        <f t="shared" si="3"/>
        <v>2831827.9055690872</v>
      </c>
      <c r="O34" s="257" t="s">
        <v>121</v>
      </c>
      <c r="P34" s="38"/>
    </row>
    <row r="35" spans="1:32" s="180" customFormat="1" ht="13.5" hidden="1" customHeight="1" outlineLevel="1" x14ac:dyDescent="0.2">
      <c r="A35" s="1398"/>
      <c r="B35" s="905"/>
      <c r="C35" s="846"/>
      <c r="D35" s="898" t="s">
        <v>122</v>
      </c>
      <c r="E35" s="266">
        <f t="shared" ref="E35:N35" si="4">SUM(E32*E18)</f>
        <v>2360221.71</v>
      </c>
      <c r="F35" s="266">
        <f t="shared" si="4"/>
        <v>1202371.2599142857</v>
      </c>
      <c r="G35" s="266">
        <f t="shared" si="4"/>
        <v>1102864.5519308997</v>
      </c>
      <c r="H35" s="266">
        <f t="shared" si="4"/>
        <v>1001977.9859669253</v>
      </c>
      <c r="I35" s="266">
        <f t="shared" si="4"/>
        <v>1022656.6902839985</v>
      </c>
      <c r="J35" s="266">
        <f t="shared" si="4"/>
        <v>1043770.1150925587</v>
      </c>
      <c r="K35" s="266">
        <f t="shared" si="4"/>
        <v>1065325.9454789041</v>
      </c>
      <c r="L35" s="266">
        <f t="shared" si="4"/>
        <v>1087332.3232943739</v>
      </c>
      <c r="M35" s="266">
        <f t="shared" si="4"/>
        <v>1109797.7747650221</v>
      </c>
      <c r="N35" s="266">
        <f t="shared" si="4"/>
        <v>1132731.1622276348</v>
      </c>
      <c r="O35" s="257" t="s">
        <v>123</v>
      </c>
      <c r="P35" s="30"/>
    </row>
    <row r="36" spans="1:32" s="38" customFormat="1" ht="12.75" hidden="1" customHeight="1" outlineLevel="1" x14ac:dyDescent="0.2">
      <c r="A36" s="1398"/>
      <c r="B36" s="30"/>
      <c r="C36" s="256"/>
      <c r="D36" s="899" t="s">
        <v>124</v>
      </c>
      <c r="E36" s="266">
        <f t="shared" ref="E36:N36" si="5">SUM(E32*E19)</f>
        <v>2360221.71</v>
      </c>
      <c r="F36" s="266">
        <f t="shared" si="5"/>
        <v>96189.700793142867</v>
      </c>
      <c r="G36" s="266">
        <f t="shared" si="5"/>
        <v>73524.303462060008</v>
      </c>
      <c r="H36" s="266">
        <f t="shared" si="5"/>
        <v>87673.07377210597</v>
      </c>
      <c r="I36" s="266">
        <f t="shared" si="5"/>
        <v>76699.251771299911</v>
      </c>
      <c r="J36" s="266">
        <f t="shared" si="5"/>
        <v>65235.632193284917</v>
      </c>
      <c r="K36" s="266">
        <f t="shared" si="5"/>
        <v>53266.297273945209</v>
      </c>
      <c r="L36" s="266">
        <f t="shared" si="5"/>
        <v>40774.962123539015</v>
      </c>
      <c r="M36" s="266">
        <f t="shared" si="5"/>
        <v>27744.944369125562</v>
      </c>
      <c r="N36" s="266">
        <f t="shared" si="5"/>
        <v>14159.139527845438</v>
      </c>
      <c r="O36" s="257" t="s">
        <v>125</v>
      </c>
    </row>
    <row r="37" spans="1:32" s="30" customFormat="1" ht="12.75" hidden="1" customHeight="1" outlineLevel="1" thickBot="1" x14ac:dyDescent="0.25">
      <c r="A37" s="1399"/>
      <c r="B37" s="642"/>
      <c r="C37" s="170"/>
      <c r="D37" s="906"/>
      <c r="E37" s="525"/>
      <c r="F37" s="525"/>
      <c r="G37" s="525"/>
      <c r="H37" s="525"/>
      <c r="I37" s="525"/>
      <c r="J37" s="525"/>
      <c r="K37" s="525"/>
      <c r="L37" s="525"/>
      <c r="M37" s="525"/>
      <c r="N37" s="525"/>
      <c r="O37" s="509"/>
    </row>
    <row r="38" spans="1:32" s="7" customFormat="1" ht="13.5" hidden="1" customHeight="1" outlineLevel="1" x14ac:dyDescent="0.2">
      <c r="B38" s="907"/>
      <c r="C38" s="229"/>
      <c r="D38" s="229"/>
      <c r="E38" s="50"/>
      <c r="F38" s="50"/>
      <c r="G38" s="50"/>
      <c r="H38" s="50"/>
      <c r="I38" s="50"/>
      <c r="J38" s="50"/>
      <c r="K38" s="50"/>
      <c r="L38" s="50"/>
      <c r="M38" s="50"/>
      <c r="N38" s="50"/>
      <c r="O38" s="494"/>
      <c r="P38" s="50"/>
      <c r="Q38" s="24"/>
      <c r="R38" s="24"/>
      <c r="S38" s="24"/>
      <c r="T38" s="24"/>
      <c r="U38" s="24"/>
      <c r="V38" s="24"/>
      <c r="W38" s="24"/>
      <c r="X38" s="24"/>
      <c r="Y38" s="24"/>
      <c r="Z38" s="24"/>
      <c r="AA38" s="24"/>
      <c r="AB38" s="24"/>
      <c r="AC38" s="24"/>
      <c r="AD38" s="24"/>
    </row>
    <row r="39" spans="1:32" s="122" customFormat="1" ht="15.75" collapsed="1" x14ac:dyDescent="0.2">
      <c r="A39" s="1043">
        <v>3</v>
      </c>
      <c r="B39" s="1039"/>
      <c r="C39" s="1039"/>
      <c r="D39" s="1039"/>
      <c r="E39" s="1039"/>
      <c r="F39" s="1039"/>
      <c r="G39" s="1039"/>
      <c r="H39" s="1039"/>
      <c r="I39" s="1039"/>
      <c r="J39" s="1039"/>
      <c r="K39" s="1039"/>
      <c r="L39" s="1039"/>
      <c r="M39" s="1039"/>
      <c r="N39" s="1039"/>
      <c r="O39" s="1039"/>
      <c r="P39" s="206"/>
      <c r="Q39" s="206"/>
      <c r="R39" s="206"/>
      <c r="S39" s="206"/>
      <c r="T39" s="206"/>
      <c r="U39" s="206"/>
      <c r="V39" s="206"/>
      <c r="W39" s="206"/>
      <c r="X39" s="206"/>
      <c r="Y39" s="206"/>
      <c r="Z39" s="206"/>
      <c r="AA39" s="206"/>
      <c r="AB39" s="206"/>
      <c r="AC39" s="206"/>
      <c r="AD39" s="206"/>
      <c r="AE39" s="206"/>
      <c r="AF39" s="206"/>
    </row>
    <row r="40" spans="1:32" s="7" customFormat="1" ht="13.5" customHeight="1" thickBot="1" x14ac:dyDescent="0.25">
      <c r="B40" s="907"/>
      <c r="C40" s="229"/>
      <c r="D40" s="229"/>
      <c r="E40" s="50"/>
      <c r="F40" s="50"/>
      <c r="G40" s="50"/>
      <c r="H40" s="50"/>
      <c r="I40" s="50"/>
      <c r="J40" s="50"/>
      <c r="K40" s="50"/>
      <c r="L40" s="50"/>
      <c r="M40" s="50"/>
      <c r="N40" s="50"/>
      <c r="O40" s="494"/>
      <c r="P40" s="50"/>
      <c r="Q40" s="24"/>
      <c r="R40" s="24"/>
      <c r="S40" s="24"/>
      <c r="T40" s="24"/>
      <c r="U40" s="24"/>
      <c r="V40" s="24"/>
      <c r="W40" s="24"/>
      <c r="X40" s="24"/>
      <c r="Y40" s="24"/>
      <c r="Z40" s="24"/>
      <c r="AA40" s="24"/>
      <c r="AB40" s="24"/>
      <c r="AC40" s="24"/>
      <c r="AD40" s="24"/>
    </row>
    <row r="41" spans="1:32" s="18" customFormat="1" ht="20.100000000000001" customHeight="1" x14ac:dyDescent="0.2">
      <c r="A41" s="1397" t="s">
        <v>4286</v>
      </c>
      <c r="B41" s="267"/>
      <c r="C41" s="967" t="s">
        <v>58</v>
      </c>
      <c r="D41" s="23"/>
      <c r="E41" s="23"/>
      <c r="F41" s="23"/>
      <c r="G41" s="23"/>
      <c r="H41" s="23"/>
      <c r="I41" s="23"/>
      <c r="J41" s="23"/>
      <c r="K41" s="23"/>
      <c r="L41" s="23"/>
      <c r="M41" s="23"/>
      <c r="N41" s="23"/>
      <c r="O41" s="23"/>
      <c r="P41" s="12"/>
      <c r="Q41" s="12"/>
    </row>
    <row r="42" spans="1:32" s="18" customFormat="1" ht="12" customHeight="1" x14ac:dyDescent="0.2">
      <c r="A42" s="1398"/>
      <c r="B42" s="267"/>
      <c r="C42" s="267"/>
      <c r="D42" s="30"/>
      <c r="E42" s="23"/>
      <c r="F42" s="23"/>
      <c r="G42" s="23"/>
      <c r="H42" s="23"/>
      <c r="I42" s="23"/>
      <c r="J42" s="23"/>
      <c r="K42" s="23"/>
      <c r="L42" s="23"/>
      <c r="M42" s="23"/>
      <c r="N42" s="23"/>
      <c r="O42" s="23"/>
      <c r="P42" s="12"/>
      <c r="Q42" s="12"/>
    </row>
    <row r="43" spans="1:32" s="18" customFormat="1" ht="20.25" customHeight="1" x14ac:dyDescent="0.2">
      <c r="A43" s="1398"/>
      <c r="B43" s="267"/>
      <c r="C43" s="267"/>
      <c r="D43" s="30"/>
      <c r="E43" s="23"/>
      <c r="F43" s="23"/>
      <c r="G43" s="23"/>
      <c r="H43" s="23"/>
      <c r="I43" s="23"/>
      <c r="J43" s="23"/>
      <c r="K43" s="23"/>
      <c r="L43" s="23"/>
      <c r="M43" s="23"/>
      <c r="N43" s="23"/>
      <c r="O43" s="23"/>
      <c r="P43" s="12"/>
      <c r="Q43" s="12"/>
    </row>
    <row r="44" spans="1:32" ht="19.5" customHeight="1" x14ac:dyDescent="0.2">
      <c r="A44" s="1399"/>
      <c r="B44" s="13"/>
      <c r="C44" s="56"/>
      <c r="D44" s="667"/>
      <c r="E44" s="15"/>
      <c r="F44" s="15"/>
      <c r="G44" s="15"/>
      <c r="H44" s="13"/>
      <c r="I44" s="19"/>
      <c r="J44" s="19"/>
      <c r="K44" s="19"/>
      <c r="L44" s="19"/>
      <c r="M44" s="19"/>
      <c r="N44" s="19"/>
      <c r="O44" s="35"/>
      <c r="P44" s="13"/>
      <c r="Q44" s="19"/>
      <c r="R44" s="19"/>
      <c r="S44" s="19"/>
      <c r="T44" s="19"/>
      <c r="U44" s="19"/>
      <c r="V44" s="19"/>
      <c r="W44" s="19"/>
      <c r="X44" s="19"/>
      <c r="Y44" s="19"/>
      <c r="Z44" s="19"/>
      <c r="AA44" s="19"/>
      <c r="AB44" s="19"/>
      <c r="AC44" s="19"/>
      <c r="AD44" s="19"/>
    </row>
    <row r="45" spans="1:32" s="7" customFormat="1" ht="13.5" customHeight="1" x14ac:dyDescent="0.2">
      <c r="B45" s="907"/>
      <c r="C45" s="229"/>
      <c r="D45" s="229"/>
      <c r="E45" s="50"/>
      <c r="F45" s="50"/>
      <c r="G45" s="50"/>
      <c r="H45" s="50"/>
      <c r="I45" s="50"/>
      <c r="J45" s="50"/>
      <c r="K45" s="50"/>
      <c r="L45" s="50"/>
      <c r="M45" s="50"/>
      <c r="N45" s="50"/>
      <c r="O45" s="494"/>
      <c r="P45" s="50"/>
      <c r="Q45" s="24"/>
      <c r="R45" s="24"/>
      <c r="S45" s="24"/>
      <c r="T45" s="24"/>
      <c r="U45" s="24"/>
      <c r="V45" s="24"/>
      <c r="W45" s="24"/>
      <c r="X45" s="24"/>
      <c r="Y45" s="24"/>
      <c r="Z45" s="24"/>
      <c r="AA45" s="24"/>
      <c r="AB45" s="24"/>
      <c r="AC45" s="24"/>
      <c r="AD45" s="24"/>
    </row>
    <row r="46" spans="1:32" s="7" customFormat="1" ht="13.5" hidden="1" customHeight="1" outlineLevel="1" thickBot="1" x14ac:dyDescent="0.25">
      <c r="B46" s="907"/>
      <c r="C46" s="229"/>
      <c r="D46" s="229"/>
      <c r="E46" s="50"/>
      <c r="F46" s="50"/>
      <c r="G46" s="50"/>
      <c r="H46" s="50"/>
      <c r="I46" s="50"/>
      <c r="J46" s="50"/>
      <c r="K46" s="50"/>
      <c r="L46" s="50"/>
      <c r="M46" s="50"/>
      <c r="N46" s="50"/>
      <c r="O46" s="494"/>
      <c r="P46" s="50"/>
      <c r="Q46" s="24"/>
      <c r="R46" s="24"/>
      <c r="S46" s="24"/>
      <c r="T46" s="24"/>
      <c r="U46" s="24"/>
      <c r="V46" s="24"/>
      <c r="W46" s="24"/>
      <c r="X46" s="24"/>
      <c r="Y46" s="24"/>
      <c r="Z46" s="24"/>
      <c r="AA46" s="24"/>
      <c r="AB46" s="24"/>
      <c r="AC46" s="24"/>
      <c r="AD46" s="24"/>
    </row>
    <row r="47" spans="1:32" s="7" customFormat="1" ht="20.100000000000001" hidden="1" customHeight="1" outlineLevel="1" x14ac:dyDescent="0.2">
      <c r="A47" s="1397" t="s">
        <v>4287</v>
      </c>
      <c r="B47" s="908"/>
      <c r="C47" s="1101"/>
      <c r="D47" s="259"/>
      <c r="E47" s="259"/>
      <c r="F47" s="259"/>
      <c r="G47" s="259"/>
      <c r="H47" s="259"/>
      <c r="I47" s="259"/>
      <c r="J47" s="259"/>
      <c r="K47" s="259"/>
      <c r="L47" s="259"/>
      <c r="M47" s="259"/>
      <c r="N47" s="259"/>
      <c r="O47" s="909"/>
      <c r="P47" s="50"/>
      <c r="Q47" s="24"/>
      <c r="R47" s="24"/>
      <c r="S47" s="24"/>
      <c r="T47" s="24"/>
      <c r="U47" s="24"/>
      <c r="V47" s="24"/>
      <c r="W47" s="24"/>
      <c r="X47" s="24"/>
      <c r="Y47" s="24"/>
      <c r="Z47" s="24"/>
      <c r="AA47" s="24"/>
      <c r="AB47" s="24"/>
      <c r="AC47" s="24"/>
      <c r="AD47" s="24"/>
    </row>
    <row r="48" spans="1:32" s="7" customFormat="1" ht="13.5" hidden="1" customHeight="1" outlineLevel="1" x14ac:dyDescent="0.2">
      <c r="A48" s="1398"/>
      <c r="B48" s="908"/>
      <c r="C48" s="272"/>
      <c r="D48" s="453" t="s">
        <v>840</v>
      </c>
      <c r="E48" s="50"/>
      <c r="F48" s="50"/>
      <c r="G48" s="50"/>
      <c r="H48" s="50"/>
      <c r="I48" s="50"/>
      <c r="J48" s="50"/>
      <c r="K48" s="50"/>
      <c r="L48" s="50"/>
      <c r="M48" s="50"/>
      <c r="N48" s="50"/>
      <c r="O48" s="897"/>
      <c r="P48" s="50"/>
      <c r="Q48" s="24"/>
      <c r="R48" s="24"/>
      <c r="S48" s="24"/>
      <c r="T48" s="24"/>
      <c r="U48" s="24"/>
      <c r="V48" s="24"/>
      <c r="W48" s="24"/>
      <c r="X48" s="24"/>
      <c r="Y48" s="24"/>
      <c r="Z48" s="24"/>
      <c r="AA48" s="24"/>
      <c r="AB48" s="24"/>
      <c r="AC48" s="24"/>
      <c r="AD48" s="24"/>
    </row>
    <row r="49" spans="1:32" ht="12.75" hidden="1" customHeight="1" outlineLevel="1" x14ac:dyDescent="0.2">
      <c r="A49" s="1398"/>
      <c r="B49" s="908"/>
      <c r="C49" s="167"/>
      <c r="D49" s="258">
        <v>0.01</v>
      </c>
      <c r="E49" s="260">
        <f>$D$49</f>
        <v>0.01</v>
      </c>
      <c r="F49" s="260">
        <f>$D$49*(1+Inflation)</f>
        <v>1.0200000000000001E-2</v>
      </c>
      <c r="G49" s="260">
        <f>$D$49*(1+Inflation)^2</f>
        <v>1.0404E-2</v>
      </c>
      <c r="H49" s="260">
        <f>$D$49*(1+Inflation)^3</f>
        <v>1.0612079999999999E-2</v>
      </c>
      <c r="I49" s="260">
        <f>$D$49*(1+Inflation)^4</f>
        <v>1.0824321600000001E-2</v>
      </c>
      <c r="J49" s="260">
        <f>$D$49*(1+Inflation)^5</f>
        <v>1.1040808032000001E-2</v>
      </c>
      <c r="K49" s="260">
        <f>$D$49*(1+Inflation)^6</f>
        <v>1.1261624192640001E-2</v>
      </c>
      <c r="L49" s="260">
        <f>$D$49*(1+Inflation)^7</f>
        <v>1.1486856676492798E-2</v>
      </c>
      <c r="M49" s="260">
        <f>$D$49*(1+Inflation)^8</f>
        <v>1.1716593810022656E-2</v>
      </c>
      <c r="N49" s="260">
        <f>$D$49*(1+Inflation)^9</f>
        <v>1.1950925686223109E-2</v>
      </c>
      <c r="O49" s="910"/>
      <c r="P49" s="13"/>
      <c r="Q49" s="19"/>
      <c r="R49" s="19"/>
      <c r="S49" s="19"/>
      <c r="T49" s="19"/>
      <c r="U49" s="19"/>
      <c r="V49" s="19"/>
      <c r="W49" s="19"/>
      <c r="X49" s="19"/>
      <c r="Y49" s="19"/>
      <c r="Z49" s="19"/>
      <c r="AA49" s="19"/>
      <c r="AB49" s="19"/>
      <c r="AC49" s="19"/>
      <c r="AD49" s="19"/>
    </row>
    <row r="50" spans="1:32" s="38" customFormat="1" ht="12.75" hidden="1" customHeight="1" outlineLevel="1" x14ac:dyDescent="0.2">
      <c r="A50" s="1398"/>
      <c r="B50" s="908"/>
      <c r="C50" s="256"/>
      <c r="D50" s="30"/>
      <c r="E50" s="30"/>
      <c r="F50" s="30"/>
      <c r="G50" s="30"/>
      <c r="H50" s="30"/>
      <c r="I50" s="30"/>
      <c r="J50" s="30"/>
      <c r="K50" s="30"/>
      <c r="L50" s="30"/>
      <c r="M50" s="30"/>
      <c r="N50" s="30"/>
      <c r="O50" s="897"/>
    </row>
    <row r="51" spans="1:32" s="38" customFormat="1" ht="12.75" hidden="1" customHeight="1" outlineLevel="1" x14ac:dyDescent="0.2">
      <c r="A51" s="1398"/>
      <c r="B51" s="908"/>
      <c r="C51" s="256"/>
      <c r="D51" s="820" t="s">
        <v>167</v>
      </c>
      <c r="E51" s="265">
        <f t="shared" ref="E51:N51" si="6">E49*E17</f>
        <v>214565.61000000002</v>
      </c>
      <c r="F51" s="265">
        <f t="shared" si="6"/>
        <v>218612.95634805196</v>
      </c>
      <c r="G51" s="265">
        <f t="shared" si="6"/>
        <v>222800.91958200003</v>
      </c>
      <c r="H51" s="265">
        <f t="shared" si="6"/>
        <v>227722.26953793757</v>
      </c>
      <c r="I51" s="265">
        <f t="shared" si="6"/>
        <v>232421.97506454517</v>
      </c>
      <c r="J51" s="265">
        <f t="shared" si="6"/>
        <v>237220.48070285426</v>
      </c>
      <c r="K51" s="265">
        <f t="shared" si="6"/>
        <v>242119.53306338729</v>
      </c>
      <c r="L51" s="265">
        <f t="shared" si="6"/>
        <v>247120.98256690311</v>
      </c>
      <c r="M51" s="265">
        <f t="shared" si="6"/>
        <v>252226.76699205051</v>
      </c>
      <c r="N51" s="265">
        <f t="shared" si="6"/>
        <v>257438.90050628071</v>
      </c>
      <c r="O51" s="897"/>
    </row>
    <row r="52" spans="1:32" s="38" customFormat="1" ht="12.75" hidden="1" customHeight="1" outlineLevel="1" x14ac:dyDescent="0.2">
      <c r="A52" s="1398"/>
      <c r="B52" s="908"/>
      <c r="C52" s="256"/>
      <c r="D52" s="898" t="s">
        <v>168</v>
      </c>
      <c r="E52" s="265">
        <f t="shared" ref="E52:N52" si="7">E49*E18</f>
        <v>214565.61000000002</v>
      </c>
      <c r="F52" s="265">
        <f t="shared" si="7"/>
        <v>109306.47817402598</v>
      </c>
      <c r="G52" s="265">
        <f t="shared" si="7"/>
        <v>100260.41381189998</v>
      </c>
      <c r="H52" s="265">
        <f t="shared" si="7"/>
        <v>91088.907815175029</v>
      </c>
      <c r="I52" s="265">
        <f t="shared" si="7"/>
        <v>92968.790025818045</v>
      </c>
      <c r="J52" s="265">
        <f t="shared" si="7"/>
        <v>94888.192281141703</v>
      </c>
      <c r="K52" s="265">
        <f t="shared" si="7"/>
        <v>96847.813225354912</v>
      </c>
      <c r="L52" s="265">
        <f t="shared" si="7"/>
        <v>98848.39302676126</v>
      </c>
      <c r="M52" s="265">
        <f t="shared" si="7"/>
        <v>100890.70679682019</v>
      </c>
      <c r="N52" s="265">
        <f t="shared" si="7"/>
        <v>102975.56020251228</v>
      </c>
      <c r="O52" s="897"/>
    </row>
    <row r="53" spans="1:32" s="38" customFormat="1" ht="12.75" hidden="1" customHeight="1" outlineLevel="1" x14ac:dyDescent="0.2">
      <c r="A53" s="1398"/>
      <c r="B53" s="908"/>
      <c r="C53" s="256"/>
      <c r="D53" s="899" t="s">
        <v>169</v>
      </c>
      <c r="E53" s="265">
        <f t="shared" ref="E53:N53" si="8">E49*E19</f>
        <v>214565.61000000002</v>
      </c>
      <c r="F53" s="265">
        <f t="shared" si="8"/>
        <v>8744.5182539220787</v>
      </c>
      <c r="G53" s="265">
        <f t="shared" si="8"/>
        <v>6684.0275874600002</v>
      </c>
      <c r="H53" s="265">
        <f t="shared" si="8"/>
        <v>7970.2794338278145</v>
      </c>
      <c r="I53" s="265">
        <f t="shared" si="8"/>
        <v>6972.6592519363558</v>
      </c>
      <c r="J53" s="265">
        <f t="shared" si="8"/>
        <v>5930.5120175713564</v>
      </c>
      <c r="K53" s="265">
        <f t="shared" si="8"/>
        <v>4842.3906612677465</v>
      </c>
      <c r="L53" s="265">
        <f t="shared" si="8"/>
        <v>3706.8147385035463</v>
      </c>
      <c r="M53" s="265">
        <f t="shared" si="8"/>
        <v>2522.2676699205058</v>
      </c>
      <c r="N53" s="265">
        <f t="shared" si="8"/>
        <v>1287.1945025314037</v>
      </c>
      <c r="O53" s="897"/>
    </row>
    <row r="54" spans="1:32" s="114" customFormat="1" ht="13.5" hidden="1" outlineLevel="1" thickBot="1" x14ac:dyDescent="0.25">
      <c r="A54" s="1399"/>
      <c r="B54" s="962"/>
      <c r="C54" s="250"/>
      <c r="D54" s="251"/>
      <c r="E54" s="251"/>
      <c r="F54" s="251"/>
      <c r="G54" s="251"/>
      <c r="H54" s="251"/>
      <c r="I54" s="251"/>
      <c r="J54" s="251"/>
      <c r="K54" s="251"/>
      <c r="L54" s="251"/>
      <c r="M54" s="251"/>
      <c r="N54" s="251"/>
      <c r="O54" s="900"/>
      <c r="P54" s="113"/>
    </row>
    <row r="55" spans="1:32" s="114" customFormat="1" hidden="1" outlineLevel="1" x14ac:dyDescent="0.2">
      <c r="A55" s="172"/>
      <c r="B55" s="172"/>
      <c r="C55" s="172"/>
      <c r="D55" s="172"/>
      <c r="E55" s="172"/>
      <c r="F55" s="172"/>
      <c r="G55" s="172"/>
      <c r="H55" s="172"/>
      <c r="I55" s="172"/>
      <c r="J55" s="172"/>
      <c r="K55" s="172"/>
      <c r="L55" s="172"/>
      <c r="M55" s="172"/>
      <c r="N55" s="172"/>
      <c r="O55" s="673"/>
      <c r="P55" s="113"/>
    </row>
    <row r="56" spans="1:32" s="122" customFormat="1" ht="15.75" collapsed="1" x14ac:dyDescent="0.2">
      <c r="A56" s="1043">
        <v>4</v>
      </c>
      <c r="B56" s="1039"/>
      <c r="C56" s="1039"/>
      <c r="D56" s="1039"/>
      <c r="E56" s="1039"/>
      <c r="F56" s="1039"/>
      <c r="G56" s="1039"/>
      <c r="H56" s="1039"/>
      <c r="I56" s="1039"/>
      <c r="J56" s="1039"/>
      <c r="K56" s="1039"/>
      <c r="L56" s="1039"/>
      <c r="M56" s="1039"/>
      <c r="N56" s="1039"/>
      <c r="O56" s="1039"/>
      <c r="P56" s="206"/>
      <c r="Q56" s="206"/>
      <c r="R56" s="206"/>
      <c r="S56" s="206"/>
      <c r="T56" s="206"/>
      <c r="U56" s="206"/>
      <c r="V56" s="206"/>
      <c r="W56" s="206"/>
      <c r="X56" s="206"/>
      <c r="Y56" s="206"/>
      <c r="Z56" s="206"/>
      <c r="AA56" s="206"/>
      <c r="AB56" s="206"/>
      <c r="AC56" s="206"/>
      <c r="AD56" s="206"/>
      <c r="AE56" s="206"/>
      <c r="AF56" s="206"/>
    </row>
    <row r="57" spans="1:32" s="114" customFormat="1" ht="13.5" thickBot="1" x14ac:dyDescent="0.25">
      <c r="A57" s="172"/>
      <c r="B57" s="172"/>
      <c r="C57" s="172"/>
      <c r="D57" s="172"/>
      <c r="E57" s="172"/>
      <c r="F57" s="172"/>
      <c r="G57" s="172"/>
      <c r="H57" s="172"/>
      <c r="I57" s="172"/>
      <c r="J57" s="172"/>
      <c r="K57" s="172"/>
      <c r="L57" s="172"/>
      <c r="M57" s="172"/>
      <c r="N57" s="172"/>
      <c r="O57" s="673"/>
      <c r="P57" s="113"/>
    </row>
    <row r="58" spans="1:32" s="18" customFormat="1" ht="20.100000000000001" customHeight="1" x14ac:dyDescent="0.2">
      <c r="A58" s="1397" t="s">
        <v>4288</v>
      </c>
      <c r="B58" s="267"/>
      <c r="C58" s="967" t="s">
        <v>841</v>
      </c>
      <c r="D58" s="23"/>
      <c r="E58" s="23"/>
      <c r="F58" s="23"/>
      <c r="G58" s="23"/>
      <c r="H58" s="23"/>
      <c r="I58" s="23"/>
      <c r="J58" s="23"/>
      <c r="K58" s="23"/>
      <c r="L58" s="23"/>
      <c r="M58" s="23"/>
      <c r="N58" s="23"/>
      <c r="O58" s="23"/>
      <c r="P58" s="12"/>
      <c r="Q58" s="12"/>
    </row>
    <row r="59" spans="1:32" s="18" customFormat="1" ht="12" customHeight="1" x14ac:dyDescent="0.2">
      <c r="A59" s="1398"/>
      <c r="B59" s="267"/>
      <c r="C59" s="267"/>
      <c r="D59" s="30"/>
      <c r="E59" s="23"/>
      <c r="F59" s="23"/>
      <c r="G59" s="23"/>
      <c r="H59" s="23"/>
      <c r="I59" s="23"/>
      <c r="J59" s="23"/>
      <c r="K59" s="23"/>
      <c r="L59" s="23"/>
      <c r="M59" s="23"/>
      <c r="N59" s="23"/>
      <c r="O59" s="23"/>
      <c r="P59" s="12"/>
      <c r="Q59" s="12"/>
    </row>
    <row r="60" spans="1:32" s="18" customFormat="1" ht="20.25" customHeight="1" x14ac:dyDescent="0.2">
      <c r="A60" s="1398"/>
      <c r="B60" s="267"/>
      <c r="C60" s="267"/>
      <c r="D60" s="30"/>
      <c r="E60" s="23"/>
      <c r="F60" s="23"/>
      <c r="G60" s="23"/>
      <c r="H60" s="23"/>
      <c r="I60" s="23"/>
      <c r="J60" s="23"/>
      <c r="K60" s="23"/>
      <c r="L60" s="23"/>
      <c r="M60" s="23"/>
      <c r="N60" s="23"/>
      <c r="O60" s="23"/>
      <c r="P60" s="12"/>
      <c r="Q60" s="12"/>
    </row>
    <row r="61" spans="1:32" ht="19.5" customHeight="1" x14ac:dyDescent="0.2">
      <c r="A61" s="1399"/>
      <c r="B61" s="13"/>
      <c r="C61" s="56"/>
      <c r="D61" s="667"/>
      <c r="E61" s="15"/>
      <c r="F61" s="15"/>
      <c r="G61" s="15"/>
      <c r="H61" s="13"/>
      <c r="I61" s="19"/>
      <c r="J61" s="19"/>
      <c r="K61" s="19"/>
      <c r="L61" s="19"/>
      <c r="M61" s="19"/>
      <c r="N61" s="19"/>
      <c r="O61" s="35"/>
      <c r="P61" s="13"/>
      <c r="Q61" s="19"/>
      <c r="R61" s="19"/>
      <c r="S61" s="19"/>
      <c r="T61" s="19"/>
      <c r="U61" s="19"/>
      <c r="V61" s="19"/>
      <c r="W61" s="19"/>
      <c r="X61" s="19"/>
      <c r="Y61" s="19"/>
      <c r="Z61" s="19"/>
      <c r="AA61" s="19"/>
      <c r="AB61" s="19"/>
      <c r="AC61" s="19"/>
      <c r="AD61" s="19"/>
    </row>
    <row r="62" spans="1:32" s="114" customFormat="1" x14ac:dyDescent="0.2">
      <c r="A62" s="172"/>
      <c r="B62" s="172"/>
      <c r="C62" s="172"/>
      <c r="D62" s="172"/>
      <c r="E62" s="172"/>
      <c r="F62" s="172"/>
      <c r="G62" s="172"/>
      <c r="H62" s="172"/>
      <c r="I62" s="172"/>
      <c r="J62" s="172"/>
      <c r="K62" s="172"/>
      <c r="L62" s="172"/>
      <c r="M62" s="172"/>
      <c r="N62" s="172"/>
      <c r="O62" s="673"/>
      <c r="P62" s="113"/>
    </row>
    <row r="63" spans="1:32" s="114" customFormat="1" ht="13.5" hidden="1" outlineLevel="1" thickBot="1" x14ac:dyDescent="0.25">
      <c r="A63" s="172"/>
      <c r="B63" s="172"/>
      <c r="C63" s="172"/>
      <c r="D63" s="172"/>
      <c r="E63" s="172"/>
      <c r="F63" s="172"/>
      <c r="G63" s="172"/>
      <c r="H63" s="172"/>
      <c r="I63" s="172"/>
      <c r="J63" s="172"/>
      <c r="K63" s="172"/>
      <c r="L63" s="172"/>
      <c r="M63" s="172"/>
      <c r="N63" s="172"/>
      <c r="O63" s="673"/>
      <c r="P63" s="113"/>
    </row>
    <row r="64" spans="1:32" s="114" customFormat="1" hidden="1" outlineLevel="1" x14ac:dyDescent="0.2">
      <c r="A64" s="1397" t="s">
        <v>4144</v>
      </c>
      <c r="B64" s="172"/>
      <c r="C64" s="1100"/>
      <c r="D64" s="253"/>
      <c r="E64" s="253"/>
      <c r="F64" s="253"/>
      <c r="G64" s="253"/>
      <c r="H64" s="253"/>
      <c r="I64" s="253"/>
      <c r="J64" s="253"/>
      <c r="K64" s="253"/>
      <c r="L64" s="253"/>
      <c r="M64" s="253"/>
      <c r="N64" s="253"/>
      <c r="O64" s="901"/>
      <c r="P64" s="113"/>
    </row>
    <row r="65" spans="1:30" s="114" customFormat="1" hidden="1" outlineLevel="1" x14ac:dyDescent="0.2">
      <c r="A65" s="1398"/>
      <c r="C65" s="415" t="s">
        <v>833</v>
      </c>
      <c r="D65" s="955" t="s">
        <v>834</v>
      </c>
      <c r="E65" s="956" t="s">
        <v>4139</v>
      </c>
      <c r="F65" s="172"/>
      <c r="G65" s="172"/>
      <c r="H65" s="172"/>
      <c r="I65" s="172"/>
      <c r="J65" s="172"/>
      <c r="K65" s="172"/>
      <c r="L65" s="172"/>
      <c r="M65" s="172"/>
      <c r="N65" s="172"/>
      <c r="O65" s="902"/>
      <c r="P65" s="113"/>
    </row>
    <row r="66" spans="1:30" s="114" customFormat="1" hidden="1" outlineLevel="1" x14ac:dyDescent="0.2">
      <c r="A66" s="1398"/>
      <c r="C66" s="963" t="s">
        <v>842</v>
      </c>
      <c r="D66" s="953" t="s">
        <v>835</v>
      </c>
      <c r="E66" s="954">
        <v>25</v>
      </c>
      <c r="F66" s="964" t="s">
        <v>849</v>
      </c>
      <c r="G66" s="172"/>
      <c r="H66" s="172"/>
      <c r="I66" s="172"/>
      <c r="J66" s="172"/>
      <c r="K66" s="172"/>
      <c r="L66" s="172"/>
      <c r="M66" s="172"/>
      <c r="N66" s="172"/>
      <c r="O66" s="902"/>
      <c r="P66" s="113"/>
    </row>
    <row r="67" spans="1:30" s="114" customFormat="1" hidden="1" outlineLevel="1" x14ac:dyDescent="0.2">
      <c r="A67" s="1398"/>
      <c r="C67" s="963" t="s">
        <v>843</v>
      </c>
      <c r="D67" s="953" t="s">
        <v>836</v>
      </c>
      <c r="E67" s="954">
        <v>24</v>
      </c>
      <c r="F67" s="964" t="s">
        <v>850</v>
      </c>
      <c r="G67" s="172"/>
      <c r="H67" s="172"/>
      <c r="I67" s="172"/>
      <c r="J67" s="172"/>
      <c r="K67" s="172"/>
      <c r="L67" s="172"/>
      <c r="M67" s="172"/>
      <c r="N67" s="172"/>
      <c r="O67" s="902"/>
      <c r="P67" s="113"/>
    </row>
    <row r="68" spans="1:30" s="114" customFormat="1" hidden="1" outlineLevel="1" x14ac:dyDescent="0.2">
      <c r="A68" s="1398"/>
      <c r="C68" s="963" t="s">
        <v>844</v>
      </c>
      <c r="D68" s="953" t="s">
        <v>837</v>
      </c>
      <c r="E68" s="954">
        <v>23</v>
      </c>
      <c r="F68" s="964" t="s">
        <v>851</v>
      </c>
      <c r="G68" s="172"/>
      <c r="H68" s="172"/>
      <c r="I68" s="172"/>
      <c r="J68" s="172"/>
      <c r="K68" s="172"/>
      <c r="L68" s="172"/>
      <c r="M68" s="172"/>
      <c r="N68" s="172"/>
      <c r="O68" s="902"/>
      <c r="P68" s="113"/>
    </row>
    <row r="69" spans="1:30" s="114" customFormat="1" hidden="1" outlineLevel="1" x14ac:dyDescent="0.2">
      <c r="A69" s="1398"/>
      <c r="C69" s="963" t="s">
        <v>845</v>
      </c>
      <c r="D69" s="953" t="s">
        <v>188</v>
      </c>
      <c r="E69" s="954">
        <v>10</v>
      </c>
      <c r="F69" s="964" t="s">
        <v>852</v>
      </c>
      <c r="G69" s="172"/>
      <c r="H69" s="172"/>
      <c r="I69" s="172"/>
      <c r="J69" s="172"/>
      <c r="K69" s="172"/>
      <c r="L69" s="172"/>
      <c r="M69" s="172"/>
      <c r="N69" s="172"/>
      <c r="O69" s="902"/>
      <c r="P69" s="113"/>
    </row>
    <row r="70" spans="1:30" s="114" customFormat="1" hidden="1" outlineLevel="1" x14ac:dyDescent="0.2">
      <c r="A70" s="1398"/>
      <c r="C70" s="963" t="s">
        <v>846</v>
      </c>
      <c r="D70" s="953" t="s">
        <v>189</v>
      </c>
      <c r="E70" s="954">
        <v>21</v>
      </c>
      <c r="F70" s="964" t="s">
        <v>853</v>
      </c>
      <c r="G70" s="172"/>
      <c r="H70" s="172"/>
      <c r="I70" s="172"/>
      <c r="J70" s="172"/>
      <c r="K70" s="172"/>
      <c r="L70" s="172"/>
      <c r="M70" s="172"/>
      <c r="N70" s="172"/>
      <c r="O70" s="902"/>
      <c r="P70" s="113"/>
    </row>
    <row r="71" spans="1:30" s="114" customFormat="1" hidden="1" outlineLevel="1" x14ac:dyDescent="0.2">
      <c r="A71" s="1398"/>
      <c r="C71" s="963" t="s">
        <v>847</v>
      </c>
      <c r="D71" s="953" t="s">
        <v>838</v>
      </c>
      <c r="E71" s="954">
        <v>20</v>
      </c>
      <c r="F71" s="964" t="s">
        <v>854</v>
      </c>
      <c r="G71" s="172"/>
      <c r="H71" s="172"/>
      <c r="I71" s="172"/>
      <c r="J71" s="172"/>
      <c r="K71" s="172"/>
      <c r="L71" s="172"/>
      <c r="M71" s="172"/>
      <c r="N71" s="172"/>
      <c r="O71" s="902"/>
      <c r="P71" s="113"/>
    </row>
    <row r="72" spans="1:30" s="114" customFormat="1" hidden="1" outlineLevel="1" x14ac:dyDescent="0.2">
      <c r="A72" s="1398"/>
      <c r="C72" s="963" t="s">
        <v>848</v>
      </c>
      <c r="D72" s="953" t="s">
        <v>839</v>
      </c>
      <c r="E72" s="954">
        <v>19</v>
      </c>
      <c r="F72" s="964" t="s">
        <v>855</v>
      </c>
      <c r="G72" s="172"/>
      <c r="H72" s="172"/>
      <c r="I72" s="172"/>
      <c r="J72" s="172"/>
      <c r="K72" s="172"/>
      <c r="L72" s="172"/>
      <c r="M72" s="172"/>
      <c r="N72" s="172"/>
      <c r="O72" s="902"/>
      <c r="P72" s="113"/>
    </row>
    <row r="73" spans="1:30" s="173" customFormat="1" ht="13.5" hidden="1" outlineLevel="1" thickBot="1" x14ac:dyDescent="0.25">
      <c r="A73" s="1399"/>
      <c r="C73" s="957"/>
      <c r="D73" s="958"/>
      <c r="E73" s="959"/>
      <c r="F73" s="960"/>
      <c r="G73" s="532"/>
      <c r="H73" s="532"/>
      <c r="I73" s="532"/>
      <c r="J73" s="532"/>
      <c r="K73" s="532"/>
      <c r="L73" s="532"/>
      <c r="M73" s="532"/>
      <c r="N73" s="532"/>
      <c r="O73" s="961"/>
      <c r="P73" s="172"/>
    </row>
    <row r="74" spans="1:30" s="114" customFormat="1" ht="13.5" hidden="1" outlineLevel="1" thickBot="1" x14ac:dyDescent="0.25">
      <c r="A74" s="172"/>
      <c r="B74" s="172"/>
      <c r="C74" s="172"/>
      <c r="D74" s="172"/>
      <c r="E74" s="172"/>
      <c r="F74" s="172"/>
      <c r="G74" s="172"/>
      <c r="H74" s="172"/>
      <c r="I74" s="172"/>
      <c r="J74" s="172"/>
      <c r="K74" s="172"/>
      <c r="L74" s="172"/>
      <c r="M74" s="172"/>
      <c r="N74" s="172"/>
      <c r="O74" s="673"/>
      <c r="P74" s="113"/>
    </row>
    <row r="75" spans="1:30" s="116" customFormat="1" ht="12.75" hidden="1" customHeight="1" outlineLevel="1" x14ac:dyDescent="0.2">
      <c r="A75" s="1394" t="s">
        <v>4145</v>
      </c>
      <c r="B75" s="911"/>
      <c r="C75" s="912" t="str">
        <f>Scenario1&amp;" - 'Book' Usage"</f>
        <v>pSystems (Paper) - 'Book' Usage</v>
      </c>
      <c r="D75" s="269"/>
      <c r="E75" s="269"/>
      <c r="F75" s="269"/>
      <c r="G75" s="269"/>
      <c r="H75" s="269"/>
      <c r="I75" s="269"/>
      <c r="J75" s="269"/>
      <c r="K75" s="269"/>
      <c r="L75" s="269"/>
      <c r="M75" s="269"/>
      <c r="N75" s="269"/>
      <c r="O75" s="901"/>
      <c r="P75" s="113"/>
      <c r="Q75" s="114"/>
      <c r="R75" s="114"/>
      <c r="S75" s="114"/>
      <c r="T75" s="114"/>
      <c r="U75" s="114"/>
      <c r="V75" s="114"/>
      <c r="W75" s="114"/>
      <c r="X75" s="114"/>
      <c r="Y75" s="114"/>
      <c r="Z75" s="114"/>
      <c r="AA75" s="114"/>
      <c r="AB75" s="114"/>
      <c r="AC75" s="114"/>
      <c r="AD75" s="114"/>
    </row>
    <row r="76" spans="1:30" s="38" customFormat="1" hidden="1" outlineLevel="1" x14ac:dyDescent="0.2">
      <c r="A76" s="1395"/>
      <c r="B76" s="51"/>
      <c r="C76" s="256"/>
      <c r="D76" s="30"/>
      <c r="E76" s="30"/>
      <c r="F76" s="30"/>
      <c r="G76" s="30"/>
      <c r="H76" s="30"/>
      <c r="I76" s="30"/>
      <c r="J76" s="30"/>
      <c r="K76" s="30"/>
      <c r="L76" s="30"/>
      <c r="M76" s="30"/>
      <c r="N76" s="30"/>
      <c r="O76" s="897"/>
    </row>
    <row r="77" spans="1:30" s="14" customFormat="1" ht="14.1" hidden="1" customHeight="1" outlineLevel="1" x14ac:dyDescent="0.2">
      <c r="A77" s="1395"/>
      <c r="B77" s="51"/>
      <c r="C77" s="530" t="s">
        <v>856</v>
      </c>
      <c r="D77" s="37" t="str">
        <f>BookCodeA&amp;" Usage per Aircraft per month"</f>
        <v>Technical Log Usage per Aircraft per month</v>
      </c>
      <c r="E77" s="913">
        <v>4</v>
      </c>
      <c r="F77" s="913">
        <v>4</v>
      </c>
      <c r="G77" s="913">
        <v>4</v>
      </c>
      <c r="H77" s="913">
        <v>4</v>
      </c>
      <c r="I77" s="913">
        <v>4</v>
      </c>
      <c r="J77" s="913">
        <v>4</v>
      </c>
      <c r="K77" s="913">
        <v>4</v>
      </c>
      <c r="L77" s="913">
        <v>4</v>
      </c>
      <c r="M77" s="913">
        <v>4</v>
      </c>
      <c r="N77" s="913">
        <v>4</v>
      </c>
      <c r="O77" s="271"/>
      <c r="P77" s="38"/>
      <c r="Q77" s="41"/>
      <c r="R77" s="41"/>
      <c r="S77" s="41"/>
      <c r="T77" s="41"/>
      <c r="U77" s="41"/>
      <c r="V77" s="41"/>
      <c r="W77" s="41"/>
      <c r="X77" s="41"/>
      <c r="Y77" s="41"/>
      <c r="Z77" s="41"/>
      <c r="AA77" s="41"/>
      <c r="AB77" s="41"/>
      <c r="AC77" s="41"/>
      <c r="AD77" s="41"/>
    </row>
    <row r="78" spans="1:30" s="14" customFormat="1" ht="14.1" hidden="1" customHeight="1" outlineLevel="1" x14ac:dyDescent="0.2">
      <c r="A78" s="1395"/>
      <c r="B78" s="51"/>
      <c r="C78" s="270" t="s">
        <v>862</v>
      </c>
      <c r="D78" s="27" t="str">
        <f>BookCodeA&amp;" Usage per Fleet pa"</f>
        <v>Technical Log Usage per Fleet pa</v>
      </c>
      <c r="E78" s="914">
        <f t="shared" ref="E78:N78" si="9">SUM(E77*FleetSize_Total)*12</f>
        <v>7488</v>
      </c>
      <c r="F78" s="914">
        <f t="shared" si="9"/>
        <v>7488</v>
      </c>
      <c r="G78" s="914">
        <f t="shared" si="9"/>
        <v>7488</v>
      </c>
      <c r="H78" s="914">
        <f t="shared" si="9"/>
        <v>7488</v>
      </c>
      <c r="I78" s="914">
        <f t="shared" si="9"/>
        <v>7488</v>
      </c>
      <c r="J78" s="914">
        <f t="shared" si="9"/>
        <v>7488</v>
      </c>
      <c r="K78" s="914">
        <f t="shared" si="9"/>
        <v>7488</v>
      </c>
      <c r="L78" s="914">
        <f t="shared" si="9"/>
        <v>7488</v>
      </c>
      <c r="M78" s="914">
        <f t="shared" si="9"/>
        <v>7488</v>
      </c>
      <c r="N78" s="914">
        <f t="shared" si="9"/>
        <v>7488</v>
      </c>
      <c r="O78" s="271"/>
      <c r="P78" s="38"/>
      <c r="Q78" s="41"/>
      <c r="R78" s="41"/>
      <c r="S78" s="41"/>
      <c r="T78" s="41"/>
      <c r="U78" s="41"/>
      <c r="V78" s="41"/>
      <c r="W78" s="41"/>
      <c r="X78" s="41"/>
      <c r="Y78" s="41"/>
      <c r="Z78" s="41"/>
      <c r="AA78" s="41"/>
      <c r="AB78" s="41"/>
      <c r="AC78" s="41"/>
      <c r="AD78" s="41"/>
    </row>
    <row r="79" spans="1:30" s="38" customFormat="1" ht="12.75" hidden="1" customHeight="1" outlineLevel="1" x14ac:dyDescent="0.2">
      <c r="A79" s="1395"/>
      <c r="B79" s="51"/>
      <c r="C79" s="256"/>
      <c r="D79" s="27" t="str">
        <f>BookCodeA&amp;" Cost pa"</f>
        <v>Technical Log Cost pa</v>
      </c>
      <c r="E79" s="915">
        <f>SUM(E78*BookCodeACost_Each)</f>
        <v>187200</v>
      </c>
      <c r="F79" s="915">
        <f>SUM(F78*BookCodeACost_Each)*(1+Inflation)</f>
        <v>190944</v>
      </c>
      <c r="G79" s="915">
        <f>SUM(G78*BookCodeACost_Each)*(1+Inflation)^2</f>
        <v>194762.88</v>
      </c>
      <c r="H79" s="915">
        <f>SUM(H78*BookCodeACost_Each)*(1+Inflation)^3</f>
        <v>198658.13759999999</v>
      </c>
      <c r="I79" s="915">
        <f>SUM(I78*BookCodeACost_Each)*(1+Inflation)^4</f>
        <v>202631.30035199999</v>
      </c>
      <c r="J79" s="915">
        <f>SUM(J78*BookCodeACost_Each)*(1+Inflation)^5</f>
        <v>206683.92635903999</v>
      </c>
      <c r="K79" s="915">
        <f>SUM(K78*BookCodeACost_Each)*(1+Inflation)^6</f>
        <v>210817.60488622083</v>
      </c>
      <c r="L79" s="915">
        <f>SUM(L78*BookCodeACost_Each)*(1+Inflation)^7</f>
        <v>215033.95698394519</v>
      </c>
      <c r="M79" s="915">
        <f>SUM(M78*BookCodeACost_Each)*(1+Inflation)^8</f>
        <v>219334.63612362411</v>
      </c>
      <c r="N79" s="915">
        <f>SUM(N78*BookCodeACost_Each)*(1+Inflation)^9</f>
        <v>223721.32884609659</v>
      </c>
      <c r="O79" s="916"/>
    </row>
    <row r="80" spans="1:30" s="38" customFormat="1" ht="12.75" hidden="1" customHeight="1" outlineLevel="1" x14ac:dyDescent="0.2">
      <c r="A80" s="1395"/>
      <c r="B80" s="51"/>
      <c r="C80" s="256"/>
      <c r="D80" s="30"/>
      <c r="E80" s="30"/>
      <c r="F80" s="30"/>
      <c r="G80" s="30"/>
      <c r="H80" s="30"/>
      <c r="I80" s="30"/>
      <c r="J80" s="30"/>
      <c r="K80" s="30"/>
      <c r="L80" s="30"/>
      <c r="M80" s="30"/>
      <c r="N80" s="30"/>
      <c r="O80" s="916"/>
    </row>
    <row r="81" spans="1:30" s="14" customFormat="1" ht="14.1" hidden="1" customHeight="1" outlineLevel="1" x14ac:dyDescent="0.2">
      <c r="A81" s="1395"/>
      <c r="B81" s="51"/>
      <c r="C81" s="270"/>
      <c r="D81" s="37" t="str">
        <f>BookCodeB&amp;" Usage per Aircraft per month"</f>
        <v>Cabin Log Usage per Aircraft per month</v>
      </c>
      <c r="E81" s="913">
        <v>4</v>
      </c>
      <c r="F81" s="913">
        <v>4</v>
      </c>
      <c r="G81" s="913">
        <v>4</v>
      </c>
      <c r="H81" s="913">
        <v>4</v>
      </c>
      <c r="I81" s="913">
        <v>4</v>
      </c>
      <c r="J81" s="913">
        <v>4</v>
      </c>
      <c r="K81" s="913">
        <v>4</v>
      </c>
      <c r="L81" s="913">
        <v>4</v>
      </c>
      <c r="M81" s="913">
        <v>4</v>
      </c>
      <c r="N81" s="913">
        <v>4</v>
      </c>
      <c r="O81" s="271"/>
      <c r="P81" s="38"/>
      <c r="Q81" s="41"/>
      <c r="R81" s="41"/>
      <c r="S81" s="41"/>
      <c r="T81" s="41"/>
      <c r="U81" s="41"/>
      <c r="V81" s="41"/>
      <c r="W81" s="41"/>
      <c r="X81" s="41"/>
      <c r="Y81" s="41"/>
      <c r="Z81" s="41"/>
      <c r="AA81" s="41"/>
      <c r="AB81" s="41"/>
      <c r="AC81" s="41"/>
      <c r="AD81" s="41"/>
    </row>
    <row r="82" spans="1:30" s="14" customFormat="1" ht="14.1" hidden="1" customHeight="1" outlineLevel="1" x14ac:dyDescent="0.2">
      <c r="A82" s="1395"/>
      <c r="B82" s="51"/>
      <c r="C82" s="270"/>
      <c r="D82" s="27" t="str">
        <f>BookCodeB&amp;" Usage per Fleet pa"</f>
        <v>Cabin Log Usage per Fleet pa</v>
      </c>
      <c r="E82" s="914">
        <f t="shared" ref="E82:N82" si="10">SUM(E81*FleetSize_Total)*12</f>
        <v>7488</v>
      </c>
      <c r="F82" s="914">
        <f t="shared" si="10"/>
        <v>7488</v>
      </c>
      <c r="G82" s="914">
        <f t="shared" si="10"/>
        <v>7488</v>
      </c>
      <c r="H82" s="914">
        <f t="shared" si="10"/>
        <v>7488</v>
      </c>
      <c r="I82" s="914">
        <f t="shared" si="10"/>
        <v>7488</v>
      </c>
      <c r="J82" s="914">
        <f t="shared" si="10"/>
        <v>7488</v>
      </c>
      <c r="K82" s="914">
        <f t="shared" si="10"/>
        <v>7488</v>
      </c>
      <c r="L82" s="914">
        <f t="shared" si="10"/>
        <v>7488</v>
      </c>
      <c r="M82" s="914">
        <f t="shared" si="10"/>
        <v>7488</v>
      </c>
      <c r="N82" s="914">
        <f t="shared" si="10"/>
        <v>7488</v>
      </c>
      <c r="O82" s="271"/>
      <c r="P82" s="38"/>
      <c r="Q82" s="41"/>
      <c r="R82" s="41"/>
      <c r="S82" s="41"/>
      <c r="T82" s="41"/>
      <c r="U82" s="41"/>
      <c r="V82" s="41"/>
      <c r="W82" s="41"/>
      <c r="X82" s="41"/>
      <c r="Y82" s="41"/>
      <c r="Z82" s="41"/>
      <c r="AA82" s="41"/>
      <c r="AB82" s="41"/>
      <c r="AC82" s="41"/>
      <c r="AD82" s="41"/>
    </row>
    <row r="83" spans="1:30" s="38" customFormat="1" ht="12.75" hidden="1" customHeight="1" outlineLevel="1" x14ac:dyDescent="0.2">
      <c r="A83" s="1395"/>
      <c r="B83" s="51"/>
      <c r="C83" s="256"/>
      <c r="D83" s="27" t="str">
        <f>BookCodeB&amp;" Cost pa"</f>
        <v>Cabin Log Cost pa</v>
      </c>
      <c r="E83" s="915">
        <f>SUM(E82*BookCodeBCost_Each)</f>
        <v>179712</v>
      </c>
      <c r="F83" s="915">
        <f>SUM(F82*BookCodeBCost_Each)*(1+Inflation)</f>
        <v>183306.23999999999</v>
      </c>
      <c r="G83" s="915">
        <f>SUM(G82*BookCodeBCost_Each)*(1+Inflation)^2</f>
        <v>186972.36480000001</v>
      </c>
      <c r="H83" s="915">
        <f>SUM(H82*BookCodeBCost_Each)*(1+Inflation)^3</f>
        <v>190711.81209599998</v>
      </c>
      <c r="I83" s="915">
        <f>SUM(I82*BookCodeBCost_Each)*(1+Inflation)^4</f>
        <v>194526.04833791999</v>
      </c>
      <c r="J83" s="915">
        <f>SUM(J82*BookCodeBCost_Each)*(1+Inflation)^5</f>
        <v>198416.56930467841</v>
      </c>
      <c r="K83" s="915">
        <f>SUM(K82*BookCodeBCost_Each)*(1+Inflation)^6</f>
        <v>202384.90069077199</v>
      </c>
      <c r="L83" s="915">
        <f>SUM(L82*BookCodeBCost_Each)*(1+Inflation)^7</f>
        <v>206432.59870458738</v>
      </c>
      <c r="M83" s="915">
        <f>SUM(M82*BookCodeBCost_Each)*(1+Inflation)^8</f>
        <v>210561.25067867915</v>
      </c>
      <c r="N83" s="915">
        <f>SUM(N82*BookCodeBCost_Each)*(1+Inflation)^9</f>
        <v>214772.47569225272</v>
      </c>
      <c r="O83" s="916"/>
    </row>
    <row r="84" spans="1:30" s="38" customFormat="1" ht="12.75" hidden="1" customHeight="1" outlineLevel="1" x14ac:dyDescent="0.2">
      <c r="A84" s="1395"/>
      <c r="B84" s="51"/>
      <c r="C84" s="256"/>
      <c r="D84" s="30"/>
      <c r="E84" s="30"/>
      <c r="F84" s="30"/>
      <c r="G84" s="30"/>
      <c r="H84" s="30"/>
      <c r="I84" s="30"/>
      <c r="J84" s="30"/>
      <c r="K84" s="30"/>
      <c r="L84" s="30"/>
      <c r="M84" s="30"/>
      <c r="N84" s="30"/>
      <c r="O84" s="916"/>
    </row>
    <row r="85" spans="1:30" s="14" customFormat="1" ht="14.1" hidden="1" customHeight="1" outlineLevel="1" x14ac:dyDescent="0.2">
      <c r="A85" s="1395"/>
      <c r="B85" s="51"/>
      <c r="C85" s="270"/>
      <c r="D85" s="37" t="str">
        <f>BookCodeC&amp;" Usage per Aircraft per month"</f>
        <v>IFE Log Usage per Aircraft per month</v>
      </c>
      <c r="E85" s="913">
        <v>4</v>
      </c>
      <c r="F85" s="913">
        <v>4</v>
      </c>
      <c r="G85" s="913">
        <v>4</v>
      </c>
      <c r="H85" s="913">
        <v>4</v>
      </c>
      <c r="I85" s="913">
        <v>4</v>
      </c>
      <c r="J85" s="913">
        <v>4</v>
      </c>
      <c r="K85" s="913">
        <v>4</v>
      </c>
      <c r="L85" s="913">
        <v>4</v>
      </c>
      <c r="M85" s="913">
        <v>4</v>
      </c>
      <c r="N85" s="913">
        <v>4</v>
      </c>
      <c r="O85" s="271"/>
      <c r="P85" s="38"/>
      <c r="Q85" s="41"/>
      <c r="R85" s="41"/>
      <c r="S85" s="41"/>
      <c r="T85" s="41"/>
      <c r="U85" s="41"/>
      <c r="V85" s="41"/>
      <c r="W85" s="41"/>
      <c r="X85" s="41"/>
      <c r="Y85" s="41"/>
      <c r="Z85" s="41"/>
      <c r="AA85" s="41"/>
      <c r="AB85" s="41"/>
      <c r="AC85" s="41"/>
      <c r="AD85" s="41"/>
    </row>
    <row r="86" spans="1:30" s="14" customFormat="1" ht="14.1" hidden="1" customHeight="1" outlineLevel="1" x14ac:dyDescent="0.2">
      <c r="A86" s="1395"/>
      <c r="B86" s="51"/>
      <c r="C86" s="270"/>
      <c r="D86" s="27" t="str">
        <f>BookCodeC&amp;" Usage per Fleet pa"</f>
        <v>IFE Log Usage per Fleet pa</v>
      </c>
      <c r="E86" s="914">
        <f t="shared" ref="E86:N86" si="11">SUM(E85*FleetSize_Total)*12</f>
        <v>7488</v>
      </c>
      <c r="F86" s="914">
        <f t="shared" si="11"/>
        <v>7488</v>
      </c>
      <c r="G86" s="914">
        <f t="shared" si="11"/>
        <v>7488</v>
      </c>
      <c r="H86" s="914">
        <f t="shared" si="11"/>
        <v>7488</v>
      </c>
      <c r="I86" s="914">
        <f t="shared" si="11"/>
        <v>7488</v>
      </c>
      <c r="J86" s="914">
        <f t="shared" si="11"/>
        <v>7488</v>
      </c>
      <c r="K86" s="914">
        <f t="shared" si="11"/>
        <v>7488</v>
      </c>
      <c r="L86" s="914">
        <f t="shared" si="11"/>
        <v>7488</v>
      </c>
      <c r="M86" s="914">
        <f t="shared" si="11"/>
        <v>7488</v>
      </c>
      <c r="N86" s="914">
        <f t="shared" si="11"/>
        <v>7488</v>
      </c>
      <c r="O86" s="271"/>
      <c r="P86" s="38"/>
      <c r="Q86" s="41"/>
      <c r="R86" s="41"/>
      <c r="S86" s="41"/>
      <c r="T86" s="41"/>
      <c r="U86" s="41"/>
      <c r="V86" s="41"/>
      <c r="W86" s="41"/>
      <c r="X86" s="41"/>
      <c r="Y86" s="41"/>
      <c r="Z86" s="41"/>
      <c r="AA86" s="41"/>
      <c r="AB86" s="41"/>
      <c r="AC86" s="41"/>
      <c r="AD86" s="41"/>
    </row>
    <row r="87" spans="1:30" s="38" customFormat="1" ht="12.75" hidden="1" customHeight="1" outlineLevel="1" x14ac:dyDescent="0.2">
      <c r="A87" s="1395"/>
      <c r="B87" s="51"/>
      <c r="C87" s="256"/>
      <c r="D87" s="27" t="str">
        <f>BookCodeC&amp;" Cost pa"</f>
        <v>IFE Log Cost pa</v>
      </c>
      <c r="E87" s="915">
        <f>SUM(E86*BookCodeCCost_Each)</f>
        <v>172224</v>
      </c>
      <c r="F87" s="915">
        <f>SUM(F86*BookCodeCCost_Each)*(1+Inflation)</f>
        <v>175668.48000000001</v>
      </c>
      <c r="G87" s="915">
        <f>SUM(G86*BookCodeCCost_Each)*(1+Inflation)^2</f>
        <v>179181.84959999999</v>
      </c>
      <c r="H87" s="915">
        <f>SUM(H86*BookCodeCCost_Each)*(1+Inflation)^3</f>
        <v>182765.486592</v>
      </c>
      <c r="I87" s="915">
        <f>SUM(I86*BookCodeCCost_Each)*(1+Inflation)^4</f>
        <v>186420.79632383998</v>
      </c>
      <c r="J87" s="915">
        <f>SUM(J86*BookCodeCCost_Each)*(1+Inflation)^5</f>
        <v>190149.21225031681</v>
      </c>
      <c r="K87" s="915">
        <f>SUM(K86*BookCodeCCost_Each)*(1+Inflation)^6</f>
        <v>193952.19649532315</v>
      </c>
      <c r="L87" s="915">
        <f>SUM(L86*BookCodeCCost_Each)*(1+Inflation)^7</f>
        <v>197831.24042522957</v>
      </c>
      <c r="M87" s="915">
        <f>SUM(M86*BookCodeCCost_Each)*(1+Inflation)^8</f>
        <v>201787.86523373416</v>
      </c>
      <c r="N87" s="915">
        <f>SUM(N86*BookCodeCCost_Each)*(1+Inflation)^9</f>
        <v>205823.62253840888</v>
      </c>
      <c r="O87" s="916"/>
    </row>
    <row r="88" spans="1:30" s="38" customFormat="1" ht="12.75" hidden="1" customHeight="1" outlineLevel="1" x14ac:dyDescent="0.2">
      <c r="A88" s="1395"/>
      <c r="B88" s="51"/>
      <c r="C88" s="256"/>
      <c r="D88" s="30"/>
      <c r="E88" s="30"/>
      <c r="F88" s="30"/>
      <c r="G88" s="30"/>
      <c r="H88" s="30"/>
      <c r="I88" s="30"/>
      <c r="J88" s="30"/>
      <c r="K88" s="30"/>
      <c r="L88" s="30"/>
      <c r="M88" s="30"/>
      <c r="N88" s="30"/>
      <c r="O88" s="916"/>
    </row>
    <row r="89" spans="1:30" s="38" customFormat="1" ht="12.75" hidden="1" customHeight="1" outlineLevel="1" x14ac:dyDescent="0.2">
      <c r="A89" s="1395"/>
      <c r="B89" s="51"/>
      <c r="C89" s="530" t="s">
        <v>857</v>
      </c>
      <c r="D89" s="30"/>
      <c r="E89" s="30"/>
      <c r="F89" s="30"/>
      <c r="G89" s="30"/>
      <c r="H89" s="30"/>
      <c r="I89" s="30"/>
      <c r="J89" s="30"/>
      <c r="K89" s="30"/>
      <c r="L89" s="30"/>
      <c r="M89" s="30"/>
      <c r="N89" s="30"/>
      <c r="O89" s="916"/>
    </row>
    <row r="90" spans="1:30" s="14" customFormat="1" ht="14.1" hidden="1" customHeight="1" outlineLevel="1" x14ac:dyDescent="0.2">
      <c r="A90" s="1395"/>
      <c r="B90" s="51"/>
      <c r="C90" s="270" t="s">
        <v>863</v>
      </c>
      <c r="D90" s="37" t="str">
        <f>BookCodeD&amp;" Usage per month"</f>
        <v>Other AAA Usage per month</v>
      </c>
      <c r="E90" s="913">
        <v>10</v>
      </c>
      <c r="F90" s="913">
        <v>10</v>
      </c>
      <c r="G90" s="913">
        <v>10</v>
      </c>
      <c r="H90" s="913">
        <v>10</v>
      </c>
      <c r="I90" s="913">
        <v>10</v>
      </c>
      <c r="J90" s="913">
        <v>10</v>
      </c>
      <c r="K90" s="913">
        <v>10</v>
      </c>
      <c r="L90" s="913">
        <v>10</v>
      </c>
      <c r="M90" s="913">
        <v>10</v>
      </c>
      <c r="N90" s="913">
        <v>10</v>
      </c>
      <c r="O90" s="271"/>
      <c r="P90" s="38"/>
      <c r="Q90" s="41"/>
      <c r="R90" s="41"/>
      <c r="S90" s="41"/>
      <c r="T90" s="41"/>
      <c r="U90" s="41"/>
      <c r="V90" s="41"/>
      <c r="W90" s="41"/>
      <c r="X90" s="41"/>
      <c r="Y90" s="41"/>
      <c r="Z90" s="41"/>
      <c r="AA90" s="41"/>
      <c r="AB90" s="41"/>
      <c r="AC90" s="41"/>
      <c r="AD90" s="41"/>
    </row>
    <row r="91" spans="1:30" s="14" customFormat="1" ht="14.1" hidden="1" customHeight="1" outlineLevel="1" x14ac:dyDescent="0.2">
      <c r="A91" s="1395"/>
      <c r="B91" s="51"/>
      <c r="C91" s="270"/>
      <c r="D91" s="27" t="str">
        <f>BookCodeD&amp;" Usage per pa"</f>
        <v>Other AAA Usage per pa</v>
      </c>
      <c r="E91" s="914">
        <f>SUM(E90*12)</f>
        <v>120</v>
      </c>
      <c r="F91" s="914">
        <f t="shared" ref="F91:N91" si="12">SUM(F90*12)</f>
        <v>120</v>
      </c>
      <c r="G91" s="914">
        <f t="shared" si="12"/>
        <v>120</v>
      </c>
      <c r="H91" s="914">
        <f t="shared" si="12"/>
        <v>120</v>
      </c>
      <c r="I91" s="914">
        <f t="shared" si="12"/>
        <v>120</v>
      </c>
      <c r="J91" s="914">
        <f t="shared" si="12"/>
        <v>120</v>
      </c>
      <c r="K91" s="914">
        <f t="shared" si="12"/>
        <v>120</v>
      </c>
      <c r="L91" s="914">
        <f t="shared" si="12"/>
        <v>120</v>
      </c>
      <c r="M91" s="914">
        <f t="shared" si="12"/>
        <v>120</v>
      </c>
      <c r="N91" s="914">
        <f t="shared" si="12"/>
        <v>120</v>
      </c>
      <c r="O91" s="271"/>
      <c r="P91" s="38"/>
      <c r="Q91" s="41"/>
      <c r="R91" s="41"/>
      <c r="S91" s="41"/>
      <c r="T91" s="41"/>
      <c r="U91" s="41"/>
      <c r="V91" s="41"/>
      <c r="W91" s="41"/>
      <c r="X91" s="41"/>
      <c r="Y91" s="41"/>
      <c r="Z91" s="41"/>
      <c r="AA91" s="41"/>
      <c r="AB91" s="41"/>
      <c r="AC91" s="41"/>
      <c r="AD91" s="41"/>
    </row>
    <row r="92" spans="1:30" s="38" customFormat="1" ht="12.75" hidden="1" customHeight="1" outlineLevel="1" x14ac:dyDescent="0.2">
      <c r="A92" s="1395"/>
      <c r="B92" s="51"/>
      <c r="C92" s="256"/>
      <c r="D92" s="27" t="str">
        <f>BookCodeD&amp;" Cost pa"</f>
        <v>Other AAA Cost pa</v>
      </c>
      <c r="E92" s="915">
        <f>SUM(E91*BookCodeDCost_Each)</f>
        <v>1200</v>
      </c>
      <c r="F92" s="915">
        <f>SUM(F91*BookCodeDCost_Each)*(1+Inflation)</f>
        <v>1224</v>
      </c>
      <c r="G92" s="915">
        <f>SUM(G91*BookCodeDCost_Each)*(1+Inflation)^2</f>
        <v>1248.48</v>
      </c>
      <c r="H92" s="915">
        <f>SUM(H91*BookCodeDCost_Each)*(1+Inflation)^3</f>
        <v>1273.4495999999999</v>
      </c>
      <c r="I92" s="915">
        <f>SUM(I91*BookCodeDCost_Each)*(1+Inflation)^4</f>
        <v>1298.918592</v>
      </c>
      <c r="J92" s="915">
        <f>SUM(J91*BookCodeDCost_Each)*(1+Inflation)^5</f>
        <v>1324.8969638400001</v>
      </c>
      <c r="K92" s="915">
        <f>SUM(K91*BookCodeDCost_Each)*(1+Inflation)^6</f>
        <v>1351.3949031168002</v>
      </c>
      <c r="L92" s="915">
        <f>SUM(L91*BookCodeDCost_Each)*(1+Inflation)^7</f>
        <v>1378.4228011791358</v>
      </c>
      <c r="M92" s="915">
        <f>SUM(M91*BookCodeDCost_Each)*(1+Inflation)^8</f>
        <v>1405.9912572027185</v>
      </c>
      <c r="N92" s="915">
        <f>SUM(N91*BookCodeDCost_Each)*(1+Inflation)^9</f>
        <v>1434.1110823467729</v>
      </c>
      <c r="O92" s="916"/>
    </row>
    <row r="93" spans="1:30" s="38" customFormat="1" hidden="1" outlineLevel="1" x14ac:dyDescent="0.2">
      <c r="A93" s="1395"/>
      <c r="B93" s="51"/>
      <c r="C93" s="256"/>
      <c r="D93" s="30"/>
      <c r="E93" s="30"/>
      <c r="F93" s="30"/>
      <c r="G93" s="30"/>
      <c r="H93" s="30"/>
      <c r="I93" s="30"/>
      <c r="J93" s="30"/>
      <c r="K93" s="30"/>
      <c r="L93" s="30"/>
      <c r="M93" s="30"/>
      <c r="N93" s="30"/>
      <c r="O93" s="897"/>
    </row>
    <row r="94" spans="1:30" s="14" customFormat="1" ht="14.1" hidden="1" customHeight="1" outlineLevel="1" x14ac:dyDescent="0.2">
      <c r="A94" s="1395"/>
      <c r="B94" s="51"/>
      <c r="C94" s="256"/>
      <c r="D94" s="37" t="str">
        <f>BookCodeE&amp;" Usage per month"</f>
        <v>Other BBB Usage per month</v>
      </c>
      <c r="E94" s="913">
        <v>9</v>
      </c>
      <c r="F94" s="913">
        <v>9</v>
      </c>
      <c r="G94" s="913">
        <v>9</v>
      </c>
      <c r="H94" s="913">
        <v>9</v>
      </c>
      <c r="I94" s="913">
        <v>9</v>
      </c>
      <c r="J94" s="913">
        <v>9</v>
      </c>
      <c r="K94" s="913">
        <v>9</v>
      </c>
      <c r="L94" s="913">
        <v>9</v>
      </c>
      <c r="M94" s="913">
        <v>9</v>
      </c>
      <c r="N94" s="913">
        <v>9</v>
      </c>
      <c r="O94" s="271"/>
      <c r="P94" s="38"/>
      <c r="Q94" s="41"/>
      <c r="R94" s="41"/>
      <c r="S94" s="41"/>
      <c r="T94" s="41"/>
      <c r="U94" s="41"/>
      <c r="V94" s="41"/>
      <c r="W94" s="41"/>
      <c r="X94" s="41"/>
      <c r="Y94" s="41"/>
      <c r="Z94" s="41"/>
      <c r="AA94" s="41"/>
      <c r="AB94" s="41"/>
      <c r="AC94" s="41"/>
      <c r="AD94" s="41"/>
    </row>
    <row r="95" spans="1:30" s="14" customFormat="1" ht="14.1" hidden="1" customHeight="1" outlineLevel="1" x14ac:dyDescent="0.2">
      <c r="A95" s="1395"/>
      <c r="B95" s="51"/>
      <c r="C95" s="270"/>
      <c r="D95" s="27" t="str">
        <f>BookCodeE&amp;" Usage per pa"</f>
        <v>Other BBB Usage per pa</v>
      </c>
      <c r="E95" s="914">
        <f>SUM(E94*12)</f>
        <v>108</v>
      </c>
      <c r="F95" s="914">
        <f t="shared" ref="F95:N95" si="13">SUM(F94*12)</f>
        <v>108</v>
      </c>
      <c r="G95" s="914">
        <f t="shared" si="13"/>
        <v>108</v>
      </c>
      <c r="H95" s="914">
        <f t="shared" si="13"/>
        <v>108</v>
      </c>
      <c r="I95" s="914">
        <f t="shared" si="13"/>
        <v>108</v>
      </c>
      <c r="J95" s="914">
        <f t="shared" si="13"/>
        <v>108</v>
      </c>
      <c r="K95" s="914">
        <f t="shared" si="13"/>
        <v>108</v>
      </c>
      <c r="L95" s="914">
        <f t="shared" si="13"/>
        <v>108</v>
      </c>
      <c r="M95" s="914">
        <f t="shared" si="13"/>
        <v>108</v>
      </c>
      <c r="N95" s="914">
        <f t="shared" si="13"/>
        <v>108</v>
      </c>
      <c r="O95" s="271"/>
      <c r="P95" s="38"/>
      <c r="Q95" s="41"/>
      <c r="R95" s="41"/>
      <c r="S95" s="41"/>
      <c r="T95" s="41"/>
      <c r="U95" s="41"/>
      <c r="V95" s="41"/>
      <c r="W95" s="41"/>
      <c r="X95" s="41"/>
      <c r="Y95" s="41"/>
      <c r="Z95" s="41"/>
      <c r="AA95" s="41"/>
      <c r="AB95" s="41"/>
      <c r="AC95" s="41"/>
      <c r="AD95" s="41"/>
    </row>
    <row r="96" spans="1:30" s="38" customFormat="1" ht="12.75" hidden="1" customHeight="1" outlineLevel="1" x14ac:dyDescent="0.2">
      <c r="A96" s="1395"/>
      <c r="B96" s="51"/>
      <c r="C96" s="256"/>
      <c r="D96" s="27" t="str">
        <f>BookCodeE&amp;" Cost pa"</f>
        <v>Other BBB Cost pa</v>
      </c>
      <c r="E96" s="915">
        <f>SUM(E95*BookCodeECost_Each)</f>
        <v>2268</v>
      </c>
      <c r="F96" s="915">
        <f>SUM(F95*BookCodeECost_Each)*(1+Inflation)</f>
        <v>2313.36</v>
      </c>
      <c r="G96" s="915">
        <f>SUM(G95*BookCodeECost_Each)*(1+Inflation)^2</f>
        <v>2359.6271999999999</v>
      </c>
      <c r="H96" s="915">
        <f>SUM(H95*BookCodeECost_Each)*(1+Inflation)^3</f>
        <v>2406.8197439999999</v>
      </c>
      <c r="I96" s="915">
        <f>SUM(I95*BookCodeECost_Each)*(1+Inflation)^4</f>
        <v>2454.9561388799998</v>
      </c>
      <c r="J96" s="915">
        <f>SUM(J95*BookCodeECost_Each)*(1+Inflation)^5</f>
        <v>2504.0552616576001</v>
      </c>
      <c r="K96" s="915">
        <f>SUM(K95*BookCodeECost_Each)*(1+Inflation)^6</f>
        <v>2554.136366890752</v>
      </c>
      <c r="L96" s="915">
        <f>SUM(L95*BookCodeECost_Each)*(1+Inflation)^7</f>
        <v>2605.2190942285665</v>
      </c>
      <c r="M96" s="915">
        <f>SUM(M95*BookCodeECost_Each)*(1+Inflation)^8</f>
        <v>2657.323476113138</v>
      </c>
      <c r="N96" s="915">
        <f>SUM(N95*BookCodeECost_Each)*(1+Inflation)^9</f>
        <v>2710.469945635401</v>
      </c>
      <c r="O96" s="916"/>
    </row>
    <row r="97" spans="1:30" s="38" customFormat="1" ht="12.75" hidden="1" customHeight="1" outlineLevel="1" x14ac:dyDescent="0.2">
      <c r="A97" s="1395"/>
      <c r="B97" s="51"/>
      <c r="C97" s="256"/>
      <c r="D97" s="30"/>
      <c r="E97" s="30"/>
      <c r="F97" s="30"/>
      <c r="G97" s="30"/>
      <c r="H97" s="30"/>
      <c r="I97" s="30"/>
      <c r="J97" s="30"/>
      <c r="K97" s="30"/>
      <c r="L97" s="30"/>
      <c r="M97" s="30"/>
      <c r="N97" s="30"/>
      <c r="O97" s="916"/>
    </row>
    <row r="98" spans="1:30" s="14" customFormat="1" ht="14.1" hidden="1" customHeight="1" outlineLevel="1" x14ac:dyDescent="0.2">
      <c r="A98" s="1395"/>
      <c r="B98" s="51"/>
      <c r="C98" s="270"/>
      <c r="D98" s="37" t="str">
        <f>BookCodeF&amp;" Usage per month"</f>
        <v>Other CCC Usage per month</v>
      </c>
      <c r="E98" s="913">
        <v>10</v>
      </c>
      <c r="F98" s="913">
        <v>10</v>
      </c>
      <c r="G98" s="913">
        <v>10</v>
      </c>
      <c r="H98" s="913">
        <v>10</v>
      </c>
      <c r="I98" s="913">
        <v>10</v>
      </c>
      <c r="J98" s="913">
        <v>10</v>
      </c>
      <c r="K98" s="913">
        <v>10</v>
      </c>
      <c r="L98" s="913">
        <v>10</v>
      </c>
      <c r="M98" s="913">
        <v>10</v>
      </c>
      <c r="N98" s="913">
        <v>10</v>
      </c>
      <c r="O98" s="271"/>
      <c r="P98" s="38"/>
      <c r="Q98" s="41"/>
      <c r="R98" s="41"/>
      <c r="S98" s="41"/>
      <c r="T98" s="41"/>
      <c r="U98" s="41"/>
      <c r="V98" s="41"/>
      <c r="W98" s="41"/>
      <c r="X98" s="41"/>
      <c r="Y98" s="41"/>
      <c r="Z98" s="41"/>
      <c r="AA98" s="41"/>
      <c r="AB98" s="41"/>
      <c r="AC98" s="41"/>
      <c r="AD98" s="41"/>
    </row>
    <row r="99" spans="1:30" s="14" customFormat="1" ht="14.1" hidden="1" customHeight="1" outlineLevel="1" x14ac:dyDescent="0.2">
      <c r="A99" s="1395"/>
      <c r="B99" s="51"/>
      <c r="C99" s="270"/>
      <c r="D99" s="27" t="str">
        <f>BookCodeF&amp;" Usage per pa"</f>
        <v>Other CCC Usage per pa</v>
      </c>
      <c r="E99" s="914">
        <f>SUM(E98*12)</f>
        <v>120</v>
      </c>
      <c r="F99" s="914">
        <f t="shared" ref="F99" si="14">SUM(F98*12)</f>
        <v>120</v>
      </c>
      <c r="G99" s="914">
        <f t="shared" ref="G99" si="15">SUM(G98*12)</f>
        <v>120</v>
      </c>
      <c r="H99" s="914">
        <f t="shared" ref="H99" si="16">SUM(H98*12)</f>
        <v>120</v>
      </c>
      <c r="I99" s="914">
        <f t="shared" ref="I99" si="17">SUM(I98*12)</f>
        <v>120</v>
      </c>
      <c r="J99" s="914">
        <f t="shared" ref="J99" si="18">SUM(J98*12)</f>
        <v>120</v>
      </c>
      <c r="K99" s="914">
        <f t="shared" ref="K99" si="19">SUM(K98*12)</f>
        <v>120</v>
      </c>
      <c r="L99" s="914">
        <f t="shared" ref="L99" si="20">SUM(L98*12)</f>
        <v>120</v>
      </c>
      <c r="M99" s="914">
        <f t="shared" ref="M99" si="21">SUM(M98*12)</f>
        <v>120</v>
      </c>
      <c r="N99" s="914">
        <f t="shared" ref="N99" si="22">SUM(N98*12)</f>
        <v>120</v>
      </c>
      <c r="O99" s="271"/>
      <c r="P99" s="38"/>
      <c r="Q99" s="41"/>
      <c r="R99" s="41"/>
      <c r="S99" s="41"/>
      <c r="T99" s="41"/>
      <c r="U99" s="41"/>
      <c r="V99" s="41"/>
      <c r="W99" s="41"/>
      <c r="X99" s="41"/>
      <c r="Y99" s="41"/>
      <c r="Z99" s="41"/>
      <c r="AA99" s="41"/>
      <c r="AB99" s="41"/>
      <c r="AC99" s="41"/>
      <c r="AD99" s="41"/>
    </row>
    <row r="100" spans="1:30" s="38" customFormat="1" ht="12.75" hidden="1" customHeight="1" outlineLevel="1" x14ac:dyDescent="0.2">
      <c r="A100" s="1395"/>
      <c r="B100" s="51"/>
      <c r="C100" s="256"/>
      <c r="D100" s="27" t="str">
        <f>BookCodeF&amp;" Cost pa"</f>
        <v>Other CCC Cost pa</v>
      </c>
      <c r="E100" s="915">
        <f>SUM(E99*BookCodeFCost_Each)</f>
        <v>2400</v>
      </c>
      <c r="F100" s="915">
        <f>SUM(F99*BookCodeFCost_Each)*(1+Inflation)</f>
        <v>2448</v>
      </c>
      <c r="G100" s="915">
        <f>SUM(G99*BookCodeFCost_Each)*(1+Inflation)^2</f>
        <v>2496.96</v>
      </c>
      <c r="H100" s="915">
        <f>SUM(H99*BookCodeFCost_Each)*(1+Inflation)^3</f>
        <v>2546.8991999999998</v>
      </c>
      <c r="I100" s="915">
        <f>SUM(I99*BookCodeFCost_Each)*(1+Inflation)^4</f>
        <v>2597.837184</v>
      </c>
      <c r="J100" s="915">
        <f>SUM(J99*BookCodeFCost_Each)*(1+Inflation)^5</f>
        <v>2649.7939276800003</v>
      </c>
      <c r="K100" s="915">
        <f>SUM(K99*BookCodeFCost_Each)*(1+Inflation)^6</f>
        <v>2702.7898062336003</v>
      </c>
      <c r="L100" s="915">
        <f>SUM(L99*BookCodeFCost_Each)*(1+Inflation)^7</f>
        <v>2756.8456023582717</v>
      </c>
      <c r="M100" s="915">
        <f>SUM(M99*BookCodeFCost_Each)*(1+Inflation)^8</f>
        <v>2811.9825144054371</v>
      </c>
      <c r="N100" s="915">
        <f>SUM(N99*BookCodeFCost_Each)*(1+Inflation)^9</f>
        <v>2868.2221646935459</v>
      </c>
      <c r="O100" s="916"/>
    </row>
    <row r="101" spans="1:30" s="38" customFormat="1" hidden="1" outlineLevel="1" x14ac:dyDescent="0.2">
      <c r="A101" s="1395"/>
      <c r="B101" s="51"/>
      <c r="C101" s="256"/>
      <c r="D101" s="30"/>
      <c r="E101" s="30"/>
      <c r="F101" s="30"/>
      <c r="G101" s="30"/>
      <c r="H101" s="30"/>
      <c r="I101" s="30"/>
      <c r="J101" s="30"/>
      <c r="K101" s="30"/>
      <c r="L101" s="30"/>
      <c r="M101" s="30"/>
      <c r="N101" s="30"/>
      <c r="O101" s="897"/>
    </row>
    <row r="102" spans="1:30" s="14" customFormat="1" ht="14.1" hidden="1" customHeight="1" outlineLevel="1" x14ac:dyDescent="0.2">
      <c r="A102" s="1395"/>
      <c r="B102" s="51"/>
      <c r="C102" s="256"/>
      <c r="D102" s="37" t="str">
        <f>BookCodeG&amp;" Usage per month"</f>
        <v>Other DDD Usage per month</v>
      </c>
      <c r="E102" s="913">
        <v>9</v>
      </c>
      <c r="F102" s="913">
        <v>9</v>
      </c>
      <c r="G102" s="913">
        <v>9</v>
      </c>
      <c r="H102" s="913">
        <v>9</v>
      </c>
      <c r="I102" s="913">
        <v>9</v>
      </c>
      <c r="J102" s="913">
        <v>9</v>
      </c>
      <c r="K102" s="913">
        <v>9</v>
      </c>
      <c r="L102" s="913">
        <v>9</v>
      </c>
      <c r="M102" s="913">
        <v>9</v>
      </c>
      <c r="N102" s="913">
        <v>9</v>
      </c>
      <c r="O102" s="271"/>
      <c r="P102" s="38"/>
      <c r="Q102" s="41"/>
      <c r="R102" s="41"/>
      <c r="S102" s="41"/>
      <c r="T102" s="41"/>
      <c r="U102" s="41"/>
      <c r="V102" s="41"/>
      <c r="W102" s="41"/>
      <c r="X102" s="41"/>
      <c r="Y102" s="41"/>
      <c r="Z102" s="41"/>
      <c r="AA102" s="41"/>
      <c r="AB102" s="41"/>
      <c r="AC102" s="41"/>
      <c r="AD102" s="41"/>
    </row>
    <row r="103" spans="1:30" s="14" customFormat="1" ht="14.1" hidden="1" customHeight="1" outlineLevel="1" x14ac:dyDescent="0.2">
      <c r="A103" s="1395"/>
      <c r="B103" s="51"/>
      <c r="C103" s="270"/>
      <c r="D103" s="27" t="str">
        <f>BookCodeG&amp;" Usage per pa"</f>
        <v>Other DDD Usage per pa</v>
      </c>
      <c r="E103" s="914">
        <f>SUM(E102*12)</f>
        <v>108</v>
      </c>
      <c r="F103" s="914">
        <f t="shared" ref="F103" si="23">SUM(F102*12)</f>
        <v>108</v>
      </c>
      <c r="G103" s="914">
        <f t="shared" ref="G103" si="24">SUM(G102*12)</f>
        <v>108</v>
      </c>
      <c r="H103" s="914">
        <f t="shared" ref="H103" si="25">SUM(H102*12)</f>
        <v>108</v>
      </c>
      <c r="I103" s="914">
        <f t="shared" ref="I103" si="26">SUM(I102*12)</f>
        <v>108</v>
      </c>
      <c r="J103" s="914">
        <f t="shared" ref="J103" si="27">SUM(J102*12)</f>
        <v>108</v>
      </c>
      <c r="K103" s="914">
        <f t="shared" ref="K103" si="28">SUM(K102*12)</f>
        <v>108</v>
      </c>
      <c r="L103" s="914">
        <f t="shared" ref="L103" si="29">SUM(L102*12)</f>
        <v>108</v>
      </c>
      <c r="M103" s="914">
        <f t="shared" ref="M103" si="30">SUM(M102*12)</f>
        <v>108</v>
      </c>
      <c r="N103" s="914">
        <f t="shared" ref="N103" si="31">SUM(N102*12)</f>
        <v>108</v>
      </c>
      <c r="O103" s="271"/>
      <c r="P103" s="38"/>
      <c r="Q103" s="41"/>
      <c r="R103" s="41"/>
      <c r="S103" s="41"/>
      <c r="T103" s="41"/>
      <c r="U103" s="41"/>
      <c r="V103" s="41"/>
      <c r="W103" s="41"/>
      <c r="X103" s="41"/>
      <c r="Y103" s="41"/>
      <c r="Z103" s="41"/>
      <c r="AA103" s="41"/>
      <c r="AB103" s="41"/>
      <c r="AC103" s="41"/>
      <c r="AD103" s="41"/>
    </row>
    <row r="104" spans="1:30" s="38" customFormat="1" ht="12.75" hidden="1" customHeight="1" outlineLevel="1" x14ac:dyDescent="0.2">
      <c r="A104" s="1395"/>
      <c r="B104" s="51"/>
      <c r="C104" s="256"/>
      <c r="D104" s="27" t="str">
        <f>BookCodeG&amp;" Cost pa"</f>
        <v>Other DDD Cost pa</v>
      </c>
      <c r="E104" s="915">
        <f>SUM(E103*BookCodeGCost_Each)</f>
        <v>2052</v>
      </c>
      <c r="F104" s="915">
        <f>SUM(F103*BookCodeGCost_Each)*(1+Inflation)</f>
        <v>2093.04</v>
      </c>
      <c r="G104" s="915">
        <f>SUM(G103*BookCodeGCost_Each)*(1+Inflation)^2</f>
        <v>2134.9007999999999</v>
      </c>
      <c r="H104" s="915">
        <f>SUM(H103*BookCodeGCost_Each)*(1+Inflation)^3</f>
        <v>2177.5988159999997</v>
      </c>
      <c r="I104" s="915">
        <f>SUM(I103*BookCodeGCost_Each)*(1+Inflation)^4</f>
        <v>2221.1507923200002</v>
      </c>
      <c r="J104" s="915">
        <f>SUM(J103*BookCodeGCost_Each)*(1+Inflation)^5</f>
        <v>2265.5738081663999</v>
      </c>
      <c r="K104" s="915">
        <f>SUM(K103*BookCodeGCost_Each)*(1+Inflation)^6</f>
        <v>2310.8852843297282</v>
      </c>
      <c r="L104" s="915">
        <f>SUM(L103*BookCodeGCost_Each)*(1+Inflation)^7</f>
        <v>2357.1029900163221</v>
      </c>
      <c r="M104" s="915">
        <f>SUM(M103*BookCodeGCost_Each)*(1+Inflation)^8</f>
        <v>2404.245049816649</v>
      </c>
      <c r="N104" s="915">
        <f>SUM(N103*BookCodeGCost_Each)*(1+Inflation)^9</f>
        <v>2452.3299508129817</v>
      </c>
      <c r="O104" s="916"/>
    </row>
    <row r="105" spans="1:30" s="30" customFormat="1" ht="12.75" hidden="1" customHeight="1" outlineLevel="1" x14ac:dyDescent="0.2">
      <c r="A105" s="1395"/>
      <c r="B105" s="55"/>
      <c r="C105" s="256"/>
      <c r="D105" s="27"/>
      <c r="E105" s="917"/>
      <c r="F105" s="917"/>
      <c r="G105" s="917"/>
      <c r="H105" s="917"/>
      <c r="I105" s="917"/>
      <c r="J105" s="917"/>
      <c r="K105" s="917"/>
      <c r="L105" s="917"/>
      <c r="M105" s="917"/>
      <c r="N105" s="917"/>
      <c r="O105" s="642"/>
    </row>
    <row r="106" spans="1:30" s="30" customFormat="1" ht="12.75" hidden="1" customHeight="1" outlineLevel="1" x14ac:dyDescent="0.2">
      <c r="A106" s="1395"/>
      <c r="B106" s="55"/>
      <c r="C106" s="256"/>
      <c r="D106" s="918" t="s">
        <v>858</v>
      </c>
      <c r="E106" s="531">
        <f>SUM(E104+E100+E96+E92+E87+E83+E79)</f>
        <v>547056</v>
      </c>
      <c r="F106" s="531">
        <f t="shared" ref="F106:N106" si="32">SUM(F104+F100+F96+F92+F87+F83+F79)</f>
        <v>557997.12</v>
      </c>
      <c r="G106" s="531">
        <f t="shared" si="32"/>
        <v>569157.06239999994</v>
      </c>
      <c r="H106" s="531">
        <f t="shared" si="32"/>
        <v>580540.20364800002</v>
      </c>
      <c r="I106" s="531">
        <f t="shared" si="32"/>
        <v>592151.00772095995</v>
      </c>
      <c r="J106" s="531">
        <f t="shared" si="32"/>
        <v>603994.02787537919</v>
      </c>
      <c r="K106" s="531">
        <f t="shared" si="32"/>
        <v>616073.90843288694</v>
      </c>
      <c r="L106" s="531">
        <f t="shared" si="32"/>
        <v>628395.38660154445</v>
      </c>
      <c r="M106" s="531">
        <f t="shared" si="32"/>
        <v>640963.29433357529</v>
      </c>
      <c r="N106" s="531">
        <f t="shared" si="32"/>
        <v>653782.5602202469</v>
      </c>
      <c r="O106" s="517" t="s">
        <v>860</v>
      </c>
    </row>
    <row r="107" spans="1:30" s="38" customFormat="1" ht="12.75" hidden="1" customHeight="1" outlineLevel="1" thickBot="1" x14ac:dyDescent="0.25">
      <c r="A107" s="1396"/>
      <c r="B107" s="51"/>
      <c r="C107" s="170"/>
      <c r="D107" s="529"/>
      <c r="E107" s="529"/>
      <c r="F107" s="529"/>
      <c r="G107" s="529"/>
      <c r="H107" s="529"/>
      <c r="I107" s="529"/>
      <c r="J107" s="529"/>
      <c r="K107" s="529"/>
      <c r="L107" s="529"/>
      <c r="M107" s="529"/>
      <c r="N107" s="529"/>
      <c r="O107" s="919"/>
    </row>
    <row r="108" spans="1:30" s="38" customFormat="1" ht="12.75" hidden="1" customHeight="1" outlineLevel="1" thickBot="1" x14ac:dyDescent="0.25">
      <c r="A108" s="51"/>
      <c r="B108" s="51"/>
      <c r="C108" s="30"/>
      <c r="D108" s="30"/>
      <c r="E108" s="30"/>
      <c r="F108" s="30"/>
      <c r="G108" s="30"/>
      <c r="H108" s="30"/>
      <c r="I108" s="30"/>
      <c r="J108" s="30"/>
      <c r="K108" s="30"/>
      <c r="L108" s="30"/>
      <c r="M108" s="30"/>
      <c r="N108" s="30"/>
    </row>
    <row r="109" spans="1:30" s="116" customFormat="1" ht="20.100000000000001" hidden="1" customHeight="1" outlineLevel="1" x14ac:dyDescent="0.2">
      <c r="A109" s="51"/>
      <c r="B109" s="911"/>
      <c r="C109" s="920" t="str">
        <f>Scenario2&amp;" - 'Book' Usage"</f>
        <v>hSystems (Hybrid) - 'Book' Usage</v>
      </c>
      <c r="D109" s="269"/>
      <c r="E109" s="269"/>
      <c r="F109" s="269"/>
      <c r="G109" s="269"/>
      <c r="H109" s="269"/>
      <c r="I109" s="269"/>
      <c r="J109" s="269"/>
      <c r="K109" s="269"/>
      <c r="L109" s="269"/>
      <c r="M109" s="269"/>
      <c r="N109" s="269"/>
      <c r="O109" s="901"/>
      <c r="P109" s="113"/>
      <c r="Q109" s="114"/>
      <c r="R109" s="114"/>
      <c r="S109" s="114"/>
      <c r="T109" s="114"/>
      <c r="U109" s="114"/>
      <c r="V109" s="114"/>
      <c r="W109" s="114"/>
      <c r="X109" s="114"/>
      <c r="Y109" s="114"/>
      <c r="Z109" s="114"/>
      <c r="AA109" s="114"/>
      <c r="AB109" s="114"/>
      <c r="AC109" s="114"/>
      <c r="AD109" s="114"/>
    </row>
    <row r="110" spans="1:30" s="38" customFormat="1" hidden="1" outlineLevel="1" x14ac:dyDescent="0.2">
      <c r="A110" s="51"/>
      <c r="B110" s="51"/>
      <c r="C110" s="256"/>
      <c r="D110" s="30"/>
      <c r="E110" s="30"/>
      <c r="F110" s="30"/>
      <c r="G110" s="30"/>
      <c r="H110" s="30"/>
      <c r="I110" s="30"/>
      <c r="J110" s="30"/>
      <c r="K110" s="30"/>
      <c r="L110" s="30"/>
      <c r="M110" s="30"/>
      <c r="N110" s="30"/>
      <c r="O110" s="897"/>
    </row>
    <row r="111" spans="1:30" s="14" customFormat="1" ht="14.1" hidden="1" customHeight="1" outlineLevel="1" x14ac:dyDescent="0.2">
      <c r="A111" s="51"/>
      <c r="B111" s="51"/>
      <c r="C111" s="530" t="s">
        <v>856</v>
      </c>
      <c r="D111" s="37" t="str">
        <f>BookCodeA&amp;" Usage per Aircraft per month"</f>
        <v>Technical Log Usage per Aircraft per month</v>
      </c>
      <c r="E111" s="913">
        <v>4</v>
      </c>
      <c r="F111" s="913">
        <v>4</v>
      </c>
      <c r="G111" s="913">
        <v>4</v>
      </c>
      <c r="H111" s="913">
        <v>4</v>
      </c>
      <c r="I111" s="913">
        <v>4</v>
      </c>
      <c r="J111" s="913">
        <v>4</v>
      </c>
      <c r="K111" s="913">
        <v>4</v>
      </c>
      <c r="L111" s="913">
        <v>4</v>
      </c>
      <c r="M111" s="913">
        <v>4</v>
      </c>
      <c r="N111" s="913">
        <v>4</v>
      </c>
      <c r="O111" s="271"/>
      <c r="P111" s="38"/>
      <c r="Q111" s="41"/>
      <c r="R111" s="41"/>
      <c r="S111" s="41"/>
      <c r="T111" s="41"/>
      <c r="U111" s="41"/>
      <c r="V111" s="41"/>
      <c r="W111" s="41"/>
      <c r="X111" s="41"/>
      <c r="Y111" s="41"/>
      <c r="Z111" s="41"/>
      <c r="AA111" s="41"/>
      <c r="AB111" s="41"/>
      <c r="AC111" s="41"/>
      <c r="AD111" s="41"/>
    </row>
    <row r="112" spans="1:30" s="14" customFormat="1" ht="14.1" hidden="1" customHeight="1" outlineLevel="1" x14ac:dyDescent="0.2">
      <c r="A112" s="51"/>
      <c r="B112" s="51"/>
      <c r="C112" s="270" t="s">
        <v>862</v>
      </c>
      <c r="D112" s="27" t="str">
        <f>BookCodeA&amp;" Usage per Fleet pa"</f>
        <v>Technical Log Usage per Fleet pa</v>
      </c>
      <c r="E112" s="914">
        <f t="shared" ref="E112:N112" si="33">SUM(E111*FleetSize_Total)*12</f>
        <v>7488</v>
      </c>
      <c r="F112" s="914">
        <f t="shared" si="33"/>
        <v>7488</v>
      </c>
      <c r="G112" s="914">
        <f t="shared" si="33"/>
        <v>7488</v>
      </c>
      <c r="H112" s="914">
        <f t="shared" si="33"/>
        <v>7488</v>
      </c>
      <c r="I112" s="914">
        <f t="shared" si="33"/>
        <v>7488</v>
      </c>
      <c r="J112" s="914">
        <f t="shared" si="33"/>
        <v>7488</v>
      </c>
      <c r="K112" s="914">
        <f t="shared" si="33"/>
        <v>7488</v>
      </c>
      <c r="L112" s="914">
        <f t="shared" si="33"/>
        <v>7488</v>
      </c>
      <c r="M112" s="914">
        <f t="shared" si="33"/>
        <v>7488</v>
      </c>
      <c r="N112" s="914">
        <f t="shared" si="33"/>
        <v>7488</v>
      </c>
      <c r="O112" s="271"/>
      <c r="P112" s="38"/>
      <c r="Q112" s="41"/>
      <c r="R112" s="41"/>
      <c r="S112" s="41"/>
      <c r="T112" s="41"/>
      <c r="U112" s="41"/>
      <c r="V112" s="41"/>
      <c r="W112" s="41"/>
      <c r="X112" s="41"/>
      <c r="Y112" s="41"/>
      <c r="Z112" s="41"/>
      <c r="AA112" s="41"/>
      <c r="AB112" s="41"/>
      <c r="AC112" s="41"/>
      <c r="AD112" s="41"/>
    </row>
    <row r="113" spans="1:30" s="38" customFormat="1" ht="12.75" hidden="1" customHeight="1" outlineLevel="1" x14ac:dyDescent="0.2">
      <c r="A113" s="51"/>
      <c r="B113" s="51"/>
      <c r="C113" s="256"/>
      <c r="D113" s="27" t="str">
        <f>BookCodeA&amp;" Cost pa"</f>
        <v>Technical Log Cost pa</v>
      </c>
      <c r="E113" s="915">
        <f>SUM(E112*BookCodeACost_Each)</f>
        <v>187200</v>
      </c>
      <c r="F113" s="915">
        <f>SUM(F112*BookCodeACost_Each)*(1+Inflation)</f>
        <v>190944</v>
      </c>
      <c r="G113" s="915">
        <f>SUM(G112*BookCodeACost_Each)*(1+Inflation)^2</f>
        <v>194762.88</v>
      </c>
      <c r="H113" s="915">
        <f>SUM(H112*BookCodeACost_Each)*(1+Inflation)^3</f>
        <v>198658.13759999999</v>
      </c>
      <c r="I113" s="915">
        <f>SUM(I112*BookCodeACost_Each)*(1+Inflation)^4</f>
        <v>202631.30035199999</v>
      </c>
      <c r="J113" s="915">
        <f>SUM(J112*BookCodeACost_Each)*(1+Inflation)^5</f>
        <v>206683.92635903999</v>
      </c>
      <c r="K113" s="915">
        <f>SUM(K112*BookCodeACost_Each)*(1+Inflation)^6</f>
        <v>210817.60488622083</v>
      </c>
      <c r="L113" s="915">
        <f>SUM(L112*BookCodeACost_Each)*(1+Inflation)^7</f>
        <v>215033.95698394519</v>
      </c>
      <c r="M113" s="915">
        <f>SUM(M112*BookCodeACost_Each)*(1+Inflation)^8</f>
        <v>219334.63612362411</v>
      </c>
      <c r="N113" s="915">
        <f>SUM(N112*BookCodeACost_Each)*(1+Inflation)^9</f>
        <v>223721.32884609659</v>
      </c>
      <c r="O113" s="916"/>
    </row>
    <row r="114" spans="1:30" s="38" customFormat="1" ht="12.75" hidden="1" customHeight="1" outlineLevel="1" x14ac:dyDescent="0.2">
      <c r="A114" s="51"/>
      <c r="B114" s="51"/>
      <c r="C114" s="256"/>
      <c r="D114" s="30"/>
      <c r="E114" s="30"/>
      <c r="F114" s="30"/>
      <c r="G114" s="30"/>
      <c r="H114" s="30"/>
      <c r="I114" s="30"/>
      <c r="J114" s="30"/>
      <c r="K114" s="30"/>
      <c r="L114" s="30"/>
      <c r="M114" s="30"/>
      <c r="N114" s="30"/>
      <c r="O114" s="916"/>
    </row>
    <row r="115" spans="1:30" s="14" customFormat="1" ht="14.1" hidden="1" customHeight="1" outlineLevel="1" x14ac:dyDescent="0.2">
      <c r="A115" s="51"/>
      <c r="B115" s="51"/>
      <c r="C115" s="270"/>
      <c r="D115" s="37" t="str">
        <f>BookCodeB&amp;" Usage per Aircraft per month"</f>
        <v>Cabin Log Usage per Aircraft per month</v>
      </c>
      <c r="E115" s="913">
        <v>4</v>
      </c>
      <c r="F115" s="913">
        <v>4</v>
      </c>
      <c r="G115" s="913">
        <v>4</v>
      </c>
      <c r="H115" s="913">
        <v>4</v>
      </c>
      <c r="I115" s="913">
        <v>4</v>
      </c>
      <c r="J115" s="913">
        <v>4</v>
      </c>
      <c r="K115" s="913">
        <v>4</v>
      </c>
      <c r="L115" s="913">
        <v>4</v>
      </c>
      <c r="M115" s="913">
        <v>4</v>
      </c>
      <c r="N115" s="913">
        <v>4</v>
      </c>
      <c r="O115" s="271"/>
      <c r="P115" s="38"/>
      <c r="Q115" s="41"/>
      <c r="R115" s="41"/>
      <c r="S115" s="41"/>
      <c r="T115" s="41"/>
      <c r="U115" s="41"/>
      <c r="V115" s="41"/>
      <c r="W115" s="41"/>
      <c r="X115" s="41"/>
      <c r="Y115" s="41"/>
      <c r="Z115" s="41"/>
      <c r="AA115" s="41"/>
      <c r="AB115" s="41"/>
      <c r="AC115" s="41"/>
      <c r="AD115" s="41"/>
    </row>
    <row r="116" spans="1:30" s="14" customFormat="1" ht="14.1" hidden="1" customHeight="1" outlineLevel="1" x14ac:dyDescent="0.2">
      <c r="A116" s="51"/>
      <c r="B116" s="51"/>
      <c r="C116" s="270"/>
      <c r="D116" s="27" t="str">
        <f>BookCodeB&amp;" Usage per Fleet pa"</f>
        <v>Cabin Log Usage per Fleet pa</v>
      </c>
      <c r="E116" s="914">
        <f t="shared" ref="E116:N116" si="34">SUM(E115*FleetSize_Total)*12</f>
        <v>7488</v>
      </c>
      <c r="F116" s="914">
        <f t="shared" si="34"/>
        <v>7488</v>
      </c>
      <c r="G116" s="914">
        <f t="shared" si="34"/>
        <v>7488</v>
      </c>
      <c r="H116" s="914">
        <f t="shared" si="34"/>
        <v>7488</v>
      </c>
      <c r="I116" s="914">
        <f t="shared" si="34"/>
        <v>7488</v>
      </c>
      <c r="J116" s="914">
        <f t="shared" si="34"/>
        <v>7488</v>
      </c>
      <c r="K116" s="914">
        <f t="shared" si="34"/>
        <v>7488</v>
      </c>
      <c r="L116" s="914">
        <f t="shared" si="34"/>
        <v>7488</v>
      </c>
      <c r="M116" s="914">
        <f t="shared" si="34"/>
        <v>7488</v>
      </c>
      <c r="N116" s="914">
        <f t="shared" si="34"/>
        <v>7488</v>
      </c>
      <c r="O116" s="271"/>
      <c r="P116" s="38"/>
      <c r="Q116" s="41"/>
      <c r="R116" s="41"/>
      <c r="S116" s="41"/>
      <c r="T116" s="41"/>
      <c r="U116" s="41"/>
      <c r="V116" s="41"/>
      <c r="W116" s="41"/>
      <c r="X116" s="41"/>
      <c r="Y116" s="41"/>
      <c r="Z116" s="41"/>
      <c r="AA116" s="41"/>
      <c r="AB116" s="41"/>
      <c r="AC116" s="41"/>
      <c r="AD116" s="41"/>
    </row>
    <row r="117" spans="1:30" s="38" customFormat="1" ht="12.75" hidden="1" customHeight="1" outlineLevel="1" x14ac:dyDescent="0.2">
      <c r="A117" s="51"/>
      <c r="B117" s="51"/>
      <c r="C117" s="256"/>
      <c r="D117" s="27" t="str">
        <f>BookCodeB&amp;" Cost pa"</f>
        <v>Cabin Log Cost pa</v>
      </c>
      <c r="E117" s="915">
        <f>SUM(E116*BookCodeBCost_Each)</f>
        <v>179712</v>
      </c>
      <c r="F117" s="915">
        <f>SUM(F116*BookCodeBCost_Each)*(1+Inflation)</f>
        <v>183306.23999999999</v>
      </c>
      <c r="G117" s="915">
        <f>SUM(G116*BookCodeBCost_Each)*(1+Inflation)^2</f>
        <v>186972.36480000001</v>
      </c>
      <c r="H117" s="915">
        <f>SUM(H116*BookCodeBCost_Each)*(1+Inflation)^3</f>
        <v>190711.81209599998</v>
      </c>
      <c r="I117" s="915">
        <f>SUM(I116*BookCodeBCost_Each)*(1+Inflation)^4</f>
        <v>194526.04833791999</v>
      </c>
      <c r="J117" s="915">
        <f>SUM(J116*BookCodeBCost_Each)*(1+Inflation)^5</f>
        <v>198416.56930467841</v>
      </c>
      <c r="K117" s="915">
        <f>SUM(K116*BookCodeBCost_Each)*(1+Inflation)^6</f>
        <v>202384.90069077199</v>
      </c>
      <c r="L117" s="915">
        <f>SUM(L116*BookCodeBCost_Each)*(1+Inflation)^7</f>
        <v>206432.59870458738</v>
      </c>
      <c r="M117" s="915">
        <f>SUM(M116*BookCodeBCost_Each)*(1+Inflation)^8</f>
        <v>210561.25067867915</v>
      </c>
      <c r="N117" s="915">
        <f>SUM(N116*BookCodeBCost_Each)*(1+Inflation)^9</f>
        <v>214772.47569225272</v>
      </c>
      <c r="O117" s="916"/>
    </row>
    <row r="118" spans="1:30" s="38" customFormat="1" ht="12.75" hidden="1" customHeight="1" outlineLevel="1" x14ac:dyDescent="0.2">
      <c r="A118" s="51"/>
      <c r="B118" s="51"/>
      <c r="C118" s="256"/>
      <c r="D118" s="30"/>
      <c r="E118" s="30"/>
      <c r="F118" s="30"/>
      <c r="G118" s="30"/>
      <c r="H118" s="30"/>
      <c r="I118" s="30"/>
      <c r="J118" s="30"/>
      <c r="K118" s="30"/>
      <c r="L118" s="30"/>
      <c r="M118" s="30"/>
      <c r="N118" s="30"/>
      <c r="O118" s="916"/>
    </row>
    <row r="119" spans="1:30" s="14" customFormat="1" ht="14.1" hidden="1" customHeight="1" outlineLevel="1" x14ac:dyDescent="0.2">
      <c r="A119" s="51"/>
      <c r="B119" s="51"/>
      <c r="C119" s="270"/>
      <c r="D119" s="37" t="str">
        <f>BookCodeC&amp;" Usage per Aircraft per month"</f>
        <v>IFE Log Usage per Aircraft per month</v>
      </c>
      <c r="E119" s="913">
        <v>4</v>
      </c>
      <c r="F119" s="913">
        <v>4</v>
      </c>
      <c r="G119" s="913">
        <v>4</v>
      </c>
      <c r="H119" s="913">
        <v>4</v>
      </c>
      <c r="I119" s="913">
        <v>4</v>
      </c>
      <c r="J119" s="913">
        <v>4</v>
      </c>
      <c r="K119" s="913">
        <v>4</v>
      </c>
      <c r="L119" s="913">
        <v>4</v>
      </c>
      <c r="M119" s="913">
        <v>4</v>
      </c>
      <c r="N119" s="913">
        <v>4</v>
      </c>
      <c r="O119" s="271"/>
      <c r="P119" s="38"/>
      <c r="Q119" s="41"/>
      <c r="R119" s="41"/>
      <c r="S119" s="41"/>
      <c r="T119" s="41"/>
      <c r="U119" s="41"/>
      <c r="V119" s="41"/>
      <c r="W119" s="41"/>
      <c r="X119" s="41"/>
      <c r="Y119" s="41"/>
      <c r="Z119" s="41"/>
      <c r="AA119" s="41"/>
      <c r="AB119" s="41"/>
      <c r="AC119" s="41"/>
      <c r="AD119" s="41"/>
    </row>
    <row r="120" spans="1:30" s="14" customFormat="1" ht="14.1" hidden="1" customHeight="1" outlineLevel="1" x14ac:dyDescent="0.2">
      <c r="A120" s="51"/>
      <c r="B120" s="51"/>
      <c r="C120" s="270"/>
      <c r="D120" s="27" t="str">
        <f>BookCodeC&amp;" Usage per Fleet pa"</f>
        <v>IFE Log Usage per Fleet pa</v>
      </c>
      <c r="E120" s="914">
        <f t="shared" ref="E120:N120" si="35">SUM(E119*FleetSize_Total)*12</f>
        <v>7488</v>
      </c>
      <c r="F120" s="914">
        <f t="shared" si="35"/>
        <v>7488</v>
      </c>
      <c r="G120" s="914">
        <f t="shared" si="35"/>
        <v>7488</v>
      </c>
      <c r="H120" s="914">
        <f t="shared" si="35"/>
        <v>7488</v>
      </c>
      <c r="I120" s="914">
        <f t="shared" si="35"/>
        <v>7488</v>
      </c>
      <c r="J120" s="914">
        <f t="shared" si="35"/>
        <v>7488</v>
      </c>
      <c r="K120" s="914">
        <f t="shared" si="35"/>
        <v>7488</v>
      </c>
      <c r="L120" s="914">
        <f t="shared" si="35"/>
        <v>7488</v>
      </c>
      <c r="M120" s="914">
        <f t="shared" si="35"/>
        <v>7488</v>
      </c>
      <c r="N120" s="914">
        <f t="shared" si="35"/>
        <v>7488</v>
      </c>
      <c r="O120" s="271"/>
      <c r="P120" s="38"/>
      <c r="Q120" s="41"/>
      <c r="R120" s="41"/>
      <c r="S120" s="41"/>
      <c r="T120" s="41"/>
      <c r="U120" s="41"/>
      <c r="V120" s="41"/>
      <c r="W120" s="41"/>
      <c r="X120" s="41"/>
      <c r="Y120" s="41"/>
      <c r="Z120" s="41"/>
      <c r="AA120" s="41"/>
      <c r="AB120" s="41"/>
      <c r="AC120" s="41"/>
      <c r="AD120" s="41"/>
    </row>
    <row r="121" spans="1:30" s="38" customFormat="1" ht="12.75" hidden="1" customHeight="1" outlineLevel="1" x14ac:dyDescent="0.2">
      <c r="A121" s="51"/>
      <c r="B121" s="51"/>
      <c r="C121" s="256"/>
      <c r="D121" s="27" t="str">
        <f>BookCodeC&amp;" Cost pa"</f>
        <v>IFE Log Cost pa</v>
      </c>
      <c r="E121" s="915">
        <f>SUM(E120*BookCodeCCost_Each)</f>
        <v>172224</v>
      </c>
      <c r="F121" s="915">
        <f>SUM(F120*BookCodeCCost_Each)*(1+Inflation)</f>
        <v>175668.48000000001</v>
      </c>
      <c r="G121" s="915">
        <f>SUM(G120*BookCodeCCost_Each)*(1+Inflation)^2</f>
        <v>179181.84959999999</v>
      </c>
      <c r="H121" s="915">
        <f>SUM(H120*BookCodeCCost_Each)*(1+Inflation)^3</f>
        <v>182765.486592</v>
      </c>
      <c r="I121" s="915">
        <f>SUM(I120*BookCodeCCost_Each)*(1+Inflation)^4</f>
        <v>186420.79632383998</v>
      </c>
      <c r="J121" s="915">
        <f>SUM(J120*BookCodeCCost_Each)*(1+Inflation)^5</f>
        <v>190149.21225031681</v>
      </c>
      <c r="K121" s="915">
        <f>SUM(K120*BookCodeCCost_Each)*(1+Inflation)^6</f>
        <v>193952.19649532315</v>
      </c>
      <c r="L121" s="915">
        <f>SUM(L120*BookCodeCCost_Each)*(1+Inflation)^7</f>
        <v>197831.24042522957</v>
      </c>
      <c r="M121" s="915">
        <f>SUM(M120*BookCodeCCost_Each)*(1+Inflation)^8</f>
        <v>201787.86523373416</v>
      </c>
      <c r="N121" s="915">
        <f>SUM(N120*BookCodeCCost_Each)*(1+Inflation)^9</f>
        <v>205823.62253840888</v>
      </c>
      <c r="O121" s="916"/>
    </row>
    <row r="122" spans="1:30" s="38" customFormat="1" ht="12.75" hidden="1" customHeight="1" outlineLevel="1" x14ac:dyDescent="0.2">
      <c r="A122" s="51"/>
      <c r="B122" s="51"/>
      <c r="C122" s="256"/>
      <c r="D122" s="30"/>
      <c r="E122" s="30"/>
      <c r="F122" s="30"/>
      <c r="G122" s="30"/>
      <c r="H122" s="30"/>
      <c r="I122" s="30"/>
      <c r="J122" s="30"/>
      <c r="K122" s="30"/>
      <c r="L122" s="30"/>
      <c r="M122" s="30"/>
      <c r="N122" s="30"/>
      <c r="O122" s="916"/>
    </row>
    <row r="123" spans="1:30" s="38" customFormat="1" ht="12.75" hidden="1" customHeight="1" outlineLevel="1" x14ac:dyDescent="0.2">
      <c r="A123" s="51"/>
      <c r="B123" s="51"/>
      <c r="C123" s="530" t="s">
        <v>857</v>
      </c>
      <c r="D123" s="30"/>
      <c r="E123" s="30"/>
      <c r="F123" s="30"/>
      <c r="G123" s="30"/>
      <c r="H123" s="30"/>
      <c r="I123" s="30"/>
      <c r="J123" s="30"/>
      <c r="K123" s="30"/>
      <c r="L123" s="30"/>
      <c r="M123" s="30"/>
      <c r="N123" s="30"/>
      <c r="O123" s="916"/>
    </row>
    <row r="124" spans="1:30" s="14" customFormat="1" ht="14.1" hidden="1" customHeight="1" outlineLevel="1" x14ac:dyDescent="0.2">
      <c r="A124" s="51"/>
      <c r="B124" s="51"/>
      <c r="C124" s="270" t="s">
        <v>863</v>
      </c>
      <c r="D124" s="37" t="str">
        <f>BookCodeD&amp;" Usage per month"</f>
        <v>Other AAA Usage per month</v>
      </c>
      <c r="E124" s="913">
        <v>10</v>
      </c>
      <c r="F124" s="913">
        <v>10</v>
      </c>
      <c r="G124" s="913">
        <v>10</v>
      </c>
      <c r="H124" s="913">
        <v>10</v>
      </c>
      <c r="I124" s="913">
        <v>10</v>
      </c>
      <c r="J124" s="913">
        <v>10</v>
      </c>
      <c r="K124" s="913">
        <v>10</v>
      </c>
      <c r="L124" s="913">
        <v>10</v>
      </c>
      <c r="M124" s="913">
        <v>10</v>
      </c>
      <c r="N124" s="913">
        <v>10</v>
      </c>
      <c r="O124" s="271"/>
      <c r="P124" s="38"/>
      <c r="Q124" s="41"/>
      <c r="R124" s="41"/>
      <c r="S124" s="41"/>
      <c r="T124" s="41"/>
      <c r="U124" s="41"/>
      <c r="V124" s="41"/>
      <c r="W124" s="41"/>
      <c r="X124" s="41"/>
      <c r="Y124" s="41"/>
      <c r="Z124" s="41"/>
      <c r="AA124" s="41"/>
      <c r="AB124" s="41"/>
      <c r="AC124" s="41"/>
      <c r="AD124" s="41"/>
    </row>
    <row r="125" spans="1:30" s="14" customFormat="1" ht="14.1" hidden="1" customHeight="1" outlineLevel="1" x14ac:dyDescent="0.2">
      <c r="A125" s="51"/>
      <c r="B125" s="51"/>
      <c r="C125" s="270"/>
      <c r="D125" s="27" t="str">
        <f>BookCodeD&amp;" Usage per pa"</f>
        <v>Other AAA Usage per pa</v>
      </c>
      <c r="E125" s="914">
        <f>SUM(E124*12)</f>
        <v>120</v>
      </c>
      <c r="F125" s="914">
        <f t="shared" ref="F125" si="36">SUM(F124*12)</f>
        <v>120</v>
      </c>
      <c r="G125" s="914">
        <f t="shared" ref="G125" si="37">SUM(G124*12)</f>
        <v>120</v>
      </c>
      <c r="H125" s="914">
        <f t="shared" ref="H125" si="38">SUM(H124*12)</f>
        <v>120</v>
      </c>
      <c r="I125" s="914">
        <f t="shared" ref="I125" si="39">SUM(I124*12)</f>
        <v>120</v>
      </c>
      <c r="J125" s="914">
        <f t="shared" ref="J125" si="40">SUM(J124*12)</f>
        <v>120</v>
      </c>
      <c r="K125" s="914">
        <f t="shared" ref="K125" si="41">SUM(K124*12)</f>
        <v>120</v>
      </c>
      <c r="L125" s="914">
        <f t="shared" ref="L125" si="42">SUM(L124*12)</f>
        <v>120</v>
      </c>
      <c r="M125" s="914">
        <f t="shared" ref="M125" si="43">SUM(M124*12)</f>
        <v>120</v>
      </c>
      <c r="N125" s="914">
        <f t="shared" ref="N125" si="44">SUM(N124*12)</f>
        <v>120</v>
      </c>
      <c r="O125" s="271"/>
      <c r="P125" s="38"/>
      <c r="Q125" s="41"/>
      <c r="R125" s="41"/>
      <c r="S125" s="41"/>
      <c r="T125" s="41"/>
      <c r="U125" s="41"/>
      <c r="V125" s="41"/>
      <c r="W125" s="41"/>
      <c r="X125" s="41"/>
      <c r="Y125" s="41"/>
      <c r="Z125" s="41"/>
      <c r="AA125" s="41"/>
      <c r="AB125" s="41"/>
      <c r="AC125" s="41"/>
      <c r="AD125" s="41"/>
    </row>
    <row r="126" spans="1:30" s="38" customFormat="1" ht="12.75" hidden="1" customHeight="1" outlineLevel="1" x14ac:dyDescent="0.2">
      <c r="A126" s="51"/>
      <c r="B126" s="51"/>
      <c r="C126" s="256"/>
      <c r="D126" s="27" t="str">
        <f>BookCodeD&amp;" Cost pa"</f>
        <v>Other AAA Cost pa</v>
      </c>
      <c r="E126" s="915">
        <f>SUM(E125*BookCodeDCost_Each)</f>
        <v>1200</v>
      </c>
      <c r="F126" s="915">
        <f>SUM(F125*BookCodeDCost_Each)*(1+Inflation)</f>
        <v>1224</v>
      </c>
      <c r="G126" s="915">
        <f>SUM(G125*BookCodeDCost_Each)*(1+Inflation)^2</f>
        <v>1248.48</v>
      </c>
      <c r="H126" s="915">
        <f>SUM(H125*BookCodeDCost_Each)*(1+Inflation)^3</f>
        <v>1273.4495999999999</v>
      </c>
      <c r="I126" s="915">
        <f>SUM(I125*BookCodeDCost_Each)*(1+Inflation)^4</f>
        <v>1298.918592</v>
      </c>
      <c r="J126" s="915">
        <f>SUM(J125*BookCodeDCost_Each)*(1+Inflation)^5</f>
        <v>1324.8969638400001</v>
      </c>
      <c r="K126" s="915">
        <f>SUM(K125*BookCodeDCost_Each)*(1+Inflation)^6</f>
        <v>1351.3949031168002</v>
      </c>
      <c r="L126" s="915">
        <f>SUM(L125*BookCodeDCost_Each)*(1+Inflation)^7</f>
        <v>1378.4228011791358</v>
      </c>
      <c r="M126" s="915">
        <f>SUM(M125*BookCodeDCost_Each)*(1+Inflation)^8</f>
        <v>1405.9912572027185</v>
      </c>
      <c r="N126" s="915">
        <f>SUM(N125*BookCodeDCost_Each)*(1+Inflation)^9</f>
        <v>1434.1110823467729</v>
      </c>
      <c r="O126" s="916"/>
    </row>
    <row r="127" spans="1:30" s="38" customFormat="1" hidden="1" outlineLevel="1" x14ac:dyDescent="0.2">
      <c r="A127" s="51"/>
      <c r="B127" s="51"/>
      <c r="C127" s="256"/>
      <c r="D127" s="30"/>
      <c r="E127" s="30"/>
      <c r="F127" s="30"/>
      <c r="G127" s="30"/>
      <c r="H127" s="30"/>
      <c r="I127" s="30"/>
      <c r="J127" s="30"/>
      <c r="K127" s="30"/>
      <c r="L127" s="30"/>
      <c r="M127" s="30"/>
      <c r="N127" s="30"/>
      <c r="O127" s="897"/>
    </row>
    <row r="128" spans="1:30" s="14" customFormat="1" ht="14.1" hidden="1" customHeight="1" outlineLevel="1" x14ac:dyDescent="0.2">
      <c r="A128" s="51"/>
      <c r="B128" s="51"/>
      <c r="C128" s="256"/>
      <c r="D128" s="37" t="str">
        <f>BookCodeE&amp;" Usage per month"</f>
        <v>Other BBB Usage per month</v>
      </c>
      <c r="E128" s="913">
        <v>9</v>
      </c>
      <c r="F128" s="913">
        <v>9</v>
      </c>
      <c r="G128" s="913">
        <v>9</v>
      </c>
      <c r="H128" s="913">
        <v>9</v>
      </c>
      <c r="I128" s="913">
        <v>9</v>
      </c>
      <c r="J128" s="913">
        <v>9</v>
      </c>
      <c r="K128" s="913">
        <v>9</v>
      </c>
      <c r="L128" s="913">
        <v>9</v>
      </c>
      <c r="M128" s="913">
        <v>9</v>
      </c>
      <c r="N128" s="913">
        <v>9</v>
      </c>
      <c r="O128" s="271"/>
      <c r="P128" s="38"/>
      <c r="Q128" s="41"/>
      <c r="R128" s="41"/>
      <c r="S128" s="41"/>
      <c r="T128" s="41"/>
      <c r="U128" s="41"/>
      <c r="V128" s="41"/>
      <c r="W128" s="41"/>
      <c r="X128" s="41"/>
      <c r="Y128" s="41"/>
      <c r="Z128" s="41"/>
      <c r="AA128" s="41"/>
      <c r="AB128" s="41"/>
      <c r="AC128" s="41"/>
      <c r="AD128" s="41"/>
    </row>
    <row r="129" spans="1:30" s="14" customFormat="1" ht="14.1" hidden="1" customHeight="1" outlineLevel="1" x14ac:dyDescent="0.2">
      <c r="A129" s="51"/>
      <c r="B129" s="51"/>
      <c r="C129" s="270"/>
      <c r="D129" s="27" t="str">
        <f>BookCodeE&amp;" Usage per pa"</f>
        <v>Other BBB Usage per pa</v>
      </c>
      <c r="E129" s="914">
        <f>SUM(E128*12)</f>
        <v>108</v>
      </c>
      <c r="F129" s="914">
        <f t="shared" ref="F129" si="45">SUM(F128*12)</f>
        <v>108</v>
      </c>
      <c r="G129" s="914">
        <f t="shared" ref="G129" si="46">SUM(G128*12)</f>
        <v>108</v>
      </c>
      <c r="H129" s="914">
        <f t="shared" ref="H129" si="47">SUM(H128*12)</f>
        <v>108</v>
      </c>
      <c r="I129" s="914">
        <f t="shared" ref="I129" si="48">SUM(I128*12)</f>
        <v>108</v>
      </c>
      <c r="J129" s="914">
        <f t="shared" ref="J129" si="49">SUM(J128*12)</f>
        <v>108</v>
      </c>
      <c r="K129" s="914">
        <f t="shared" ref="K129" si="50">SUM(K128*12)</f>
        <v>108</v>
      </c>
      <c r="L129" s="914">
        <f t="shared" ref="L129" si="51">SUM(L128*12)</f>
        <v>108</v>
      </c>
      <c r="M129" s="914">
        <f t="shared" ref="M129" si="52">SUM(M128*12)</f>
        <v>108</v>
      </c>
      <c r="N129" s="914">
        <f t="shared" ref="N129" si="53">SUM(N128*12)</f>
        <v>108</v>
      </c>
      <c r="O129" s="271"/>
      <c r="P129" s="38"/>
      <c r="Q129" s="41"/>
      <c r="R129" s="41"/>
      <c r="S129" s="41"/>
      <c r="T129" s="41"/>
      <c r="U129" s="41"/>
      <c r="V129" s="41"/>
      <c r="W129" s="41"/>
      <c r="X129" s="41"/>
      <c r="Y129" s="41"/>
      <c r="Z129" s="41"/>
      <c r="AA129" s="41"/>
      <c r="AB129" s="41"/>
      <c r="AC129" s="41"/>
      <c r="AD129" s="41"/>
    </row>
    <row r="130" spans="1:30" s="38" customFormat="1" ht="12.75" hidden="1" customHeight="1" outlineLevel="1" x14ac:dyDescent="0.2">
      <c r="A130" s="51"/>
      <c r="B130" s="51"/>
      <c r="C130" s="256"/>
      <c r="D130" s="27" t="str">
        <f>BookCodeE&amp;" Cost pa"</f>
        <v>Other BBB Cost pa</v>
      </c>
      <c r="E130" s="915">
        <f>SUM(E129*BookCodeECost_Each)</f>
        <v>2268</v>
      </c>
      <c r="F130" s="915">
        <f>SUM(F129*BookCodeECost_Each)*(1+Inflation)</f>
        <v>2313.36</v>
      </c>
      <c r="G130" s="915">
        <f>SUM(G129*BookCodeECost_Each)*(1+Inflation)^2</f>
        <v>2359.6271999999999</v>
      </c>
      <c r="H130" s="915">
        <f>SUM(H129*BookCodeECost_Each)*(1+Inflation)^3</f>
        <v>2406.8197439999999</v>
      </c>
      <c r="I130" s="915">
        <f>SUM(I129*BookCodeECost_Each)*(1+Inflation)^4</f>
        <v>2454.9561388799998</v>
      </c>
      <c r="J130" s="915">
        <f>SUM(J129*BookCodeECost_Each)*(1+Inflation)^5</f>
        <v>2504.0552616576001</v>
      </c>
      <c r="K130" s="915">
        <f>SUM(K129*BookCodeECost_Each)*(1+Inflation)^6</f>
        <v>2554.136366890752</v>
      </c>
      <c r="L130" s="915">
        <f>SUM(L129*BookCodeECost_Each)*(1+Inflation)^7</f>
        <v>2605.2190942285665</v>
      </c>
      <c r="M130" s="915">
        <f>SUM(M129*BookCodeECost_Each)*(1+Inflation)^8</f>
        <v>2657.323476113138</v>
      </c>
      <c r="N130" s="915">
        <f>SUM(N129*BookCodeECost_Each)*(1+Inflation)^9</f>
        <v>2710.469945635401</v>
      </c>
      <c r="O130" s="916"/>
    </row>
    <row r="131" spans="1:30" s="38" customFormat="1" ht="12.75" hidden="1" customHeight="1" outlineLevel="1" x14ac:dyDescent="0.2">
      <c r="A131" s="51"/>
      <c r="B131" s="51"/>
      <c r="C131" s="256"/>
      <c r="D131" s="30"/>
      <c r="E131" s="30"/>
      <c r="F131" s="30"/>
      <c r="G131" s="30"/>
      <c r="H131" s="30"/>
      <c r="I131" s="30"/>
      <c r="J131" s="30"/>
      <c r="K131" s="30"/>
      <c r="L131" s="30"/>
      <c r="M131" s="30"/>
      <c r="N131" s="30"/>
      <c r="O131" s="916"/>
    </row>
    <row r="132" spans="1:30" s="14" customFormat="1" ht="14.1" hidden="1" customHeight="1" outlineLevel="1" x14ac:dyDescent="0.2">
      <c r="A132" s="51"/>
      <c r="B132" s="51"/>
      <c r="C132" s="270"/>
      <c r="D132" s="37" t="str">
        <f>BookCodeF&amp;" Usage per month"</f>
        <v>Other CCC Usage per month</v>
      </c>
      <c r="E132" s="913">
        <v>10</v>
      </c>
      <c r="F132" s="913">
        <v>10</v>
      </c>
      <c r="G132" s="913">
        <v>10</v>
      </c>
      <c r="H132" s="913">
        <v>10</v>
      </c>
      <c r="I132" s="913">
        <v>10</v>
      </c>
      <c r="J132" s="913">
        <v>10</v>
      </c>
      <c r="K132" s="913">
        <v>10</v>
      </c>
      <c r="L132" s="913">
        <v>10</v>
      </c>
      <c r="M132" s="913">
        <v>10</v>
      </c>
      <c r="N132" s="913">
        <v>10</v>
      </c>
      <c r="O132" s="271"/>
      <c r="P132" s="38"/>
      <c r="Q132" s="41"/>
      <c r="R132" s="41"/>
      <c r="S132" s="41"/>
      <c r="T132" s="41"/>
      <c r="U132" s="41"/>
      <c r="V132" s="41"/>
      <c r="W132" s="41"/>
      <c r="X132" s="41"/>
      <c r="Y132" s="41"/>
      <c r="Z132" s="41"/>
      <c r="AA132" s="41"/>
      <c r="AB132" s="41"/>
      <c r="AC132" s="41"/>
      <c r="AD132" s="41"/>
    </row>
    <row r="133" spans="1:30" s="14" customFormat="1" ht="14.1" hidden="1" customHeight="1" outlineLevel="1" x14ac:dyDescent="0.2">
      <c r="A133" s="51"/>
      <c r="B133" s="51"/>
      <c r="C133" s="270"/>
      <c r="D133" s="27" t="str">
        <f>BookCodeF&amp;" Usage per pa"</f>
        <v>Other CCC Usage per pa</v>
      </c>
      <c r="E133" s="914">
        <f>SUM(E132*12)</f>
        <v>120</v>
      </c>
      <c r="F133" s="914">
        <f t="shared" ref="F133" si="54">SUM(F132*12)</f>
        <v>120</v>
      </c>
      <c r="G133" s="914">
        <f t="shared" ref="G133" si="55">SUM(G132*12)</f>
        <v>120</v>
      </c>
      <c r="H133" s="914">
        <f t="shared" ref="H133" si="56">SUM(H132*12)</f>
        <v>120</v>
      </c>
      <c r="I133" s="914">
        <f t="shared" ref="I133" si="57">SUM(I132*12)</f>
        <v>120</v>
      </c>
      <c r="J133" s="914">
        <f t="shared" ref="J133" si="58">SUM(J132*12)</f>
        <v>120</v>
      </c>
      <c r="K133" s="914">
        <f t="shared" ref="K133" si="59">SUM(K132*12)</f>
        <v>120</v>
      </c>
      <c r="L133" s="914">
        <f t="shared" ref="L133" si="60">SUM(L132*12)</f>
        <v>120</v>
      </c>
      <c r="M133" s="914">
        <f t="shared" ref="M133" si="61">SUM(M132*12)</f>
        <v>120</v>
      </c>
      <c r="N133" s="914">
        <f t="shared" ref="N133" si="62">SUM(N132*12)</f>
        <v>120</v>
      </c>
      <c r="O133" s="271"/>
      <c r="P133" s="38"/>
      <c r="Q133" s="41"/>
      <c r="R133" s="41"/>
      <c r="S133" s="41"/>
      <c r="T133" s="41"/>
      <c r="U133" s="41"/>
      <c r="V133" s="41"/>
      <c r="W133" s="41"/>
      <c r="X133" s="41"/>
      <c r="Y133" s="41"/>
      <c r="Z133" s="41"/>
      <c r="AA133" s="41"/>
      <c r="AB133" s="41"/>
      <c r="AC133" s="41"/>
      <c r="AD133" s="41"/>
    </row>
    <row r="134" spans="1:30" s="38" customFormat="1" ht="12.75" hidden="1" customHeight="1" outlineLevel="1" x14ac:dyDescent="0.2">
      <c r="A134" s="51"/>
      <c r="B134" s="51"/>
      <c r="C134" s="256"/>
      <c r="D134" s="27" t="str">
        <f>BookCodeF&amp;" Cost pa"</f>
        <v>Other CCC Cost pa</v>
      </c>
      <c r="E134" s="915">
        <f>SUM(E133*BookCodeFCost_Each)</f>
        <v>2400</v>
      </c>
      <c r="F134" s="915">
        <f>SUM(F133*BookCodeFCost_Each)*(1+Inflation)</f>
        <v>2448</v>
      </c>
      <c r="G134" s="915">
        <f>SUM(G133*BookCodeFCost_Each)*(1+Inflation)^2</f>
        <v>2496.96</v>
      </c>
      <c r="H134" s="915">
        <f>SUM(H133*BookCodeFCost_Each)*(1+Inflation)^3</f>
        <v>2546.8991999999998</v>
      </c>
      <c r="I134" s="915">
        <f>SUM(I133*BookCodeFCost_Each)*(1+Inflation)^4</f>
        <v>2597.837184</v>
      </c>
      <c r="J134" s="915">
        <f>SUM(J133*BookCodeFCost_Each)*(1+Inflation)^5</f>
        <v>2649.7939276800003</v>
      </c>
      <c r="K134" s="915">
        <f>SUM(K133*BookCodeFCost_Each)*(1+Inflation)^6</f>
        <v>2702.7898062336003</v>
      </c>
      <c r="L134" s="915">
        <f>SUM(L133*BookCodeFCost_Each)*(1+Inflation)^7</f>
        <v>2756.8456023582717</v>
      </c>
      <c r="M134" s="915">
        <f>SUM(M133*BookCodeFCost_Each)*(1+Inflation)^8</f>
        <v>2811.9825144054371</v>
      </c>
      <c r="N134" s="915">
        <f>SUM(N133*BookCodeFCost_Each)*(1+Inflation)^9</f>
        <v>2868.2221646935459</v>
      </c>
      <c r="O134" s="916"/>
    </row>
    <row r="135" spans="1:30" s="38" customFormat="1" hidden="1" outlineLevel="1" x14ac:dyDescent="0.2">
      <c r="A135" s="51"/>
      <c r="B135" s="51"/>
      <c r="C135" s="256"/>
      <c r="D135" s="30"/>
      <c r="E135" s="30"/>
      <c r="F135" s="30"/>
      <c r="G135" s="30"/>
      <c r="H135" s="30"/>
      <c r="I135" s="30"/>
      <c r="J135" s="30"/>
      <c r="K135" s="30"/>
      <c r="L135" s="30"/>
      <c r="M135" s="30"/>
      <c r="N135" s="30"/>
      <c r="O135" s="897"/>
    </row>
    <row r="136" spans="1:30" s="14" customFormat="1" ht="14.1" hidden="1" customHeight="1" outlineLevel="1" x14ac:dyDescent="0.2">
      <c r="A136" s="51"/>
      <c r="B136" s="51"/>
      <c r="C136" s="256"/>
      <c r="D136" s="37" t="str">
        <f>BookCodeG&amp;" Usage per month"</f>
        <v>Other DDD Usage per month</v>
      </c>
      <c r="E136" s="913">
        <v>9</v>
      </c>
      <c r="F136" s="913">
        <v>9</v>
      </c>
      <c r="G136" s="913">
        <v>9</v>
      </c>
      <c r="H136" s="913">
        <v>9</v>
      </c>
      <c r="I136" s="913">
        <v>9</v>
      </c>
      <c r="J136" s="913">
        <v>9</v>
      </c>
      <c r="K136" s="913">
        <v>9</v>
      </c>
      <c r="L136" s="913">
        <v>9</v>
      </c>
      <c r="M136" s="913">
        <v>9</v>
      </c>
      <c r="N136" s="913">
        <v>9</v>
      </c>
      <c r="O136" s="271"/>
      <c r="P136" s="38"/>
      <c r="Q136" s="41"/>
      <c r="R136" s="41"/>
      <c r="S136" s="41"/>
      <c r="T136" s="41"/>
      <c r="U136" s="41"/>
      <c r="V136" s="41"/>
      <c r="W136" s="41"/>
      <c r="X136" s="41"/>
      <c r="Y136" s="41"/>
      <c r="Z136" s="41"/>
      <c r="AA136" s="41"/>
      <c r="AB136" s="41"/>
      <c r="AC136" s="41"/>
      <c r="AD136" s="41"/>
    </row>
    <row r="137" spans="1:30" s="14" customFormat="1" ht="14.1" hidden="1" customHeight="1" outlineLevel="1" x14ac:dyDescent="0.2">
      <c r="A137" s="51"/>
      <c r="B137" s="51"/>
      <c r="C137" s="270"/>
      <c r="D137" s="27" t="str">
        <f>BookCodeG&amp;" Usage per pa"</f>
        <v>Other DDD Usage per pa</v>
      </c>
      <c r="E137" s="914">
        <f>SUM(E136*12)</f>
        <v>108</v>
      </c>
      <c r="F137" s="914">
        <f t="shared" ref="F137" si="63">SUM(F136*12)</f>
        <v>108</v>
      </c>
      <c r="G137" s="914">
        <f t="shared" ref="G137" si="64">SUM(G136*12)</f>
        <v>108</v>
      </c>
      <c r="H137" s="914">
        <f t="shared" ref="H137" si="65">SUM(H136*12)</f>
        <v>108</v>
      </c>
      <c r="I137" s="914">
        <f t="shared" ref="I137" si="66">SUM(I136*12)</f>
        <v>108</v>
      </c>
      <c r="J137" s="914">
        <f t="shared" ref="J137" si="67">SUM(J136*12)</f>
        <v>108</v>
      </c>
      <c r="K137" s="914">
        <f t="shared" ref="K137" si="68">SUM(K136*12)</f>
        <v>108</v>
      </c>
      <c r="L137" s="914">
        <f t="shared" ref="L137" si="69">SUM(L136*12)</f>
        <v>108</v>
      </c>
      <c r="M137" s="914">
        <f t="shared" ref="M137" si="70">SUM(M136*12)</f>
        <v>108</v>
      </c>
      <c r="N137" s="914">
        <f t="shared" ref="N137" si="71">SUM(N136*12)</f>
        <v>108</v>
      </c>
      <c r="O137" s="271"/>
      <c r="P137" s="38"/>
      <c r="Q137" s="41"/>
      <c r="R137" s="41"/>
      <c r="S137" s="41"/>
      <c r="T137" s="41"/>
      <c r="U137" s="41"/>
      <c r="V137" s="41"/>
      <c r="W137" s="41"/>
      <c r="X137" s="41"/>
      <c r="Y137" s="41"/>
      <c r="Z137" s="41"/>
      <c r="AA137" s="41"/>
      <c r="AB137" s="41"/>
      <c r="AC137" s="41"/>
      <c r="AD137" s="41"/>
    </row>
    <row r="138" spans="1:30" s="38" customFormat="1" ht="12.75" hidden="1" customHeight="1" outlineLevel="1" x14ac:dyDescent="0.2">
      <c r="A138" s="51"/>
      <c r="B138" s="51"/>
      <c r="C138" s="256"/>
      <c r="D138" s="27" t="str">
        <f>BookCodeG&amp;" Cost pa"</f>
        <v>Other DDD Cost pa</v>
      </c>
      <c r="E138" s="915">
        <f>SUM(E137*BookCodeGCost_Each)</f>
        <v>2052</v>
      </c>
      <c r="F138" s="915">
        <f>SUM(F137*BookCodeGCost_Each)*(1+Inflation)</f>
        <v>2093.04</v>
      </c>
      <c r="G138" s="915">
        <f>SUM(G137*BookCodeGCost_Each)*(1+Inflation)^2</f>
        <v>2134.9007999999999</v>
      </c>
      <c r="H138" s="915">
        <f>SUM(H137*BookCodeGCost_Each)*(1+Inflation)^3</f>
        <v>2177.5988159999997</v>
      </c>
      <c r="I138" s="915">
        <f>SUM(I137*BookCodeGCost_Each)*(1+Inflation)^4</f>
        <v>2221.1507923200002</v>
      </c>
      <c r="J138" s="915">
        <f>SUM(J137*BookCodeGCost_Each)*(1+Inflation)^5</f>
        <v>2265.5738081663999</v>
      </c>
      <c r="K138" s="915">
        <f>SUM(K137*BookCodeGCost_Each)*(1+Inflation)^6</f>
        <v>2310.8852843297282</v>
      </c>
      <c r="L138" s="915">
        <f>SUM(L137*BookCodeGCost_Each)*(1+Inflation)^7</f>
        <v>2357.1029900163221</v>
      </c>
      <c r="M138" s="915">
        <f>SUM(M137*BookCodeGCost_Each)*(1+Inflation)^8</f>
        <v>2404.245049816649</v>
      </c>
      <c r="N138" s="915">
        <f>SUM(N137*BookCodeGCost_Each)*(1+Inflation)^9</f>
        <v>2452.3299508129817</v>
      </c>
      <c r="O138" s="916"/>
    </row>
    <row r="139" spans="1:30" s="30" customFormat="1" ht="12.75" hidden="1" customHeight="1" outlineLevel="1" x14ac:dyDescent="0.2">
      <c r="A139" s="51"/>
      <c r="B139" s="55"/>
      <c r="C139" s="256"/>
      <c r="D139" s="27"/>
      <c r="E139" s="917"/>
      <c r="F139" s="917"/>
      <c r="G139" s="917"/>
      <c r="H139" s="917"/>
      <c r="I139" s="917"/>
      <c r="J139" s="917"/>
      <c r="K139" s="917"/>
      <c r="L139" s="917"/>
      <c r="M139" s="917"/>
      <c r="N139" s="917"/>
      <c r="O139" s="642"/>
    </row>
    <row r="140" spans="1:30" s="30" customFormat="1" ht="12.75" hidden="1" customHeight="1" outlineLevel="1" x14ac:dyDescent="0.2">
      <c r="A140" s="51"/>
      <c r="B140" s="55"/>
      <c r="C140" s="256"/>
      <c r="D140" s="921" t="s">
        <v>859</v>
      </c>
      <c r="E140" s="531">
        <f>SUM(E138+E134+E130+E126+E121+E117+E113)</f>
        <v>547056</v>
      </c>
      <c r="F140" s="531">
        <f t="shared" ref="F140:N140" si="72">SUM(F138+F134+F130+F126+F121+F117+F113)</f>
        <v>557997.12</v>
      </c>
      <c r="G140" s="531">
        <f t="shared" si="72"/>
        <v>569157.06239999994</v>
      </c>
      <c r="H140" s="531">
        <f t="shared" si="72"/>
        <v>580540.20364800002</v>
      </c>
      <c r="I140" s="531">
        <f t="shared" si="72"/>
        <v>592151.00772095995</v>
      </c>
      <c r="J140" s="531">
        <f t="shared" si="72"/>
        <v>603994.02787537919</v>
      </c>
      <c r="K140" s="531">
        <f t="shared" si="72"/>
        <v>616073.90843288694</v>
      </c>
      <c r="L140" s="531">
        <f t="shared" si="72"/>
        <v>628395.38660154445</v>
      </c>
      <c r="M140" s="531">
        <f t="shared" si="72"/>
        <v>640963.29433357529</v>
      </c>
      <c r="N140" s="531">
        <f t="shared" si="72"/>
        <v>653782.5602202469</v>
      </c>
      <c r="O140" s="517" t="s">
        <v>861</v>
      </c>
    </row>
    <row r="141" spans="1:30" s="38" customFormat="1" ht="12.75" hidden="1" customHeight="1" outlineLevel="1" thickBot="1" x14ac:dyDescent="0.25">
      <c r="A141" s="51"/>
      <c r="B141" s="51"/>
      <c r="C141" s="170"/>
      <c r="D141" s="529"/>
      <c r="E141" s="529"/>
      <c r="F141" s="529"/>
      <c r="G141" s="529"/>
      <c r="H141" s="529"/>
      <c r="I141" s="529"/>
      <c r="J141" s="529"/>
      <c r="K141" s="529"/>
      <c r="L141" s="529"/>
      <c r="M141" s="529"/>
      <c r="N141" s="529"/>
      <c r="O141" s="919"/>
    </row>
    <row r="142" spans="1:30" s="38" customFormat="1" ht="12.75" hidden="1" customHeight="1" outlineLevel="1" thickBot="1" x14ac:dyDescent="0.25">
      <c r="A142" s="51"/>
      <c r="B142" s="51"/>
      <c r="C142" s="30"/>
      <c r="D142" s="30"/>
      <c r="E142" s="30"/>
      <c r="F142" s="30"/>
      <c r="G142" s="30"/>
      <c r="H142" s="30"/>
      <c r="I142" s="30"/>
      <c r="J142" s="30"/>
      <c r="K142" s="30"/>
      <c r="L142" s="30"/>
      <c r="M142" s="30"/>
      <c r="N142" s="30"/>
    </row>
    <row r="143" spans="1:30" s="116" customFormat="1" ht="20.100000000000001" hidden="1" customHeight="1" outlineLevel="1" x14ac:dyDescent="0.2">
      <c r="A143" s="51"/>
      <c r="B143" s="911"/>
      <c r="C143" s="922" t="str">
        <f>Scenario3&amp;" - 'Book' Usage"</f>
        <v>eSystems (Paperless) - 'Book' Usage</v>
      </c>
      <c r="D143" s="269"/>
      <c r="E143" s="269"/>
      <c r="F143" s="269"/>
      <c r="G143" s="269"/>
      <c r="H143" s="269"/>
      <c r="I143" s="269"/>
      <c r="J143" s="269"/>
      <c r="K143" s="269"/>
      <c r="L143" s="269"/>
      <c r="M143" s="269"/>
      <c r="N143" s="269"/>
      <c r="O143" s="901"/>
      <c r="P143" s="113"/>
      <c r="Q143" s="114"/>
      <c r="R143" s="114"/>
      <c r="S143" s="114"/>
      <c r="T143" s="114"/>
      <c r="U143" s="114"/>
      <c r="V143" s="114"/>
      <c r="W143" s="114"/>
      <c r="X143" s="114"/>
      <c r="Y143" s="114"/>
      <c r="Z143" s="114"/>
      <c r="AA143" s="114"/>
      <c r="AB143" s="114"/>
      <c r="AC143" s="114"/>
      <c r="AD143" s="114"/>
    </row>
    <row r="144" spans="1:30" s="38" customFormat="1" hidden="1" outlineLevel="1" x14ac:dyDescent="0.2">
      <c r="A144" s="51"/>
      <c r="B144" s="51"/>
      <c r="C144" s="256"/>
      <c r="D144" s="30"/>
      <c r="E144" s="30"/>
      <c r="F144" s="30"/>
      <c r="G144" s="30"/>
      <c r="H144" s="30"/>
      <c r="I144" s="30"/>
      <c r="J144" s="30"/>
      <c r="K144" s="30"/>
      <c r="L144" s="30"/>
      <c r="M144" s="30"/>
      <c r="N144" s="30"/>
      <c r="O144" s="897"/>
    </row>
    <row r="145" spans="1:30" s="14" customFormat="1" ht="14.1" hidden="1" customHeight="1" outlineLevel="1" x14ac:dyDescent="0.2">
      <c r="A145" s="51"/>
      <c r="B145" s="51"/>
      <c r="C145" s="530" t="s">
        <v>856</v>
      </c>
      <c r="D145" s="37" t="str">
        <f>BookCodeA&amp;" Usage per Aircraft per month"</f>
        <v>Technical Log Usage per Aircraft per month</v>
      </c>
      <c r="E145" s="913">
        <v>4</v>
      </c>
      <c r="F145" s="913">
        <v>0</v>
      </c>
      <c r="G145" s="913">
        <v>0</v>
      </c>
      <c r="H145" s="913">
        <v>0</v>
      </c>
      <c r="I145" s="913">
        <v>0</v>
      </c>
      <c r="J145" s="913">
        <v>0</v>
      </c>
      <c r="K145" s="913">
        <v>0</v>
      </c>
      <c r="L145" s="913">
        <v>0</v>
      </c>
      <c r="M145" s="913">
        <v>0</v>
      </c>
      <c r="N145" s="913">
        <v>0</v>
      </c>
      <c r="O145" s="271"/>
      <c r="P145" s="38"/>
      <c r="Q145" s="41"/>
      <c r="R145" s="41"/>
      <c r="S145" s="41"/>
      <c r="T145" s="41"/>
      <c r="U145" s="41"/>
      <c r="V145" s="41"/>
      <c r="W145" s="41"/>
      <c r="X145" s="41"/>
      <c r="Y145" s="41"/>
      <c r="Z145" s="41"/>
      <c r="AA145" s="41"/>
      <c r="AB145" s="41"/>
      <c r="AC145" s="41"/>
      <c r="AD145" s="41"/>
    </row>
    <row r="146" spans="1:30" s="14" customFormat="1" ht="14.1" hidden="1" customHeight="1" outlineLevel="1" x14ac:dyDescent="0.2">
      <c r="A146" s="51"/>
      <c r="B146" s="51"/>
      <c r="C146" s="270" t="s">
        <v>862</v>
      </c>
      <c r="D146" s="27" t="str">
        <f>BookCodeA&amp;" Usage per Fleet pa"</f>
        <v>Technical Log Usage per Fleet pa</v>
      </c>
      <c r="E146" s="914">
        <f t="shared" ref="E146:N146" si="73">SUM(E145*FleetSize_Total)*12</f>
        <v>7488</v>
      </c>
      <c r="F146" s="914">
        <f t="shared" si="73"/>
        <v>0</v>
      </c>
      <c r="G146" s="914">
        <f t="shared" si="73"/>
        <v>0</v>
      </c>
      <c r="H146" s="914">
        <f t="shared" si="73"/>
        <v>0</v>
      </c>
      <c r="I146" s="914">
        <f t="shared" si="73"/>
        <v>0</v>
      </c>
      <c r="J146" s="914">
        <f t="shared" si="73"/>
        <v>0</v>
      </c>
      <c r="K146" s="914">
        <f t="shared" si="73"/>
        <v>0</v>
      </c>
      <c r="L146" s="914">
        <f t="shared" si="73"/>
        <v>0</v>
      </c>
      <c r="M146" s="914">
        <f t="shared" si="73"/>
        <v>0</v>
      </c>
      <c r="N146" s="914">
        <f t="shared" si="73"/>
        <v>0</v>
      </c>
      <c r="O146" s="271"/>
      <c r="P146" s="38"/>
      <c r="Q146" s="41"/>
      <c r="R146" s="41"/>
      <c r="S146" s="41"/>
      <c r="T146" s="41"/>
      <c r="U146" s="41"/>
      <c r="V146" s="41"/>
      <c r="W146" s="41"/>
      <c r="X146" s="41"/>
      <c r="Y146" s="41"/>
      <c r="Z146" s="41"/>
      <c r="AA146" s="41"/>
      <c r="AB146" s="41"/>
      <c r="AC146" s="41"/>
      <c r="AD146" s="41"/>
    </row>
    <row r="147" spans="1:30" s="38" customFormat="1" ht="12.75" hidden="1" customHeight="1" outlineLevel="1" x14ac:dyDescent="0.2">
      <c r="A147" s="51"/>
      <c r="B147" s="51"/>
      <c r="C147" s="256"/>
      <c r="D147" s="27" t="str">
        <f>BookCodeA&amp;" Cost pa"</f>
        <v>Technical Log Cost pa</v>
      </c>
      <c r="E147" s="915">
        <f>SUM(E146*BookCodeACost_Each)</f>
        <v>187200</v>
      </c>
      <c r="F147" s="915">
        <f>SUM(F146*BookCodeACost_Each)*(1+Inflation)</f>
        <v>0</v>
      </c>
      <c r="G147" s="915">
        <f>SUM(G146*BookCodeACost_Each)*(1+Inflation)^2</f>
        <v>0</v>
      </c>
      <c r="H147" s="915">
        <f>SUM(H146*BookCodeACost_Each)*(1+Inflation)^3</f>
        <v>0</v>
      </c>
      <c r="I147" s="915">
        <f>SUM(I146*BookCodeACost_Each)*(1+Inflation)^4</f>
        <v>0</v>
      </c>
      <c r="J147" s="915">
        <f>SUM(J146*BookCodeACost_Each)*(1+Inflation)^5</f>
        <v>0</v>
      </c>
      <c r="K147" s="915">
        <f>SUM(K146*BookCodeACost_Each)*(1+Inflation)^6</f>
        <v>0</v>
      </c>
      <c r="L147" s="915">
        <f>SUM(L146*BookCodeACost_Each)*(1+Inflation)^7</f>
        <v>0</v>
      </c>
      <c r="M147" s="915">
        <f>SUM(M146*BookCodeACost_Each)*(1+Inflation)^8</f>
        <v>0</v>
      </c>
      <c r="N147" s="915">
        <f>SUM(N146*BookCodeACost_Each)*(1+Inflation)^9</f>
        <v>0</v>
      </c>
      <c r="O147" s="916"/>
    </row>
    <row r="148" spans="1:30" s="38" customFormat="1" ht="12.75" hidden="1" customHeight="1" outlineLevel="1" x14ac:dyDescent="0.2">
      <c r="A148" s="51"/>
      <c r="B148" s="51"/>
      <c r="C148" s="256"/>
      <c r="D148" s="30"/>
      <c r="E148" s="30"/>
      <c r="F148" s="30"/>
      <c r="G148" s="30"/>
      <c r="H148" s="30"/>
      <c r="I148" s="30"/>
      <c r="J148" s="30"/>
      <c r="K148" s="30"/>
      <c r="L148" s="30"/>
      <c r="M148" s="30"/>
      <c r="N148" s="30"/>
      <c r="O148" s="916"/>
    </row>
    <row r="149" spans="1:30" s="14" customFormat="1" ht="14.1" hidden="1" customHeight="1" outlineLevel="1" x14ac:dyDescent="0.2">
      <c r="A149" s="51"/>
      <c r="B149" s="51"/>
      <c r="C149" s="270"/>
      <c r="D149" s="37" t="str">
        <f>BookCodeB&amp;" Usage per Aircraft per month"</f>
        <v>Cabin Log Usage per Aircraft per month</v>
      </c>
      <c r="E149" s="913">
        <v>4</v>
      </c>
      <c r="F149" s="913">
        <v>0</v>
      </c>
      <c r="G149" s="913">
        <v>0</v>
      </c>
      <c r="H149" s="913">
        <v>0</v>
      </c>
      <c r="I149" s="913">
        <v>0</v>
      </c>
      <c r="J149" s="913">
        <v>0</v>
      </c>
      <c r="K149" s="913">
        <v>0</v>
      </c>
      <c r="L149" s="913">
        <v>0</v>
      </c>
      <c r="M149" s="913">
        <v>0</v>
      </c>
      <c r="N149" s="913">
        <v>0</v>
      </c>
      <c r="O149" s="271"/>
      <c r="P149" s="38"/>
      <c r="Q149" s="41"/>
      <c r="R149" s="41"/>
      <c r="S149" s="41"/>
      <c r="T149" s="41"/>
      <c r="U149" s="41"/>
      <c r="V149" s="41"/>
      <c r="W149" s="41"/>
      <c r="X149" s="41"/>
      <c r="Y149" s="41"/>
      <c r="Z149" s="41"/>
      <c r="AA149" s="41"/>
      <c r="AB149" s="41"/>
      <c r="AC149" s="41"/>
      <c r="AD149" s="41"/>
    </row>
    <row r="150" spans="1:30" s="14" customFormat="1" ht="14.1" hidden="1" customHeight="1" outlineLevel="1" x14ac:dyDescent="0.2">
      <c r="A150" s="51"/>
      <c r="B150" s="51"/>
      <c r="C150" s="270"/>
      <c r="D150" s="27" t="str">
        <f>BookCodeB&amp;" Usage per Fleet pa"</f>
        <v>Cabin Log Usage per Fleet pa</v>
      </c>
      <c r="E150" s="914">
        <f t="shared" ref="E150:N150" si="74">SUM(E149*FleetSize_Total)*12</f>
        <v>7488</v>
      </c>
      <c r="F150" s="914">
        <f t="shared" si="74"/>
        <v>0</v>
      </c>
      <c r="G150" s="914">
        <f t="shared" si="74"/>
        <v>0</v>
      </c>
      <c r="H150" s="914">
        <f t="shared" si="74"/>
        <v>0</v>
      </c>
      <c r="I150" s="914">
        <f t="shared" si="74"/>
        <v>0</v>
      </c>
      <c r="J150" s="914">
        <f t="shared" si="74"/>
        <v>0</v>
      </c>
      <c r="K150" s="914">
        <f t="shared" si="74"/>
        <v>0</v>
      </c>
      <c r="L150" s="914">
        <f t="shared" si="74"/>
        <v>0</v>
      </c>
      <c r="M150" s="914">
        <f t="shared" si="74"/>
        <v>0</v>
      </c>
      <c r="N150" s="914">
        <f t="shared" si="74"/>
        <v>0</v>
      </c>
      <c r="O150" s="271"/>
      <c r="P150" s="38"/>
      <c r="Q150" s="41"/>
      <c r="R150" s="41"/>
      <c r="S150" s="41"/>
      <c r="T150" s="41"/>
      <c r="U150" s="41"/>
      <c r="V150" s="41"/>
      <c r="W150" s="41"/>
      <c r="X150" s="41"/>
      <c r="Y150" s="41"/>
      <c r="Z150" s="41"/>
      <c r="AA150" s="41"/>
      <c r="AB150" s="41"/>
      <c r="AC150" s="41"/>
      <c r="AD150" s="41"/>
    </row>
    <row r="151" spans="1:30" s="38" customFormat="1" ht="12.75" hidden="1" customHeight="1" outlineLevel="1" x14ac:dyDescent="0.2">
      <c r="A151" s="51"/>
      <c r="B151" s="51"/>
      <c r="C151" s="256"/>
      <c r="D151" s="27" t="str">
        <f>BookCodeB&amp;" Cost pa"</f>
        <v>Cabin Log Cost pa</v>
      </c>
      <c r="E151" s="915">
        <f>SUM(E150*BookCodeBCost_Each)</f>
        <v>179712</v>
      </c>
      <c r="F151" s="915">
        <f>SUM(F150*BookCodeBCost_Each)*(1+Inflation)</f>
        <v>0</v>
      </c>
      <c r="G151" s="915">
        <f>SUM(G150*BookCodeBCost_Each)*(1+Inflation)^2</f>
        <v>0</v>
      </c>
      <c r="H151" s="915">
        <f>SUM(H150*BookCodeBCost_Each)*(1+Inflation)^3</f>
        <v>0</v>
      </c>
      <c r="I151" s="915">
        <f>SUM(I150*BookCodeBCost_Each)*(1+Inflation)^4</f>
        <v>0</v>
      </c>
      <c r="J151" s="915">
        <f>SUM(J150*BookCodeBCost_Each)*(1+Inflation)^5</f>
        <v>0</v>
      </c>
      <c r="K151" s="915">
        <f>SUM(K150*BookCodeBCost_Each)*(1+Inflation)^6</f>
        <v>0</v>
      </c>
      <c r="L151" s="915">
        <f>SUM(L150*BookCodeBCost_Each)*(1+Inflation)^7</f>
        <v>0</v>
      </c>
      <c r="M151" s="915">
        <f>SUM(M150*BookCodeBCost_Each)*(1+Inflation)^8</f>
        <v>0</v>
      </c>
      <c r="N151" s="915">
        <f>SUM(N150*BookCodeBCost_Each)*(1+Inflation)^9</f>
        <v>0</v>
      </c>
      <c r="O151" s="916"/>
    </row>
    <row r="152" spans="1:30" s="38" customFormat="1" ht="12.75" hidden="1" customHeight="1" outlineLevel="1" x14ac:dyDescent="0.2">
      <c r="A152" s="51"/>
      <c r="B152" s="51"/>
      <c r="C152" s="256"/>
      <c r="D152" s="30"/>
      <c r="E152" s="30"/>
      <c r="F152" s="30"/>
      <c r="G152" s="30"/>
      <c r="H152" s="30"/>
      <c r="I152" s="30"/>
      <c r="J152" s="30"/>
      <c r="K152" s="30"/>
      <c r="L152" s="30"/>
      <c r="M152" s="30"/>
      <c r="N152" s="30"/>
      <c r="O152" s="916"/>
    </row>
    <row r="153" spans="1:30" s="14" customFormat="1" ht="14.1" hidden="1" customHeight="1" outlineLevel="1" x14ac:dyDescent="0.2">
      <c r="A153" s="51"/>
      <c r="B153" s="51"/>
      <c r="C153" s="270"/>
      <c r="D153" s="37" t="str">
        <f>BookCodeC&amp;" Usage per Aircraft per month"</f>
        <v>IFE Log Usage per Aircraft per month</v>
      </c>
      <c r="E153" s="913">
        <v>4</v>
      </c>
      <c r="F153" s="913">
        <v>0</v>
      </c>
      <c r="G153" s="913">
        <v>0</v>
      </c>
      <c r="H153" s="913">
        <v>0</v>
      </c>
      <c r="I153" s="913">
        <v>0</v>
      </c>
      <c r="J153" s="913">
        <v>0</v>
      </c>
      <c r="K153" s="913">
        <v>0</v>
      </c>
      <c r="L153" s="913">
        <v>0</v>
      </c>
      <c r="M153" s="913">
        <v>0</v>
      </c>
      <c r="N153" s="913">
        <v>0</v>
      </c>
      <c r="O153" s="271"/>
      <c r="P153" s="38"/>
      <c r="Q153" s="41"/>
      <c r="R153" s="41"/>
      <c r="S153" s="41"/>
      <c r="T153" s="41"/>
      <c r="U153" s="41"/>
      <c r="V153" s="41"/>
      <c r="W153" s="41"/>
      <c r="X153" s="41"/>
      <c r="Y153" s="41"/>
      <c r="Z153" s="41"/>
      <c r="AA153" s="41"/>
      <c r="AB153" s="41"/>
      <c r="AC153" s="41"/>
      <c r="AD153" s="41"/>
    </row>
    <row r="154" spans="1:30" s="14" customFormat="1" ht="14.1" hidden="1" customHeight="1" outlineLevel="1" x14ac:dyDescent="0.2">
      <c r="A154" s="51"/>
      <c r="B154" s="51"/>
      <c r="C154" s="270"/>
      <c r="D154" s="27" t="str">
        <f>BookCodeC&amp;" Usage per Fleet pa"</f>
        <v>IFE Log Usage per Fleet pa</v>
      </c>
      <c r="E154" s="914">
        <f t="shared" ref="E154:N154" si="75">SUM(E153*FleetSize_Total)*12</f>
        <v>7488</v>
      </c>
      <c r="F154" s="914">
        <f t="shared" si="75"/>
        <v>0</v>
      </c>
      <c r="G154" s="914">
        <f t="shared" si="75"/>
        <v>0</v>
      </c>
      <c r="H154" s="914">
        <f t="shared" si="75"/>
        <v>0</v>
      </c>
      <c r="I154" s="914">
        <f t="shared" si="75"/>
        <v>0</v>
      </c>
      <c r="J154" s="914">
        <f t="shared" si="75"/>
        <v>0</v>
      </c>
      <c r="K154" s="914">
        <f t="shared" si="75"/>
        <v>0</v>
      </c>
      <c r="L154" s="914">
        <f t="shared" si="75"/>
        <v>0</v>
      </c>
      <c r="M154" s="914">
        <f t="shared" si="75"/>
        <v>0</v>
      </c>
      <c r="N154" s="914">
        <f t="shared" si="75"/>
        <v>0</v>
      </c>
      <c r="O154" s="271"/>
      <c r="P154" s="38"/>
      <c r="Q154" s="41"/>
      <c r="R154" s="41"/>
      <c r="S154" s="41"/>
      <c r="T154" s="41"/>
      <c r="U154" s="41"/>
      <c r="V154" s="41"/>
      <c r="W154" s="41"/>
      <c r="X154" s="41"/>
      <c r="Y154" s="41"/>
      <c r="Z154" s="41"/>
      <c r="AA154" s="41"/>
      <c r="AB154" s="41"/>
      <c r="AC154" s="41"/>
      <c r="AD154" s="41"/>
    </row>
    <row r="155" spans="1:30" s="38" customFormat="1" ht="12.75" hidden="1" customHeight="1" outlineLevel="1" x14ac:dyDescent="0.2">
      <c r="A155" s="51"/>
      <c r="B155" s="51"/>
      <c r="C155" s="256"/>
      <c r="D155" s="27" t="str">
        <f>BookCodeC&amp;" Cost pa"</f>
        <v>IFE Log Cost pa</v>
      </c>
      <c r="E155" s="915">
        <f>SUM(E154*BookCodeCCost_Each)</f>
        <v>172224</v>
      </c>
      <c r="F155" s="915">
        <f>SUM(F154*BookCodeCCost_Each)*(1+Inflation)</f>
        <v>0</v>
      </c>
      <c r="G155" s="915">
        <f>SUM(G154*BookCodeCCost_Each)*(1+Inflation)^2</f>
        <v>0</v>
      </c>
      <c r="H155" s="915">
        <f>SUM(H154*BookCodeCCost_Each)*(1+Inflation)^3</f>
        <v>0</v>
      </c>
      <c r="I155" s="915">
        <f>SUM(I154*BookCodeCCost_Each)*(1+Inflation)^4</f>
        <v>0</v>
      </c>
      <c r="J155" s="915">
        <f>SUM(J154*BookCodeCCost_Each)*(1+Inflation)^5</f>
        <v>0</v>
      </c>
      <c r="K155" s="915">
        <f>SUM(K154*BookCodeCCost_Each)*(1+Inflation)^6</f>
        <v>0</v>
      </c>
      <c r="L155" s="915">
        <f>SUM(L154*BookCodeCCost_Each)*(1+Inflation)^7</f>
        <v>0</v>
      </c>
      <c r="M155" s="915">
        <f>SUM(M154*BookCodeCCost_Each)*(1+Inflation)^8</f>
        <v>0</v>
      </c>
      <c r="N155" s="915">
        <f>SUM(N154*BookCodeCCost_Each)*(1+Inflation)^9</f>
        <v>0</v>
      </c>
      <c r="O155" s="916"/>
    </row>
    <row r="156" spans="1:30" s="38" customFormat="1" ht="12.75" hidden="1" customHeight="1" outlineLevel="1" x14ac:dyDescent="0.2">
      <c r="A156" s="51"/>
      <c r="B156" s="51"/>
      <c r="C156" s="256"/>
      <c r="D156" s="30"/>
      <c r="E156" s="30"/>
      <c r="F156" s="30"/>
      <c r="G156" s="30"/>
      <c r="H156" s="30"/>
      <c r="I156" s="30"/>
      <c r="J156" s="30"/>
      <c r="K156" s="30"/>
      <c r="L156" s="30"/>
      <c r="M156" s="30"/>
      <c r="N156" s="30"/>
      <c r="O156" s="916"/>
    </row>
    <row r="157" spans="1:30" s="38" customFormat="1" ht="12.75" hidden="1" customHeight="1" outlineLevel="1" x14ac:dyDescent="0.2">
      <c r="A157" s="51"/>
      <c r="B157" s="51"/>
      <c r="C157" s="530" t="s">
        <v>857</v>
      </c>
      <c r="D157" s="30"/>
      <c r="E157" s="30"/>
      <c r="F157" s="30"/>
      <c r="G157" s="30"/>
      <c r="H157" s="30"/>
      <c r="I157" s="30"/>
      <c r="J157" s="30"/>
      <c r="K157" s="30"/>
      <c r="L157" s="30"/>
      <c r="M157" s="30"/>
      <c r="N157" s="30"/>
      <c r="O157" s="916"/>
    </row>
    <row r="158" spans="1:30" s="14" customFormat="1" ht="14.1" hidden="1" customHeight="1" outlineLevel="1" x14ac:dyDescent="0.2">
      <c r="A158" s="51"/>
      <c r="B158" s="51"/>
      <c r="C158" s="270" t="s">
        <v>863</v>
      </c>
      <c r="D158" s="37" t="str">
        <f>BookCodeD&amp;" Usage per month"</f>
        <v>Other AAA Usage per month</v>
      </c>
      <c r="E158" s="913">
        <v>10</v>
      </c>
      <c r="F158" s="913">
        <v>0</v>
      </c>
      <c r="G158" s="913">
        <v>0</v>
      </c>
      <c r="H158" s="913">
        <v>0</v>
      </c>
      <c r="I158" s="913">
        <v>0</v>
      </c>
      <c r="J158" s="913">
        <v>0</v>
      </c>
      <c r="K158" s="913">
        <v>0</v>
      </c>
      <c r="L158" s="913">
        <v>0</v>
      </c>
      <c r="M158" s="913">
        <v>0</v>
      </c>
      <c r="N158" s="913">
        <v>0</v>
      </c>
      <c r="O158" s="271"/>
      <c r="P158" s="38"/>
      <c r="Q158" s="41"/>
      <c r="R158" s="41"/>
      <c r="S158" s="41"/>
      <c r="T158" s="41"/>
      <c r="U158" s="41"/>
      <c r="V158" s="41"/>
      <c r="W158" s="41"/>
      <c r="X158" s="41"/>
      <c r="Y158" s="41"/>
      <c r="Z158" s="41"/>
      <c r="AA158" s="41"/>
      <c r="AB158" s="41"/>
      <c r="AC158" s="41"/>
      <c r="AD158" s="41"/>
    </row>
    <row r="159" spans="1:30" s="14" customFormat="1" ht="14.1" hidden="1" customHeight="1" outlineLevel="1" x14ac:dyDescent="0.2">
      <c r="A159" s="51"/>
      <c r="B159" s="51"/>
      <c r="C159" s="270"/>
      <c r="D159" s="27" t="str">
        <f>BookCodeD&amp;" Usage per pa"</f>
        <v>Other AAA Usage per pa</v>
      </c>
      <c r="E159" s="914">
        <f>SUM(E158*12)</f>
        <v>120</v>
      </c>
      <c r="F159" s="914">
        <f t="shared" ref="F159" si="76">SUM(F158*12)</f>
        <v>0</v>
      </c>
      <c r="G159" s="914">
        <f t="shared" ref="G159" si="77">SUM(G158*12)</f>
        <v>0</v>
      </c>
      <c r="H159" s="914">
        <f t="shared" ref="H159" si="78">SUM(H158*12)</f>
        <v>0</v>
      </c>
      <c r="I159" s="914">
        <f t="shared" ref="I159" si="79">SUM(I158*12)</f>
        <v>0</v>
      </c>
      <c r="J159" s="914">
        <f t="shared" ref="J159" si="80">SUM(J158*12)</f>
        <v>0</v>
      </c>
      <c r="K159" s="914">
        <f t="shared" ref="K159" si="81">SUM(K158*12)</f>
        <v>0</v>
      </c>
      <c r="L159" s="914">
        <f t="shared" ref="L159" si="82">SUM(L158*12)</f>
        <v>0</v>
      </c>
      <c r="M159" s="914">
        <f t="shared" ref="M159" si="83">SUM(M158*12)</f>
        <v>0</v>
      </c>
      <c r="N159" s="914">
        <f t="shared" ref="N159" si="84">SUM(N158*12)</f>
        <v>0</v>
      </c>
      <c r="O159" s="271"/>
      <c r="P159" s="38"/>
      <c r="Q159" s="41"/>
      <c r="R159" s="41"/>
      <c r="S159" s="41"/>
      <c r="T159" s="41"/>
      <c r="U159" s="41"/>
      <c r="V159" s="41"/>
      <c r="W159" s="41"/>
      <c r="X159" s="41"/>
      <c r="Y159" s="41"/>
      <c r="Z159" s="41"/>
      <c r="AA159" s="41"/>
      <c r="AB159" s="41"/>
      <c r="AC159" s="41"/>
      <c r="AD159" s="41"/>
    </row>
    <row r="160" spans="1:30" s="38" customFormat="1" ht="12.75" hidden="1" customHeight="1" outlineLevel="1" x14ac:dyDescent="0.2">
      <c r="A160" s="51"/>
      <c r="B160" s="51"/>
      <c r="C160" s="256"/>
      <c r="D160" s="27" t="str">
        <f>BookCodeD&amp;" Cost pa"</f>
        <v>Other AAA Cost pa</v>
      </c>
      <c r="E160" s="915">
        <f>SUM(E159*BookCodeDCost_Each)</f>
        <v>1200</v>
      </c>
      <c r="F160" s="915">
        <f>SUM(F159*BookCodeDCost_Each)*(1+Inflation)</f>
        <v>0</v>
      </c>
      <c r="G160" s="915">
        <f>SUM(G159*BookCodeDCost_Each)*(1+Inflation)^2</f>
        <v>0</v>
      </c>
      <c r="H160" s="915">
        <f>SUM(H159*BookCodeDCost_Each)*(1+Inflation)^3</f>
        <v>0</v>
      </c>
      <c r="I160" s="915">
        <f>SUM(I159*BookCodeDCost_Each)*(1+Inflation)^4</f>
        <v>0</v>
      </c>
      <c r="J160" s="915">
        <f>SUM(J159*BookCodeDCost_Each)*(1+Inflation)^5</f>
        <v>0</v>
      </c>
      <c r="K160" s="915">
        <f>SUM(K159*BookCodeDCost_Each)*(1+Inflation)^6</f>
        <v>0</v>
      </c>
      <c r="L160" s="915">
        <f>SUM(L159*BookCodeDCost_Each)*(1+Inflation)^7</f>
        <v>0</v>
      </c>
      <c r="M160" s="915">
        <f>SUM(M159*BookCodeDCost_Each)*(1+Inflation)^8</f>
        <v>0</v>
      </c>
      <c r="N160" s="915">
        <f>SUM(N159*BookCodeDCost_Each)*(1+Inflation)^9</f>
        <v>0</v>
      </c>
      <c r="O160" s="916"/>
    </row>
    <row r="161" spans="1:30" s="38" customFormat="1" hidden="1" outlineLevel="1" x14ac:dyDescent="0.2">
      <c r="A161" s="51"/>
      <c r="B161" s="51"/>
      <c r="C161" s="256"/>
      <c r="D161" s="30"/>
      <c r="E161" s="30"/>
      <c r="F161" s="30"/>
      <c r="G161" s="30"/>
      <c r="H161" s="30"/>
      <c r="I161" s="30"/>
      <c r="J161" s="30"/>
      <c r="K161" s="30"/>
      <c r="L161" s="30"/>
      <c r="M161" s="30"/>
      <c r="N161" s="30"/>
      <c r="O161" s="897"/>
    </row>
    <row r="162" spans="1:30" s="14" customFormat="1" ht="14.1" hidden="1" customHeight="1" outlineLevel="1" x14ac:dyDescent="0.2">
      <c r="A162" s="51"/>
      <c r="B162" s="51"/>
      <c r="C162" s="256"/>
      <c r="D162" s="37" t="str">
        <f>BookCodeE&amp;" Usage per month"</f>
        <v>Other BBB Usage per month</v>
      </c>
      <c r="E162" s="913">
        <v>9</v>
      </c>
      <c r="F162" s="913">
        <v>0</v>
      </c>
      <c r="G162" s="913">
        <v>0</v>
      </c>
      <c r="H162" s="913">
        <v>0</v>
      </c>
      <c r="I162" s="913">
        <v>0</v>
      </c>
      <c r="J162" s="913">
        <v>0</v>
      </c>
      <c r="K162" s="913">
        <v>0</v>
      </c>
      <c r="L162" s="913">
        <v>0</v>
      </c>
      <c r="M162" s="913">
        <v>0</v>
      </c>
      <c r="N162" s="913">
        <v>0</v>
      </c>
      <c r="O162" s="271"/>
      <c r="P162" s="38"/>
      <c r="Q162" s="41"/>
      <c r="R162" s="41"/>
      <c r="S162" s="41"/>
      <c r="T162" s="41"/>
      <c r="U162" s="41"/>
      <c r="V162" s="41"/>
      <c r="W162" s="41"/>
      <c r="X162" s="41"/>
      <c r="Y162" s="41"/>
      <c r="Z162" s="41"/>
      <c r="AA162" s="41"/>
      <c r="AB162" s="41"/>
      <c r="AC162" s="41"/>
      <c r="AD162" s="41"/>
    </row>
    <row r="163" spans="1:30" s="14" customFormat="1" ht="14.1" hidden="1" customHeight="1" outlineLevel="1" x14ac:dyDescent="0.2">
      <c r="A163" s="51"/>
      <c r="B163" s="51"/>
      <c r="C163" s="270"/>
      <c r="D163" s="27" t="str">
        <f>BookCodeE&amp;" Usage per pa"</f>
        <v>Other BBB Usage per pa</v>
      </c>
      <c r="E163" s="914">
        <f>SUM(E162*12)</f>
        <v>108</v>
      </c>
      <c r="F163" s="914">
        <f t="shared" ref="F163" si="85">SUM(F162*12)</f>
        <v>0</v>
      </c>
      <c r="G163" s="914">
        <f t="shared" ref="G163" si="86">SUM(G162*12)</f>
        <v>0</v>
      </c>
      <c r="H163" s="914">
        <f t="shared" ref="H163" si="87">SUM(H162*12)</f>
        <v>0</v>
      </c>
      <c r="I163" s="914">
        <f t="shared" ref="I163" si="88">SUM(I162*12)</f>
        <v>0</v>
      </c>
      <c r="J163" s="914">
        <f t="shared" ref="J163" si="89">SUM(J162*12)</f>
        <v>0</v>
      </c>
      <c r="K163" s="914">
        <f t="shared" ref="K163" si="90">SUM(K162*12)</f>
        <v>0</v>
      </c>
      <c r="L163" s="914">
        <f t="shared" ref="L163" si="91">SUM(L162*12)</f>
        <v>0</v>
      </c>
      <c r="M163" s="914">
        <f t="shared" ref="M163" si="92">SUM(M162*12)</f>
        <v>0</v>
      </c>
      <c r="N163" s="914">
        <f t="shared" ref="N163" si="93">SUM(N162*12)</f>
        <v>0</v>
      </c>
      <c r="O163" s="271"/>
      <c r="P163" s="38"/>
      <c r="Q163" s="41"/>
      <c r="R163" s="41"/>
      <c r="S163" s="41"/>
      <c r="T163" s="41"/>
      <c r="U163" s="41"/>
      <c r="V163" s="41"/>
      <c r="W163" s="41"/>
      <c r="X163" s="41"/>
      <c r="Y163" s="41"/>
      <c r="Z163" s="41"/>
      <c r="AA163" s="41"/>
      <c r="AB163" s="41"/>
      <c r="AC163" s="41"/>
      <c r="AD163" s="41"/>
    </row>
    <row r="164" spans="1:30" s="38" customFormat="1" ht="12.75" hidden="1" customHeight="1" outlineLevel="1" x14ac:dyDescent="0.2">
      <c r="A164" s="51"/>
      <c r="B164" s="51"/>
      <c r="C164" s="256"/>
      <c r="D164" s="27" t="str">
        <f>BookCodeE&amp;" Cost pa"</f>
        <v>Other BBB Cost pa</v>
      </c>
      <c r="E164" s="915">
        <f>SUM(E163*BookCodeECost_Each)</f>
        <v>2268</v>
      </c>
      <c r="F164" s="915">
        <f>SUM(F163*BookCodeECost_Each)*(1+Inflation)</f>
        <v>0</v>
      </c>
      <c r="G164" s="915">
        <f>SUM(G163*BookCodeECost_Each)*(1+Inflation)^2</f>
        <v>0</v>
      </c>
      <c r="H164" s="915">
        <f>SUM(H163*BookCodeECost_Each)*(1+Inflation)^3</f>
        <v>0</v>
      </c>
      <c r="I164" s="915">
        <f>SUM(I163*BookCodeECost_Each)*(1+Inflation)^4</f>
        <v>0</v>
      </c>
      <c r="J164" s="915">
        <f>SUM(J163*BookCodeECost_Each)*(1+Inflation)^5</f>
        <v>0</v>
      </c>
      <c r="K164" s="915">
        <f>SUM(K163*BookCodeECost_Each)*(1+Inflation)^6</f>
        <v>0</v>
      </c>
      <c r="L164" s="915">
        <f>SUM(L163*BookCodeECost_Each)*(1+Inflation)^7</f>
        <v>0</v>
      </c>
      <c r="M164" s="915">
        <f>SUM(M163*BookCodeECost_Each)*(1+Inflation)^8</f>
        <v>0</v>
      </c>
      <c r="N164" s="915">
        <f>SUM(N163*BookCodeECost_Each)*(1+Inflation)^9</f>
        <v>0</v>
      </c>
      <c r="O164" s="916"/>
    </row>
    <row r="165" spans="1:30" s="38" customFormat="1" ht="12.75" hidden="1" customHeight="1" outlineLevel="1" x14ac:dyDescent="0.2">
      <c r="A165" s="51"/>
      <c r="B165" s="51"/>
      <c r="C165" s="256"/>
      <c r="D165" s="30"/>
      <c r="E165" s="30"/>
      <c r="F165" s="30"/>
      <c r="G165" s="30"/>
      <c r="H165" s="30"/>
      <c r="I165" s="30"/>
      <c r="J165" s="30"/>
      <c r="K165" s="30"/>
      <c r="L165" s="30"/>
      <c r="M165" s="30"/>
      <c r="N165" s="30"/>
      <c r="O165" s="916"/>
    </row>
    <row r="166" spans="1:30" s="14" customFormat="1" ht="14.1" hidden="1" customHeight="1" outlineLevel="1" x14ac:dyDescent="0.2">
      <c r="A166" s="51"/>
      <c r="B166" s="51"/>
      <c r="C166" s="270"/>
      <c r="D166" s="37" t="str">
        <f>BookCodeF&amp;" Usage per month"</f>
        <v>Other CCC Usage per month</v>
      </c>
      <c r="E166" s="913">
        <v>10</v>
      </c>
      <c r="F166" s="913">
        <v>0</v>
      </c>
      <c r="G166" s="913">
        <v>0</v>
      </c>
      <c r="H166" s="913">
        <v>0</v>
      </c>
      <c r="I166" s="913">
        <v>0</v>
      </c>
      <c r="J166" s="913">
        <v>0</v>
      </c>
      <c r="K166" s="913">
        <v>0</v>
      </c>
      <c r="L166" s="913">
        <v>0</v>
      </c>
      <c r="M166" s="913">
        <v>0</v>
      </c>
      <c r="N166" s="913">
        <v>0</v>
      </c>
      <c r="O166" s="271"/>
      <c r="P166" s="38"/>
      <c r="Q166" s="41"/>
      <c r="R166" s="41"/>
      <c r="S166" s="41"/>
      <c r="T166" s="41"/>
      <c r="U166" s="41"/>
      <c r="V166" s="41"/>
      <c r="W166" s="41"/>
      <c r="X166" s="41"/>
      <c r="Y166" s="41"/>
      <c r="Z166" s="41"/>
      <c r="AA166" s="41"/>
      <c r="AB166" s="41"/>
      <c r="AC166" s="41"/>
      <c r="AD166" s="41"/>
    </row>
    <row r="167" spans="1:30" s="14" customFormat="1" ht="14.1" hidden="1" customHeight="1" outlineLevel="1" x14ac:dyDescent="0.2">
      <c r="A167" s="51"/>
      <c r="B167" s="51"/>
      <c r="C167" s="270"/>
      <c r="D167" s="27" t="str">
        <f>BookCodeF&amp;" Usage per pa"</f>
        <v>Other CCC Usage per pa</v>
      </c>
      <c r="E167" s="914">
        <f>SUM(E166*12)</f>
        <v>120</v>
      </c>
      <c r="F167" s="914">
        <f t="shared" ref="F167" si="94">SUM(F166*12)</f>
        <v>0</v>
      </c>
      <c r="G167" s="914">
        <f t="shared" ref="G167" si="95">SUM(G166*12)</f>
        <v>0</v>
      </c>
      <c r="H167" s="914">
        <f t="shared" ref="H167" si="96">SUM(H166*12)</f>
        <v>0</v>
      </c>
      <c r="I167" s="914">
        <f t="shared" ref="I167" si="97">SUM(I166*12)</f>
        <v>0</v>
      </c>
      <c r="J167" s="914">
        <f t="shared" ref="J167" si="98">SUM(J166*12)</f>
        <v>0</v>
      </c>
      <c r="K167" s="914">
        <f t="shared" ref="K167" si="99">SUM(K166*12)</f>
        <v>0</v>
      </c>
      <c r="L167" s="914">
        <f t="shared" ref="L167" si="100">SUM(L166*12)</f>
        <v>0</v>
      </c>
      <c r="M167" s="914">
        <f t="shared" ref="M167" si="101">SUM(M166*12)</f>
        <v>0</v>
      </c>
      <c r="N167" s="914">
        <f t="shared" ref="N167" si="102">SUM(N166*12)</f>
        <v>0</v>
      </c>
      <c r="O167" s="271"/>
      <c r="P167" s="38"/>
      <c r="Q167" s="41"/>
      <c r="R167" s="41"/>
      <c r="S167" s="41"/>
      <c r="T167" s="41"/>
      <c r="U167" s="41"/>
      <c r="V167" s="41"/>
      <c r="W167" s="41"/>
      <c r="X167" s="41"/>
      <c r="Y167" s="41"/>
      <c r="Z167" s="41"/>
      <c r="AA167" s="41"/>
      <c r="AB167" s="41"/>
      <c r="AC167" s="41"/>
      <c r="AD167" s="41"/>
    </row>
    <row r="168" spans="1:30" s="38" customFormat="1" ht="12.75" hidden="1" customHeight="1" outlineLevel="1" x14ac:dyDescent="0.2">
      <c r="A168" s="51"/>
      <c r="B168" s="51"/>
      <c r="C168" s="256"/>
      <c r="D168" s="27" t="str">
        <f>BookCodeF&amp;" Cost pa"</f>
        <v>Other CCC Cost pa</v>
      </c>
      <c r="E168" s="915">
        <f>SUM(E167*BookCodeFCost_Each)</f>
        <v>2400</v>
      </c>
      <c r="F168" s="915">
        <f>SUM(F167*BookCodeFCost_Each)*(1+Inflation)</f>
        <v>0</v>
      </c>
      <c r="G168" s="915">
        <f>SUM(G167*BookCodeFCost_Each)*(1+Inflation)^2</f>
        <v>0</v>
      </c>
      <c r="H168" s="915">
        <f>SUM(H167*BookCodeFCost_Each)*(1+Inflation)^3</f>
        <v>0</v>
      </c>
      <c r="I168" s="915">
        <f>SUM(I167*BookCodeFCost_Each)*(1+Inflation)^4</f>
        <v>0</v>
      </c>
      <c r="J168" s="915">
        <f>SUM(J167*BookCodeFCost_Each)*(1+Inflation)^5</f>
        <v>0</v>
      </c>
      <c r="K168" s="915">
        <f>SUM(K167*BookCodeFCost_Each)*(1+Inflation)^6</f>
        <v>0</v>
      </c>
      <c r="L168" s="915">
        <f>SUM(L167*BookCodeFCost_Each)*(1+Inflation)^7</f>
        <v>0</v>
      </c>
      <c r="M168" s="915">
        <f>SUM(M167*BookCodeFCost_Each)*(1+Inflation)^8</f>
        <v>0</v>
      </c>
      <c r="N168" s="915">
        <f>SUM(N167*BookCodeFCost_Each)*(1+Inflation)^9</f>
        <v>0</v>
      </c>
      <c r="O168" s="916"/>
    </row>
    <row r="169" spans="1:30" s="38" customFormat="1" hidden="1" outlineLevel="1" x14ac:dyDescent="0.2">
      <c r="A169" s="51"/>
      <c r="B169" s="51"/>
      <c r="C169" s="256"/>
      <c r="D169" s="30"/>
      <c r="E169" s="30"/>
      <c r="F169" s="30"/>
      <c r="G169" s="30"/>
      <c r="H169" s="30"/>
      <c r="I169" s="30"/>
      <c r="J169" s="30"/>
      <c r="K169" s="30"/>
      <c r="L169" s="30"/>
      <c r="M169" s="30"/>
      <c r="N169" s="30"/>
      <c r="O169" s="897"/>
    </row>
    <row r="170" spans="1:30" s="14" customFormat="1" ht="14.1" hidden="1" customHeight="1" outlineLevel="1" x14ac:dyDescent="0.2">
      <c r="A170" s="51"/>
      <c r="B170" s="51"/>
      <c r="C170" s="256"/>
      <c r="D170" s="37" t="str">
        <f>BookCodeG&amp;" Usage per month"</f>
        <v>Other DDD Usage per month</v>
      </c>
      <c r="E170" s="913">
        <v>9</v>
      </c>
      <c r="F170" s="913">
        <v>0</v>
      </c>
      <c r="G170" s="913">
        <v>0</v>
      </c>
      <c r="H170" s="913">
        <v>0</v>
      </c>
      <c r="I170" s="913">
        <v>0</v>
      </c>
      <c r="J170" s="913">
        <v>0</v>
      </c>
      <c r="K170" s="913">
        <v>0</v>
      </c>
      <c r="L170" s="913">
        <v>0</v>
      </c>
      <c r="M170" s="913">
        <v>0</v>
      </c>
      <c r="N170" s="913">
        <v>0</v>
      </c>
      <c r="O170" s="271"/>
      <c r="P170" s="38"/>
      <c r="Q170" s="41"/>
      <c r="R170" s="41"/>
      <c r="S170" s="41"/>
      <c r="T170" s="41"/>
      <c r="U170" s="41"/>
      <c r="V170" s="41"/>
      <c r="W170" s="41"/>
      <c r="X170" s="41"/>
      <c r="Y170" s="41"/>
      <c r="Z170" s="41"/>
      <c r="AA170" s="41"/>
      <c r="AB170" s="41"/>
      <c r="AC170" s="41"/>
      <c r="AD170" s="41"/>
    </row>
    <row r="171" spans="1:30" s="14" customFormat="1" ht="14.1" hidden="1" customHeight="1" outlineLevel="1" x14ac:dyDescent="0.2">
      <c r="A171" s="51"/>
      <c r="B171" s="51"/>
      <c r="C171" s="270"/>
      <c r="D171" s="27" t="str">
        <f>BookCodeG&amp;" Usage per pa"</f>
        <v>Other DDD Usage per pa</v>
      </c>
      <c r="E171" s="914">
        <f>SUM(E170*12)</f>
        <v>108</v>
      </c>
      <c r="F171" s="914">
        <f t="shared" ref="F171" si="103">SUM(F170*12)</f>
        <v>0</v>
      </c>
      <c r="G171" s="914">
        <f t="shared" ref="G171" si="104">SUM(G170*12)</f>
        <v>0</v>
      </c>
      <c r="H171" s="914">
        <f t="shared" ref="H171" si="105">SUM(H170*12)</f>
        <v>0</v>
      </c>
      <c r="I171" s="914">
        <f t="shared" ref="I171" si="106">SUM(I170*12)</f>
        <v>0</v>
      </c>
      <c r="J171" s="914">
        <f t="shared" ref="J171" si="107">SUM(J170*12)</f>
        <v>0</v>
      </c>
      <c r="K171" s="914">
        <f t="shared" ref="K171" si="108">SUM(K170*12)</f>
        <v>0</v>
      </c>
      <c r="L171" s="914">
        <f t="shared" ref="L171" si="109">SUM(L170*12)</f>
        <v>0</v>
      </c>
      <c r="M171" s="914">
        <f t="shared" ref="M171" si="110">SUM(M170*12)</f>
        <v>0</v>
      </c>
      <c r="N171" s="914">
        <f t="shared" ref="N171" si="111">SUM(N170*12)</f>
        <v>0</v>
      </c>
      <c r="O171" s="271"/>
      <c r="P171" s="38"/>
      <c r="Q171" s="41"/>
      <c r="R171" s="41"/>
      <c r="S171" s="41"/>
      <c r="T171" s="41"/>
      <c r="U171" s="41"/>
      <c r="V171" s="41"/>
      <c r="W171" s="41"/>
      <c r="X171" s="41"/>
      <c r="Y171" s="41"/>
      <c r="Z171" s="41"/>
      <c r="AA171" s="41"/>
      <c r="AB171" s="41"/>
      <c r="AC171" s="41"/>
      <c r="AD171" s="41"/>
    </row>
    <row r="172" spans="1:30" s="38" customFormat="1" ht="12.75" hidden="1" customHeight="1" outlineLevel="1" x14ac:dyDescent="0.2">
      <c r="A172" s="51"/>
      <c r="B172" s="51"/>
      <c r="C172" s="256"/>
      <c r="D172" s="27" t="str">
        <f>BookCodeG&amp;" Cost pa"</f>
        <v>Other DDD Cost pa</v>
      </c>
      <c r="E172" s="915">
        <f>SUM(E171*BookCodeGCost_Each)</f>
        <v>2052</v>
      </c>
      <c r="F172" s="915">
        <f>SUM(F171*BookCodeGCost_Each)*(1+Inflation)</f>
        <v>0</v>
      </c>
      <c r="G172" s="915">
        <f>SUM(G171*BookCodeGCost_Each)*(1+Inflation)^2</f>
        <v>0</v>
      </c>
      <c r="H172" s="915">
        <f>SUM(H171*BookCodeGCost_Each)*(1+Inflation)^3</f>
        <v>0</v>
      </c>
      <c r="I172" s="915">
        <f>SUM(I171*BookCodeGCost_Each)*(1+Inflation)^4</f>
        <v>0</v>
      </c>
      <c r="J172" s="915">
        <f>SUM(J171*BookCodeGCost_Each)*(1+Inflation)^5</f>
        <v>0</v>
      </c>
      <c r="K172" s="915">
        <f>SUM(K171*BookCodeGCost_Each)*(1+Inflation)^6</f>
        <v>0</v>
      </c>
      <c r="L172" s="915">
        <f>SUM(L171*BookCodeGCost_Each)*(1+Inflation)^7</f>
        <v>0</v>
      </c>
      <c r="M172" s="915">
        <f>SUM(M171*BookCodeGCost_Each)*(1+Inflation)^8</f>
        <v>0</v>
      </c>
      <c r="N172" s="915">
        <f>SUM(N171*BookCodeGCost_Each)*(1+Inflation)^9</f>
        <v>0</v>
      </c>
      <c r="O172" s="916"/>
    </row>
    <row r="173" spans="1:30" s="30" customFormat="1" ht="12.75" hidden="1" customHeight="1" outlineLevel="1" x14ac:dyDescent="0.2">
      <c r="A173" s="51"/>
      <c r="B173" s="55"/>
      <c r="C173" s="256"/>
      <c r="D173" s="27"/>
      <c r="E173" s="917"/>
      <c r="F173" s="917"/>
      <c r="G173" s="917"/>
      <c r="H173" s="917"/>
      <c r="I173" s="917"/>
      <c r="J173" s="917"/>
      <c r="K173" s="917"/>
      <c r="L173" s="917"/>
      <c r="M173" s="917"/>
      <c r="N173" s="917"/>
      <c r="O173" s="642"/>
    </row>
    <row r="174" spans="1:30" s="30" customFormat="1" ht="12.75" hidden="1" customHeight="1" outlineLevel="1" x14ac:dyDescent="0.2">
      <c r="A174" s="51"/>
      <c r="B174" s="55"/>
      <c r="C174" s="256"/>
      <c r="D174" s="923" t="s">
        <v>864</v>
      </c>
      <c r="E174" s="531">
        <f>SUM(E172+E168+E164+E160+E155+E151+E147)</f>
        <v>547056</v>
      </c>
      <c r="F174" s="531">
        <f t="shared" ref="F174:N174" si="112">SUM(F172+F168+F164+F160+F155+F151+F147)</f>
        <v>0</v>
      </c>
      <c r="G174" s="531">
        <f t="shared" si="112"/>
        <v>0</v>
      </c>
      <c r="H174" s="531">
        <f t="shared" si="112"/>
        <v>0</v>
      </c>
      <c r="I174" s="531">
        <f t="shared" si="112"/>
        <v>0</v>
      </c>
      <c r="J174" s="531">
        <f t="shared" si="112"/>
        <v>0</v>
      </c>
      <c r="K174" s="531">
        <f t="shared" si="112"/>
        <v>0</v>
      </c>
      <c r="L174" s="531">
        <f t="shared" si="112"/>
        <v>0</v>
      </c>
      <c r="M174" s="531">
        <f t="shared" si="112"/>
        <v>0</v>
      </c>
      <c r="N174" s="531">
        <f t="shared" si="112"/>
        <v>0</v>
      </c>
      <c r="O174" s="517" t="s">
        <v>865</v>
      </c>
    </row>
    <row r="175" spans="1:30" s="38" customFormat="1" ht="12.75" hidden="1" customHeight="1" outlineLevel="1" thickBot="1" x14ac:dyDescent="0.25">
      <c r="A175" s="51"/>
      <c r="B175" s="55"/>
      <c r="C175" s="170"/>
      <c r="D175" s="529"/>
      <c r="E175" s="529"/>
      <c r="F175" s="529"/>
      <c r="G175" s="529"/>
      <c r="H175" s="529"/>
      <c r="I175" s="529"/>
      <c r="J175" s="529"/>
      <c r="K175" s="529"/>
      <c r="L175" s="529"/>
      <c r="M175" s="529"/>
      <c r="N175" s="529"/>
      <c r="O175" s="919"/>
    </row>
    <row r="176" spans="1:30" s="114" customFormat="1" hidden="1" outlineLevel="1" x14ac:dyDescent="0.2">
      <c r="A176" s="172"/>
      <c r="B176" s="172"/>
      <c r="C176" s="172"/>
      <c r="D176" s="172"/>
      <c r="E176" s="172"/>
      <c r="F176" s="172"/>
      <c r="G176" s="172"/>
      <c r="H176" s="172"/>
      <c r="I176" s="172"/>
      <c r="J176" s="172"/>
      <c r="K176" s="172"/>
      <c r="L176" s="172"/>
      <c r="M176" s="172"/>
      <c r="N176" s="172"/>
      <c r="O176" s="673"/>
      <c r="P176" s="113"/>
    </row>
    <row r="177" spans="1:32" s="122" customFormat="1" ht="15.75" collapsed="1" x14ac:dyDescent="0.2">
      <c r="A177" s="1043">
        <v>5</v>
      </c>
      <c r="B177" s="1039"/>
      <c r="C177" s="1039"/>
      <c r="D177" s="1039"/>
      <c r="E177" s="1039"/>
      <c r="F177" s="1039"/>
      <c r="G177" s="1039"/>
      <c r="H177" s="1039"/>
      <c r="I177" s="1039"/>
      <c r="J177" s="1039"/>
      <c r="K177" s="1039"/>
      <c r="L177" s="1039"/>
      <c r="M177" s="1039"/>
      <c r="N177" s="1039"/>
      <c r="O177" s="1039"/>
      <c r="P177" s="206"/>
      <c r="Q177" s="206"/>
      <c r="R177" s="206"/>
      <c r="S177" s="206"/>
      <c r="T177" s="206"/>
      <c r="U177" s="206"/>
      <c r="V177" s="206"/>
      <c r="W177" s="206"/>
      <c r="X177" s="206"/>
      <c r="Y177" s="206"/>
      <c r="Z177" s="206"/>
      <c r="AA177" s="206"/>
      <c r="AB177" s="206"/>
      <c r="AC177" s="206"/>
      <c r="AD177" s="206"/>
      <c r="AE177" s="206"/>
      <c r="AF177" s="206"/>
    </row>
    <row r="178" spans="1:32" s="41" customFormat="1" ht="13.5" thickBot="1" x14ac:dyDescent="0.25">
      <c r="B178" s="924"/>
      <c r="C178" s="30"/>
      <c r="D178" s="30"/>
      <c r="E178" s="30"/>
      <c r="F178" s="30"/>
      <c r="G178" s="30"/>
      <c r="H178" s="30"/>
      <c r="I178" s="30"/>
      <c r="J178" s="30"/>
      <c r="K178" s="30"/>
      <c r="L178" s="30"/>
      <c r="M178" s="30"/>
      <c r="N178" s="30"/>
      <c r="O178" s="494"/>
      <c r="P178" s="38"/>
    </row>
    <row r="179" spans="1:32" s="18" customFormat="1" ht="31.5" x14ac:dyDescent="0.2">
      <c r="A179" s="1397" t="s">
        <v>4289</v>
      </c>
      <c r="B179" s="267"/>
      <c r="C179" s="968" t="s">
        <v>59</v>
      </c>
      <c r="D179" s="23"/>
      <c r="E179" s="23"/>
      <c r="F179" s="23"/>
      <c r="G179" s="23"/>
      <c r="H179" s="23"/>
      <c r="I179" s="23"/>
      <c r="J179" s="23"/>
      <c r="K179" s="23"/>
      <c r="L179" s="23"/>
      <c r="M179" s="23"/>
      <c r="N179" s="23"/>
      <c r="O179" s="23"/>
      <c r="P179" s="12"/>
      <c r="Q179" s="12"/>
    </row>
    <row r="180" spans="1:32" s="18" customFormat="1" ht="12" customHeight="1" x14ac:dyDescent="0.2">
      <c r="A180" s="1398"/>
      <c r="B180" s="267"/>
      <c r="C180" s="267"/>
      <c r="D180" s="30"/>
      <c r="E180" s="23"/>
      <c r="F180" s="23"/>
      <c r="G180" s="23"/>
      <c r="H180" s="23"/>
      <c r="I180" s="23"/>
      <c r="J180" s="23"/>
      <c r="K180" s="23"/>
      <c r="L180" s="23"/>
      <c r="M180" s="23"/>
      <c r="N180" s="23"/>
      <c r="O180" s="23"/>
      <c r="P180" s="12"/>
      <c r="Q180" s="12"/>
    </row>
    <row r="181" spans="1:32" s="18" customFormat="1" ht="20.25" customHeight="1" x14ac:dyDescent="0.2">
      <c r="A181" s="1398"/>
      <c r="B181" s="267"/>
      <c r="C181" s="267"/>
      <c r="D181" s="30"/>
      <c r="E181" s="23"/>
      <c r="F181" s="23"/>
      <c r="G181" s="23"/>
      <c r="H181" s="23"/>
      <c r="I181" s="23"/>
      <c r="J181" s="23"/>
      <c r="K181" s="23"/>
      <c r="L181" s="23"/>
      <c r="M181" s="23"/>
      <c r="N181" s="23"/>
      <c r="O181" s="23"/>
      <c r="P181" s="12"/>
      <c r="Q181" s="12"/>
    </row>
    <row r="182" spans="1:32" ht="60" customHeight="1" x14ac:dyDescent="0.2">
      <c r="A182" s="1399"/>
      <c r="B182" s="13"/>
      <c r="C182" s="56"/>
      <c r="D182" s="667"/>
      <c r="E182" s="15"/>
      <c r="F182" s="15"/>
      <c r="G182" s="15"/>
      <c r="H182" s="13"/>
      <c r="I182" s="19"/>
      <c r="J182" s="19"/>
      <c r="K182" s="19"/>
      <c r="L182" s="19"/>
      <c r="M182" s="19"/>
      <c r="N182" s="19"/>
      <c r="O182" s="35"/>
      <c r="P182" s="13"/>
      <c r="Q182" s="19"/>
      <c r="R182" s="19"/>
      <c r="S182" s="19"/>
      <c r="T182" s="19"/>
      <c r="U182" s="19"/>
      <c r="V182" s="19"/>
      <c r="W182" s="19"/>
      <c r="X182" s="19"/>
      <c r="Y182" s="19"/>
      <c r="Z182" s="19"/>
      <c r="AA182" s="19"/>
      <c r="AB182" s="19"/>
      <c r="AC182" s="19"/>
      <c r="AD182" s="19"/>
    </row>
    <row r="183" spans="1:32" s="41" customFormat="1" x14ac:dyDescent="0.2">
      <c r="B183" s="924"/>
      <c r="C183" s="30"/>
      <c r="D183" s="30"/>
      <c r="E183" s="30"/>
      <c r="F183" s="30"/>
      <c r="G183" s="30"/>
      <c r="H183" s="30"/>
      <c r="I183" s="30"/>
      <c r="J183" s="30"/>
      <c r="K183" s="30"/>
      <c r="L183" s="30"/>
      <c r="M183" s="30"/>
      <c r="N183" s="30"/>
      <c r="O183" s="494"/>
      <c r="P183" s="38"/>
    </row>
    <row r="184" spans="1:32" s="41" customFormat="1" ht="13.5" hidden="1" outlineLevel="1" thickBot="1" x14ac:dyDescent="0.25">
      <c r="B184" s="924"/>
      <c r="C184" s="30"/>
      <c r="D184" s="30"/>
      <c r="E184" s="30"/>
      <c r="F184" s="30"/>
      <c r="G184" s="30"/>
      <c r="H184" s="30"/>
      <c r="I184" s="30"/>
      <c r="J184" s="30"/>
      <c r="K184" s="30"/>
      <c r="L184" s="30"/>
      <c r="M184" s="30"/>
      <c r="N184" s="30"/>
      <c r="O184" s="494"/>
      <c r="P184" s="38"/>
    </row>
    <row r="185" spans="1:32" s="116" customFormat="1" ht="20.100000000000001" hidden="1" customHeight="1" outlineLevel="1" x14ac:dyDescent="0.2">
      <c r="A185" s="1394" t="s">
        <v>4290</v>
      </c>
      <c r="B185" s="911"/>
      <c r="C185" s="912" t="str">
        <f>Scenario1&amp;" - Numbers of MFDs Required"</f>
        <v>pSystems (Paper) - Numbers of MFDs Required</v>
      </c>
      <c r="D185" s="269"/>
      <c r="E185" s="269"/>
      <c r="F185" s="269"/>
      <c r="G185" s="269"/>
      <c r="H185" s="269"/>
      <c r="I185" s="269"/>
      <c r="J185" s="269"/>
      <c r="K185" s="269"/>
      <c r="L185" s="269"/>
      <c r="M185" s="269"/>
      <c r="N185" s="269"/>
      <c r="O185" s="925"/>
      <c r="P185" s="113"/>
      <c r="Q185" s="114"/>
      <c r="R185" s="114"/>
      <c r="S185" s="114"/>
      <c r="T185" s="114"/>
      <c r="U185" s="114"/>
      <c r="V185" s="114"/>
      <c r="W185" s="114"/>
      <c r="X185" s="114"/>
      <c r="Y185" s="114"/>
      <c r="Z185" s="114"/>
      <c r="AA185" s="114"/>
      <c r="AB185" s="114"/>
      <c r="AC185" s="114"/>
      <c r="AD185" s="114"/>
    </row>
    <row r="186" spans="1:32" s="38" customFormat="1" hidden="1" outlineLevel="1" x14ac:dyDescent="0.2">
      <c r="A186" s="1395"/>
      <c r="B186" s="51"/>
      <c r="C186" s="256"/>
      <c r="D186" s="30"/>
      <c r="E186" s="30"/>
      <c r="F186" s="30"/>
      <c r="G186" s="30"/>
      <c r="H186" s="30"/>
      <c r="I186" s="30"/>
      <c r="J186" s="30"/>
      <c r="K186" s="30"/>
      <c r="L186" s="30"/>
      <c r="M186" s="30"/>
      <c r="N186" s="30"/>
      <c r="O186" s="897"/>
    </row>
    <row r="187" spans="1:32" s="14" customFormat="1" ht="14.1" hidden="1" customHeight="1" outlineLevel="1" x14ac:dyDescent="0.2">
      <c r="A187" s="1395"/>
      <c r="B187" s="893"/>
      <c r="C187" s="270"/>
      <c r="D187" s="37" t="s">
        <v>26</v>
      </c>
      <c r="E187" s="926">
        <v>1</v>
      </c>
      <c r="F187" s="926">
        <v>1</v>
      </c>
      <c r="G187" s="926">
        <v>1</v>
      </c>
      <c r="H187" s="926">
        <v>1</v>
      </c>
      <c r="I187" s="926">
        <v>1</v>
      </c>
      <c r="J187" s="926">
        <v>1</v>
      </c>
      <c r="K187" s="926">
        <v>1</v>
      </c>
      <c r="L187" s="926">
        <v>1</v>
      </c>
      <c r="M187" s="926">
        <v>1</v>
      </c>
      <c r="N187" s="926">
        <v>1</v>
      </c>
      <c r="O187" s="271"/>
      <c r="P187" s="38"/>
      <c r="Q187" s="41"/>
      <c r="R187" s="41"/>
      <c r="S187" s="41"/>
      <c r="T187" s="41"/>
      <c r="U187" s="41"/>
      <c r="V187" s="41"/>
      <c r="W187" s="41"/>
      <c r="X187" s="41"/>
      <c r="Y187" s="41"/>
      <c r="Z187" s="41"/>
      <c r="AA187" s="41"/>
      <c r="AB187" s="41"/>
      <c r="AC187" s="41"/>
      <c r="AD187" s="41"/>
    </row>
    <row r="188" spans="1:32" s="14" customFormat="1" ht="14.1" hidden="1" customHeight="1" outlineLevel="1" x14ac:dyDescent="0.2">
      <c r="A188" s="1395"/>
      <c r="B188" s="893"/>
      <c r="C188" s="270"/>
      <c r="D188" s="27" t="s">
        <v>28</v>
      </c>
      <c r="E188" s="927">
        <f t="shared" ref="E188:N188" si="113">SUM(E187*LocTransit)</f>
        <v>19</v>
      </c>
      <c r="F188" s="927">
        <f t="shared" si="113"/>
        <v>20</v>
      </c>
      <c r="G188" s="927">
        <f t="shared" si="113"/>
        <v>20</v>
      </c>
      <c r="H188" s="927">
        <f t="shared" si="113"/>
        <v>20</v>
      </c>
      <c r="I188" s="927">
        <f t="shared" si="113"/>
        <v>20</v>
      </c>
      <c r="J188" s="927">
        <f t="shared" si="113"/>
        <v>20</v>
      </c>
      <c r="K188" s="927">
        <f t="shared" si="113"/>
        <v>20</v>
      </c>
      <c r="L188" s="927">
        <f t="shared" si="113"/>
        <v>20</v>
      </c>
      <c r="M188" s="927">
        <f t="shared" si="113"/>
        <v>20</v>
      </c>
      <c r="N188" s="927">
        <f t="shared" si="113"/>
        <v>20</v>
      </c>
      <c r="O188" s="271"/>
      <c r="P188" s="38"/>
      <c r="Q188" s="41"/>
      <c r="R188" s="41"/>
      <c r="S188" s="41"/>
      <c r="T188" s="41"/>
      <c r="U188" s="41"/>
      <c r="V188" s="41"/>
      <c r="W188" s="41"/>
      <c r="X188" s="41"/>
      <c r="Y188" s="41"/>
      <c r="Z188" s="41"/>
      <c r="AA188" s="41"/>
      <c r="AB188" s="41"/>
      <c r="AC188" s="41"/>
      <c r="AD188" s="41"/>
    </row>
    <row r="189" spans="1:32" s="38" customFormat="1" ht="12.75" hidden="1" customHeight="1" outlineLevel="1" x14ac:dyDescent="0.2">
      <c r="A189" s="1395"/>
      <c r="B189" s="893"/>
      <c r="C189" s="256"/>
      <c r="D189" s="30"/>
      <c r="E189" s="30"/>
      <c r="F189" s="30"/>
      <c r="G189" s="30"/>
      <c r="H189" s="30"/>
      <c r="I189" s="30"/>
      <c r="J189" s="30"/>
      <c r="K189" s="30"/>
      <c r="L189" s="30"/>
      <c r="M189" s="30"/>
      <c r="N189" s="30"/>
      <c r="O189" s="916"/>
    </row>
    <row r="190" spans="1:32" s="14" customFormat="1" ht="14.1" hidden="1" customHeight="1" outlineLevel="1" x14ac:dyDescent="0.2">
      <c r="A190" s="1395"/>
      <c r="B190" s="893"/>
      <c r="C190" s="270"/>
      <c r="D190" s="37" t="s">
        <v>25</v>
      </c>
      <c r="E190" s="926">
        <v>2</v>
      </c>
      <c r="F190" s="926">
        <v>2</v>
      </c>
      <c r="G190" s="926">
        <v>2</v>
      </c>
      <c r="H190" s="926">
        <v>2</v>
      </c>
      <c r="I190" s="926">
        <v>2</v>
      </c>
      <c r="J190" s="926">
        <v>2</v>
      </c>
      <c r="K190" s="926">
        <v>2</v>
      </c>
      <c r="L190" s="926">
        <v>2</v>
      </c>
      <c r="M190" s="926">
        <v>2</v>
      </c>
      <c r="N190" s="926">
        <v>2</v>
      </c>
      <c r="O190" s="271"/>
      <c r="P190" s="38"/>
      <c r="Q190" s="41"/>
      <c r="R190" s="41"/>
      <c r="S190" s="41"/>
      <c r="T190" s="41"/>
      <c r="U190" s="41"/>
      <c r="V190" s="41"/>
      <c r="W190" s="41"/>
      <c r="X190" s="41"/>
      <c r="Y190" s="41"/>
      <c r="Z190" s="41"/>
      <c r="AA190" s="41"/>
      <c r="AB190" s="41"/>
      <c r="AC190" s="41"/>
      <c r="AD190" s="41"/>
    </row>
    <row r="191" spans="1:32" s="14" customFormat="1" ht="14.1" hidden="1" customHeight="1" outlineLevel="1" x14ac:dyDescent="0.2">
      <c r="A191" s="1395"/>
      <c r="B191" s="893"/>
      <c r="C191" s="272"/>
      <c r="D191" s="27" t="s">
        <v>29</v>
      </c>
      <c r="E191" s="927">
        <f t="shared" ref="E191:N191" si="114">SUM(E190*LocLM)</f>
        <v>16</v>
      </c>
      <c r="F191" s="927">
        <f t="shared" si="114"/>
        <v>18</v>
      </c>
      <c r="G191" s="927">
        <f t="shared" si="114"/>
        <v>18</v>
      </c>
      <c r="H191" s="927">
        <f t="shared" si="114"/>
        <v>18</v>
      </c>
      <c r="I191" s="927">
        <f t="shared" si="114"/>
        <v>18</v>
      </c>
      <c r="J191" s="927">
        <f t="shared" si="114"/>
        <v>18</v>
      </c>
      <c r="K191" s="927">
        <f t="shared" si="114"/>
        <v>18</v>
      </c>
      <c r="L191" s="927">
        <f t="shared" si="114"/>
        <v>18</v>
      </c>
      <c r="M191" s="927">
        <f t="shared" si="114"/>
        <v>18</v>
      </c>
      <c r="N191" s="927">
        <f t="shared" si="114"/>
        <v>18</v>
      </c>
      <c r="O191" s="271"/>
      <c r="P191" s="38"/>
      <c r="Q191" s="41"/>
      <c r="R191" s="41"/>
      <c r="S191" s="41"/>
      <c r="T191" s="41"/>
      <c r="U191" s="41"/>
      <c r="V191" s="41"/>
      <c r="W191" s="41"/>
      <c r="X191" s="41"/>
      <c r="Y191" s="41"/>
      <c r="Z191" s="41"/>
      <c r="AA191" s="41"/>
      <c r="AB191" s="41"/>
      <c r="AC191" s="41"/>
      <c r="AD191" s="41"/>
    </row>
    <row r="192" spans="1:32" s="38" customFormat="1" ht="12.75" hidden="1" customHeight="1" outlineLevel="1" x14ac:dyDescent="0.2">
      <c r="A192" s="1395"/>
      <c r="B192" s="51"/>
      <c r="C192" s="256"/>
      <c r="D192" s="30"/>
      <c r="E192" s="30"/>
      <c r="F192" s="30"/>
      <c r="G192" s="30"/>
      <c r="H192" s="30"/>
      <c r="I192" s="30"/>
      <c r="J192" s="30"/>
      <c r="K192" s="30"/>
      <c r="L192" s="30"/>
      <c r="M192" s="30"/>
      <c r="N192" s="30"/>
      <c r="O192" s="916"/>
    </row>
    <row r="193" spans="1:30" s="14" customFormat="1" ht="14.1" hidden="1" customHeight="1" outlineLevel="1" x14ac:dyDescent="0.2">
      <c r="A193" s="1395"/>
      <c r="B193" s="51"/>
      <c r="C193" s="270"/>
      <c r="D193" s="37" t="s">
        <v>27</v>
      </c>
      <c r="E193" s="926">
        <v>3</v>
      </c>
      <c r="F193" s="926">
        <v>3</v>
      </c>
      <c r="G193" s="926">
        <v>3</v>
      </c>
      <c r="H193" s="926">
        <v>3</v>
      </c>
      <c r="I193" s="926">
        <v>3</v>
      </c>
      <c r="J193" s="926">
        <v>3</v>
      </c>
      <c r="K193" s="926">
        <v>3</v>
      </c>
      <c r="L193" s="926">
        <v>3</v>
      </c>
      <c r="M193" s="926">
        <v>3</v>
      </c>
      <c r="N193" s="926">
        <v>3</v>
      </c>
      <c r="O193" s="897"/>
      <c r="P193" s="38"/>
      <c r="Q193" s="41"/>
      <c r="R193" s="41"/>
      <c r="S193" s="41"/>
      <c r="T193" s="41"/>
      <c r="U193" s="41"/>
      <c r="V193" s="41"/>
      <c r="W193" s="41"/>
      <c r="X193" s="41"/>
      <c r="Y193" s="41"/>
      <c r="Z193" s="41"/>
      <c r="AA193" s="41"/>
      <c r="AB193" s="41"/>
      <c r="AC193" s="41"/>
      <c r="AD193" s="41"/>
    </row>
    <row r="194" spans="1:30" s="14" customFormat="1" ht="14.1" hidden="1" customHeight="1" outlineLevel="1" x14ac:dyDescent="0.2">
      <c r="A194" s="1395"/>
      <c r="B194" s="51"/>
      <c r="C194" s="270"/>
      <c r="D194" s="27" t="s">
        <v>30</v>
      </c>
      <c r="E194" s="927">
        <f t="shared" ref="E194:N194" si="115">SUM(E193*LocHM)</f>
        <v>3</v>
      </c>
      <c r="F194" s="927">
        <f t="shared" si="115"/>
        <v>3</v>
      </c>
      <c r="G194" s="927">
        <f t="shared" si="115"/>
        <v>3</v>
      </c>
      <c r="H194" s="927">
        <f t="shared" si="115"/>
        <v>3</v>
      </c>
      <c r="I194" s="927">
        <f t="shared" si="115"/>
        <v>3</v>
      </c>
      <c r="J194" s="927">
        <f t="shared" si="115"/>
        <v>3</v>
      </c>
      <c r="K194" s="927">
        <f t="shared" si="115"/>
        <v>3</v>
      </c>
      <c r="L194" s="927">
        <f t="shared" si="115"/>
        <v>3</v>
      </c>
      <c r="M194" s="927">
        <f t="shared" si="115"/>
        <v>3</v>
      </c>
      <c r="N194" s="927">
        <f t="shared" si="115"/>
        <v>3</v>
      </c>
      <c r="O194" s="897"/>
      <c r="P194" s="38"/>
      <c r="Q194" s="41"/>
      <c r="R194" s="41"/>
      <c r="S194" s="41"/>
      <c r="T194" s="41"/>
      <c r="U194" s="41"/>
      <c r="V194" s="41"/>
      <c r="W194" s="41"/>
      <c r="X194" s="41"/>
      <c r="Y194" s="41"/>
      <c r="Z194" s="41"/>
      <c r="AA194" s="41"/>
      <c r="AB194" s="41"/>
      <c r="AC194" s="41"/>
      <c r="AD194" s="41"/>
    </row>
    <row r="195" spans="1:30" s="38" customFormat="1" ht="12.75" hidden="1" customHeight="1" outlineLevel="1" x14ac:dyDescent="0.2">
      <c r="A195" s="1395"/>
      <c r="B195" s="51"/>
      <c r="C195" s="256"/>
      <c r="D195" s="30"/>
      <c r="E195" s="30"/>
      <c r="F195" s="30"/>
      <c r="G195" s="30"/>
      <c r="H195" s="30"/>
      <c r="I195" s="30"/>
      <c r="J195" s="30"/>
      <c r="K195" s="30"/>
      <c r="L195" s="30"/>
      <c r="M195" s="30"/>
      <c r="N195" s="30"/>
      <c r="O195" s="897"/>
    </row>
    <row r="196" spans="1:30" s="14" customFormat="1" ht="14.1" hidden="1" customHeight="1" outlineLevel="1" x14ac:dyDescent="0.2">
      <c r="A196" s="1395"/>
      <c r="B196" s="51"/>
      <c r="C196" s="270"/>
      <c r="D196" s="37" t="s">
        <v>985</v>
      </c>
      <c r="E196" s="926">
        <v>3</v>
      </c>
      <c r="F196" s="926">
        <v>3</v>
      </c>
      <c r="G196" s="926">
        <v>3</v>
      </c>
      <c r="H196" s="926">
        <v>3</v>
      </c>
      <c r="I196" s="926">
        <v>3</v>
      </c>
      <c r="J196" s="926">
        <v>3</v>
      </c>
      <c r="K196" s="926">
        <v>3</v>
      </c>
      <c r="L196" s="926">
        <v>3</v>
      </c>
      <c r="M196" s="926">
        <v>3</v>
      </c>
      <c r="N196" s="926">
        <v>3</v>
      </c>
      <c r="O196" s="897"/>
      <c r="P196" s="38"/>
      <c r="Q196" s="41"/>
      <c r="R196" s="41"/>
      <c r="S196" s="41"/>
      <c r="T196" s="41"/>
      <c r="U196" s="41"/>
      <c r="V196" s="41"/>
      <c r="W196" s="41"/>
      <c r="X196" s="41"/>
      <c r="Y196" s="41"/>
      <c r="Z196" s="41"/>
      <c r="AA196" s="41"/>
      <c r="AB196" s="41"/>
      <c r="AC196" s="41"/>
      <c r="AD196" s="41"/>
    </row>
    <row r="197" spans="1:30" s="14" customFormat="1" ht="14.1" hidden="1" customHeight="1" outlineLevel="1" x14ac:dyDescent="0.2">
      <c r="A197" s="1395"/>
      <c r="B197" s="51"/>
      <c r="C197" s="270"/>
      <c r="D197" s="27" t="s">
        <v>986</v>
      </c>
      <c r="E197" s="927">
        <f t="shared" ref="E197:N197" si="116">SUM(E196*LocENG)</f>
        <v>3</v>
      </c>
      <c r="F197" s="927">
        <f t="shared" si="116"/>
        <v>3</v>
      </c>
      <c r="G197" s="927">
        <f t="shared" si="116"/>
        <v>3</v>
      </c>
      <c r="H197" s="927">
        <f t="shared" si="116"/>
        <v>3</v>
      </c>
      <c r="I197" s="927">
        <f t="shared" si="116"/>
        <v>3</v>
      </c>
      <c r="J197" s="927">
        <f t="shared" si="116"/>
        <v>3</v>
      </c>
      <c r="K197" s="927">
        <f t="shared" si="116"/>
        <v>3</v>
      </c>
      <c r="L197" s="927">
        <f t="shared" si="116"/>
        <v>3</v>
      </c>
      <c r="M197" s="927">
        <f t="shared" si="116"/>
        <v>3</v>
      </c>
      <c r="N197" s="927">
        <f t="shared" si="116"/>
        <v>3</v>
      </c>
      <c r="O197" s="897"/>
      <c r="P197" s="38"/>
      <c r="Q197" s="41"/>
      <c r="R197" s="41"/>
      <c r="S197" s="41"/>
      <c r="T197" s="41"/>
      <c r="U197" s="41"/>
      <c r="V197" s="41"/>
      <c r="W197" s="41"/>
      <c r="X197" s="41"/>
      <c r="Y197" s="41"/>
      <c r="Z197" s="41"/>
      <c r="AA197" s="41"/>
      <c r="AB197" s="41"/>
      <c r="AC197" s="41"/>
      <c r="AD197" s="41"/>
    </row>
    <row r="198" spans="1:30" s="38" customFormat="1" ht="12.75" hidden="1" customHeight="1" outlineLevel="1" x14ac:dyDescent="0.2">
      <c r="A198" s="1395"/>
      <c r="B198" s="51"/>
      <c r="C198" s="256"/>
      <c r="D198" s="30"/>
      <c r="E198" s="30"/>
      <c r="F198" s="30"/>
      <c r="G198" s="30"/>
      <c r="H198" s="30"/>
      <c r="I198" s="30"/>
      <c r="J198" s="30"/>
      <c r="K198" s="30"/>
      <c r="L198" s="30"/>
      <c r="M198" s="30"/>
      <c r="N198" s="30"/>
      <c r="O198" s="897"/>
    </row>
    <row r="199" spans="1:30" s="14" customFormat="1" ht="14.1" hidden="1" customHeight="1" outlineLevel="1" x14ac:dyDescent="0.2">
      <c r="A199" s="1395"/>
      <c r="B199" s="51"/>
      <c r="C199" s="270"/>
      <c r="D199" s="37" t="s">
        <v>987</v>
      </c>
      <c r="E199" s="926">
        <v>3</v>
      </c>
      <c r="F199" s="926">
        <v>3</v>
      </c>
      <c r="G199" s="926">
        <v>3</v>
      </c>
      <c r="H199" s="926">
        <v>3</v>
      </c>
      <c r="I199" s="926">
        <v>3</v>
      </c>
      <c r="J199" s="926">
        <v>3</v>
      </c>
      <c r="K199" s="926">
        <v>3</v>
      </c>
      <c r="L199" s="926">
        <v>3</v>
      </c>
      <c r="M199" s="926">
        <v>3</v>
      </c>
      <c r="N199" s="926">
        <v>3</v>
      </c>
      <c r="O199" s="897"/>
      <c r="P199" s="38"/>
      <c r="Q199" s="41"/>
      <c r="R199" s="41"/>
      <c r="S199" s="41"/>
      <c r="T199" s="41"/>
      <c r="U199" s="41"/>
      <c r="V199" s="41"/>
      <c r="W199" s="41"/>
      <c r="X199" s="41"/>
      <c r="Y199" s="41"/>
      <c r="Z199" s="41"/>
      <c r="AA199" s="41"/>
      <c r="AB199" s="41"/>
      <c r="AC199" s="41"/>
      <c r="AD199" s="41"/>
    </row>
    <row r="200" spans="1:30" s="14" customFormat="1" ht="14.1" hidden="1" customHeight="1" outlineLevel="1" x14ac:dyDescent="0.2">
      <c r="A200" s="1395"/>
      <c r="B200" s="51"/>
      <c r="C200" s="270"/>
      <c r="D200" s="27" t="s">
        <v>988</v>
      </c>
      <c r="E200" s="927">
        <f t="shared" ref="E200:N200" si="117">SUM(E199*LocPLG)</f>
        <v>3</v>
      </c>
      <c r="F200" s="927">
        <f t="shared" si="117"/>
        <v>3</v>
      </c>
      <c r="G200" s="927">
        <f t="shared" si="117"/>
        <v>3</v>
      </c>
      <c r="H200" s="927">
        <f t="shared" si="117"/>
        <v>3</v>
      </c>
      <c r="I200" s="927">
        <f t="shared" si="117"/>
        <v>3</v>
      </c>
      <c r="J200" s="927">
        <f t="shared" si="117"/>
        <v>3</v>
      </c>
      <c r="K200" s="927">
        <f t="shared" si="117"/>
        <v>3</v>
      </c>
      <c r="L200" s="927">
        <f t="shared" si="117"/>
        <v>3</v>
      </c>
      <c r="M200" s="927">
        <f t="shared" si="117"/>
        <v>3</v>
      </c>
      <c r="N200" s="927">
        <f t="shared" si="117"/>
        <v>3</v>
      </c>
      <c r="O200" s="897"/>
      <c r="P200" s="38"/>
      <c r="Q200" s="41"/>
      <c r="R200" s="41"/>
      <c r="S200" s="41"/>
      <c r="T200" s="41"/>
      <c r="U200" s="41"/>
      <c r="V200" s="41"/>
      <c r="W200" s="41"/>
      <c r="X200" s="41"/>
      <c r="Y200" s="41"/>
      <c r="Z200" s="41"/>
      <c r="AA200" s="41"/>
      <c r="AB200" s="41"/>
      <c r="AC200" s="41"/>
      <c r="AD200" s="41"/>
    </row>
    <row r="201" spans="1:30" s="38" customFormat="1" ht="12.75" hidden="1" customHeight="1" outlineLevel="1" x14ac:dyDescent="0.2">
      <c r="A201" s="1395"/>
      <c r="B201" s="51"/>
      <c r="C201" s="256"/>
      <c r="D201" s="30"/>
      <c r="E201" s="30"/>
      <c r="F201" s="30"/>
      <c r="G201" s="30"/>
      <c r="H201" s="30"/>
      <c r="I201" s="30"/>
      <c r="J201" s="30"/>
      <c r="K201" s="30"/>
      <c r="L201" s="30"/>
      <c r="M201" s="30"/>
      <c r="N201" s="30"/>
      <c r="O201" s="897"/>
    </row>
    <row r="202" spans="1:30" s="14" customFormat="1" ht="14.1" hidden="1" customHeight="1" outlineLevel="1" x14ac:dyDescent="0.2">
      <c r="A202" s="1395"/>
      <c r="B202" s="51"/>
      <c r="C202" s="270"/>
      <c r="D202" s="37" t="s">
        <v>989</v>
      </c>
      <c r="E202" s="926">
        <v>2</v>
      </c>
      <c r="F202" s="926">
        <v>2</v>
      </c>
      <c r="G202" s="926">
        <v>2</v>
      </c>
      <c r="H202" s="926">
        <v>2</v>
      </c>
      <c r="I202" s="926">
        <v>2</v>
      </c>
      <c r="J202" s="926">
        <v>2</v>
      </c>
      <c r="K202" s="926">
        <v>2</v>
      </c>
      <c r="L202" s="926">
        <v>2</v>
      </c>
      <c r="M202" s="926">
        <v>2</v>
      </c>
      <c r="N202" s="926">
        <v>2</v>
      </c>
      <c r="O202" s="897"/>
      <c r="P202" s="38"/>
      <c r="Q202" s="41"/>
      <c r="R202" s="41"/>
      <c r="S202" s="41"/>
      <c r="T202" s="41"/>
      <c r="U202" s="41"/>
      <c r="V202" s="41"/>
      <c r="W202" s="41"/>
      <c r="X202" s="41"/>
      <c r="Y202" s="41"/>
      <c r="Z202" s="41"/>
      <c r="AA202" s="41"/>
      <c r="AB202" s="41"/>
      <c r="AC202" s="41"/>
      <c r="AD202" s="41"/>
    </row>
    <row r="203" spans="1:30" s="14" customFormat="1" ht="14.1" hidden="1" customHeight="1" outlineLevel="1" x14ac:dyDescent="0.2">
      <c r="A203" s="1395"/>
      <c r="B203" s="51"/>
      <c r="C203" s="270"/>
      <c r="D203" s="54" t="s">
        <v>683</v>
      </c>
      <c r="E203" s="927">
        <f t="shared" ref="E203:N203" si="118">SUM(E202*LocCRT)</f>
        <v>18</v>
      </c>
      <c r="F203" s="927">
        <f t="shared" si="118"/>
        <v>18</v>
      </c>
      <c r="G203" s="927">
        <f t="shared" si="118"/>
        <v>18</v>
      </c>
      <c r="H203" s="927">
        <f t="shared" si="118"/>
        <v>18</v>
      </c>
      <c r="I203" s="927">
        <f t="shared" si="118"/>
        <v>18</v>
      </c>
      <c r="J203" s="927">
        <f t="shared" si="118"/>
        <v>18</v>
      </c>
      <c r="K203" s="927">
        <f t="shared" si="118"/>
        <v>18</v>
      </c>
      <c r="L203" s="927">
        <f t="shared" si="118"/>
        <v>18</v>
      </c>
      <c r="M203" s="927">
        <f t="shared" si="118"/>
        <v>18</v>
      </c>
      <c r="N203" s="927">
        <f t="shared" si="118"/>
        <v>18</v>
      </c>
      <c r="O203" s="897"/>
      <c r="P203" s="38"/>
      <c r="Q203" s="41"/>
      <c r="R203" s="41"/>
      <c r="S203" s="41"/>
      <c r="T203" s="41"/>
      <c r="U203" s="41"/>
      <c r="V203" s="41"/>
      <c r="W203" s="41"/>
      <c r="X203" s="41"/>
      <c r="Y203" s="41"/>
      <c r="Z203" s="41"/>
      <c r="AA203" s="41"/>
      <c r="AB203" s="41"/>
      <c r="AC203" s="41"/>
      <c r="AD203" s="41"/>
    </row>
    <row r="204" spans="1:30" s="38" customFormat="1" ht="12.75" hidden="1" customHeight="1" outlineLevel="1" x14ac:dyDescent="0.2">
      <c r="A204" s="1395"/>
      <c r="B204" s="51"/>
      <c r="C204" s="256"/>
      <c r="D204" s="30"/>
      <c r="E204" s="30"/>
      <c r="F204" s="30"/>
      <c r="G204" s="30"/>
      <c r="H204" s="30"/>
      <c r="I204" s="30"/>
      <c r="J204" s="30"/>
      <c r="K204" s="30"/>
      <c r="L204" s="30"/>
      <c r="M204" s="30"/>
      <c r="N204" s="30"/>
      <c r="O204" s="897"/>
    </row>
    <row r="205" spans="1:30" s="14" customFormat="1" ht="14.1" hidden="1" customHeight="1" outlineLevel="1" x14ac:dyDescent="0.2">
      <c r="A205" s="1395"/>
      <c r="B205" s="51"/>
      <c r="C205" s="928"/>
      <c r="D205" s="37" t="s">
        <v>687</v>
      </c>
      <c r="E205" s="926">
        <v>2</v>
      </c>
      <c r="F205" s="926">
        <v>2</v>
      </c>
      <c r="G205" s="926">
        <v>2</v>
      </c>
      <c r="H205" s="926">
        <v>2</v>
      </c>
      <c r="I205" s="926">
        <v>2</v>
      </c>
      <c r="J205" s="926">
        <v>2</v>
      </c>
      <c r="K205" s="926">
        <v>2</v>
      </c>
      <c r="L205" s="926">
        <v>2</v>
      </c>
      <c r="M205" s="926">
        <v>2</v>
      </c>
      <c r="N205" s="926">
        <v>2</v>
      </c>
      <c r="O205" s="897"/>
      <c r="P205" s="38"/>
      <c r="Q205" s="41"/>
      <c r="R205" s="41"/>
      <c r="S205" s="41"/>
      <c r="T205" s="41"/>
      <c r="U205" s="41"/>
      <c r="V205" s="41"/>
      <c r="W205" s="41"/>
      <c r="X205" s="41"/>
      <c r="Y205" s="41"/>
      <c r="Z205" s="41"/>
      <c r="AA205" s="41"/>
      <c r="AB205" s="41"/>
      <c r="AC205" s="41"/>
      <c r="AD205" s="41"/>
    </row>
    <row r="206" spans="1:30" s="14" customFormat="1" ht="14.1" hidden="1" customHeight="1" outlineLevel="1" x14ac:dyDescent="0.2">
      <c r="A206" s="1395"/>
      <c r="B206" s="51"/>
      <c r="C206" s="273"/>
      <c r="D206" s="54" t="s">
        <v>55</v>
      </c>
      <c r="E206" s="927">
        <f t="shared" ref="E206:N206" si="119">SUM(E205*LocSCL)</f>
        <v>16</v>
      </c>
      <c r="F206" s="927">
        <f t="shared" si="119"/>
        <v>18</v>
      </c>
      <c r="G206" s="927">
        <f t="shared" si="119"/>
        <v>18</v>
      </c>
      <c r="H206" s="927">
        <f t="shared" si="119"/>
        <v>18</v>
      </c>
      <c r="I206" s="927">
        <f t="shared" si="119"/>
        <v>18</v>
      </c>
      <c r="J206" s="927">
        <f t="shared" si="119"/>
        <v>18</v>
      </c>
      <c r="K206" s="927">
        <f t="shared" si="119"/>
        <v>18</v>
      </c>
      <c r="L206" s="927">
        <f t="shared" si="119"/>
        <v>18</v>
      </c>
      <c r="M206" s="927">
        <f t="shared" si="119"/>
        <v>18</v>
      </c>
      <c r="N206" s="927">
        <f t="shared" si="119"/>
        <v>18</v>
      </c>
      <c r="O206" s="897"/>
      <c r="P206" s="38"/>
      <c r="Q206" s="41"/>
      <c r="R206" s="41"/>
      <c r="S206" s="41"/>
      <c r="T206" s="41"/>
      <c r="U206" s="41"/>
      <c r="V206" s="41"/>
      <c r="W206" s="41"/>
      <c r="X206" s="41"/>
      <c r="Y206" s="41"/>
      <c r="Z206" s="41"/>
      <c r="AA206" s="41"/>
      <c r="AB206" s="41"/>
      <c r="AC206" s="41"/>
      <c r="AD206" s="41"/>
    </row>
    <row r="207" spans="1:30" s="38" customFormat="1" ht="12.75" hidden="1" customHeight="1" outlineLevel="1" x14ac:dyDescent="0.2">
      <c r="A207" s="1395"/>
      <c r="B207" s="51"/>
      <c r="C207" s="256"/>
      <c r="D207" s="30"/>
      <c r="E207" s="30"/>
      <c r="F207" s="30"/>
      <c r="G207" s="30"/>
      <c r="H207" s="30"/>
      <c r="I207" s="30"/>
      <c r="J207" s="30"/>
      <c r="K207" s="30"/>
      <c r="L207" s="30"/>
      <c r="M207" s="30"/>
      <c r="N207" s="30"/>
      <c r="O207" s="897"/>
    </row>
    <row r="208" spans="1:30" s="14" customFormat="1" ht="14.1" hidden="1" customHeight="1" outlineLevel="1" x14ac:dyDescent="0.2">
      <c r="A208" s="1395"/>
      <c r="B208" s="51"/>
      <c r="C208" s="928"/>
      <c r="D208" s="37" t="s">
        <v>686</v>
      </c>
      <c r="E208" s="926">
        <v>1</v>
      </c>
      <c r="F208" s="926">
        <v>1</v>
      </c>
      <c r="G208" s="926">
        <v>1</v>
      </c>
      <c r="H208" s="926">
        <v>1</v>
      </c>
      <c r="I208" s="926">
        <v>1</v>
      </c>
      <c r="J208" s="926">
        <v>1</v>
      </c>
      <c r="K208" s="926">
        <v>1</v>
      </c>
      <c r="L208" s="926">
        <v>1</v>
      </c>
      <c r="M208" s="926">
        <v>1</v>
      </c>
      <c r="N208" s="926">
        <v>1</v>
      </c>
      <c r="O208" s="897"/>
      <c r="P208" s="38"/>
      <c r="Q208" s="41"/>
      <c r="R208" s="41"/>
      <c r="S208" s="41"/>
      <c r="T208" s="41"/>
      <c r="U208" s="41"/>
      <c r="V208" s="41"/>
      <c r="W208" s="41"/>
      <c r="X208" s="41"/>
      <c r="Y208" s="41"/>
      <c r="Z208" s="41"/>
      <c r="AA208" s="41"/>
      <c r="AB208" s="41"/>
      <c r="AC208" s="41"/>
      <c r="AD208" s="41"/>
    </row>
    <row r="209" spans="1:30" s="14" customFormat="1" ht="14.1" hidden="1" customHeight="1" outlineLevel="1" x14ac:dyDescent="0.2">
      <c r="A209" s="1395"/>
      <c r="B209" s="51"/>
      <c r="C209" s="274"/>
      <c r="D209" s="54" t="s">
        <v>684</v>
      </c>
      <c r="E209" s="927">
        <f t="shared" ref="E209:N209" si="120">SUM(E208*LocQSC)</f>
        <v>1</v>
      </c>
      <c r="F209" s="927">
        <f t="shared" si="120"/>
        <v>1</v>
      </c>
      <c r="G209" s="927">
        <f t="shared" si="120"/>
        <v>1</v>
      </c>
      <c r="H209" s="927">
        <f t="shared" si="120"/>
        <v>1</v>
      </c>
      <c r="I209" s="927">
        <f t="shared" si="120"/>
        <v>1</v>
      </c>
      <c r="J209" s="927">
        <f t="shared" si="120"/>
        <v>1</v>
      </c>
      <c r="K209" s="927">
        <f t="shared" si="120"/>
        <v>1</v>
      </c>
      <c r="L209" s="927">
        <f t="shared" si="120"/>
        <v>1</v>
      </c>
      <c r="M209" s="927">
        <f t="shared" si="120"/>
        <v>1</v>
      </c>
      <c r="N209" s="927">
        <f t="shared" si="120"/>
        <v>1</v>
      </c>
      <c r="O209" s="897"/>
      <c r="P209" s="38"/>
      <c r="Q209" s="41"/>
      <c r="R209" s="41"/>
      <c r="S209" s="41"/>
      <c r="T209" s="41"/>
      <c r="U209" s="41"/>
      <c r="V209" s="41"/>
      <c r="W209" s="41"/>
      <c r="X209" s="41"/>
      <c r="Y209" s="41"/>
      <c r="Z209" s="41"/>
      <c r="AA209" s="41"/>
      <c r="AB209" s="41"/>
      <c r="AC209" s="41"/>
      <c r="AD209" s="41"/>
    </row>
    <row r="210" spans="1:30" s="38" customFormat="1" ht="12.75" hidden="1" customHeight="1" outlineLevel="1" x14ac:dyDescent="0.2">
      <c r="A210" s="1395"/>
      <c r="B210" s="51"/>
      <c r="C210" s="256"/>
      <c r="D210" s="30"/>
      <c r="E210" s="30"/>
      <c r="F210" s="30"/>
      <c r="G210" s="30"/>
      <c r="H210" s="30"/>
      <c r="I210" s="30"/>
      <c r="J210" s="30"/>
      <c r="K210" s="30"/>
      <c r="L210" s="30"/>
      <c r="M210" s="30"/>
      <c r="N210" s="30"/>
      <c r="O210" s="897"/>
    </row>
    <row r="211" spans="1:30" s="14" customFormat="1" ht="14.1" hidden="1" customHeight="1" outlineLevel="1" x14ac:dyDescent="0.2">
      <c r="A211" s="1395"/>
      <c r="B211" s="51"/>
      <c r="C211" s="928"/>
      <c r="D211" s="37" t="s">
        <v>685</v>
      </c>
      <c r="E211" s="926">
        <v>1</v>
      </c>
      <c r="F211" s="926">
        <v>1</v>
      </c>
      <c r="G211" s="926">
        <v>1</v>
      </c>
      <c r="H211" s="926">
        <v>1</v>
      </c>
      <c r="I211" s="926">
        <v>1</v>
      </c>
      <c r="J211" s="926">
        <v>1</v>
      </c>
      <c r="K211" s="926">
        <v>1</v>
      </c>
      <c r="L211" s="926">
        <v>1</v>
      </c>
      <c r="M211" s="926">
        <v>1</v>
      </c>
      <c r="N211" s="926">
        <v>1</v>
      </c>
      <c r="O211" s="897"/>
      <c r="P211" s="38"/>
      <c r="Q211" s="41"/>
      <c r="R211" s="41"/>
      <c r="S211" s="41"/>
      <c r="T211" s="41"/>
      <c r="U211" s="41"/>
      <c r="V211" s="41"/>
      <c r="W211" s="41"/>
      <c r="X211" s="41"/>
      <c r="Y211" s="41"/>
      <c r="Z211" s="41"/>
      <c r="AA211" s="41"/>
      <c r="AB211" s="41"/>
      <c r="AC211" s="41"/>
      <c r="AD211" s="41"/>
    </row>
    <row r="212" spans="1:30" s="14" customFormat="1" ht="14.1" hidden="1" customHeight="1" outlineLevel="1" x14ac:dyDescent="0.2">
      <c r="A212" s="1395"/>
      <c r="B212" s="51"/>
      <c r="C212" s="273"/>
      <c r="D212" s="54" t="s">
        <v>691</v>
      </c>
      <c r="E212" s="927">
        <f t="shared" ref="E212:N212" si="121">SUM(E211*LocEM)</f>
        <v>2</v>
      </c>
      <c r="F212" s="927">
        <f t="shared" si="121"/>
        <v>2</v>
      </c>
      <c r="G212" s="927">
        <f t="shared" si="121"/>
        <v>2</v>
      </c>
      <c r="H212" s="927">
        <f t="shared" si="121"/>
        <v>2</v>
      </c>
      <c r="I212" s="927">
        <f t="shared" si="121"/>
        <v>2</v>
      </c>
      <c r="J212" s="927">
        <f t="shared" si="121"/>
        <v>2</v>
      </c>
      <c r="K212" s="927">
        <f t="shared" si="121"/>
        <v>2</v>
      </c>
      <c r="L212" s="927">
        <f t="shared" si="121"/>
        <v>2</v>
      </c>
      <c r="M212" s="927">
        <f t="shared" si="121"/>
        <v>2</v>
      </c>
      <c r="N212" s="927">
        <f t="shared" si="121"/>
        <v>2</v>
      </c>
      <c r="O212" s="897"/>
      <c r="P212" s="38"/>
      <c r="Q212" s="41"/>
      <c r="R212" s="41"/>
      <c r="S212" s="41"/>
      <c r="T212" s="41"/>
      <c r="U212" s="41"/>
      <c r="V212" s="41"/>
      <c r="W212" s="41"/>
      <c r="X212" s="41"/>
      <c r="Y212" s="41"/>
      <c r="Z212" s="41"/>
      <c r="AA212" s="41"/>
      <c r="AB212" s="41"/>
      <c r="AC212" s="41"/>
      <c r="AD212" s="41"/>
    </row>
    <row r="213" spans="1:30" s="38" customFormat="1" ht="12.75" hidden="1" customHeight="1" outlineLevel="1" x14ac:dyDescent="0.2">
      <c r="A213" s="1395"/>
      <c r="B213" s="51"/>
      <c r="C213" s="256"/>
      <c r="D213" s="30"/>
      <c r="E213" s="30"/>
      <c r="F213" s="30"/>
      <c r="G213" s="30"/>
      <c r="H213" s="30"/>
      <c r="I213" s="30"/>
      <c r="J213" s="30"/>
      <c r="K213" s="30"/>
      <c r="L213" s="30"/>
      <c r="M213" s="30"/>
      <c r="N213" s="30"/>
      <c r="O213" s="897"/>
    </row>
    <row r="214" spans="1:30" s="14" customFormat="1" ht="14.1" hidden="1" customHeight="1" outlineLevel="1" x14ac:dyDescent="0.2">
      <c r="A214" s="1395"/>
      <c r="B214" s="51"/>
      <c r="C214" s="928"/>
      <c r="D214" s="37" t="s">
        <v>689</v>
      </c>
      <c r="E214" s="926">
        <v>1</v>
      </c>
      <c r="F214" s="926">
        <v>1</v>
      </c>
      <c r="G214" s="926">
        <v>1</v>
      </c>
      <c r="H214" s="926">
        <v>1</v>
      </c>
      <c r="I214" s="926">
        <v>1</v>
      </c>
      <c r="J214" s="926">
        <v>1</v>
      </c>
      <c r="K214" s="926">
        <v>1</v>
      </c>
      <c r="L214" s="926">
        <v>1</v>
      </c>
      <c r="M214" s="926">
        <v>1</v>
      </c>
      <c r="N214" s="926">
        <v>1</v>
      </c>
      <c r="O214" s="897"/>
      <c r="P214" s="38"/>
      <c r="Q214" s="41"/>
      <c r="R214" s="41"/>
      <c r="S214" s="41"/>
      <c r="T214" s="41"/>
      <c r="U214" s="41"/>
      <c r="V214" s="41"/>
      <c r="W214" s="41"/>
      <c r="X214" s="41"/>
      <c r="Y214" s="41"/>
      <c r="Z214" s="41"/>
      <c r="AA214" s="41"/>
      <c r="AB214" s="41"/>
      <c r="AC214" s="41"/>
      <c r="AD214" s="41"/>
    </row>
    <row r="215" spans="1:30" s="14" customFormat="1" ht="14.1" hidden="1" customHeight="1" outlineLevel="1" x14ac:dyDescent="0.2">
      <c r="A215" s="1395"/>
      <c r="B215" s="51"/>
      <c r="C215" s="273"/>
      <c r="D215" s="54" t="s">
        <v>690</v>
      </c>
      <c r="E215" s="927">
        <f t="shared" ref="E215:N215" si="122">SUM(E214*LocCM)</f>
        <v>3</v>
      </c>
      <c r="F215" s="927">
        <f t="shared" si="122"/>
        <v>3</v>
      </c>
      <c r="G215" s="927">
        <f t="shared" si="122"/>
        <v>3</v>
      </c>
      <c r="H215" s="927">
        <f t="shared" si="122"/>
        <v>3</v>
      </c>
      <c r="I215" s="927">
        <f t="shared" si="122"/>
        <v>3</v>
      </c>
      <c r="J215" s="927">
        <f t="shared" si="122"/>
        <v>3</v>
      </c>
      <c r="K215" s="927">
        <f t="shared" si="122"/>
        <v>3</v>
      </c>
      <c r="L215" s="927">
        <f t="shared" si="122"/>
        <v>3</v>
      </c>
      <c r="M215" s="927">
        <f t="shared" si="122"/>
        <v>3</v>
      </c>
      <c r="N215" s="927">
        <f t="shared" si="122"/>
        <v>3</v>
      </c>
      <c r="O215" s="897"/>
      <c r="P215" s="38"/>
      <c r="Q215" s="41"/>
      <c r="R215" s="41"/>
      <c r="S215" s="41"/>
      <c r="T215" s="41"/>
      <c r="U215" s="41"/>
      <c r="V215" s="41"/>
      <c r="W215" s="41"/>
      <c r="X215" s="41"/>
      <c r="Y215" s="41"/>
      <c r="Z215" s="41"/>
      <c r="AA215" s="41"/>
      <c r="AB215" s="41"/>
      <c r="AC215" s="41"/>
      <c r="AD215" s="41"/>
    </row>
    <row r="216" spans="1:30" s="38" customFormat="1" ht="12.75" hidden="1" customHeight="1" outlineLevel="1" x14ac:dyDescent="0.2">
      <c r="A216" s="1395"/>
      <c r="B216" s="51"/>
      <c r="C216" s="256"/>
      <c r="D216" s="30"/>
      <c r="E216" s="30"/>
      <c r="F216" s="30"/>
      <c r="G216" s="30"/>
      <c r="H216" s="30"/>
      <c r="I216" s="30"/>
      <c r="J216" s="30"/>
      <c r="K216" s="30"/>
      <c r="L216" s="30"/>
      <c r="M216" s="30"/>
      <c r="N216" s="30"/>
      <c r="O216" s="897"/>
    </row>
    <row r="217" spans="1:30" s="14" customFormat="1" ht="14.1" hidden="1" customHeight="1" outlineLevel="1" x14ac:dyDescent="0.2">
      <c r="A217" s="1395"/>
      <c r="B217" s="51"/>
      <c r="C217" s="928"/>
      <c r="D217" s="37" t="s">
        <v>693</v>
      </c>
      <c r="E217" s="926">
        <v>1</v>
      </c>
      <c r="F217" s="926">
        <v>1</v>
      </c>
      <c r="G217" s="926">
        <v>1</v>
      </c>
      <c r="H217" s="926">
        <v>1</v>
      </c>
      <c r="I217" s="926">
        <v>1</v>
      </c>
      <c r="J217" s="926">
        <v>1</v>
      </c>
      <c r="K217" s="926">
        <v>1</v>
      </c>
      <c r="L217" s="926">
        <v>1</v>
      </c>
      <c r="M217" s="926">
        <v>1</v>
      </c>
      <c r="N217" s="926">
        <v>1</v>
      </c>
      <c r="O217" s="897"/>
      <c r="P217" s="38"/>
      <c r="Q217" s="41"/>
      <c r="R217" s="41"/>
      <c r="S217" s="41"/>
      <c r="T217" s="41"/>
      <c r="U217" s="41"/>
      <c r="V217" s="41"/>
      <c r="W217" s="41"/>
      <c r="X217" s="41"/>
      <c r="Y217" s="41"/>
      <c r="Z217" s="41"/>
      <c r="AA217" s="41"/>
      <c r="AB217" s="41"/>
      <c r="AC217" s="41"/>
      <c r="AD217" s="41"/>
    </row>
    <row r="218" spans="1:30" s="14" customFormat="1" ht="14.1" hidden="1" customHeight="1" outlineLevel="1" x14ac:dyDescent="0.2">
      <c r="A218" s="1395"/>
      <c r="B218" s="51"/>
      <c r="C218" s="273"/>
      <c r="D218" s="54" t="s">
        <v>692</v>
      </c>
      <c r="E218" s="927">
        <f t="shared" ref="E218:N218" si="123">SUM(E217*LocSMCS)</f>
        <v>3</v>
      </c>
      <c r="F218" s="927">
        <f t="shared" si="123"/>
        <v>3</v>
      </c>
      <c r="G218" s="927">
        <f t="shared" si="123"/>
        <v>3</v>
      </c>
      <c r="H218" s="927">
        <f t="shared" si="123"/>
        <v>3</v>
      </c>
      <c r="I218" s="927">
        <f t="shared" si="123"/>
        <v>3</v>
      </c>
      <c r="J218" s="927">
        <f t="shared" si="123"/>
        <v>3</v>
      </c>
      <c r="K218" s="927">
        <f t="shared" si="123"/>
        <v>3</v>
      </c>
      <c r="L218" s="927">
        <f t="shared" si="123"/>
        <v>3</v>
      </c>
      <c r="M218" s="927">
        <f t="shared" si="123"/>
        <v>3</v>
      </c>
      <c r="N218" s="927">
        <f t="shared" si="123"/>
        <v>3</v>
      </c>
      <c r="O218" s="897"/>
      <c r="P218" s="38"/>
      <c r="Q218" s="41"/>
      <c r="R218" s="41"/>
      <c r="S218" s="41"/>
      <c r="T218" s="41"/>
      <c r="U218" s="41"/>
      <c r="V218" s="41"/>
      <c r="W218" s="41"/>
      <c r="X218" s="41"/>
      <c r="Y218" s="41"/>
      <c r="Z218" s="41"/>
      <c r="AA218" s="41"/>
      <c r="AB218" s="41"/>
      <c r="AC218" s="41"/>
      <c r="AD218" s="41"/>
    </row>
    <row r="219" spans="1:30" s="38" customFormat="1" ht="12.75" hidden="1" customHeight="1" outlineLevel="1" x14ac:dyDescent="0.2">
      <c r="A219" s="1395"/>
      <c r="B219" s="51"/>
      <c r="C219" s="256"/>
      <c r="D219" s="30"/>
      <c r="E219" s="30"/>
      <c r="F219" s="30"/>
      <c r="G219" s="30"/>
      <c r="H219" s="30"/>
      <c r="I219" s="30"/>
      <c r="J219" s="30"/>
      <c r="K219" s="30"/>
      <c r="L219" s="30"/>
      <c r="M219" s="30"/>
      <c r="N219" s="30"/>
      <c r="O219" s="897"/>
    </row>
    <row r="220" spans="1:30" s="14" customFormat="1" ht="14.1" hidden="1" customHeight="1" outlineLevel="1" x14ac:dyDescent="0.2">
      <c r="A220" s="1395"/>
      <c r="B220" s="51"/>
      <c r="C220" s="928"/>
      <c r="D220" s="37" t="s">
        <v>694</v>
      </c>
      <c r="E220" s="926">
        <v>0</v>
      </c>
      <c r="F220" s="926">
        <v>0</v>
      </c>
      <c r="G220" s="926">
        <v>0</v>
      </c>
      <c r="H220" s="926">
        <v>0</v>
      </c>
      <c r="I220" s="926">
        <v>0</v>
      </c>
      <c r="J220" s="926">
        <v>0</v>
      </c>
      <c r="K220" s="926">
        <v>0</v>
      </c>
      <c r="L220" s="926">
        <v>0</v>
      </c>
      <c r="M220" s="926">
        <v>0</v>
      </c>
      <c r="N220" s="926">
        <v>0</v>
      </c>
      <c r="O220" s="897"/>
      <c r="P220" s="38"/>
      <c r="Q220" s="41"/>
      <c r="R220" s="41"/>
      <c r="S220" s="41"/>
      <c r="T220" s="41"/>
      <c r="U220" s="41"/>
      <c r="V220" s="41"/>
      <c r="W220" s="41"/>
      <c r="X220" s="41"/>
      <c r="Y220" s="41"/>
      <c r="Z220" s="41"/>
      <c r="AA220" s="41"/>
      <c r="AB220" s="41"/>
      <c r="AC220" s="41"/>
      <c r="AD220" s="41"/>
    </row>
    <row r="221" spans="1:30" s="14" customFormat="1" ht="14.1" hidden="1" customHeight="1" outlineLevel="1" x14ac:dyDescent="0.2">
      <c r="A221" s="1395"/>
      <c r="B221" s="51"/>
      <c r="C221" s="273"/>
      <c r="D221" s="54" t="s">
        <v>695</v>
      </c>
      <c r="E221" s="927">
        <f t="shared" ref="E221:N221" si="124">SUM(E220*LocO1)</f>
        <v>0</v>
      </c>
      <c r="F221" s="927">
        <f t="shared" si="124"/>
        <v>0</v>
      </c>
      <c r="G221" s="927">
        <f t="shared" si="124"/>
        <v>0</v>
      </c>
      <c r="H221" s="927">
        <f t="shared" si="124"/>
        <v>0</v>
      </c>
      <c r="I221" s="927">
        <f t="shared" si="124"/>
        <v>0</v>
      </c>
      <c r="J221" s="927">
        <f t="shared" si="124"/>
        <v>0</v>
      </c>
      <c r="K221" s="927">
        <f t="shared" si="124"/>
        <v>0</v>
      </c>
      <c r="L221" s="927">
        <f t="shared" si="124"/>
        <v>0</v>
      </c>
      <c r="M221" s="927">
        <f t="shared" si="124"/>
        <v>0</v>
      </c>
      <c r="N221" s="927">
        <f t="shared" si="124"/>
        <v>0</v>
      </c>
      <c r="O221" s="897"/>
      <c r="P221" s="38"/>
      <c r="Q221" s="41"/>
      <c r="R221" s="41"/>
      <c r="S221" s="41"/>
      <c r="T221" s="41"/>
      <c r="U221" s="41"/>
      <c r="V221" s="41"/>
      <c r="W221" s="41"/>
      <c r="X221" s="41"/>
      <c r="Y221" s="41"/>
      <c r="Z221" s="41"/>
      <c r="AA221" s="41"/>
      <c r="AB221" s="41"/>
      <c r="AC221" s="41"/>
      <c r="AD221" s="41"/>
    </row>
    <row r="222" spans="1:30" s="38" customFormat="1" ht="12.75" hidden="1" customHeight="1" outlineLevel="1" x14ac:dyDescent="0.2">
      <c r="A222" s="1395"/>
      <c r="B222" s="51"/>
      <c r="C222" s="256"/>
      <c r="D222" s="30"/>
      <c r="E222" s="30"/>
      <c r="F222" s="30"/>
      <c r="G222" s="30"/>
      <c r="H222" s="30"/>
      <c r="I222" s="30"/>
      <c r="J222" s="30"/>
      <c r="K222" s="30"/>
      <c r="L222" s="30"/>
      <c r="M222" s="30"/>
      <c r="N222" s="30"/>
      <c r="O222" s="897"/>
    </row>
    <row r="223" spans="1:30" s="14" customFormat="1" ht="14.1" hidden="1" customHeight="1" outlineLevel="1" x14ac:dyDescent="0.2">
      <c r="A223" s="1395"/>
      <c r="B223" s="51"/>
      <c r="C223" s="928"/>
      <c r="D223" s="37" t="s">
        <v>696</v>
      </c>
      <c r="E223" s="926">
        <v>0</v>
      </c>
      <c r="F223" s="926">
        <v>0</v>
      </c>
      <c r="G223" s="926">
        <v>0</v>
      </c>
      <c r="H223" s="926">
        <v>0</v>
      </c>
      <c r="I223" s="926">
        <v>0</v>
      </c>
      <c r="J223" s="926">
        <v>0</v>
      </c>
      <c r="K223" s="926">
        <v>0</v>
      </c>
      <c r="L223" s="926">
        <v>0</v>
      </c>
      <c r="M223" s="926">
        <v>0</v>
      </c>
      <c r="N223" s="926">
        <v>0</v>
      </c>
      <c r="O223" s="897"/>
      <c r="P223" s="38"/>
      <c r="Q223" s="41"/>
      <c r="R223" s="41"/>
      <c r="S223" s="41"/>
      <c r="T223" s="41"/>
      <c r="U223" s="41"/>
      <c r="V223" s="41"/>
      <c r="W223" s="41"/>
      <c r="X223" s="41"/>
      <c r="Y223" s="41"/>
      <c r="Z223" s="41"/>
      <c r="AA223" s="41"/>
      <c r="AB223" s="41"/>
      <c r="AC223" s="41"/>
      <c r="AD223" s="41"/>
    </row>
    <row r="224" spans="1:30" s="14" customFormat="1" ht="14.1" hidden="1" customHeight="1" outlineLevel="1" x14ac:dyDescent="0.2">
      <c r="A224" s="1395"/>
      <c r="B224" s="51"/>
      <c r="C224" s="273"/>
      <c r="D224" s="54" t="s">
        <v>697</v>
      </c>
      <c r="E224" s="927">
        <f t="shared" ref="E224:N224" si="125">SUM(E223*LocO2)</f>
        <v>0</v>
      </c>
      <c r="F224" s="927">
        <f t="shared" si="125"/>
        <v>0</v>
      </c>
      <c r="G224" s="927">
        <f t="shared" si="125"/>
        <v>0</v>
      </c>
      <c r="H224" s="927">
        <f t="shared" si="125"/>
        <v>0</v>
      </c>
      <c r="I224" s="927">
        <f t="shared" si="125"/>
        <v>0</v>
      </c>
      <c r="J224" s="927">
        <f t="shared" si="125"/>
        <v>0</v>
      </c>
      <c r="K224" s="927">
        <f t="shared" si="125"/>
        <v>0</v>
      </c>
      <c r="L224" s="927">
        <f t="shared" si="125"/>
        <v>0</v>
      </c>
      <c r="M224" s="927">
        <f t="shared" si="125"/>
        <v>0</v>
      </c>
      <c r="N224" s="927">
        <f t="shared" si="125"/>
        <v>0</v>
      </c>
      <c r="O224" s="897"/>
      <c r="P224" s="38"/>
      <c r="Q224" s="41"/>
      <c r="R224" s="41"/>
      <c r="S224" s="41"/>
      <c r="T224" s="41"/>
      <c r="U224" s="41"/>
      <c r="V224" s="41"/>
      <c r="W224" s="41"/>
      <c r="X224" s="41"/>
      <c r="Y224" s="41"/>
      <c r="Z224" s="41"/>
      <c r="AA224" s="41"/>
      <c r="AB224" s="41"/>
      <c r="AC224" s="41"/>
      <c r="AD224" s="41"/>
    </row>
    <row r="225" spans="1:30" s="191" customFormat="1" ht="14.1" hidden="1" customHeight="1" outlineLevel="1" x14ac:dyDescent="0.2">
      <c r="A225" s="1395"/>
      <c r="B225" s="55"/>
      <c r="C225" s="256"/>
      <c r="D225" s="30"/>
      <c r="E225" s="50"/>
      <c r="F225" s="50"/>
      <c r="G225" s="50"/>
      <c r="H225" s="30"/>
      <c r="I225" s="30"/>
      <c r="J225" s="50"/>
      <c r="K225" s="50"/>
      <c r="L225" s="50"/>
      <c r="M225" s="50"/>
      <c r="N225" s="50"/>
      <c r="O225" s="897"/>
      <c r="P225" s="30"/>
      <c r="Q225" s="180"/>
      <c r="R225" s="180"/>
      <c r="S225" s="180"/>
      <c r="T225" s="180"/>
      <c r="U225" s="180"/>
      <c r="V225" s="180"/>
      <c r="W225" s="180"/>
      <c r="X225" s="180"/>
      <c r="Y225" s="180"/>
      <c r="Z225" s="180"/>
      <c r="AA225" s="180"/>
      <c r="AB225" s="180"/>
      <c r="AC225" s="180"/>
      <c r="AD225" s="180"/>
    </row>
    <row r="226" spans="1:30" s="14" customFormat="1" hidden="1" outlineLevel="1" x14ac:dyDescent="0.2">
      <c r="A226" s="1395"/>
      <c r="B226" s="51"/>
      <c r="C226" s="270"/>
      <c r="D226" s="918" t="s">
        <v>126</v>
      </c>
      <c r="E226" s="292">
        <f t="shared" ref="E226:N226" si="126">SUM(E224+E221+E218+E215+E212+E209+E206+E203+E200+E194+E191+E188)</f>
        <v>84</v>
      </c>
      <c r="F226" s="292">
        <f t="shared" si="126"/>
        <v>89</v>
      </c>
      <c r="G226" s="292">
        <f t="shared" si="126"/>
        <v>89</v>
      </c>
      <c r="H226" s="292">
        <f t="shared" si="126"/>
        <v>89</v>
      </c>
      <c r="I226" s="292">
        <f t="shared" si="126"/>
        <v>89</v>
      </c>
      <c r="J226" s="292">
        <f t="shared" si="126"/>
        <v>89</v>
      </c>
      <c r="K226" s="292">
        <f t="shared" si="126"/>
        <v>89</v>
      </c>
      <c r="L226" s="292">
        <f t="shared" si="126"/>
        <v>89</v>
      </c>
      <c r="M226" s="292">
        <f t="shared" si="126"/>
        <v>89</v>
      </c>
      <c r="N226" s="292">
        <f t="shared" si="126"/>
        <v>89</v>
      </c>
      <c r="O226" s="257" t="s">
        <v>698</v>
      </c>
      <c r="P226" s="38"/>
      <c r="Q226" s="41"/>
      <c r="R226" s="41"/>
      <c r="S226" s="41"/>
      <c r="T226" s="41"/>
      <c r="U226" s="41"/>
      <c r="V226" s="41"/>
      <c r="W226" s="41"/>
      <c r="X226" s="41"/>
      <c r="Y226" s="41"/>
      <c r="Z226" s="41"/>
      <c r="AA226" s="41"/>
      <c r="AB226" s="41"/>
      <c r="AC226" s="41"/>
      <c r="AD226" s="41"/>
    </row>
    <row r="227" spans="1:30" s="191" customFormat="1" ht="13.5" hidden="1" outlineLevel="1" thickBot="1" x14ac:dyDescent="0.25">
      <c r="A227" s="1396"/>
      <c r="B227" s="51"/>
      <c r="C227" s="170"/>
      <c r="D227" s="929"/>
      <c r="E227" s="930"/>
      <c r="F227" s="930"/>
      <c r="G227" s="930"/>
      <c r="H227" s="930"/>
      <c r="I227" s="930"/>
      <c r="J227" s="930"/>
      <c r="K227" s="930"/>
      <c r="L227" s="930"/>
      <c r="M227" s="930"/>
      <c r="N227" s="930"/>
      <c r="O227" s="643"/>
      <c r="P227" s="30"/>
      <c r="Q227" s="180"/>
      <c r="R227" s="180"/>
      <c r="S227" s="180"/>
      <c r="T227" s="180"/>
      <c r="U227" s="180"/>
      <c r="V227" s="180"/>
      <c r="W227" s="180"/>
      <c r="X227" s="180"/>
      <c r="Y227" s="180"/>
      <c r="Z227" s="180"/>
      <c r="AA227" s="180"/>
      <c r="AB227" s="180"/>
      <c r="AC227" s="180"/>
      <c r="AD227" s="180"/>
    </row>
    <row r="228" spans="1:30" s="41" customFormat="1" ht="13.5" hidden="1" outlineLevel="1" thickBot="1" x14ac:dyDescent="0.25">
      <c r="B228" s="924"/>
      <c r="C228" s="30"/>
      <c r="D228" s="30"/>
      <c r="E228" s="30"/>
      <c r="F228" s="30"/>
      <c r="G228" s="30"/>
      <c r="H228" s="30"/>
      <c r="I228" s="30"/>
      <c r="J228" s="30"/>
      <c r="K228" s="30"/>
      <c r="L228" s="30"/>
      <c r="M228" s="30"/>
      <c r="N228" s="30"/>
      <c r="O228" s="494"/>
      <c r="P228" s="38"/>
    </row>
    <row r="229" spans="1:30" s="116" customFormat="1" ht="20.100000000000001" hidden="1" customHeight="1" outlineLevel="1" x14ac:dyDescent="0.2">
      <c r="B229" s="911"/>
      <c r="C229" s="920" t="str">
        <f>Scenario2&amp;" - Numbers of MFDs Required"</f>
        <v>hSystems (Hybrid) - Numbers of MFDs Required</v>
      </c>
      <c r="D229" s="269"/>
      <c r="E229" s="269"/>
      <c r="F229" s="269"/>
      <c r="G229" s="269"/>
      <c r="H229" s="269"/>
      <c r="I229" s="269"/>
      <c r="J229" s="269"/>
      <c r="K229" s="269"/>
      <c r="L229" s="269"/>
      <c r="M229" s="269"/>
      <c r="N229" s="269"/>
      <c r="O229" s="901"/>
      <c r="P229" s="113"/>
      <c r="Q229" s="114"/>
      <c r="R229" s="114"/>
      <c r="S229" s="114"/>
      <c r="T229" s="114"/>
      <c r="U229" s="114"/>
      <c r="V229" s="114"/>
      <c r="W229" s="114"/>
      <c r="X229" s="114"/>
      <c r="Y229" s="114"/>
      <c r="Z229" s="114"/>
      <c r="AA229" s="114"/>
      <c r="AB229" s="114"/>
      <c r="AC229" s="114"/>
      <c r="AD229" s="114"/>
    </row>
    <row r="230" spans="1:30" s="38" customFormat="1" hidden="1" outlineLevel="1" x14ac:dyDescent="0.2">
      <c r="A230" s="116"/>
      <c r="B230" s="51"/>
      <c r="C230" s="256"/>
      <c r="D230" s="30"/>
      <c r="E230" s="30"/>
      <c r="F230" s="30"/>
      <c r="G230" s="30"/>
      <c r="H230" s="30"/>
      <c r="I230" s="30"/>
      <c r="J230" s="30"/>
      <c r="K230" s="30"/>
      <c r="L230" s="30"/>
      <c r="M230" s="30"/>
      <c r="N230" s="30"/>
      <c r="O230" s="897"/>
    </row>
    <row r="231" spans="1:30" s="14" customFormat="1" ht="14.1" hidden="1" customHeight="1" outlineLevel="1" x14ac:dyDescent="0.2">
      <c r="A231" s="116"/>
      <c r="B231" s="51"/>
      <c r="C231" s="270"/>
      <c r="D231" s="37" t="s">
        <v>26</v>
      </c>
      <c r="E231" s="913">
        <v>1</v>
      </c>
      <c r="F231" s="913">
        <v>1</v>
      </c>
      <c r="G231" s="913">
        <v>1</v>
      </c>
      <c r="H231" s="913">
        <v>1</v>
      </c>
      <c r="I231" s="913">
        <v>1</v>
      </c>
      <c r="J231" s="913">
        <v>1</v>
      </c>
      <c r="K231" s="913">
        <v>1</v>
      </c>
      <c r="L231" s="913">
        <v>1</v>
      </c>
      <c r="M231" s="913">
        <v>1</v>
      </c>
      <c r="N231" s="913">
        <v>1</v>
      </c>
      <c r="O231" s="271"/>
      <c r="P231" s="38"/>
      <c r="Q231" s="41"/>
      <c r="R231" s="41"/>
      <c r="S231" s="41"/>
      <c r="T231" s="41"/>
      <c r="U231" s="41"/>
      <c r="V231" s="41"/>
      <c r="W231" s="41"/>
      <c r="X231" s="41"/>
      <c r="Y231" s="41"/>
      <c r="Z231" s="41"/>
      <c r="AA231" s="41"/>
      <c r="AB231" s="41"/>
      <c r="AC231" s="41"/>
      <c r="AD231" s="41"/>
    </row>
    <row r="232" spans="1:30" s="14" customFormat="1" ht="14.1" hidden="1" customHeight="1" outlineLevel="1" x14ac:dyDescent="0.2">
      <c r="A232" s="116"/>
      <c r="B232" s="51"/>
      <c r="C232" s="270"/>
      <c r="D232" s="27" t="s">
        <v>28</v>
      </c>
      <c r="E232" s="914">
        <f t="shared" ref="E232:N232" si="127">SUM(E231*LocTransit)</f>
        <v>19</v>
      </c>
      <c r="F232" s="914">
        <f t="shared" si="127"/>
        <v>20</v>
      </c>
      <c r="G232" s="914">
        <f t="shared" si="127"/>
        <v>20</v>
      </c>
      <c r="H232" s="914">
        <f t="shared" si="127"/>
        <v>20</v>
      </c>
      <c r="I232" s="914">
        <f t="shared" si="127"/>
        <v>20</v>
      </c>
      <c r="J232" s="914">
        <f t="shared" si="127"/>
        <v>20</v>
      </c>
      <c r="K232" s="914">
        <f t="shared" si="127"/>
        <v>20</v>
      </c>
      <c r="L232" s="914">
        <f t="shared" si="127"/>
        <v>20</v>
      </c>
      <c r="M232" s="914">
        <f t="shared" si="127"/>
        <v>20</v>
      </c>
      <c r="N232" s="914">
        <f t="shared" si="127"/>
        <v>20</v>
      </c>
      <c r="O232" s="271"/>
      <c r="P232" s="38"/>
      <c r="Q232" s="41"/>
      <c r="R232" s="41"/>
      <c r="S232" s="41"/>
      <c r="T232" s="41"/>
      <c r="U232" s="41"/>
      <c r="V232" s="41"/>
      <c r="W232" s="41"/>
      <c r="X232" s="41"/>
      <c r="Y232" s="41"/>
      <c r="Z232" s="41"/>
      <c r="AA232" s="41"/>
      <c r="AB232" s="41"/>
      <c r="AC232" s="41"/>
      <c r="AD232" s="41"/>
    </row>
    <row r="233" spans="1:30" s="38" customFormat="1" ht="12.75" hidden="1" customHeight="1" outlineLevel="1" x14ac:dyDescent="0.2">
      <c r="A233" s="116"/>
      <c r="B233" s="51"/>
      <c r="C233" s="256"/>
      <c r="D233" s="30"/>
      <c r="E233" s="30"/>
      <c r="F233" s="30"/>
      <c r="G233" s="30"/>
      <c r="H233" s="30"/>
      <c r="I233" s="30"/>
      <c r="J233" s="30"/>
      <c r="K233" s="30"/>
      <c r="L233" s="30"/>
      <c r="M233" s="30"/>
      <c r="N233" s="30"/>
      <c r="O233" s="916"/>
    </row>
    <row r="234" spans="1:30" s="14" customFormat="1" ht="14.1" hidden="1" customHeight="1" outlineLevel="1" x14ac:dyDescent="0.2">
      <c r="A234" s="116"/>
      <c r="B234" s="51"/>
      <c r="C234" s="270"/>
      <c r="D234" s="37" t="s">
        <v>25</v>
      </c>
      <c r="E234" s="913">
        <v>2</v>
      </c>
      <c r="F234" s="913">
        <v>2</v>
      </c>
      <c r="G234" s="913">
        <v>2</v>
      </c>
      <c r="H234" s="913">
        <v>2</v>
      </c>
      <c r="I234" s="913">
        <v>2</v>
      </c>
      <c r="J234" s="913">
        <v>2</v>
      </c>
      <c r="K234" s="913">
        <v>2</v>
      </c>
      <c r="L234" s="913">
        <v>2</v>
      </c>
      <c r="M234" s="913">
        <v>2</v>
      </c>
      <c r="N234" s="913">
        <v>2</v>
      </c>
      <c r="O234" s="271"/>
      <c r="P234" s="38"/>
      <c r="Q234" s="41"/>
      <c r="R234" s="41"/>
      <c r="S234" s="41"/>
      <c r="T234" s="41"/>
      <c r="U234" s="41"/>
      <c r="V234" s="41"/>
      <c r="W234" s="41"/>
      <c r="X234" s="41"/>
      <c r="Y234" s="41"/>
      <c r="Z234" s="41"/>
      <c r="AA234" s="41"/>
      <c r="AB234" s="41"/>
      <c r="AC234" s="41"/>
      <c r="AD234" s="41"/>
    </row>
    <row r="235" spans="1:30" s="14" customFormat="1" ht="14.1" hidden="1" customHeight="1" outlineLevel="1" x14ac:dyDescent="0.2">
      <c r="A235" s="116"/>
      <c r="B235" s="893"/>
      <c r="C235" s="272"/>
      <c r="D235" s="27" t="s">
        <v>29</v>
      </c>
      <c r="E235" s="914">
        <f t="shared" ref="E235:N235" si="128">SUM(E234*LocLM)</f>
        <v>16</v>
      </c>
      <c r="F235" s="914">
        <f t="shared" si="128"/>
        <v>18</v>
      </c>
      <c r="G235" s="914">
        <f t="shared" si="128"/>
        <v>18</v>
      </c>
      <c r="H235" s="914">
        <f t="shared" si="128"/>
        <v>18</v>
      </c>
      <c r="I235" s="914">
        <f t="shared" si="128"/>
        <v>18</v>
      </c>
      <c r="J235" s="914">
        <f t="shared" si="128"/>
        <v>18</v>
      </c>
      <c r="K235" s="914">
        <f t="shared" si="128"/>
        <v>18</v>
      </c>
      <c r="L235" s="914">
        <f t="shared" si="128"/>
        <v>18</v>
      </c>
      <c r="M235" s="914">
        <f t="shared" si="128"/>
        <v>18</v>
      </c>
      <c r="N235" s="914">
        <f t="shared" si="128"/>
        <v>18</v>
      </c>
      <c r="O235" s="271"/>
      <c r="P235" s="38"/>
      <c r="Q235" s="41"/>
      <c r="R235" s="41"/>
      <c r="S235" s="41"/>
      <c r="T235" s="41"/>
      <c r="U235" s="41"/>
      <c r="V235" s="41"/>
      <c r="W235" s="41"/>
      <c r="X235" s="41"/>
      <c r="Y235" s="41"/>
      <c r="Z235" s="41"/>
      <c r="AA235" s="41"/>
      <c r="AB235" s="41"/>
      <c r="AC235" s="41"/>
      <c r="AD235" s="41"/>
    </row>
    <row r="236" spans="1:30" s="38" customFormat="1" ht="12.75" hidden="1" customHeight="1" outlineLevel="1" x14ac:dyDescent="0.2">
      <c r="A236" s="116"/>
      <c r="B236" s="51"/>
      <c r="C236" s="256"/>
      <c r="D236" s="30"/>
      <c r="E236" s="30"/>
      <c r="F236" s="30"/>
      <c r="G236" s="30"/>
      <c r="H236" s="30"/>
      <c r="I236" s="30"/>
      <c r="J236" s="30"/>
      <c r="K236" s="30"/>
      <c r="L236" s="30"/>
      <c r="M236" s="30"/>
      <c r="N236" s="30"/>
      <c r="O236" s="916"/>
    </row>
    <row r="237" spans="1:30" s="14" customFormat="1" ht="14.1" hidden="1" customHeight="1" outlineLevel="1" x14ac:dyDescent="0.2">
      <c r="A237" s="116"/>
      <c r="B237" s="51"/>
      <c r="C237" s="270"/>
      <c r="D237" s="37" t="s">
        <v>27</v>
      </c>
      <c r="E237" s="913">
        <v>3</v>
      </c>
      <c r="F237" s="913">
        <v>3</v>
      </c>
      <c r="G237" s="913">
        <v>3</v>
      </c>
      <c r="H237" s="913">
        <v>3</v>
      </c>
      <c r="I237" s="913">
        <v>3</v>
      </c>
      <c r="J237" s="913">
        <v>3</v>
      </c>
      <c r="K237" s="913">
        <v>3</v>
      </c>
      <c r="L237" s="913">
        <v>3</v>
      </c>
      <c r="M237" s="913">
        <v>3</v>
      </c>
      <c r="N237" s="913">
        <v>3</v>
      </c>
      <c r="O237" s="897"/>
      <c r="P237" s="38"/>
      <c r="Q237" s="41"/>
      <c r="R237" s="41"/>
      <c r="S237" s="41"/>
      <c r="T237" s="41"/>
      <c r="U237" s="41"/>
      <c r="V237" s="41"/>
      <c r="W237" s="41"/>
      <c r="X237" s="41"/>
      <c r="Y237" s="41"/>
      <c r="Z237" s="41"/>
      <c r="AA237" s="41"/>
      <c r="AB237" s="41"/>
      <c r="AC237" s="41"/>
      <c r="AD237" s="41"/>
    </row>
    <row r="238" spans="1:30" s="14" customFormat="1" ht="14.1" hidden="1" customHeight="1" outlineLevel="1" x14ac:dyDescent="0.2">
      <c r="A238" s="116"/>
      <c r="B238" s="51"/>
      <c r="C238" s="270"/>
      <c r="D238" s="27" t="s">
        <v>30</v>
      </c>
      <c r="E238" s="914">
        <f t="shared" ref="E238:N238" si="129">SUM(E237*LocHM)</f>
        <v>3</v>
      </c>
      <c r="F238" s="914">
        <f t="shared" si="129"/>
        <v>3</v>
      </c>
      <c r="G238" s="914">
        <f t="shared" si="129"/>
        <v>3</v>
      </c>
      <c r="H238" s="914">
        <f t="shared" si="129"/>
        <v>3</v>
      </c>
      <c r="I238" s="914">
        <f t="shared" si="129"/>
        <v>3</v>
      </c>
      <c r="J238" s="914">
        <f t="shared" si="129"/>
        <v>3</v>
      </c>
      <c r="K238" s="914">
        <f t="shared" si="129"/>
        <v>3</v>
      </c>
      <c r="L238" s="914">
        <f t="shared" si="129"/>
        <v>3</v>
      </c>
      <c r="M238" s="914">
        <f t="shared" si="129"/>
        <v>3</v>
      </c>
      <c r="N238" s="914">
        <f t="shared" si="129"/>
        <v>3</v>
      </c>
      <c r="O238" s="897"/>
      <c r="P238" s="38"/>
      <c r="Q238" s="41"/>
      <c r="R238" s="41"/>
      <c r="S238" s="41"/>
      <c r="T238" s="41"/>
      <c r="U238" s="41"/>
      <c r="V238" s="41"/>
      <c r="W238" s="41"/>
      <c r="X238" s="41"/>
      <c r="Y238" s="41"/>
      <c r="Z238" s="41"/>
      <c r="AA238" s="41"/>
      <c r="AB238" s="41"/>
      <c r="AC238" s="41"/>
      <c r="AD238" s="41"/>
    </row>
    <row r="239" spans="1:30" s="38" customFormat="1" ht="12.75" hidden="1" customHeight="1" outlineLevel="1" x14ac:dyDescent="0.2">
      <c r="A239" s="116"/>
      <c r="B239" s="51"/>
      <c r="C239" s="256"/>
      <c r="D239" s="30"/>
      <c r="E239" s="30"/>
      <c r="F239" s="30"/>
      <c r="G239" s="30"/>
      <c r="H239" s="30"/>
      <c r="I239" s="30"/>
      <c r="J239" s="30"/>
      <c r="K239" s="30"/>
      <c r="L239" s="30"/>
      <c r="M239" s="30"/>
      <c r="N239" s="30"/>
      <c r="O239" s="897"/>
    </row>
    <row r="240" spans="1:30" s="14" customFormat="1" ht="14.1" hidden="1" customHeight="1" outlineLevel="1" x14ac:dyDescent="0.2">
      <c r="A240" s="116"/>
      <c r="B240" s="51"/>
      <c r="C240" s="270"/>
      <c r="D240" s="37" t="s">
        <v>985</v>
      </c>
      <c r="E240" s="926">
        <v>3</v>
      </c>
      <c r="F240" s="926">
        <v>3</v>
      </c>
      <c r="G240" s="926">
        <v>3</v>
      </c>
      <c r="H240" s="926">
        <v>3</v>
      </c>
      <c r="I240" s="926">
        <v>3</v>
      </c>
      <c r="J240" s="926">
        <v>3</v>
      </c>
      <c r="K240" s="926">
        <v>3</v>
      </c>
      <c r="L240" s="926">
        <v>3</v>
      </c>
      <c r="M240" s="926">
        <v>3</v>
      </c>
      <c r="N240" s="926">
        <v>3</v>
      </c>
      <c r="O240" s="897"/>
      <c r="P240" s="38"/>
      <c r="Q240" s="41"/>
      <c r="R240" s="41"/>
      <c r="S240" s="41"/>
      <c r="T240" s="41"/>
      <c r="U240" s="41"/>
      <c r="V240" s="41"/>
      <c r="W240" s="41"/>
      <c r="X240" s="41"/>
      <c r="Y240" s="41"/>
      <c r="Z240" s="41"/>
      <c r="AA240" s="41"/>
      <c r="AB240" s="41"/>
      <c r="AC240" s="41"/>
      <c r="AD240" s="41"/>
    </row>
    <row r="241" spans="1:30" s="14" customFormat="1" ht="14.1" hidden="1" customHeight="1" outlineLevel="1" x14ac:dyDescent="0.2">
      <c r="A241" s="116"/>
      <c r="B241" s="51"/>
      <c r="C241" s="270"/>
      <c r="D241" s="27" t="s">
        <v>986</v>
      </c>
      <c r="E241" s="927">
        <f t="shared" ref="E241:N241" si="130">SUM(E240*LocENG)</f>
        <v>3</v>
      </c>
      <c r="F241" s="927">
        <f t="shared" si="130"/>
        <v>3</v>
      </c>
      <c r="G241" s="927">
        <f t="shared" si="130"/>
        <v>3</v>
      </c>
      <c r="H241" s="927">
        <f t="shared" si="130"/>
        <v>3</v>
      </c>
      <c r="I241" s="927">
        <f t="shared" si="130"/>
        <v>3</v>
      </c>
      <c r="J241" s="927">
        <f t="shared" si="130"/>
        <v>3</v>
      </c>
      <c r="K241" s="927">
        <f t="shared" si="130"/>
        <v>3</v>
      </c>
      <c r="L241" s="927">
        <f t="shared" si="130"/>
        <v>3</v>
      </c>
      <c r="M241" s="927">
        <f t="shared" si="130"/>
        <v>3</v>
      </c>
      <c r="N241" s="927">
        <f t="shared" si="130"/>
        <v>3</v>
      </c>
      <c r="O241" s="897"/>
      <c r="P241" s="38"/>
      <c r="Q241" s="41"/>
      <c r="R241" s="41"/>
      <c r="S241" s="41"/>
      <c r="T241" s="41"/>
      <c r="U241" s="41"/>
      <c r="V241" s="41"/>
      <c r="W241" s="41"/>
      <c r="X241" s="41"/>
      <c r="Y241" s="41"/>
      <c r="Z241" s="41"/>
      <c r="AA241" s="41"/>
      <c r="AB241" s="41"/>
      <c r="AC241" s="41"/>
      <c r="AD241" s="41"/>
    </row>
    <row r="242" spans="1:30" s="38" customFormat="1" ht="12.75" hidden="1" customHeight="1" outlineLevel="1" x14ac:dyDescent="0.2">
      <c r="A242" s="116"/>
      <c r="B242" s="51"/>
      <c r="C242" s="256"/>
      <c r="D242" s="30"/>
      <c r="E242" s="30"/>
      <c r="F242" s="30"/>
      <c r="G242" s="30"/>
      <c r="H242" s="30"/>
      <c r="I242" s="30"/>
      <c r="J242" s="30"/>
      <c r="K242" s="30"/>
      <c r="L242" s="30"/>
      <c r="M242" s="30"/>
      <c r="N242" s="30"/>
      <c r="O242" s="897"/>
    </row>
    <row r="243" spans="1:30" s="14" customFormat="1" ht="14.1" hidden="1" customHeight="1" outlineLevel="1" x14ac:dyDescent="0.2">
      <c r="A243" s="116"/>
      <c r="B243" s="51"/>
      <c r="C243" s="270"/>
      <c r="D243" s="37" t="s">
        <v>987</v>
      </c>
      <c r="E243" s="926">
        <v>3</v>
      </c>
      <c r="F243" s="926">
        <v>3</v>
      </c>
      <c r="G243" s="926">
        <v>3</v>
      </c>
      <c r="H243" s="926">
        <v>3</v>
      </c>
      <c r="I243" s="926">
        <v>3</v>
      </c>
      <c r="J243" s="926">
        <v>3</v>
      </c>
      <c r="K243" s="926">
        <v>3</v>
      </c>
      <c r="L243" s="926">
        <v>3</v>
      </c>
      <c r="M243" s="926">
        <v>3</v>
      </c>
      <c r="N243" s="926">
        <v>3</v>
      </c>
      <c r="O243" s="897"/>
      <c r="P243" s="38"/>
      <c r="Q243" s="41"/>
      <c r="R243" s="41"/>
      <c r="S243" s="41"/>
      <c r="T243" s="41"/>
      <c r="U243" s="41"/>
      <c r="V243" s="41"/>
      <c r="W243" s="41"/>
      <c r="X243" s="41"/>
      <c r="Y243" s="41"/>
      <c r="Z243" s="41"/>
      <c r="AA243" s="41"/>
      <c r="AB243" s="41"/>
      <c r="AC243" s="41"/>
      <c r="AD243" s="41"/>
    </row>
    <row r="244" spans="1:30" s="14" customFormat="1" ht="14.1" hidden="1" customHeight="1" outlineLevel="1" x14ac:dyDescent="0.2">
      <c r="A244" s="116"/>
      <c r="B244" s="51"/>
      <c r="C244" s="270"/>
      <c r="D244" s="27" t="s">
        <v>988</v>
      </c>
      <c r="E244" s="927">
        <f t="shared" ref="E244:N244" si="131">SUM(E243*LocPLG)</f>
        <v>3</v>
      </c>
      <c r="F244" s="927">
        <f t="shared" si="131"/>
        <v>3</v>
      </c>
      <c r="G244" s="927">
        <f t="shared" si="131"/>
        <v>3</v>
      </c>
      <c r="H244" s="927">
        <f t="shared" si="131"/>
        <v>3</v>
      </c>
      <c r="I244" s="927">
        <f t="shared" si="131"/>
        <v>3</v>
      </c>
      <c r="J244" s="927">
        <f t="shared" si="131"/>
        <v>3</v>
      </c>
      <c r="K244" s="927">
        <f t="shared" si="131"/>
        <v>3</v>
      </c>
      <c r="L244" s="927">
        <f t="shared" si="131"/>
        <v>3</v>
      </c>
      <c r="M244" s="927">
        <f t="shared" si="131"/>
        <v>3</v>
      </c>
      <c r="N244" s="927">
        <f t="shared" si="131"/>
        <v>3</v>
      </c>
      <c r="O244" s="897"/>
      <c r="P244" s="38"/>
      <c r="Q244" s="41"/>
      <c r="R244" s="41"/>
      <c r="S244" s="41"/>
      <c r="T244" s="41"/>
      <c r="U244" s="41"/>
      <c r="V244" s="41"/>
      <c r="W244" s="41"/>
      <c r="X244" s="41"/>
      <c r="Y244" s="41"/>
      <c r="Z244" s="41"/>
      <c r="AA244" s="41"/>
      <c r="AB244" s="41"/>
      <c r="AC244" s="41"/>
      <c r="AD244" s="41"/>
    </row>
    <row r="245" spans="1:30" s="38" customFormat="1" ht="12.75" hidden="1" customHeight="1" outlineLevel="1" x14ac:dyDescent="0.2">
      <c r="A245" s="116"/>
      <c r="B245" s="51"/>
      <c r="C245" s="256"/>
      <c r="D245" s="30"/>
      <c r="E245" s="30"/>
      <c r="F245" s="30"/>
      <c r="G245" s="30"/>
      <c r="H245" s="30"/>
      <c r="I245" s="30"/>
      <c r="J245" s="30"/>
      <c r="K245" s="30"/>
      <c r="L245" s="30"/>
      <c r="M245" s="30"/>
      <c r="N245" s="30"/>
      <c r="O245" s="897"/>
    </row>
    <row r="246" spans="1:30" s="14" customFormat="1" ht="14.1" hidden="1" customHeight="1" outlineLevel="1" x14ac:dyDescent="0.2">
      <c r="A246" s="116"/>
      <c r="B246" s="51"/>
      <c r="C246" s="270"/>
      <c r="D246" s="37" t="s">
        <v>990</v>
      </c>
      <c r="E246" s="913">
        <v>2</v>
      </c>
      <c r="F246" s="913">
        <v>2</v>
      </c>
      <c r="G246" s="913">
        <v>2</v>
      </c>
      <c r="H246" s="913">
        <v>2</v>
      </c>
      <c r="I246" s="913">
        <v>2</v>
      </c>
      <c r="J246" s="913">
        <v>2</v>
      </c>
      <c r="K246" s="913">
        <v>2</v>
      </c>
      <c r="L246" s="913">
        <v>2</v>
      </c>
      <c r="M246" s="913">
        <v>2</v>
      </c>
      <c r="N246" s="913">
        <v>2</v>
      </c>
      <c r="O246" s="897"/>
      <c r="P246" s="38"/>
      <c r="Q246" s="41"/>
      <c r="R246" s="41"/>
      <c r="S246" s="41"/>
      <c r="T246" s="41"/>
      <c r="U246" s="41"/>
      <c r="V246" s="41"/>
      <c r="W246" s="41"/>
      <c r="X246" s="41"/>
      <c r="Y246" s="41"/>
      <c r="Z246" s="41"/>
      <c r="AA246" s="41"/>
      <c r="AB246" s="41"/>
      <c r="AC246" s="41"/>
      <c r="AD246" s="41"/>
    </row>
    <row r="247" spans="1:30" s="14" customFormat="1" ht="14.1" hidden="1" customHeight="1" outlineLevel="1" x14ac:dyDescent="0.2">
      <c r="A247" s="116"/>
      <c r="B247" s="51"/>
      <c r="C247" s="270"/>
      <c r="D247" s="54" t="s">
        <v>683</v>
      </c>
      <c r="E247" s="914">
        <f t="shared" ref="E247:N247" si="132">SUM(E246*LocCRT)</f>
        <v>18</v>
      </c>
      <c r="F247" s="914">
        <f t="shared" si="132"/>
        <v>18</v>
      </c>
      <c r="G247" s="914">
        <f t="shared" si="132"/>
        <v>18</v>
      </c>
      <c r="H247" s="914">
        <f t="shared" si="132"/>
        <v>18</v>
      </c>
      <c r="I247" s="914">
        <f t="shared" si="132"/>
        <v>18</v>
      </c>
      <c r="J247" s="914">
        <f t="shared" si="132"/>
        <v>18</v>
      </c>
      <c r="K247" s="914">
        <f t="shared" si="132"/>
        <v>18</v>
      </c>
      <c r="L247" s="914">
        <f t="shared" si="132"/>
        <v>18</v>
      </c>
      <c r="M247" s="914">
        <f t="shared" si="132"/>
        <v>18</v>
      </c>
      <c r="N247" s="914">
        <f t="shared" si="132"/>
        <v>18</v>
      </c>
      <c r="O247" s="897"/>
      <c r="P247" s="38"/>
      <c r="Q247" s="41"/>
      <c r="R247" s="41"/>
      <c r="S247" s="41"/>
      <c r="T247" s="41"/>
      <c r="U247" s="41"/>
      <c r="V247" s="41"/>
      <c r="W247" s="41"/>
      <c r="X247" s="41"/>
      <c r="Y247" s="41"/>
      <c r="Z247" s="41"/>
      <c r="AA247" s="41"/>
      <c r="AB247" s="41"/>
      <c r="AC247" s="41"/>
      <c r="AD247" s="41"/>
    </row>
    <row r="248" spans="1:30" s="38" customFormat="1" ht="12.75" hidden="1" customHeight="1" outlineLevel="1" x14ac:dyDescent="0.2">
      <c r="A248" s="116"/>
      <c r="B248" s="51"/>
      <c r="C248" s="256"/>
      <c r="D248" s="30"/>
      <c r="E248" s="30"/>
      <c r="F248" s="30"/>
      <c r="G248" s="30"/>
      <c r="H248" s="30"/>
      <c r="I248" s="30"/>
      <c r="J248" s="30"/>
      <c r="K248" s="30"/>
      <c r="L248" s="30"/>
      <c r="M248" s="30"/>
      <c r="N248" s="30"/>
      <c r="O248" s="897"/>
    </row>
    <row r="249" spans="1:30" s="14" customFormat="1" ht="14.1" hidden="1" customHeight="1" outlineLevel="1" x14ac:dyDescent="0.2">
      <c r="A249" s="116"/>
      <c r="B249" s="51"/>
      <c r="C249" s="928"/>
      <c r="D249" s="37" t="s">
        <v>687</v>
      </c>
      <c r="E249" s="913">
        <v>2</v>
      </c>
      <c r="F249" s="913">
        <v>2</v>
      </c>
      <c r="G249" s="913">
        <v>2</v>
      </c>
      <c r="H249" s="913">
        <v>2</v>
      </c>
      <c r="I249" s="913">
        <v>2</v>
      </c>
      <c r="J249" s="913">
        <v>2</v>
      </c>
      <c r="K249" s="913">
        <v>2</v>
      </c>
      <c r="L249" s="913">
        <v>2</v>
      </c>
      <c r="M249" s="913">
        <v>2</v>
      </c>
      <c r="N249" s="913">
        <v>2</v>
      </c>
      <c r="O249" s="897"/>
      <c r="P249" s="38"/>
      <c r="Q249" s="41"/>
      <c r="R249" s="41"/>
      <c r="S249" s="41"/>
      <c r="T249" s="41"/>
      <c r="U249" s="41"/>
      <c r="V249" s="41"/>
      <c r="W249" s="41"/>
      <c r="X249" s="41"/>
      <c r="Y249" s="41"/>
      <c r="Z249" s="41"/>
      <c r="AA249" s="41"/>
      <c r="AB249" s="41"/>
      <c r="AC249" s="41"/>
      <c r="AD249" s="41"/>
    </row>
    <row r="250" spans="1:30" s="14" customFormat="1" ht="14.1" hidden="1" customHeight="1" outlineLevel="1" x14ac:dyDescent="0.2">
      <c r="A250" s="116"/>
      <c r="B250" s="51"/>
      <c r="C250" s="273"/>
      <c r="D250" s="54" t="s">
        <v>55</v>
      </c>
      <c r="E250" s="914">
        <f t="shared" ref="E250:N250" si="133">SUM(E249*LocSCL)</f>
        <v>16</v>
      </c>
      <c r="F250" s="914">
        <f t="shared" si="133"/>
        <v>18</v>
      </c>
      <c r="G250" s="914">
        <f t="shared" si="133"/>
        <v>18</v>
      </c>
      <c r="H250" s="914">
        <f t="shared" si="133"/>
        <v>18</v>
      </c>
      <c r="I250" s="914">
        <f t="shared" si="133"/>
        <v>18</v>
      </c>
      <c r="J250" s="914">
        <f t="shared" si="133"/>
        <v>18</v>
      </c>
      <c r="K250" s="914">
        <f t="shared" si="133"/>
        <v>18</v>
      </c>
      <c r="L250" s="914">
        <f t="shared" si="133"/>
        <v>18</v>
      </c>
      <c r="M250" s="914">
        <f t="shared" si="133"/>
        <v>18</v>
      </c>
      <c r="N250" s="914">
        <f t="shared" si="133"/>
        <v>18</v>
      </c>
      <c r="O250" s="897"/>
      <c r="P250" s="38"/>
      <c r="Q250" s="41"/>
      <c r="R250" s="41"/>
      <c r="S250" s="41"/>
      <c r="T250" s="41"/>
      <c r="U250" s="41"/>
      <c r="V250" s="41"/>
      <c r="W250" s="41"/>
      <c r="X250" s="41"/>
      <c r="Y250" s="41"/>
      <c r="Z250" s="41"/>
      <c r="AA250" s="41"/>
      <c r="AB250" s="41"/>
      <c r="AC250" s="41"/>
      <c r="AD250" s="41"/>
    </row>
    <row r="251" spans="1:30" s="38" customFormat="1" ht="12.75" hidden="1" customHeight="1" outlineLevel="1" x14ac:dyDescent="0.2">
      <c r="A251" s="116"/>
      <c r="B251" s="51"/>
      <c r="C251" s="256"/>
      <c r="D251" s="30"/>
      <c r="E251" s="30"/>
      <c r="F251" s="30"/>
      <c r="G251" s="30"/>
      <c r="H251" s="30"/>
      <c r="I251" s="30"/>
      <c r="J251" s="30"/>
      <c r="K251" s="30"/>
      <c r="L251" s="30"/>
      <c r="M251" s="30"/>
      <c r="N251" s="30"/>
      <c r="O251" s="897"/>
    </row>
    <row r="252" spans="1:30" s="14" customFormat="1" ht="14.1" hidden="1" customHeight="1" outlineLevel="1" x14ac:dyDescent="0.2">
      <c r="A252" s="116"/>
      <c r="B252" s="51"/>
      <c r="C252" s="928"/>
      <c r="D252" s="37" t="s">
        <v>686</v>
      </c>
      <c r="E252" s="913">
        <v>1</v>
      </c>
      <c r="F252" s="913">
        <v>1</v>
      </c>
      <c r="G252" s="913">
        <v>1</v>
      </c>
      <c r="H252" s="913">
        <v>1</v>
      </c>
      <c r="I252" s="913">
        <v>1</v>
      </c>
      <c r="J252" s="913">
        <v>1</v>
      </c>
      <c r="K252" s="913">
        <v>1</v>
      </c>
      <c r="L252" s="913">
        <v>1</v>
      </c>
      <c r="M252" s="913">
        <v>1</v>
      </c>
      <c r="N252" s="913">
        <v>1</v>
      </c>
      <c r="O252" s="897"/>
      <c r="P252" s="38"/>
      <c r="Q252" s="41"/>
      <c r="R252" s="41"/>
      <c r="S252" s="41"/>
      <c r="T252" s="41"/>
      <c r="U252" s="41"/>
      <c r="V252" s="41"/>
      <c r="W252" s="41"/>
      <c r="X252" s="41"/>
      <c r="Y252" s="41"/>
      <c r="Z252" s="41"/>
      <c r="AA252" s="41"/>
      <c r="AB252" s="41"/>
      <c r="AC252" s="41"/>
      <c r="AD252" s="41"/>
    </row>
    <row r="253" spans="1:30" s="14" customFormat="1" ht="14.1" hidden="1" customHeight="1" outlineLevel="1" x14ac:dyDescent="0.2">
      <c r="A253" s="116"/>
      <c r="B253" s="51"/>
      <c r="C253" s="274"/>
      <c r="D253" s="54" t="s">
        <v>684</v>
      </c>
      <c r="E253" s="914">
        <f t="shared" ref="E253:N253" si="134">SUM(E252*LocQSC)</f>
        <v>1</v>
      </c>
      <c r="F253" s="914">
        <f t="shared" si="134"/>
        <v>1</v>
      </c>
      <c r="G253" s="914">
        <f t="shared" si="134"/>
        <v>1</v>
      </c>
      <c r="H253" s="914">
        <f t="shared" si="134"/>
        <v>1</v>
      </c>
      <c r="I253" s="914">
        <f t="shared" si="134"/>
        <v>1</v>
      </c>
      <c r="J253" s="914">
        <f t="shared" si="134"/>
        <v>1</v>
      </c>
      <c r="K253" s="914">
        <f t="shared" si="134"/>
        <v>1</v>
      </c>
      <c r="L253" s="914">
        <f t="shared" si="134"/>
        <v>1</v>
      </c>
      <c r="M253" s="914">
        <f t="shared" si="134"/>
        <v>1</v>
      </c>
      <c r="N253" s="914">
        <f t="shared" si="134"/>
        <v>1</v>
      </c>
      <c r="O253" s="897"/>
      <c r="P253" s="38"/>
      <c r="Q253" s="41"/>
      <c r="R253" s="41"/>
      <c r="S253" s="41"/>
      <c r="T253" s="41"/>
      <c r="U253" s="41"/>
      <c r="V253" s="41"/>
      <c r="W253" s="41"/>
      <c r="X253" s="41"/>
      <c r="Y253" s="41"/>
      <c r="Z253" s="41"/>
      <c r="AA253" s="41"/>
      <c r="AB253" s="41"/>
      <c r="AC253" s="41"/>
      <c r="AD253" s="41"/>
    </row>
    <row r="254" spans="1:30" s="38" customFormat="1" ht="12.75" hidden="1" customHeight="1" outlineLevel="1" x14ac:dyDescent="0.2">
      <c r="A254" s="116"/>
      <c r="B254" s="51"/>
      <c r="C254" s="256"/>
      <c r="D254" s="30"/>
      <c r="E254" s="30"/>
      <c r="F254" s="30"/>
      <c r="G254" s="30"/>
      <c r="H254" s="30"/>
      <c r="I254" s="30"/>
      <c r="J254" s="30"/>
      <c r="K254" s="30"/>
      <c r="L254" s="30"/>
      <c r="M254" s="30"/>
      <c r="N254" s="30"/>
      <c r="O254" s="897"/>
    </row>
    <row r="255" spans="1:30" s="14" customFormat="1" ht="14.1" hidden="1" customHeight="1" outlineLevel="1" x14ac:dyDescent="0.2">
      <c r="A255" s="116"/>
      <c r="B255" s="51"/>
      <c r="C255" s="928"/>
      <c r="D255" s="37" t="s">
        <v>685</v>
      </c>
      <c r="E255" s="913">
        <v>1</v>
      </c>
      <c r="F255" s="913">
        <v>1</v>
      </c>
      <c r="G255" s="913">
        <v>1</v>
      </c>
      <c r="H255" s="913">
        <v>1</v>
      </c>
      <c r="I255" s="913">
        <v>1</v>
      </c>
      <c r="J255" s="913">
        <v>1</v>
      </c>
      <c r="K255" s="913">
        <v>1</v>
      </c>
      <c r="L255" s="913">
        <v>1</v>
      </c>
      <c r="M255" s="913">
        <v>1</v>
      </c>
      <c r="N255" s="913">
        <v>1</v>
      </c>
      <c r="O255" s="897"/>
      <c r="P255" s="38"/>
      <c r="Q255" s="41"/>
      <c r="R255" s="41"/>
      <c r="S255" s="41"/>
      <c r="T255" s="41"/>
      <c r="U255" s="41"/>
      <c r="V255" s="41"/>
      <c r="W255" s="41"/>
      <c r="X255" s="41"/>
      <c r="Y255" s="41"/>
      <c r="Z255" s="41"/>
      <c r="AA255" s="41"/>
      <c r="AB255" s="41"/>
      <c r="AC255" s="41"/>
      <c r="AD255" s="41"/>
    </row>
    <row r="256" spans="1:30" s="14" customFormat="1" ht="14.1" hidden="1" customHeight="1" outlineLevel="1" x14ac:dyDescent="0.2">
      <c r="A256" s="116"/>
      <c r="B256" s="51"/>
      <c r="C256" s="273"/>
      <c r="D256" s="54" t="s">
        <v>691</v>
      </c>
      <c r="E256" s="914">
        <f t="shared" ref="E256:N256" si="135">SUM(E255*LocEM)</f>
        <v>2</v>
      </c>
      <c r="F256" s="914">
        <f t="shared" si="135"/>
        <v>2</v>
      </c>
      <c r="G256" s="914">
        <f t="shared" si="135"/>
        <v>2</v>
      </c>
      <c r="H256" s="914">
        <f t="shared" si="135"/>
        <v>2</v>
      </c>
      <c r="I256" s="914">
        <f t="shared" si="135"/>
        <v>2</v>
      </c>
      <c r="J256" s="914">
        <f t="shared" si="135"/>
        <v>2</v>
      </c>
      <c r="K256" s="914">
        <f t="shared" si="135"/>
        <v>2</v>
      </c>
      <c r="L256" s="914">
        <f t="shared" si="135"/>
        <v>2</v>
      </c>
      <c r="M256" s="914">
        <f t="shared" si="135"/>
        <v>2</v>
      </c>
      <c r="N256" s="914">
        <f t="shared" si="135"/>
        <v>2</v>
      </c>
      <c r="O256" s="897"/>
      <c r="P256" s="38"/>
      <c r="Q256" s="41"/>
      <c r="R256" s="41"/>
      <c r="S256" s="41"/>
      <c r="T256" s="41"/>
      <c r="U256" s="41"/>
      <c r="V256" s="41"/>
      <c r="W256" s="41"/>
      <c r="X256" s="41"/>
      <c r="Y256" s="41"/>
      <c r="Z256" s="41"/>
      <c r="AA256" s="41"/>
      <c r="AB256" s="41"/>
      <c r="AC256" s="41"/>
      <c r="AD256" s="41"/>
    </row>
    <row r="257" spans="1:30" s="38" customFormat="1" ht="12.75" hidden="1" customHeight="1" outlineLevel="1" x14ac:dyDescent="0.2">
      <c r="A257" s="116"/>
      <c r="B257" s="51"/>
      <c r="C257" s="256"/>
      <c r="D257" s="30"/>
      <c r="E257" s="30"/>
      <c r="F257" s="30"/>
      <c r="G257" s="30"/>
      <c r="H257" s="30"/>
      <c r="I257" s="30"/>
      <c r="J257" s="30"/>
      <c r="K257" s="30"/>
      <c r="L257" s="30"/>
      <c r="M257" s="30"/>
      <c r="N257" s="30"/>
      <c r="O257" s="897"/>
    </row>
    <row r="258" spans="1:30" s="14" customFormat="1" ht="14.1" hidden="1" customHeight="1" outlineLevel="1" x14ac:dyDescent="0.2">
      <c r="A258" s="116"/>
      <c r="B258" s="51"/>
      <c r="C258" s="928"/>
      <c r="D258" s="37" t="s">
        <v>689</v>
      </c>
      <c r="E258" s="913">
        <v>1</v>
      </c>
      <c r="F258" s="913">
        <v>1</v>
      </c>
      <c r="G258" s="913">
        <v>1</v>
      </c>
      <c r="H258" s="913">
        <v>1</v>
      </c>
      <c r="I258" s="913">
        <v>1</v>
      </c>
      <c r="J258" s="913">
        <v>1</v>
      </c>
      <c r="K258" s="913">
        <v>1</v>
      </c>
      <c r="L258" s="913">
        <v>1</v>
      </c>
      <c r="M258" s="913">
        <v>1</v>
      </c>
      <c r="N258" s="913">
        <v>1</v>
      </c>
      <c r="O258" s="897"/>
      <c r="P258" s="38"/>
      <c r="Q258" s="41"/>
      <c r="R258" s="41"/>
      <c r="S258" s="41"/>
      <c r="T258" s="41"/>
      <c r="U258" s="41"/>
      <c r="V258" s="41"/>
      <c r="W258" s="41"/>
      <c r="X258" s="41"/>
      <c r="Y258" s="41"/>
      <c r="Z258" s="41"/>
      <c r="AA258" s="41"/>
      <c r="AB258" s="41"/>
      <c r="AC258" s="41"/>
      <c r="AD258" s="41"/>
    </row>
    <row r="259" spans="1:30" s="14" customFormat="1" ht="14.1" hidden="1" customHeight="1" outlineLevel="1" x14ac:dyDescent="0.2">
      <c r="A259" s="116"/>
      <c r="B259" s="51"/>
      <c r="C259" s="273"/>
      <c r="D259" s="54" t="s">
        <v>690</v>
      </c>
      <c r="E259" s="914">
        <f t="shared" ref="E259:N259" si="136">SUM(E258*LocCM)</f>
        <v>3</v>
      </c>
      <c r="F259" s="914">
        <f t="shared" si="136"/>
        <v>3</v>
      </c>
      <c r="G259" s="914">
        <f t="shared" si="136"/>
        <v>3</v>
      </c>
      <c r="H259" s="914">
        <f t="shared" si="136"/>
        <v>3</v>
      </c>
      <c r="I259" s="914">
        <f t="shared" si="136"/>
        <v>3</v>
      </c>
      <c r="J259" s="914">
        <f t="shared" si="136"/>
        <v>3</v>
      </c>
      <c r="K259" s="914">
        <f t="shared" si="136"/>
        <v>3</v>
      </c>
      <c r="L259" s="914">
        <f t="shared" si="136"/>
        <v>3</v>
      </c>
      <c r="M259" s="914">
        <f t="shared" si="136"/>
        <v>3</v>
      </c>
      <c r="N259" s="914">
        <f t="shared" si="136"/>
        <v>3</v>
      </c>
      <c r="O259" s="897"/>
      <c r="P259" s="38"/>
      <c r="Q259" s="41"/>
      <c r="R259" s="41"/>
      <c r="S259" s="41"/>
      <c r="T259" s="41"/>
      <c r="U259" s="41"/>
      <c r="V259" s="41"/>
      <c r="W259" s="41"/>
      <c r="X259" s="41"/>
      <c r="Y259" s="41"/>
      <c r="Z259" s="41"/>
      <c r="AA259" s="41"/>
      <c r="AB259" s="41"/>
      <c r="AC259" s="41"/>
      <c r="AD259" s="41"/>
    </row>
    <row r="260" spans="1:30" s="38" customFormat="1" ht="12.75" hidden="1" customHeight="1" outlineLevel="1" x14ac:dyDescent="0.2">
      <c r="A260" s="116"/>
      <c r="B260" s="51"/>
      <c r="C260" s="256"/>
      <c r="D260" s="30"/>
      <c r="E260" s="30"/>
      <c r="F260" s="30"/>
      <c r="G260" s="30"/>
      <c r="H260" s="30"/>
      <c r="I260" s="30"/>
      <c r="J260" s="30"/>
      <c r="K260" s="30"/>
      <c r="L260" s="30"/>
      <c r="M260" s="30"/>
      <c r="N260" s="30"/>
      <c r="O260" s="897"/>
    </row>
    <row r="261" spans="1:30" s="14" customFormat="1" ht="14.1" hidden="1" customHeight="1" outlineLevel="1" x14ac:dyDescent="0.2">
      <c r="A261" s="116"/>
      <c r="B261" s="51"/>
      <c r="C261" s="928"/>
      <c r="D261" s="37" t="s">
        <v>693</v>
      </c>
      <c r="E261" s="913">
        <v>1</v>
      </c>
      <c r="F261" s="913">
        <v>1</v>
      </c>
      <c r="G261" s="913">
        <v>1</v>
      </c>
      <c r="H261" s="913">
        <v>1</v>
      </c>
      <c r="I261" s="913">
        <v>1</v>
      </c>
      <c r="J261" s="913">
        <v>1</v>
      </c>
      <c r="K261" s="913">
        <v>1</v>
      </c>
      <c r="L261" s="913">
        <v>1</v>
      </c>
      <c r="M261" s="913">
        <v>1</v>
      </c>
      <c r="N261" s="913">
        <v>1</v>
      </c>
      <c r="O261" s="897"/>
      <c r="P261" s="38"/>
      <c r="Q261" s="41"/>
      <c r="R261" s="41"/>
      <c r="S261" s="41"/>
      <c r="T261" s="41"/>
      <c r="U261" s="41"/>
      <c r="V261" s="41"/>
      <c r="W261" s="41"/>
      <c r="X261" s="41"/>
      <c r="Y261" s="41"/>
      <c r="Z261" s="41"/>
      <c r="AA261" s="41"/>
      <c r="AB261" s="41"/>
      <c r="AC261" s="41"/>
      <c r="AD261" s="41"/>
    </row>
    <row r="262" spans="1:30" s="14" customFormat="1" ht="14.1" hidden="1" customHeight="1" outlineLevel="1" x14ac:dyDescent="0.2">
      <c r="A262" s="116"/>
      <c r="B262" s="51"/>
      <c r="C262" s="273"/>
      <c r="D262" s="54" t="s">
        <v>692</v>
      </c>
      <c r="E262" s="914">
        <f t="shared" ref="E262:N262" si="137">SUM(E261*LocSMCS)</f>
        <v>3</v>
      </c>
      <c r="F262" s="914">
        <f t="shared" si="137"/>
        <v>3</v>
      </c>
      <c r="G262" s="914">
        <f t="shared" si="137"/>
        <v>3</v>
      </c>
      <c r="H262" s="914">
        <f t="shared" si="137"/>
        <v>3</v>
      </c>
      <c r="I262" s="914">
        <f t="shared" si="137"/>
        <v>3</v>
      </c>
      <c r="J262" s="914">
        <f t="shared" si="137"/>
        <v>3</v>
      </c>
      <c r="K262" s="914">
        <f t="shared" si="137"/>
        <v>3</v>
      </c>
      <c r="L262" s="914">
        <f t="shared" si="137"/>
        <v>3</v>
      </c>
      <c r="M262" s="914">
        <f t="shared" si="137"/>
        <v>3</v>
      </c>
      <c r="N262" s="914">
        <f t="shared" si="137"/>
        <v>3</v>
      </c>
      <c r="O262" s="897"/>
      <c r="P262" s="38"/>
      <c r="Q262" s="41"/>
      <c r="R262" s="41"/>
      <c r="S262" s="41"/>
      <c r="T262" s="41"/>
      <c r="U262" s="41"/>
      <c r="V262" s="41"/>
      <c r="W262" s="41"/>
      <c r="X262" s="41"/>
      <c r="Y262" s="41"/>
      <c r="Z262" s="41"/>
      <c r="AA262" s="41"/>
      <c r="AB262" s="41"/>
      <c r="AC262" s="41"/>
      <c r="AD262" s="41"/>
    </row>
    <row r="263" spans="1:30" s="38" customFormat="1" ht="12.75" hidden="1" customHeight="1" outlineLevel="1" x14ac:dyDescent="0.2">
      <c r="A263" s="116"/>
      <c r="B263" s="51"/>
      <c r="C263" s="256"/>
      <c r="D263" s="30"/>
      <c r="E263" s="30"/>
      <c r="F263" s="30"/>
      <c r="G263" s="30"/>
      <c r="H263" s="30"/>
      <c r="I263" s="30"/>
      <c r="J263" s="30"/>
      <c r="K263" s="30"/>
      <c r="L263" s="30"/>
      <c r="M263" s="30"/>
      <c r="N263" s="30"/>
      <c r="O263" s="897"/>
    </row>
    <row r="264" spans="1:30" s="14" customFormat="1" ht="14.1" hidden="1" customHeight="1" outlineLevel="1" x14ac:dyDescent="0.2">
      <c r="A264" s="116"/>
      <c r="B264" s="51"/>
      <c r="C264" s="928"/>
      <c r="D264" s="37" t="s">
        <v>694</v>
      </c>
      <c r="E264" s="913">
        <v>0</v>
      </c>
      <c r="F264" s="913">
        <v>0</v>
      </c>
      <c r="G264" s="913">
        <v>0</v>
      </c>
      <c r="H264" s="913">
        <v>0</v>
      </c>
      <c r="I264" s="913">
        <v>0</v>
      </c>
      <c r="J264" s="913">
        <v>0</v>
      </c>
      <c r="K264" s="913">
        <v>0</v>
      </c>
      <c r="L264" s="913">
        <v>0</v>
      </c>
      <c r="M264" s="913">
        <v>0</v>
      </c>
      <c r="N264" s="913">
        <v>0</v>
      </c>
      <c r="O264" s="897"/>
      <c r="P264" s="38"/>
      <c r="Q264" s="41"/>
      <c r="R264" s="41"/>
      <c r="S264" s="41"/>
      <c r="T264" s="41"/>
      <c r="U264" s="41"/>
      <c r="V264" s="41"/>
      <c r="W264" s="41"/>
      <c r="X264" s="41"/>
      <c r="Y264" s="41"/>
      <c r="Z264" s="41"/>
      <c r="AA264" s="41"/>
      <c r="AB264" s="41"/>
      <c r="AC264" s="41"/>
      <c r="AD264" s="41"/>
    </row>
    <row r="265" spans="1:30" s="14" customFormat="1" ht="14.1" hidden="1" customHeight="1" outlineLevel="1" x14ac:dyDescent="0.2">
      <c r="A265" s="116"/>
      <c r="B265" s="51"/>
      <c r="C265" s="273"/>
      <c r="D265" s="54" t="s">
        <v>695</v>
      </c>
      <c r="E265" s="914">
        <f t="shared" ref="E265:N265" si="138">SUM(E264*LocO1)</f>
        <v>0</v>
      </c>
      <c r="F265" s="914">
        <f t="shared" si="138"/>
        <v>0</v>
      </c>
      <c r="G265" s="914">
        <f t="shared" si="138"/>
        <v>0</v>
      </c>
      <c r="H265" s="914">
        <f t="shared" si="138"/>
        <v>0</v>
      </c>
      <c r="I265" s="914">
        <f t="shared" si="138"/>
        <v>0</v>
      </c>
      <c r="J265" s="914">
        <f t="shared" si="138"/>
        <v>0</v>
      </c>
      <c r="K265" s="914">
        <f t="shared" si="138"/>
        <v>0</v>
      </c>
      <c r="L265" s="914">
        <f t="shared" si="138"/>
        <v>0</v>
      </c>
      <c r="M265" s="914">
        <f t="shared" si="138"/>
        <v>0</v>
      </c>
      <c r="N265" s="914">
        <f t="shared" si="138"/>
        <v>0</v>
      </c>
      <c r="O265" s="897"/>
      <c r="P265" s="38"/>
      <c r="Q265" s="41"/>
      <c r="R265" s="41"/>
      <c r="S265" s="41"/>
      <c r="T265" s="41"/>
      <c r="U265" s="41"/>
      <c r="V265" s="41"/>
      <c r="W265" s="41"/>
      <c r="X265" s="41"/>
      <c r="Y265" s="41"/>
      <c r="Z265" s="41"/>
      <c r="AA265" s="41"/>
      <c r="AB265" s="41"/>
      <c r="AC265" s="41"/>
      <c r="AD265" s="41"/>
    </row>
    <row r="266" spans="1:30" s="38" customFormat="1" ht="12.75" hidden="1" customHeight="1" outlineLevel="1" x14ac:dyDescent="0.2">
      <c r="A266" s="116"/>
      <c r="B266" s="51"/>
      <c r="C266" s="256"/>
      <c r="D266" s="30"/>
      <c r="E266" s="30"/>
      <c r="F266" s="30"/>
      <c r="G266" s="30"/>
      <c r="H266" s="30"/>
      <c r="I266" s="30"/>
      <c r="J266" s="30"/>
      <c r="K266" s="30"/>
      <c r="L266" s="30"/>
      <c r="M266" s="30"/>
      <c r="N266" s="30"/>
      <c r="O266" s="897"/>
    </row>
    <row r="267" spans="1:30" s="14" customFormat="1" ht="14.1" hidden="1" customHeight="1" outlineLevel="1" x14ac:dyDescent="0.2">
      <c r="A267" s="116"/>
      <c r="B267" s="51"/>
      <c r="C267" s="928"/>
      <c r="D267" s="37" t="s">
        <v>696</v>
      </c>
      <c r="E267" s="913">
        <v>0</v>
      </c>
      <c r="F267" s="913">
        <v>0</v>
      </c>
      <c r="G267" s="913">
        <v>0</v>
      </c>
      <c r="H267" s="913">
        <v>0</v>
      </c>
      <c r="I267" s="913">
        <v>0</v>
      </c>
      <c r="J267" s="913">
        <v>0</v>
      </c>
      <c r="K267" s="913">
        <v>0</v>
      </c>
      <c r="L267" s="913">
        <v>0</v>
      </c>
      <c r="M267" s="913">
        <v>0</v>
      </c>
      <c r="N267" s="913">
        <v>0</v>
      </c>
      <c r="O267" s="897"/>
      <c r="P267" s="38"/>
      <c r="Q267" s="41"/>
      <c r="R267" s="41"/>
      <c r="S267" s="41"/>
      <c r="T267" s="41"/>
      <c r="U267" s="41"/>
      <c r="V267" s="41"/>
      <c r="W267" s="41"/>
      <c r="X267" s="41"/>
      <c r="Y267" s="41"/>
      <c r="Z267" s="41"/>
      <c r="AA267" s="41"/>
      <c r="AB267" s="41"/>
      <c r="AC267" s="41"/>
      <c r="AD267" s="41"/>
    </row>
    <row r="268" spans="1:30" s="14" customFormat="1" ht="14.1" hidden="1" customHeight="1" outlineLevel="1" x14ac:dyDescent="0.2">
      <c r="A268" s="116"/>
      <c r="B268" s="51"/>
      <c r="C268" s="273"/>
      <c r="D268" s="54" t="s">
        <v>697</v>
      </c>
      <c r="E268" s="914">
        <f t="shared" ref="E268:N268" si="139">SUM(E267*LocO2)</f>
        <v>0</v>
      </c>
      <c r="F268" s="914">
        <f t="shared" si="139"/>
        <v>0</v>
      </c>
      <c r="G268" s="914">
        <f t="shared" si="139"/>
        <v>0</v>
      </c>
      <c r="H268" s="914">
        <f t="shared" si="139"/>
        <v>0</v>
      </c>
      <c r="I268" s="914">
        <f t="shared" si="139"/>
        <v>0</v>
      </c>
      <c r="J268" s="914">
        <f t="shared" si="139"/>
        <v>0</v>
      </c>
      <c r="K268" s="914">
        <f t="shared" si="139"/>
        <v>0</v>
      </c>
      <c r="L268" s="914">
        <f t="shared" si="139"/>
        <v>0</v>
      </c>
      <c r="M268" s="914">
        <f t="shared" si="139"/>
        <v>0</v>
      </c>
      <c r="N268" s="914">
        <f t="shared" si="139"/>
        <v>0</v>
      </c>
      <c r="O268" s="897"/>
      <c r="P268" s="38"/>
      <c r="Q268" s="41"/>
      <c r="R268" s="41"/>
      <c r="S268" s="41"/>
      <c r="T268" s="41"/>
      <c r="U268" s="41"/>
      <c r="V268" s="41"/>
      <c r="W268" s="41"/>
      <c r="X268" s="41"/>
      <c r="Y268" s="41"/>
      <c r="Z268" s="41"/>
      <c r="AA268" s="41"/>
      <c r="AB268" s="41"/>
      <c r="AC268" s="41"/>
      <c r="AD268" s="41"/>
    </row>
    <row r="269" spans="1:30" s="191" customFormat="1" ht="14.1" hidden="1" customHeight="1" outlineLevel="1" x14ac:dyDescent="0.2">
      <c r="A269" s="116"/>
      <c r="B269" s="55"/>
      <c r="C269" s="256"/>
      <c r="D269" s="30"/>
      <c r="E269" s="50"/>
      <c r="F269" s="50"/>
      <c r="G269" s="50"/>
      <c r="H269" s="30"/>
      <c r="I269" s="30"/>
      <c r="J269" s="50"/>
      <c r="K269" s="50"/>
      <c r="L269" s="50"/>
      <c r="M269" s="50"/>
      <c r="N269" s="50"/>
      <c r="O269" s="897"/>
      <c r="P269" s="30"/>
      <c r="Q269" s="180"/>
      <c r="R269" s="180"/>
      <c r="S269" s="180"/>
      <c r="T269" s="180"/>
      <c r="U269" s="180"/>
      <c r="V269" s="180"/>
      <c r="W269" s="180"/>
      <c r="X269" s="180"/>
      <c r="Y269" s="180"/>
      <c r="Z269" s="180"/>
      <c r="AA269" s="180"/>
      <c r="AB269" s="180"/>
      <c r="AC269" s="180"/>
      <c r="AD269" s="180"/>
    </row>
    <row r="270" spans="1:30" s="14" customFormat="1" hidden="1" outlineLevel="1" x14ac:dyDescent="0.2">
      <c r="A270" s="116"/>
      <c r="B270" s="51"/>
      <c r="C270" s="270"/>
      <c r="D270" s="921" t="s">
        <v>127</v>
      </c>
      <c r="E270" s="292">
        <f>SUM(E268+E265+E262+E259+E256+E253+E250+E247+E244+E238+E235+E232)</f>
        <v>84</v>
      </c>
      <c r="F270" s="292">
        <f t="shared" ref="F270:N270" si="140">SUM(F268+F265+F262+F259+F256+F253+F250+F247+F244+F238+F235+F232)</f>
        <v>89</v>
      </c>
      <c r="G270" s="292">
        <f t="shared" si="140"/>
        <v>89</v>
      </c>
      <c r="H270" s="292">
        <f t="shared" si="140"/>
        <v>89</v>
      </c>
      <c r="I270" s="292">
        <f t="shared" si="140"/>
        <v>89</v>
      </c>
      <c r="J270" s="292">
        <f t="shared" si="140"/>
        <v>89</v>
      </c>
      <c r="K270" s="292">
        <f t="shared" si="140"/>
        <v>89</v>
      </c>
      <c r="L270" s="292">
        <f t="shared" si="140"/>
        <v>89</v>
      </c>
      <c r="M270" s="292">
        <f t="shared" si="140"/>
        <v>89</v>
      </c>
      <c r="N270" s="292">
        <f t="shared" si="140"/>
        <v>89</v>
      </c>
      <c r="O270" s="257" t="s">
        <v>699</v>
      </c>
      <c r="P270" s="38"/>
      <c r="Q270" s="41"/>
      <c r="R270" s="41"/>
      <c r="S270" s="41"/>
      <c r="T270" s="41"/>
      <c r="U270" s="41"/>
      <c r="V270" s="41"/>
      <c r="W270" s="41"/>
      <c r="X270" s="41"/>
      <c r="Y270" s="41"/>
      <c r="Z270" s="41"/>
      <c r="AA270" s="41"/>
      <c r="AB270" s="41"/>
      <c r="AC270" s="41"/>
      <c r="AD270" s="41"/>
    </row>
    <row r="271" spans="1:30" s="191" customFormat="1" ht="13.5" hidden="1" outlineLevel="1" thickBot="1" x14ac:dyDescent="0.25">
      <c r="A271" s="116"/>
      <c r="B271" s="51"/>
      <c r="C271" s="170"/>
      <c r="D271" s="851"/>
      <c r="E271" s="931"/>
      <c r="F271" s="931"/>
      <c r="G271" s="931"/>
      <c r="H271" s="931"/>
      <c r="I271" s="931"/>
      <c r="J271" s="931"/>
      <c r="K271" s="931"/>
      <c r="L271" s="931"/>
      <c r="M271" s="931"/>
      <c r="N271" s="931"/>
      <c r="O271" s="810"/>
      <c r="P271" s="30"/>
      <c r="Q271" s="180"/>
      <c r="R271" s="180"/>
      <c r="S271" s="180"/>
      <c r="T271" s="180"/>
      <c r="U271" s="180"/>
      <c r="V271" s="180"/>
      <c r="W271" s="180"/>
      <c r="X271" s="180"/>
      <c r="Y271" s="180"/>
      <c r="Z271" s="180"/>
      <c r="AA271" s="180"/>
      <c r="AB271" s="180"/>
      <c r="AC271" s="180"/>
      <c r="AD271" s="180"/>
    </row>
    <row r="272" spans="1:30" s="191" customFormat="1" ht="13.5" hidden="1" outlineLevel="1" thickBot="1" x14ac:dyDescent="0.25">
      <c r="A272" s="116"/>
      <c r="B272" s="55"/>
      <c r="C272" s="30"/>
      <c r="D272" s="820"/>
      <c r="E272" s="932"/>
      <c r="F272" s="932"/>
      <c r="G272" s="932"/>
      <c r="H272" s="932"/>
      <c r="I272" s="932"/>
      <c r="J272" s="932"/>
      <c r="K272" s="932"/>
      <c r="L272" s="932"/>
      <c r="M272" s="932"/>
      <c r="N272" s="932"/>
      <c r="O272" s="180"/>
      <c r="P272" s="180"/>
      <c r="Q272" s="180"/>
      <c r="R272" s="180"/>
      <c r="S272" s="180"/>
      <c r="T272" s="180"/>
      <c r="U272" s="180"/>
      <c r="V272" s="180"/>
      <c r="W272" s="180"/>
      <c r="X272" s="180"/>
      <c r="Y272" s="180"/>
      <c r="Z272" s="180"/>
      <c r="AA272" s="180"/>
      <c r="AB272" s="180"/>
      <c r="AC272" s="180"/>
      <c r="AD272" s="180"/>
    </row>
    <row r="273" spans="1:30" s="116" customFormat="1" ht="20.100000000000001" hidden="1" customHeight="1" outlineLevel="1" x14ac:dyDescent="0.2">
      <c r="B273" s="911"/>
      <c r="C273" s="933" t="str">
        <f>Scenario3&amp;" - Numbers of MFDs Required"</f>
        <v>eSystems (Paperless) - Numbers of MFDs Required</v>
      </c>
      <c r="D273" s="269"/>
      <c r="E273" s="269"/>
      <c r="F273" s="269"/>
      <c r="G273" s="269"/>
      <c r="H273" s="269"/>
      <c r="I273" s="269"/>
      <c r="J273" s="269"/>
      <c r="K273" s="269"/>
      <c r="L273" s="269"/>
      <c r="M273" s="269"/>
      <c r="N273" s="269"/>
      <c r="O273" s="925"/>
      <c r="P273" s="113"/>
      <c r="Q273" s="114"/>
      <c r="R273" s="114"/>
      <c r="S273" s="114"/>
      <c r="T273" s="114"/>
      <c r="U273" s="114"/>
      <c r="V273" s="114"/>
      <c r="W273" s="114"/>
      <c r="X273" s="114"/>
      <c r="Y273" s="114"/>
      <c r="Z273" s="114"/>
      <c r="AA273" s="114"/>
      <c r="AB273" s="114"/>
      <c r="AC273" s="114"/>
      <c r="AD273" s="114"/>
    </row>
    <row r="274" spans="1:30" s="38" customFormat="1" hidden="1" outlineLevel="1" x14ac:dyDescent="0.2">
      <c r="B274" s="51"/>
      <c r="C274" s="256"/>
      <c r="D274" s="30"/>
      <c r="E274" s="30"/>
      <c r="F274" s="30"/>
      <c r="G274" s="30"/>
      <c r="H274" s="30"/>
      <c r="I274" s="30"/>
      <c r="J274" s="30"/>
      <c r="K274" s="30"/>
      <c r="L274" s="30"/>
      <c r="M274" s="30"/>
      <c r="N274" s="30"/>
      <c r="O274" s="897"/>
    </row>
    <row r="275" spans="1:30" s="14" customFormat="1" ht="14.1" hidden="1" customHeight="1" outlineLevel="1" x14ac:dyDescent="0.2">
      <c r="A275" s="38"/>
      <c r="B275" s="51"/>
      <c r="C275" s="270"/>
      <c r="D275" s="37" t="s">
        <v>26</v>
      </c>
      <c r="E275" s="913">
        <v>1</v>
      </c>
      <c r="F275" s="913">
        <v>1</v>
      </c>
      <c r="G275" s="913">
        <v>1</v>
      </c>
      <c r="H275" s="913">
        <v>1</v>
      </c>
      <c r="I275" s="913">
        <v>1</v>
      </c>
      <c r="J275" s="913">
        <v>1</v>
      </c>
      <c r="K275" s="913">
        <v>1</v>
      </c>
      <c r="L275" s="913">
        <v>1</v>
      </c>
      <c r="M275" s="913">
        <v>1</v>
      </c>
      <c r="N275" s="913">
        <v>1</v>
      </c>
      <c r="O275" s="271"/>
      <c r="P275" s="38"/>
      <c r="Q275" s="41"/>
      <c r="R275" s="41"/>
      <c r="S275" s="41"/>
      <c r="T275" s="41"/>
      <c r="U275" s="41"/>
      <c r="V275" s="41"/>
      <c r="W275" s="41"/>
      <c r="X275" s="41"/>
      <c r="Y275" s="41"/>
      <c r="Z275" s="41"/>
      <c r="AA275" s="41"/>
      <c r="AB275" s="41"/>
      <c r="AC275" s="41"/>
      <c r="AD275" s="41"/>
    </row>
    <row r="276" spans="1:30" s="14" customFormat="1" ht="14.1" hidden="1" customHeight="1" outlineLevel="1" x14ac:dyDescent="0.2">
      <c r="A276" s="38"/>
      <c r="B276" s="51"/>
      <c r="C276" s="270"/>
      <c r="D276" s="27" t="s">
        <v>28</v>
      </c>
      <c r="E276" s="914">
        <f t="shared" ref="E276:N276" si="141">SUM(E275*LocTransit)</f>
        <v>19</v>
      </c>
      <c r="F276" s="914">
        <f t="shared" si="141"/>
        <v>20</v>
      </c>
      <c r="G276" s="914">
        <f t="shared" si="141"/>
        <v>20</v>
      </c>
      <c r="H276" s="914">
        <f t="shared" si="141"/>
        <v>20</v>
      </c>
      <c r="I276" s="914">
        <f t="shared" si="141"/>
        <v>20</v>
      </c>
      <c r="J276" s="914">
        <f t="shared" si="141"/>
        <v>20</v>
      </c>
      <c r="K276" s="914">
        <f t="shared" si="141"/>
        <v>20</v>
      </c>
      <c r="L276" s="914">
        <f t="shared" si="141"/>
        <v>20</v>
      </c>
      <c r="M276" s="914">
        <f t="shared" si="141"/>
        <v>20</v>
      </c>
      <c r="N276" s="914">
        <f t="shared" si="141"/>
        <v>20</v>
      </c>
      <c r="O276" s="271"/>
      <c r="P276" s="38"/>
      <c r="Q276" s="41"/>
      <c r="R276" s="41"/>
      <c r="S276" s="41"/>
      <c r="T276" s="41"/>
      <c r="U276" s="41"/>
      <c r="V276" s="41"/>
      <c r="W276" s="41"/>
      <c r="X276" s="41"/>
      <c r="Y276" s="41"/>
      <c r="Z276" s="41"/>
      <c r="AA276" s="41"/>
      <c r="AB276" s="41"/>
      <c r="AC276" s="41"/>
      <c r="AD276" s="41"/>
    </row>
    <row r="277" spans="1:30" s="38" customFormat="1" ht="12.75" hidden="1" customHeight="1" outlineLevel="1" x14ac:dyDescent="0.2">
      <c r="B277" s="51"/>
      <c r="C277" s="256"/>
      <c r="D277" s="30"/>
      <c r="E277" s="30"/>
      <c r="F277" s="30"/>
      <c r="G277" s="30"/>
      <c r="H277" s="30"/>
      <c r="I277" s="30"/>
      <c r="J277" s="30"/>
      <c r="K277" s="30"/>
      <c r="L277" s="30"/>
      <c r="M277" s="30"/>
      <c r="N277" s="30"/>
      <c r="O277" s="916"/>
    </row>
    <row r="278" spans="1:30" s="14" customFormat="1" ht="14.1" hidden="1" customHeight="1" outlineLevel="1" x14ac:dyDescent="0.2">
      <c r="A278" s="38"/>
      <c r="B278" s="51"/>
      <c r="C278" s="270"/>
      <c r="D278" s="37" t="s">
        <v>25</v>
      </c>
      <c r="E278" s="913">
        <v>1</v>
      </c>
      <c r="F278" s="913">
        <v>2</v>
      </c>
      <c r="G278" s="913">
        <v>2</v>
      </c>
      <c r="H278" s="913">
        <v>2</v>
      </c>
      <c r="I278" s="913">
        <v>2</v>
      </c>
      <c r="J278" s="913">
        <v>2</v>
      </c>
      <c r="K278" s="913">
        <v>2</v>
      </c>
      <c r="L278" s="913">
        <v>2</v>
      </c>
      <c r="M278" s="913">
        <v>2</v>
      </c>
      <c r="N278" s="913">
        <v>2</v>
      </c>
      <c r="O278" s="271"/>
      <c r="P278" s="38"/>
      <c r="Q278" s="41"/>
      <c r="R278" s="41"/>
      <c r="S278" s="41"/>
      <c r="T278" s="41"/>
      <c r="U278" s="41"/>
      <c r="V278" s="41"/>
      <c r="W278" s="41"/>
      <c r="X278" s="41"/>
      <c r="Y278" s="41"/>
      <c r="Z278" s="41"/>
      <c r="AA278" s="41"/>
      <c r="AB278" s="41"/>
      <c r="AC278" s="41"/>
      <c r="AD278" s="41"/>
    </row>
    <row r="279" spans="1:30" s="14" customFormat="1" ht="14.1" hidden="1" customHeight="1" outlineLevel="1" x14ac:dyDescent="0.2">
      <c r="A279" s="38"/>
      <c r="B279" s="893"/>
      <c r="C279" s="272"/>
      <c r="D279" s="27" t="s">
        <v>29</v>
      </c>
      <c r="E279" s="914">
        <f t="shared" ref="E279:N279" si="142">SUM(E278*LocLM)</f>
        <v>8</v>
      </c>
      <c r="F279" s="914">
        <f t="shared" si="142"/>
        <v>18</v>
      </c>
      <c r="G279" s="914">
        <f t="shared" si="142"/>
        <v>18</v>
      </c>
      <c r="H279" s="914">
        <f t="shared" si="142"/>
        <v>18</v>
      </c>
      <c r="I279" s="914">
        <f t="shared" si="142"/>
        <v>18</v>
      </c>
      <c r="J279" s="914">
        <f t="shared" si="142"/>
        <v>18</v>
      </c>
      <c r="K279" s="914">
        <f t="shared" si="142"/>
        <v>18</v>
      </c>
      <c r="L279" s="914">
        <f t="shared" si="142"/>
        <v>18</v>
      </c>
      <c r="M279" s="914">
        <f t="shared" si="142"/>
        <v>18</v>
      </c>
      <c r="N279" s="914">
        <f t="shared" si="142"/>
        <v>18</v>
      </c>
      <c r="O279" s="271"/>
      <c r="P279" s="38"/>
      <c r="Q279" s="41"/>
      <c r="R279" s="41"/>
      <c r="S279" s="41"/>
      <c r="T279" s="41"/>
      <c r="U279" s="41"/>
      <c r="V279" s="41"/>
      <c r="W279" s="41"/>
      <c r="X279" s="41"/>
      <c r="Y279" s="41"/>
      <c r="Z279" s="41"/>
      <c r="AA279" s="41"/>
      <c r="AB279" s="41"/>
      <c r="AC279" s="41"/>
      <c r="AD279" s="41"/>
    </row>
    <row r="280" spans="1:30" s="38" customFormat="1" ht="12.75" hidden="1" customHeight="1" outlineLevel="1" x14ac:dyDescent="0.2">
      <c r="B280" s="51"/>
      <c r="C280" s="256"/>
      <c r="D280" s="30"/>
      <c r="E280" s="30"/>
      <c r="F280" s="30"/>
      <c r="G280" s="30"/>
      <c r="H280" s="30"/>
      <c r="I280" s="30"/>
      <c r="J280" s="30"/>
      <c r="K280" s="30"/>
      <c r="L280" s="30"/>
      <c r="M280" s="30"/>
      <c r="N280" s="30"/>
      <c r="O280" s="916"/>
    </row>
    <row r="281" spans="1:30" s="14" customFormat="1" ht="14.1" hidden="1" customHeight="1" outlineLevel="1" x14ac:dyDescent="0.2">
      <c r="A281" s="38"/>
      <c r="B281" s="51"/>
      <c r="C281" s="270"/>
      <c r="D281" s="37" t="s">
        <v>27</v>
      </c>
      <c r="E281" s="913">
        <v>2</v>
      </c>
      <c r="F281" s="913">
        <v>3</v>
      </c>
      <c r="G281" s="913">
        <v>3</v>
      </c>
      <c r="H281" s="913">
        <v>3</v>
      </c>
      <c r="I281" s="913">
        <v>3</v>
      </c>
      <c r="J281" s="913">
        <v>3</v>
      </c>
      <c r="K281" s="913">
        <v>3</v>
      </c>
      <c r="L281" s="913">
        <v>3</v>
      </c>
      <c r="M281" s="913">
        <v>3</v>
      </c>
      <c r="N281" s="913">
        <v>3</v>
      </c>
      <c r="O281" s="897"/>
      <c r="P281" s="38"/>
      <c r="Q281" s="41"/>
      <c r="R281" s="41"/>
      <c r="S281" s="41"/>
      <c r="T281" s="41"/>
      <c r="U281" s="41"/>
      <c r="V281" s="41"/>
      <c r="W281" s="41"/>
      <c r="X281" s="41"/>
      <c r="Y281" s="41"/>
      <c r="Z281" s="41"/>
      <c r="AA281" s="41"/>
      <c r="AB281" s="41"/>
      <c r="AC281" s="41"/>
      <c r="AD281" s="41"/>
    </row>
    <row r="282" spans="1:30" s="14" customFormat="1" ht="14.1" hidden="1" customHeight="1" outlineLevel="1" x14ac:dyDescent="0.2">
      <c r="A282" s="38"/>
      <c r="B282" s="51"/>
      <c r="C282" s="270"/>
      <c r="D282" s="27" t="s">
        <v>30</v>
      </c>
      <c r="E282" s="914">
        <f t="shared" ref="E282:N282" si="143">SUM(E281*LocHM)</f>
        <v>2</v>
      </c>
      <c r="F282" s="914">
        <f t="shared" si="143"/>
        <v>3</v>
      </c>
      <c r="G282" s="914">
        <f t="shared" si="143"/>
        <v>3</v>
      </c>
      <c r="H282" s="914">
        <f t="shared" si="143"/>
        <v>3</v>
      </c>
      <c r="I282" s="914">
        <f t="shared" si="143"/>
        <v>3</v>
      </c>
      <c r="J282" s="914">
        <f t="shared" si="143"/>
        <v>3</v>
      </c>
      <c r="K282" s="914">
        <f t="shared" si="143"/>
        <v>3</v>
      </c>
      <c r="L282" s="914">
        <f t="shared" si="143"/>
        <v>3</v>
      </c>
      <c r="M282" s="914">
        <f t="shared" si="143"/>
        <v>3</v>
      </c>
      <c r="N282" s="914">
        <f t="shared" si="143"/>
        <v>3</v>
      </c>
      <c r="O282" s="897"/>
      <c r="P282" s="38"/>
      <c r="Q282" s="41"/>
      <c r="R282" s="41"/>
      <c r="S282" s="41"/>
      <c r="T282" s="41"/>
      <c r="U282" s="41"/>
      <c r="V282" s="41"/>
      <c r="W282" s="41"/>
      <c r="X282" s="41"/>
      <c r="Y282" s="41"/>
      <c r="Z282" s="41"/>
      <c r="AA282" s="41"/>
      <c r="AB282" s="41"/>
      <c r="AC282" s="41"/>
      <c r="AD282" s="41"/>
    </row>
    <row r="283" spans="1:30" s="38" customFormat="1" ht="12.75" hidden="1" customHeight="1" outlineLevel="1" x14ac:dyDescent="0.2">
      <c r="B283" s="51"/>
      <c r="C283" s="256"/>
      <c r="D283" s="30"/>
      <c r="E283" s="30"/>
      <c r="F283" s="30"/>
      <c r="G283" s="30"/>
      <c r="H283" s="30"/>
      <c r="I283" s="30"/>
      <c r="J283" s="30"/>
      <c r="K283" s="30"/>
      <c r="L283" s="30"/>
      <c r="M283" s="30"/>
      <c r="N283" s="30"/>
      <c r="O283" s="897"/>
    </row>
    <row r="284" spans="1:30" s="14" customFormat="1" ht="14.1" hidden="1" customHeight="1" outlineLevel="1" x14ac:dyDescent="0.2">
      <c r="A284" s="38"/>
      <c r="B284" s="51"/>
      <c r="C284" s="270"/>
      <c r="D284" s="37" t="s">
        <v>985</v>
      </c>
      <c r="E284" s="926">
        <v>3</v>
      </c>
      <c r="F284" s="926">
        <v>3</v>
      </c>
      <c r="G284" s="926">
        <v>3</v>
      </c>
      <c r="H284" s="926">
        <v>3</v>
      </c>
      <c r="I284" s="926">
        <v>3</v>
      </c>
      <c r="J284" s="926">
        <v>3</v>
      </c>
      <c r="K284" s="926">
        <v>3</v>
      </c>
      <c r="L284" s="926">
        <v>3</v>
      </c>
      <c r="M284" s="926">
        <v>3</v>
      </c>
      <c r="N284" s="926">
        <v>3</v>
      </c>
      <c r="O284" s="897"/>
      <c r="P284" s="38"/>
      <c r="Q284" s="41"/>
      <c r="R284" s="41"/>
      <c r="S284" s="41"/>
      <c r="T284" s="41"/>
      <c r="U284" s="41"/>
      <c r="V284" s="41"/>
      <c r="W284" s="41"/>
      <c r="X284" s="41"/>
      <c r="Y284" s="41"/>
      <c r="Z284" s="41"/>
      <c r="AA284" s="41"/>
      <c r="AB284" s="41"/>
      <c r="AC284" s="41"/>
      <c r="AD284" s="41"/>
    </row>
    <row r="285" spans="1:30" s="14" customFormat="1" ht="14.1" hidden="1" customHeight="1" outlineLevel="1" x14ac:dyDescent="0.2">
      <c r="A285" s="38"/>
      <c r="B285" s="51"/>
      <c r="C285" s="270"/>
      <c r="D285" s="27" t="s">
        <v>986</v>
      </c>
      <c r="E285" s="927">
        <f t="shared" ref="E285:N285" si="144">SUM(E284*LocENG)</f>
        <v>3</v>
      </c>
      <c r="F285" s="927">
        <f t="shared" si="144"/>
        <v>3</v>
      </c>
      <c r="G285" s="927">
        <f t="shared" si="144"/>
        <v>3</v>
      </c>
      <c r="H285" s="927">
        <f t="shared" si="144"/>
        <v>3</v>
      </c>
      <c r="I285" s="927">
        <f t="shared" si="144"/>
        <v>3</v>
      </c>
      <c r="J285" s="927">
        <f t="shared" si="144"/>
        <v>3</v>
      </c>
      <c r="K285" s="927">
        <f t="shared" si="144"/>
        <v>3</v>
      </c>
      <c r="L285" s="927">
        <f t="shared" si="144"/>
        <v>3</v>
      </c>
      <c r="M285" s="927">
        <f t="shared" si="144"/>
        <v>3</v>
      </c>
      <c r="N285" s="927">
        <f t="shared" si="144"/>
        <v>3</v>
      </c>
      <c r="O285" s="897"/>
      <c r="P285" s="38"/>
      <c r="Q285" s="41"/>
      <c r="R285" s="41"/>
      <c r="S285" s="41"/>
      <c r="T285" s="41"/>
      <c r="U285" s="41"/>
      <c r="V285" s="41"/>
      <c r="W285" s="41"/>
      <c r="X285" s="41"/>
      <c r="Y285" s="41"/>
      <c r="Z285" s="41"/>
      <c r="AA285" s="41"/>
      <c r="AB285" s="41"/>
      <c r="AC285" s="41"/>
      <c r="AD285" s="41"/>
    </row>
    <row r="286" spans="1:30" s="38" customFormat="1" ht="12.75" hidden="1" customHeight="1" outlineLevel="1" x14ac:dyDescent="0.2">
      <c r="B286" s="51"/>
      <c r="C286" s="256"/>
      <c r="D286" s="30"/>
      <c r="E286" s="30"/>
      <c r="F286" s="30"/>
      <c r="G286" s="30"/>
      <c r="H286" s="30"/>
      <c r="I286" s="30"/>
      <c r="J286" s="30"/>
      <c r="K286" s="30"/>
      <c r="L286" s="30"/>
      <c r="M286" s="30"/>
      <c r="N286" s="30"/>
      <c r="O286" s="897"/>
    </row>
    <row r="287" spans="1:30" s="14" customFormat="1" ht="14.1" hidden="1" customHeight="1" outlineLevel="1" x14ac:dyDescent="0.2">
      <c r="A287" s="38"/>
      <c r="B287" s="51"/>
      <c r="C287" s="270"/>
      <c r="D287" s="37" t="s">
        <v>987</v>
      </c>
      <c r="E287" s="926">
        <v>3</v>
      </c>
      <c r="F287" s="926">
        <v>3</v>
      </c>
      <c r="G287" s="926">
        <v>3</v>
      </c>
      <c r="H287" s="926">
        <v>3</v>
      </c>
      <c r="I287" s="926">
        <v>3</v>
      </c>
      <c r="J287" s="926">
        <v>3</v>
      </c>
      <c r="K287" s="926">
        <v>3</v>
      </c>
      <c r="L287" s="926">
        <v>3</v>
      </c>
      <c r="M287" s="926">
        <v>3</v>
      </c>
      <c r="N287" s="926">
        <v>3</v>
      </c>
      <c r="O287" s="897"/>
      <c r="P287" s="38"/>
      <c r="Q287" s="41"/>
      <c r="R287" s="41"/>
      <c r="S287" s="41"/>
      <c r="T287" s="41"/>
      <c r="U287" s="41"/>
      <c r="V287" s="41"/>
      <c r="W287" s="41"/>
      <c r="X287" s="41"/>
      <c r="Y287" s="41"/>
      <c r="Z287" s="41"/>
      <c r="AA287" s="41"/>
      <c r="AB287" s="41"/>
      <c r="AC287" s="41"/>
      <c r="AD287" s="41"/>
    </row>
    <row r="288" spans="1:30" s="14" customFormat="1" ht="14.1" hidden="1" customHeight="1" outlineLevel="1" x14ac:dyDescent="0.2">
      <c r="A288" s="38"/>
      <c r="B288" s="51"/>
      <c r="C288" s="270"/>
      <c r="D288" s="27" t="s">
        <v>988</v>
      </c>
      <c r="E288" s="927">
        <f t="shared" ref="E288:N288" si="145">SUM(E287*LocPLG)</f>
        <v>3</v>
      </c>
      <c r="F288" s="927">
        <f t="shared" si="145"/>
        <v>3</v>
      </c>
      <c r="G288" s="927">
        <f t="shared" si="145"/>
        <v>3</v>
      </c>
      <c r="H288" s="927">
        <f t="shared" si="145"/>
        <v>3</v>
      </c>
      <c r="I288" s="927">
        <f t="shared" si="145"/>
        <v>3</v>
      </c>
      <c r="J288" s="927">
        <f t="shared" si="145"/>
        <v>3</v>
      </c>
      <c r="K288" s="927">
        <f t="shared" si="145"/>
        <v>3</v>
      </c>
      <c r="L288" s="927">
        <f t="shared" si="145"/>
        <v>3</v>
      </c>
      <c r="M288" s="927">
        <f t="shared" si="145"/>
        <v>3</v>
      </c>
      <c r="N288" s="927">
        <f t="shared" si="145"/>
        <v>3</v>
      </c>
      <c r="O288" s="897"/>
      <c r="P288" s="38"/>
      <c r="Q288" s="41"/>
      <c r="R288" s="41"/>
      <c r="S288" s="41"/>
      <c r="T288" s="41"/>
      <c r="U288" s="41"/>
      <c r="V288" s="41"/>
      <c r="W288" s="41"/>
      <c r="X288" s="41"/>
      <c r="Y288" s="41"/>
      <c r="Z288" s="41"/>
      <c r="AA288" s="41"/>
      <c r="AB288" s="41"/>
      <c r="AC288" s="41"/>
      <c r="AD288" s="41"/>
    </row>
    <row r="289" spans="1:30" s="38" customFormat="1" ht="12.75" hidden="1" customHeight="1" outlineLevel="1" x14ac:dyDescent="0.2">
      <c r="B289" s="51"/>
      <c r="C289" s="256"/>
      <c r="D289" s="30"/>
      <c r="E289" s="30"/>
      <c r="F289" s="30"/>
      <c r="G289" s="30"/>
      <c r="H289" s="30"/>
      <c r="I289" s="30"/>
      <c r="J289" s="30"/>
      <c r="K289" s="30"/>
      <c r="L289" s="30"/>
      <c r="M289" s="30"/>
      <c r="N289" s="30"/>
      <c r="O289" s="897"/>
    </row>
    <row r="290" spans="1:30" s="14" customFormat="1" ht="14.1" hidden="1" customHeight="1" outlineLevel="1" x14ac:dyDescent="0.2">
      <c r="A290" s="38"/>
      <c r="B290" s="51"/>
      <c r="C290" s="270"/>
      <c r="D290" s="37" t="s">
        <v>688</v>
      </c>
      <c r="E290" s="913">
        <v>2</v>
      </c>
      <c r="F290" s="913">
        <v>2</v>
      </c>
      <c r="G290" s="913">
        <v>2</v>
      </c>
      <c r="H290" s="913">
        <v>2</v>
      </c>
      <c r="I290" s="913">
        <v>2</v>
      </c>
      <c r="J290" s="913">
        <v>2</v>
      </c>
      <c r="K290" s="913">
        <v>2</v>
      </c>
      <c r="L290" s="913">
        <v>2</v>
      </c>
      <c r="M290" s="913">
        <v>2</v>
      </c>
      <c r="N290" s="913">
        <v>2</v>
      </c>
      <c r="O290" s="897"/>
      <c r="P290" s="38"/>
      <c r="Q290" s="41"/>
      <c r="R290" s="41"/>
      <c r="S290" s="41"/>
      <c r="T290" s="41"/>
      <c r="U290" s="41"/>
      <c r="V290" s="41"/>
      <c r="W290" s="41"/>
      <c r="X290" s="41"/>
      <c r="Y290" s="41"/>
      <c r="Z290" s="41"/>
      <c r="AA290" s="41"/>
      <c r="AB290" s="41"/>
      <c r="AC290" s="41"/>
      <c r="AD290" s="41"/>
    </row>
    <row r="291" spans="1:30" s="14" customFormat="1" ht="14.1" hidden="1" customHeight="1" outlineLevel="1" x14ac:dyDescent="0.2">
      <c r="A291" s="38"/>
      <c r="B291" s="51"/>
      <c r="C291" s="270"/>
      <c r="D291" s="54" t="s">
        <v>683</v>
      </c>
      <c r="E291" s="914">
        <f t="shared" ref="E291:N291" si="146">SUM(E290*LocCRT)</f>
        <v>18</v>
      </c>
      <c r="F291" s="914">
        <f t="shared" si="146"/>
        <v>18</v>
      </c>
      <c r="G291" s="914">
        <f t="shared" si="146"/>
        <v>18</v>
      </c>
      <c r="H291" s="914">
        <f t="shared" si="146"/>
        <v>18</v>
      </c>
      <c r="I291" s="914">
        <f t="shared" si="146"/>
        <v>18</v>
      </c>
      <c r="J291" s="914">
        <f t="shared" si="146"/>
        <v>18</v>
      </c>
      <c r="K291" s="914">
        <f t="shared" si="146"/>
        <v>18</v>
      </c>
      <c r="L291" s="914">
        <f t="shared" si="146"/>
        <v>18</v>
      </c>
      <c r="M291" s="914">
        <f t="shared" si="146"/>
        <v>18</v>
      </c>
      <c r="N291" s="914">
        <f t="shared" si="146"/>
        <v>18</v>
      </c>
      <c r="O291" s="897"/>
      <c r="P291" s="38"/>
      <c r="Q291" s="41"/>
      <c r="R291" s="41"/>
      <c r="S291" s="41"/>
      <c r="T291" s="41"/>
      <c r="U291" s="41"/>
      <c r="V291" s="41"/>
      <c r="W291" s="41"/>
      <c r="X291" s="41"/>
      <c r="Y291" s="41"/>
      <c r="Z291" s="41"/>
      <c r="AA291" s="41"/>
      <c r="AB291" s="41"/>
      <c r="AC291" s="41"/>
      <c r="AD291" s="41"/>
    </row>
    <row r="292" spans="1:30" s="38" customFormat="1" ht="12.75" hidden="1" customHeight="1" outlineLevel="1" x14ac:dyDescent="0.2">
      <c r="B292" s="51"/>
      <c r="C292" s="256"/>
      <c r="D292" s="30"/>
      <c r="E292" s="30"/>
      <c r="F292" s="30"/>
      <c r="G292" s="30"/>
      <c r="H292" s="30"/>
      <c r="I292" s="30"/>
      <c r="J292" s="30"/>
      <c r="K292" s="30"/>
      <c r="L292" s="30"/>
      <c r="M292" s="30"/>
      <c r="N292" s="30"/>
      <c r="O292" s="897"/>
    </row>
    <row r="293" spans="1:30" s="14" customFormat="1" ht="14.1" hidden="1" customHeight="1" outlineLevel="1" x14ac:dyDescent="0.2">
      <c r="A293" s="38"/>
      <c r="B293" s="51"/>
      <c r="C293" s="928"/>
      <c r="D293" s="37" t="s">
        <v>687</v>
      </c>
      <c r="E293" s="913">
        <v>2</v>
      </c>
      <c r="F293" s="913">
        <v>2</v>
      </c>
      <c r="G293" s="913">
        <v>2</v>
      </c>
      <c r="H293" s="913">
        <v>2</v>
      </c>
      <c r="I293" s="913">
        <v>2</v>
      </c>
      <c r="J293" s="913">
        <v>2</v>
      </c>
      <c r="K293" s="913">
        <v>2</v>
      </c>
      <c r="L293" s="913">
        <v>2</v>
      </c>
      <c r="M293" s="913">
        <v>2</v>
      </c>
      <c r="N293" s="913">
        <v>2</v>
      </c>
      <c r="O293" s="897"/>
      <c r="P293" s="38"/>
      <c r="Q293" s="41"/>
      <c r="R293" s="41"/>
      <c r="S293" s="41"/>
      <c r="T293" s="41"/>
      <c r="U293" s="41"/>
      <c r="V293" s="41"/>
      <c r="W293" s="41"/>
      <c r="X293" s="41"/>
      <c r="Y293" s="41"/>
      <c r="Z293" s="41"/>
      <c r="AA293" s="41"/>
      <c r="AB293" s="41"/>
      <c r="AC293" s="41"/>
      <c r="AD293" s="41"/>
    </row>
    <row r="294" spans="1:30" s="14" customFormat="1" ht="14.1" hidden="1" customHeight="1" outlineLevel="1" x14ac:dyDescent="0.2">
      <c r="A294" s="38"/>
      <c r="B294" s="51"/>
      <c r="C294" s="273"/>
      <c r="D294" s="54" t="s">
        <v>55</v>
      </c>
      <c r="E294" s="914">
        <f t="shared" ref="E294:N294" si="147">SUM(E293*LocSCL)</f>
        <v>16</v>
      </c>
      <c r="F294" s="914">
        <f t="shared" si="147"/>
        <v>18</v>
      </c>
      <c r="G294" s="914">
        <f t="shared" si="147"/>
        <v>18</v>
      </c>
      <c r="H294" s="914">
        <f t="shared" si="147"/>
        <v>18</v>
      </c>
      <c r="I294" s="914">
        <f t="shared" si="147"/>
        <v>18</v>
      </c>
      <c r="J294" s="914">
        <f t="shared" si="147"/>
        <v>18</v>
      </c>
      <c r="K294" s="914">
        <f t="shared" si="147"/>
        <v>18</v>
      </c>
      <c r="L294" s="914">
        <f t="shared" si="147"/>
        <v>18</v>
      </c>
      <c r="M294" s="914">
        <f t="shared" si="147"/>
        <v>18</v>
      </c>
      <c r="N294" s="914">
        <f t="shared" si="147"/>
        <v>18</v>
      </c>
      <c r="O294" s="897"/>
      <c r="P294" s="38"/>
      <c r="Q294" s="41"/>
      <c r="R294" s="41"/>
      <c r="S294" s="41"/>
      <c r="T294" s="41"/>
      <c r="U294" s="41"/>
      <c r="V294" s="41"/>
      <c r="W294" s="41"/>
      <c r="X294" s="41"/>
      <c r="Y294" s="41"/>
      <c r="Z294" s="41"/>
      <c r="AA294" s="41"/>
      <c r="AB294" s="41"/>
      <c r="AC294" s="41"/>
      <c r="AD294" s="41"/>
    </row>
    <row r="295" spans="1:30" s="38" customFormat="1" ht="12.75" hidden="1" customHeight="1" outlineLevel="1" x14ac:dyDescent="0.2">
      <c r="B295" s="51"/>
      <c r="C295" s="256"/>
      <c r="D295" s="30"/>
      <c r="E295" s="30"/>
      <c r="F295" s="30"/>
      <c r="G295" s="30"/>
      <c r="H295" s="30"/>
      <c r="I295" s="30"/>
      <c r="J295" s="30"/>
      <c r="K295" s="30"/>
      <c r="L295" s="30"/>
      <c r="M295" s="30"/>
      <c r="N295" s="30"/>
      <c r="O295" s="897"/>
    </row>
    <row r="296" spans="1:30" s="14" customFormat="1" ht="14.1" hidden="1" customHeight="1" outlineLevel="1" x14ac:dyDescent="0.2">
      <c r="A296" s="38"/>
      <c r="B296" s="51"/>
      <c r="C296" s="928"/>
      <c r="D296" s="37" t="s">
        <v>686</v>
      </c>
      <c r="E296" s="913">
        <v>1</v>
      </c>
      <c r="F296" s="913">
        <v>1</v>
      </c>
      <c r="G296" s="913">
        <v>1</v>
      </c>
      <c r="H296" s="913">
        <v>1</v>
      </c>
      <c r="I296" s="913">
        <v>1</v>
      </c>
      <c r="J296" s="913">
        <v>1</v>
      </c>
      <c r="K296" s="913">
        <v>1</v>
      </c>
      <c r="L296" s="913">
        <v>1</v>
      </c>
      <c r="M296" s="913">
        <v>1</v>
      </c>
      <c r="N296" s="913">
        <v>1</v>
      </c>
      <c r="O296" s="897"/>
      <c r="P296" s="38"/>
      <c r="Q296" s="41"/>
      <c r="R296" s="41"/>
      <c r="S296" s="41"/>
      <c r="T296" s="41"/>
      <c r="U296" s="41"/>
      <c r="V296" s="41"/>
      <c r="W296" s="41"/>
      <c r="X296" s="41"/>
      <c r="Y296" s="41"/>
      <c r="Z296" s="41"/>
      <c r="AA296" s="41"/>
      <c r="AB296" s="41"/>
      <c r="AC296" s="41"/>
      <c r="AD296" s="41"/>
    </row>
    <row r="297" spans="1:30" s="14" customFormat="1" ht="14.1" hidden="1" customHeight="1" outlineLevel="1" x14ac:dyDescent="0.2">
      <c r="A297" s="38"/>
      <c r="B297" s="51"/>
      <c r="C297" s="274"/>
      <c r="D297" s="54" t="s">
        <v>684</v>
      </c>
      <c r="E297" s="914">
        <f t="shared" ref="E297:N297" si="148">SUM(E296*LocQSC)</f>
        <v>1</v>
      </c>
      <c r="F297" s="914">
        <f t="shared" si="148"/>
        <v>1</v>
      </c>
      <c r="G297" s="914">
        <f t="shared" si="148"/>
        <v>1</v>
      </c>
      <c r="H297" s="914">
        <f t="shared" si="148"/>
        <v>1</v>
      </c>
      <c r="I297" s="914">
        <f t="shared" si="148"/>
        <v>1</v>
      </c>
      <c r="J297" s="914">
        <f t="shared" si="148"/>
        <v>1</v>
      </c>
      <c r="K297" s="914">
        <f t="shared" si="148"/>
        <v>1</v>
      </c>
      <c r="L297" s="914">
        <f t="shared" si="148"/>
        <v>1</v>
      </c>
      <c r="M297" s="914">
        <f t="shared" si="148"/>
        <v>1</v>
      </c>
      <c r="N297" s="914">
        <f t="shared" si="148"/>
        <v>1</v>
      </c>
      <c r="O297" s="897"/>
      <c r="P297" s="38"/>
      <c r="Q297" s="41"/>
      <c r="R297" s="41"/>
      <c r="S297" s="41"/>
      <c r="T297" s="41"/>
      <c r="U297" s="41"/>
      <c r="V297" s="41"/>
      <c r="W297" s="41"/>
      <c r="X297" s="41"/>
      <c r="Y297" s="41"/>
      <c r="Z297" s="41"/>
      <c r="AA297" s="41"/>
      <c r="AB297" s="41"/>
      <c r="AC297" s="41"/>
      <c r="AD297" s="41"/>
    </row>
    <row r="298" spans="1:30" s="38" customFormat="1" ht="12.75" hidden="1" customHeight="1" outlineLevel="1" x14ac:dyDescent="0.2">
      <c r="B298" s="51"/>
      <c r="C298" s="256"/>
      <c r="D298" s="30"/>
      <c r="E298" s="30"/>
      <c r="F298" s="30"/>
      <c r="G298" s="30"/>
      <c r="H298" s="30"/>
      <c r="I298" s="30"/>
      <c r="J298" s="30"/>
      <c r="K298" s="30"/>
      <c r="L298" s="30"/>
      <c r="M298" s="30"/>
      <c r="N298" s="30"/>
      <c r="O298" s="897"/>
    </row>
    <row r="299" spans="1:30" s="14" customFormat="1" ht="14.1" hidden="1" customHeight="1" outlineLevel="1" x14ac:dyDescent="0.2">
      <c r="A299" s="38"/>
      <c r="B299" s="51"/>
      <c r="C299" s="928"/>
      <c r="D299" s="37" t="s">
        <v>685</v>
      </c>
      <c r="E299" s="913">
        <v>1</v>
      </c>
      <c r="F299" s="913">
        <v>1</v>
      </c>
      <c r="G299" s="913">
        <v>1</v>
      </c>
      <c r="H299" s="913">
        <v>1</v>
      </c>
      <c r="I299" s="913">
        <v>1</v>
      </c>
      <c r="J299" s="913">
        <v>1</v>
      </c>
      <c r="K299" s="913">
        <v>1</v>
      </c>
      <c r="L299" s="913">
        <v>1</v>
      </c>
      <c r="M299" s="913">
        <v>1</v>
      </c>
      <c r="N299" s="913">
        <v>1</v>
      </c>
      <c r="O299" s="897"/>
      <c r="P299" s="38"/>
      <c r="Q299" s="41"/>
      <c r="R299" s="41"/>
      <c r="S299" s="41"/>
      <c r="T299" s="41"/>
      <c r="U299" s="41"/>
      <c r="V299" s="41"/>
      <c r="W299" s="41"/>
      <c r="X299" s="41"/>
      <c r="Y299" s="41"/>
      <c r="Z299" s="41"/>
      <c r="AA299" s="41"/>
      <c r="AB299" s="41"/>
      <c r="AC299" s="41"/>
      <c r="AD299" s="41"/>
    </row>
    <row r="300" spans="1:30" s="14" customFormat="1" ht="14.1" hidden="1" customHeight="1" outlineLevel="1" x14ac:dyDescent="0.2">
      <c r="A300" s="38"/>
      <c r="B300" s="51"/>
      <c r="C300" s="273"/>
      <c r="D300" s="54" t="s">
        <v>691</v>
      </c>
      <c r="E300" s="914">
        <f t="shared" ref="E300:N300" si="149">SUM(E299*LocEM)</f>
        <v>2</v>
      </c>
      <c r="F300" s="914">
        <f t="shared" si="149"/>
        <v>2</v>
      </c>
      <c r="G300" s="914">
        <f t="shared" si="149"/>
        <v>2</v>
      </c>
      <c r="H300" s="914">
        <f t="shared" si="149"/>
        <v>2</v>
      </c>
      <c r="I300" s="914">
        <f t="shared" si="149"/>
        <v>2</v>
      </c>
      <c r="J300" s="914">
        <f t="shared" si="149"/>
        <v>2</v>
      </c>
      <c r="K300" s="914">
        <f t="shared" si="149"/>
        <v>2</v>
      </c>
      <c r="L300" s="914">
        <f t="shared" si="149"/>
        <v>2</v>
      </c>
      <c r="M300" s="914">
        <f t="shared" si="149"/>
        <v>2</v>
      </c>
      <c r="N300" s="914">
        <f t="shared" si="149"/>
        <v>2</v>
      </c>
      <c r="O300" s="897"/>
      <c r="P300" s="38"/>
      <c r="Q300" s="41"/>
      <c r="R300" s="41"/>
      <c r="S300" s="41"/>
      <c r="T300" s="41"/>
      <c r="U300" s="41"/>
      <c r="V300" s="41"/>
      <c r="W300" s="41"/>
      <c r="X300" s="41"/>
      <c r="Y300" s="41"/>
      <c r="Z300" s="41"/>
      <c r="AA300" s="41"/>
      <c r="AB300" s="41"/>
      <c r="AC300" s="41"/>
      <c r="AD300" s="41"/>
    </row>
    <row r="301" spans="1:30" s="38" customFormat="1" ht="12.75" hidden="1" customHeight="1" outlineLevel="1" x14ac:dyDescent="0.2">
      <c r="B301" s="51"/>
      <c r="C301" s="256"/>
      <c r="D301" s="30"/>
      <c r="E301" s="30"/>
      <c r="F301" s="30"/>
      <c r="G301" s="30"/>
      <c r="H301" s="30"/>
      <c r="I301" s="30"/>
      <c r="J301" s="30"/>
      <c r="K301" s="30"/>
      <c r="L301" s="30"/>
      <c r="M301" s="30"/>
      <c r="N301" s="30"/>
      <c r="O301" s="897"/>
    </row>
    <row r="302" spans="1:30" s="14" customFormat="1" ht="14.1" hidden="1" customHeight="1" outlineLevel="1" x14ac:dyDescent="0.2">
      <c r="A302" s="38"/>
      <c r="B302" s="51"/>
      <c r="C302" s="928"/>
      <c r="D302" s="37" t="s">
        <v>689</v>
      </c>
      <c r="E302" s="913">
        <v>1</v>
      </c>
      <c r="F302" s="913">
        <v>1</v>
      </c>
      <c r="G302" s="913">
        <v>1</v>
      </c>
      <c r="H302" s="913">
        <v>1</v>
      </c>
      <c r="I302" s="913">
        <v>1</v>
      </c>
      <c r="J302" s="913">
        <v>1</v>
      </c>
      <c r="K302" s="913">
        <v>1</v>
      </c>
      <c r="L302" s="913">
        <v>1</v>
      </c>
      <c r="M302" s="913">
        <v>1</v>
      </c>
      <c r="N302" s="913">
        <v>1</v>
      </c>
      <c r="O302" s="897"/>
      <c r="P302" s="38"/>
      <c r="Q302" s="41"/>
      <c r="R302" s="41"/>
      <c r="S302" s="41"/>
      <c r="T302" s="41"/>
      <c r="U302" s="41"/>
      <c r="V302" s="41"/>
      <c r="W302" s="41"/>
      <c r="X302" s="41"/>
      <c r="Y302" s="41"/>
      <c r="Z302" s="41"/>
      <c r="AA302" s="41"/>
      <c r="AB302" s="41"/>
      <c r="AC302" s="41"/>
      <c r="AD302" s="41"/>
    </row>
    <row r="303" spans="1:30" s="14" customFormat="1" ht="14.1" hidden="1" customHeight="1" outlineLevel="1" x14ac:dyDescent="0.2">
      <c r="A303" s="38"/>
      <c r="B303" s="51"/>
      <c r="C303" s="273"/>
      <c r="D303" s="54" t="s">
        <v>690</v>
      </c>
      <c r="E303" s="914">
        <f t="shared" ref="E303:N303" si="150">SUM(E302*LocCM)</f>
        <v>3</v>
      </c>
      <c r="F303" s="914">
        <f t="shared" si="150"/>
        <v>3</v>
      </c>
      <c r="G303" s="914">
        <f t="shared" si="150"/>
        <v>3</v>
      </c>
      <c r="H303" s="914">
        <f t="shared" si="150"/>
        <v>3</v>
      </c>
      <c r="I303" s="914">
        <f t="shared" si="150"/>
        <v>3</v>
      </c>
      <c r="J303" s="914">
        <f t="shared" si="150"/>
        <v>3</v>
      </c>
      <c r="K303" s="914">
        <f t="shared" si="150"/>
        <v>3</v>
      </c>
      <c r="L303" s="914">
        <f t="shared" si="150"/>
        <v>3</v>
      </c>
      <c r="M303" s="914">
        <f t="shared" si="150"/>
        <v>3</v>
      </c>
      <c r="N303" s="914">
        <f t="shared" si="150"/>
        <v>3</v>
      </c>
      <c r="O303" s="897"/>
      <c r="P303" s="38"/>
      <c r="Q303" s="41"/>
      <c r="R303" s="41"/>
      <c r="S303" s="41"/>
      <c r="T303" s="41"/>
      <c r="U303" s="41"/>
      <c r="V303" s="41"/>
      <c r="W303" s="41"/>
      <c r="X303" s="41"/>
      <c r="Y303" s="41"/>
      <c r="Z303" s="41"/>
      <c r="AA303" s="41"/>
      <c r="AB303" s="41"/>
      <c r="AC303" s="41"/>
      <c r="AD303" s="41"/>
    </row>
    <row r="304" spans="1:30" s="38" customFormat="1" ht="12.75" hidden="1" customHeight="1" outlineLevel="1" x14ac:dyDescent="0.2">
      <c r="B304" s="51"/>
      <c r="C304" s="256"/>
      <c r="D304" s="30"/>
      <c r="E304" s="30"/>
      <c r="F304" s="30"/>
      <c r="G304" s="30"/>
      <c r="H304" s="30"/>
      <c r="I304" s="30"/>
      <c r="J304" s="30"/>
      <c r="K304" s="30"/>
      <c r="L304" s="30"/>
      <c r="M304" s="30"/>
      <c r="N304" s="30"/>
      <c r="O304" s="897"/>
    </row>
    <row r="305" spans="1:32" s="14" customFormat="1" ht="14.1" hidden="1" customHeight="1" outlineLevel="1" x14ac:dyDescent="0.2">
      <c r="A305" s="38"/>
      <c r="B305" s="51"/>
      <c r="C305" s="928"/>
      <c r="D305" s="37" t="s">
        <v>693</v>
      </c>
      <c r="E305" s="913">
        <v>1</v>
      </c>
      <c r="F305" s="913">
        <v>1</v>
      </c>
      <c r="G305" s="913">
        <v>1</v>
      </c>
      <c r="H305" s="913">
        <v>1</v>
      </c>
      <c r="I305" s="913">
        <v>1</v>
      </c>
      <c r="J305" s="913">
        <v>1</v>
      </c>
      <c r="K305" s="913">
        <v>1</v>
      </c>
      <c r="L305" s="913">
        <v>1</v>
      </c>
      <c r="M305" s="913">
        <v>1</v>
      </c>
      <c r="N305" s="913">
        <v>1</v>
      </c>
      <c r="O305" s="897"/>
      <c r="P305" s="38"/>
      <c r="Q305" s="41"/>
      <c r="R305" s="41"/>
      <c r="S305" s="41"/>
      <c r="T305" s="41"/>
      <c r="U305" s="41"/>
      <c r="V305" s="41"/>
      <c r="W305" s="41"/>
      <c r="X305" s="41"/>
      <c r="Y305" s="41"/>
      <c r="Z305" s="41"/>
      <c r="AA305" s="41"/>
      <c r="AB305" s="41"/>
      <c r="AC305" s="41"/>
      <c r="AD305" s="41"/>
    </row>
    <row r="306" spans="1:32" s="14" customFormat="1" ht="14.1" hidden="1" customHeight="1" outlineLevel="1" x14ac:dyDescent="0.2">
      <c r="A306" s="38"/>
      <c r="B306" s="51"/>
      <c r="C306" s="273"/>
      <c r="D306" s="54" t="s">
        <v>692</v>
      </c>
      <c r="E306" s="914">
        <f t="shared" ref="E306:N306" si="151">SUM(E305*LocSMCS)</f>
        <v>3</v>
      </c>
      <c r="F306" s="914">
        <f t="shared" si="151"/>
        <v>3</v>
      </c>
      <c r="G306" s="914">
        <f t="shared" si="151"/>
        <v>3</v>
      </c>
      <c r="H306" s="914">
        <f t="shared" si="151"/>
        <v>3</v>
      </c>
      <c r="I306" s="914">
        <f t="shared" si="151"/>
        <v>3</v>
      </c>
      <c r="J306" s="914">
        <f t="shared" si="151"/>
        <v>3</v>
      </c>
      <c r="K306" s="914">
        <f t="shared" si="151"/>
        <v>3</v>
      </c>
      <c r="L306" s="914">
        <f t="shared" si="151"/>
        <v>3</v>
      </c>
      <c r="M306" s="914">
        <f t="shared" si="151"/>
        <v>3</v>
      </c>
      <c r="N306" s="914">
        <f t="shared" si="151"/>
        <v>3</v>
      </c>
      <c r="O306" s="897"/>
      <c r="P306" s="38"/>
      <c r="Q306" s="41"/>
      <c r="R306" s="41"/>
      <c r="S306" s="41"/>
      <c r="T306" s="41"/>
      <c r="U306" s="41"/>
      <c r="V306" s="41"/>
      <c r="W306" s="41"/>
      <c r="X306" s="41"/>
      <c r="Y306" s="41"/>
      <c r="Z306" s="41"/>
      <c r="AA306" s="41"/>
      <c r="AB306" s="41"/>
      <c r="AC306" s="41"/>
      <c r="AD306" s="41"/>
    </row>
    <row r="307" spans="1:32" s="38" customFormat="1" ht="12.75" hidden="1" customHeight="1" outlineLevel="1" x14ac:dyDescent="0.2">
      <c r="B307" s="51"/>
      <c r="C307" s="256"/>
      <c r="D307" s="30"/>
      <c r="E307" s="30"/>
      <c r="F307" s="30"/>
      <c r="G307" s="30"/>
      <c r="H307" s="30"/>
      <c r="I307" s="30"/>
      <c r="J307" s="30"/>
      <c r="K307" s="30"/>
      <c r="L307" s="30"/>
      <c r="M307" s="30"/>
      <c r="N307" s="30"/>
      <c r="O307" s="897"/>
    </row>
    <row r="308" spans="1:32" s="14" customFormat="1" ht="14.1" hidden="1" customHeight="1" outlineLevel="1" x14ac:dyDescent="0.2">
      <c r="A308" s="38"/>
      <c r="B308" s="51"/>
      <c r="C308" s="928"/>
      <c r="D308" s="37" t="s">
        <v>694</v>
      </c>
      <c r="E308" s="913">
        <v>0</v>
      </c>
      <c r="F308" s="913">
        <v>0</v>
      </c>
      <c r="G308" s="913">
        <v>0</v>
      </c>
      <c r="H308" s="913">
        <v>0</v>
      </c>
      <c r="I308" s="913">
        <v>0</v>
      </c>
      <c r="J308" s="913">
        <v>0</v>
      </c>
      <c r="K308" s="913">
        <v>0</v>
      </c>
      <c r="L308" s="913">
        <v>0</v>
      </c>
      <c r="M308" s="913">
        <v>0</v>
      </c>
      <c r="N308" s="913">
        <v>0</v>
      </c>
      <c r="O308" s="897"/>
      <c r="P308" s="38"/>
      <c r="Q308" s="41"/>
      <c r="R308" s="41"/>
      <c r="S308" s="41"/>
      <c r="T308" s="41"/>
      <c r="U308" s="41"/>
      <c r="V308" s="41"/>
      <c r="W308" s="41"/>
      <c r="X308" s="41"/>
      <c r="Y308" s="41"/>
      <c r="Z308" s="41"/>
      <c r="AA308" s="41"/>
      <c r="AB308" s="41"/>
      <c r="AC308" s="41"/>
      <c r="AD308" s="41"/>
    </row>
    <row r="309" spans="1:32" s="14" customFormat="1" ht="14.1" hidden="1" customHeight="1" outlineLevel="1" x14ac:dyDescent="0.2">
      <c r="A309" s="38"/>
      <c r="B309" s="51"/>
      <c r="C309" s="273"/>
      <c r="D309" s="54" t="s">
        <v>695</v>
      </c>
      <c r="E309" s="914">
        <f t="shared" ref="E309:N309" si="152">SUM(E308*LocO1)</f>
        <v>0</v>
      </c>
      <c r="F309" s="914">
        <f t="shared" si="152"/>
        <v>0</v>
      </c>
      <c r="G309" s="914">
        <f t="shared" si="152"/>
        <v>0</v>
      </c>
      <c r="H309" s="914">
        <f t="shared" si="152"/>
        <v>0</v>
      </c>
      <c r="I309" s="914">
        <f t="shared" si="152"/>
        <v>0</v>
      </c>
      <c r="J309" s="914">
        <f t="shared" si="152"/>
        <v>0</v>
      </c>
      <c r="K309" s="914">
        <f t="shared" si="152"/>
        <v>0</v>
      </c>
      <c r="L309" s="914">
        <f t="shared" si="152"/>
        <v>0</v>
      </c>
      <c r="M309" s="914">
        <f t="shared" si="152"/>
        <v>0</v>
      </c>
      <c r="N309" s="914">
        <f t="shared" si="152"/>
        <v>0</v>
      </c>
      <c r="O309" s="897"/>
      <c r="P309" s="38"/>
      <c r="Q309" s="41"/>
      <c r="R309" s="41"/>
      <c r="S309" s="41"/>
      <c r="T309" s="41"/>
      <c r="U309" s="41"/>
      <c r="V309" s="41"/>
      <c r="W309" s="41"/>
      <c r="X309" s="41"/>
      <c r="Y309" s="41"/>
      <c r="Z309" s="41"/>
      <c r="AA309" s="41"/>
      <c r="AB309" s="41"/>
      <c r="AC309" s="41"/>
      <c r="AD309" s="41"/>
    </row>
    <row r="310" spans="1:32" s="38" customFormat="1" ht="12.75" hidden="1" customHeight="1" outlineLevel="1" x14ac:dyDescent="0.2">
      <c r="B310" s="51"/>
      <c r="C310" s="256"/>
      <c r="D310" s="30"/>
      <c r="E310" s="30"/>
      <c r="F310" s="30"/>
      <c r="G310" s="30"/>
      <c r="H310" s="30"/>
      <c r="I310" s="30"/>
      <c r="J310" s="30"/>
      <c r="K310" s="30"/>
      <c r="L310" s="30"/>
      <c r="M310" s="30"/>
      <c r="N310" s="30"/>
      <c r="O310" s="897"/>
    </row>
    <row r="311" spans="1:32" s="14" customFormat="1" ht="14.1" hidden="1" customHeight="1" outlineLevel="1" x14ac:dyDescent="0.2">
      <c r="A311" s="38"/>
      <c r="B311" s="51"/>
      <c r="C311" s="928"/>
      <c r="D311" s="37" t="s">
        <v>696</v>
      </c>
      <c r="E311" s="913">
        <v>0</v>
      </c>
      <c r="F311" s="913">
        <v>0</v>
      </c>
      <c r="G311" s="913">
        <v>0</v>
      </c>
      <c r="H311" s="913">
        <v>0</v>
      </c>
      <c r="I311" s="913">
        <v>0</v>
      </c>
      <c r="J311" s="913">
        <v>0</v>
      </c>
      <c r="K311" s="913">
        <v>0</v>
      </c>
      <c r="L311" s="913">
        <v>0</v>
      </c>
      <c r="M311" s="913">
        <v>0</v>
      </c>
      <c r="N311" s="913">
        <v>0</v>
      </c>
      <c r="O311" s="897"/>
      <c r="P311" s="38"/>
      <c r="Q311" s="41"/>
      <c r="R311" s="41"/>
      <c r="S311" s="41"/>
      <c r="T311" s="41"/>
      <c r="U311" s="41"/>
      <c r="V311" s="41"/>
      <c r="W311" s="41"/>
      <c r="X311" s="41"/>
      <c r="Y311" s="41"/>
      <c r="Z311" s="41"/>
      <c r="AA311" s="41"/>
      <c r="AB311" s="41"/>
      <c r="AC311" s="41"/>
      <c r="AD311" s="41"/>
    </row>
    <row r="312" spans="1:32" s="14" customFormat="1" ht="14.1" hidden="1" customHeight="1" outlineLevel="1" x14ac:dyDescent="0.2">
      <c r="A312" s="38"/>
      <c r="B312" s="51"/>
      <c r="C312" s="273"/>
      <c r="D312" s="54" t="s">
        <v>697</v>
      </c>
      <c r="E312" s="914">
        <f t="shared" ref="E312:N312" si="153">SUM(E311*LocO2)</f>
        <v>0</v>
      </c>
      <c r="F312" s="914">
        <f t="shared" si="153"/>
        <v>0</v>
      </c>
      <c r="G312" s="914">
        <f t="shared" si="153"/>
        <v>0</v>
      </c>
      <c r="H312" s="914">
        <f t="shared" si="153"/>
        <v>0</v>
      </c>
      <c r="I312" s="914">
        <f t="shared" si="153"/>
        <v>0</v>
      </c>
      <c r="J312" s="914">
        <f t="shared" si="153"/>
        <v>0</v>
      </c>
      <c r="K312" s="914">
        <f t="shared" si="153"/>
        <v>0</v>
      </c>
      <c r="L312" s="914">
        <f t="shared" si="153"/>
        <v>0</v>
      </c>
      <c r="M312" s="914">
        <f t="shared" si="153"/>
        <v>0</v>
      </c>
      <c r="N312" s="914">
        <f t="shared" si="153"/>
        <v>0</v>
      </c>
      <c r="O312" s="897"/>
      <c r="P312" s="38"/>
      <c r="Q312" s="41"/>
      <c r="R312" s="41"/>
      <c r="S312" s="41"/>
      <c r="T312" s="41"/>
      <c r="U312" s="41"/>
      <c r="V312" s="41"/>
      <c r="W312" s="41"/>
      <c r="X312" s="41"/>
      <c r="Y312" s="41"/>
      <c r="Z312" s="41"/>
      <c r="AA312" s="41"/>
      <c r="AB312" s="41"/>
      <c r="AC312" s="41"/>
      <c r="AD312" s="41"/>
    </row>
    <row r="313" spans="1:32" s="191" customFormat="1" ht="14.1" hidden="1" customHeight="1" outlineLevel="1" x14ac:dyDescent="0.2">
      <c r="A313" s="38"/>
      <c r="B313" s="55"/>
      <c r="C313" s="256"/>
      <c r="D313" s="30"/>
      <c r="E313" s="50"/>
      <c r="F313" s="50"/>
      <c r="G313" s="50"/>
      <c r="H313" s="30"/>
      <c r="I313" s="30"/>
      <c r="J313" s="50"/>
      <c r="K313" s="50"/>
      <c r="L313" s="50"/>
      <c r="M313" s="50"/>
      <c r="N313" s="50"/>
      <c r="O313" s="897"/>
      <c r="P313" s="30"/>
      <c r="Q313" s="180"/>
      <c r="R313" s="180"/>
      <c r="S313" s="180"/>
      <c r="T313" s="180"/>
      <c r="U313" s="180"/>
      <c r="V313" s="180"/>
      <c r="W313" s="180"/>
      <c r="X313" s="180"/>
      <c r="Y313" s="180"/>
      <c r="Z313" s="180"/>
      <c r="AA313" s="180"/>
      <c r="AB313" s="180"/>
      <c r="AC313" s="180"/>
      <c r="AD313" s="180"/>
    </row>
    <row r="314" spans="1:32" s="14" customFormat="1" hidden="1" outlineLevel="1" x14ac:dyDescent="0.2">
      <c r="A314" s="38"/>
      <c r="B314" s="51"/>
      <c r="C314" s="270"/>
      <c r="D314" s="923" t="s">
        <v>128</v>
      </c>
      <c r="E314" s="292">
        <f>SUM(E312+E309+E306+E303+E300+E297+E294+E291+E288+E282+E279+E276)</f>
        <v>75</v>
      </c>
      <c r="F314" s="292">
        <f t="shared" ref="F314:N314" si="154">SUM(F312+F309+F306+F303+F300+F297+F294+F291+F288+F282+F279+F276)</f>
        <v>89</v>
      </c>
      <c r="G314" s="292">
        <f t="shared" si="154"/>
        <v>89</v>
      </c>
      <c r="H314" s="292">
        <f t="shared" si="154"/>
        <v>89</v>
      </c>
      <c r="I314" s="292">
        <f t="shared" si="154"/>
        <v>89</v>
      </c>
      <c r="J314" s="292">
        <f t="shared" si="154"/>
        <v>89</v>
      </c>
      <c r="K314" s="292">
        <f t="shared" si="154"/>
        <v>89</v>
      </c>
      <c r="L314" s="292">
        <f t="shared" si="154"/>
        <v>89</v>
      </c>
      <c r="M314" s="292">
        <f t="shared" si="154"/>
        <v>89</v>
      </c>
      <c r="N314" s="292">
        <f t="shared" si="154"/>
        <v>89</v>
      </c>
      <c r="O314" s="257" t="s">
        <v>700</v>
      </c>
      <c r="P314" s="38"/>
      <c r="Q314" s="41"/>
      <c r="R314" s="41"/>
      <c r="S314" s="41"/>
      <c r="T314" s="41"/>
      <c r="U314" s="41"/>
      <c r="V314" s="41"/>
      <c r="W314" s="41"/>
      <c r="X314" s="41"/>
      <c r="Y314" s="41"/>
      <c r="Z314" s="41"/>
      <c r="AA314" s="41"/>
      <c r="AB314" s="41"/>
      <c r="AC314" s="41"/>
      <c r="AD314" s="41"/>
    </row>
    <row r="315" spans="1:32" s="191" customFormat="1" ht="16.5" hidden="1" customHeight="1" outlineLevel="1" thickBot="1" x14ac:dyDescent="0.25">
      <c r="A315" s="38"/>
      <c r="B315" s="51"/>
      <c r="C315" s="170"/>
      <c r="D315" s="851"/>
      <c r="E315" s="931"/>
      <c r="F315" s="931"/>
      <c r="G315" s="931"/>
      <c r="H315" s="931"/>
      <c r="I315" s="931"/>
      <c r="J315" s="931"/>
      <c r="K315" s="931"/>
      <c r="L315" s="931"/>
      <c r="M315" s="931"/>
      <c r="N315" s="931"/>
      <c r="O315" s="810"/>
      <c r="P315" s="30"/>
      <c r="Q315" s="180"/>
      <c r="R315" s="180"/>
      <c r="S315" s="180"/>
      <c r="T315" s="180"/>
      <c r="U315" s="180"/>
      <c r="V315" s="180"/>
      <c r="W315" s="180"/>
      <c r="X315" s="180"/>
      <c r="Y315" s="180"/>
      <c r="Z315" s="180"/>
      <c r="AA315" s="180"/>
      <c r="AB315" s="180"/>
      <c r="AC315" s="180"/>
      <c r="AD315" s="180"/>
    </row>
    <row r="316" spans="1:32" s="191" customFormat="1" ht="14.1" hidden="1" customHeight="1" outlineLevel="1" x14ac:dyDescent="0.2">
      <c r="B316" s="55"/>
      <c r="C316" s="30"/>
      <c r="D316" s="30"/>
      <c r="E316" s="24"/>
      <c r="F316" s="24"/>
      <c r="G316" s="24"/>
      <c r="H316" s="30"/>
      <c r="I316" s="180"/>
      <c r="J316" s="24"/>
      <c r="K316" s="24"/>
      <c r="L316" s="24"/>
      <c r="M316" s="24"/>
      <c r="N316" s="24"/>
      <c r="O316" s="494"/>
      <c r="P316" s="30"/>
      <c r="Q316" s="180"/>
      <c r="R316" s="180"/>
      <c r="S316" s="180"/>
      <c r="T316" s="180"/>
      <c r="U316" s="180"/>
      <c r="V316" s="180"/>
      <c r="W316" s="180"/>
      <c r="X316" s="180"/>
      <c r="Y316" s="180"/>
      <c r="Z316" s="180"/>
      <c r="AA316" s="180"/>
      <c r="AB316" s="180"/>
      <c r="AC316" s="180"/>
      <c r="AD316" s="180"/>
    </row>
    <row r="317" spans="1:32" s="122" customFormat="1" ht="15.75" collapsed="1" x14ac:dyDescent="0.2">
      <c r="A317" s="1043">
        <v>6</v>
      </c>
      <c r="B317" s="1039"/>
      <c r="C317" s="1039"/>
      <c r="D317" s="1039"/>
      <c r="E317" s="1039"/>
      <c r="F317" s="1039"/>
      <c r="G317" s="1039"/>
      <c r="H317" s="1039"/>
      <c r="I317" s="1039"/>
      <c r="J317" s="1039"/>
      <c r="K317" s="1039"/>
      <c r="L317" s="1039"/>
      <c r="M317" s="1039"/>
      <c r="N317" s="1039"/>
      <c r="O317" s="1039"/>
      <c r="P317" s="206"/>
      <c r="Q317" s="206"/>
      <c r="R317" s="206"/>
      <c r="S317" s="206"/>
      <c r="T317" s="206"/>
      <c r="U317" s="206"/>
      <c r="V317" s="206"/>
      <c r="W317" s="206"/>
      <c r="X317" s="206"/>
      <c r="Y317" s="206"/>
      <c r="Z317" s="206"/>
      <c r="AA317" s="206"/>
      <c r="AB317" s="206"/>
      <c r="AC317" s="206"/>
      <c r="AD317" s="206"/>
      <c r="AE317" s="206"/>
      <c r="AF317" s="206"/>
    </row>
    <row r="318" spans="1:32" s="191" customFormat="1" ht="14.1" customHeight="1" thickBot="1" x14ac:dyDescent="0.25">
      <c r="B318" s="55"/>
      <c r="C318" s="30"/>
      <c r="D318" s="30"/>
      <c r="E318" s="24"/>
      <c r="F318" s="24"/>
      <c r="G318" s="24"/>
      <c r="H318" s="30"/>
      <c r="I318" s="180"/>
      <c r="J318" s="24"/>
      <c r="K318" s="24"/>
      <c r="L318" s="24"/>
      <c r="M318" s="24"/>
      <c r="N318" s="24"/>
      <c r="O318" s="494"/>
      <c r="P318" s="30"/>
      <c r="Q318" s="180"/>
      <c r="R318" s="180"/>
      <c r="S318" s="180"/>
      <c r="T318" s="180"/>
      <c r="U318" s="180"/>
      <c r="V318" s="180"/>
      <c r="W318" s="180"/>
      <c r="X318" s="180"/>
      <c r="Y318" s="180"/>
      <c r="Z318" s="180"/>
      <c r="AA318" s="180"/>
      <c r="AB318" s="180"/>
      <c r="AC318" s="180"/>
      <c r="AD318" s="180"/>
    </row>
    <row r="319" spans="1:32" s="18" customFormat="1" ht="20.100000000000001" customHeight="1" x14ac:dyDescent="0.2">
      <c r="A319" s="1397" t="s">
        <v>4291</v>
      </c>
      <c r="B319" s="267"/>
      <c r="C319" s="967" t="s">
        <v>269</v>
      </c>
      <c r="D319" s="23"/>
      <c r="E319" s="23"/>
      <c r="F319" s="23"/>
      <c r="G319" s="23"/>
      <c r="H319" s="23"/>
      <c r="I319" s="23"/>
      <c r="J319" s="23"/>
      <c r="K319" s="23"/>
      <c r="L319" s="23"/>
      <c r="M319" s="23"/>
      <c r="N319" s="23"/>
      <c r="O319" s="23"/>
      <c r="P319" s="12"/>
      <c r="Q319" s="12"/>
    </row>
    <row r="320" spans="1:32" s="18" customFormat="1" ht="12" customHeight="1" x14ac:dyDescent="0.2">
      <c r="A320" s="1398"/>
      <c r="B320" s="267"/>
      <c r="C320" s="267"/>
      <c r="D320" s="30"/>
      <c r="E320" s="23"/>
      <c r="F320" s="23"/>
      <c r="G320" s="23"/>
      <c r="H320" s="23"/>
      <c r="I320" s="23"/>
      <c r="J320" s="23"/>
      <c r="K320" s="23"/>
      <c r="L320" s="23"/>
      <c r="M320" s="23"/>
      <c r="N320" s="23"/>
      <c r="O320" s="23"/>
      <c r="P320" s="12"/>
      <c r="Q320" s="12"/>
    </row>
    <row r="321" spans="1:30" s="18" customFormat="1" ht="20.25" customHeight="1" x14ac:dyDescent="0.2">
      <c r="A321" s="1398"/>
      <c r="B321" s="267"/>
      <c r="C321" s="267"/>
      <c r="D321" s="30"/>
      <c r="E321" s="23"/>
      <c r="F321" s="23"/>
      <c r="G321" s="23"/>
      <c r="H321" s="23"/>
      <c r="I321" s="23"/>
      <c r="J321" s="23"/>
      <c r="K321" s="23"/>
      <c r="L321" s="23"/>
      <c r="M321" s="23"/>
      <c r="N321" s="23"/>
      <c r="O321" s="23"/>
      <c r="P321" s="12"/>
      <c r="Q321" s="12"/>
    </row>
    <row r="322" spans="1:30" ht="19.5" customHeight="1" x14ac:dyDescent="0.2">
      <c r="A322" s="1399"/>
      <c r="B322" s="13"/>
      <c r="C322" s="56"/>
      <c r="D322" s="667"/>
      <c r="E322" s="15"/>
      <c r="F322" s="15"/>
      <c r="G322" s="15"/>
      <c r="H322" s="13"/>
      <c r="I322" s="19"/>
      <c r="J322" s="19"/>
      <c r="K322" s="19"/>
      <c r="L322" s="19"/>
      <c r="M322" s="19"/>
      <c r="N322" s="19"/>
      <c r="O322" s="35"/>
      <c r="P322" s="13"/>
      <c r="Q322" s="19"/>
      <c r="R322" s="19"/>
      <c r="S322" s="19"/>
      <c r="T322" s="19"/>
      <c r="U322" s="19"/>
      <c r="V322" s="19"/>
      <c r="W322" s="19"/>
      <c r="X322" s="19"/>
      <c r="Y322" s="19"/>
      <c r="Z322" s="19"/>
      <c r="AA322" s="19"/>
      <c r="AB322" s="19"/>
      <c r="AC322" s="19"/>
      <c r="AD322" s="19"/>
    </row>
    <row r="323" spans="1:30" s="191" customFormat="1" ht="14.1" customHeight="1" x14ac:dyDescent="0.2">
      <c r="B323" s="55"/>
      <c r="C323" s="30"/>
      <c r="D323" s="30"/>
      <c r="E323" s="24"/>
      <c r="F323" s="24"/>
      <c r="G323" s="24"/>
      <c r="H323" s="30"/>
      <c r="I323" s="180"/>
      <c r="J323" s="24"/>
      <c r="K323" s="24"/>
      <c r="L323" s="24"/>
      <c r="M323" s="24"/>
      <c r="N323" s="24"/>
      <c r="O323" s="494"/>
      <c r="P323" s="30"/>
      <c r="Q323" s="180"/>
      <c r="R323" s="180"/>
      <c r="S323" s="180"/>
      <c r="T323" s="180"/>
      <c r="U323" s="180"/>
      <c r="V323" s="180"/>
      <c r="W323" s="180"/>
      <c r="X323" s="180"/>
      <c r="Y323" s="180"/>
      <c r="Z323" s="180"/>
      <c r="AA323" s="180"/>
      <c r="AB323" s="180"/>
      <c r="AC323" s="180"/>
      <c r="AD323" s="180"/>
    </row>
    <row r="324" spans="1:30" s="191" customFormat="1" ht="14.1" hidden="1" customHeight="1" outlineLevel="1" thickBot="1" x14ac:dyDescent="0.25">
      <c r="B324" s="55"/>
      <c r="C324" s="30"/>
      <c r="D324" s="30"/>
      <c r="E324" s="24"/>
      <c r="F324" s="24"/>
      <c r="G324" s="24"/>
      <c r="H324" s="30"/>
      <c r="I324" s="180"/>
      <c r="J324" s="24"/>
      <c r="K324" s="24"/>
      <c r="L324" s="24"/>
      <c r="M324" s="24"/>
      <c r="N324" s="24"/>
      <c r="O324" s="494"/>
      <c r="P324" s="30"/>
      <c r="Q324" s="180"/>
      <c r="R324" s="180"/>
      <c r="S324" s="180"/>
      <c r="T324" s="180"/>
      <c r="U324" s="180"/>
      <c r="V324" s="180"/>
      <c r="W324" s="180"/>
      <c r="X324" s="180"/>
      <c r="Y324" s="180"/>
      <c r="Z324" s="180"/>
      <c r="AA324" s="180"/>
      <c r="AB324" s="180"/>
      <c r="AC324" s="180"/>
      <c r="AD324" s="180"/>
    </row>
    <row r="325" spans="1:30" s="14" customFormat="1" ht="20.100000000000001" hidden="1" customHeight="1" outlineLevel="1" x14ac:dyDescent="0.2">
      <c r="A325" s="1397" t="s">
        <v>4141</v>
      </c>
      <c r="B325" s="51"/>
      <c r="C325" s="1102"/>
      <c r="D325" s="812"/>
      <c r="E325" s="812"/>
      <c r="F325" s="812"/>
      <c r="G325" s="812"/>
      <c r="H325" s="812"/>
      <c r="I325" s="812"/>
      <c r="J325" s="239"/>
      <c r="K325" s="239"/>
      <c r="L325" s="239"/>
      <c r="M325" s="239"/>
      <c r="N325" s="239"/>
      <c r="O325" s="280"/>
      <c r="P325" s="38"/>
      <c r="Q325" s="41"/>
      <c r="R325" s="41"/>
      <c r="S325" s="41"/>
      <c r="T325" s="41"/>
      <c r="U325" s="41"/>
      <c r="V325" s="41"/>
      <c r="W325" s="41"/>
      <c r="X325" s="41"/>
      <c r="Y325" s="41"/>
      <c r="Z325" s="41"/>
      <c r="AA325" s="41"/>
      <c r="AB325" s="41"/>
      <c r="AC325" s="41"/>
      <c r="AD325" s="41"/>
    </row>
    <row r="326" spans="1:30" s="14" customFormat="1" hidden="1" outlineLevel="1" x14ac:dyDescent="0.2">
      <c r="A326" s="1398"/>
      <c r="B326" s="51"/>
      <c r="C326" s="846"/>
      <c r="D326" s="965" t="s">
        <v>4140</v>
      </c>
      <c r="E326" s="38"/>
      <c r="F326" s="38"/>
      <c r="G326" s="38"/>
      <c r="H326" s="38"/>
      <c r="I326" s="38"/>
      <c r="J326" s="13"/>
      <c r="K326" s="13"/>
      <c r="L326" s="13"/>
      <c r="M326" s="13"/>
      <c r="N326" s="13"/>
      <c r="O326" s="257"/>
      <c r="P326" s="38"/>
      <c r="Q326" s="41"/>
      <c r="R326" s="41"/>
      <c r="S326" s="41"/>
      <c r="T326" s="41"/>
      <c r="U326" s="41"/>
      <c r="V326" s="41"/>
      <c r="W326" s="41"/>
      <c r="X326" s="41"/>
      <c r="Y326" s="41"/>
      <c r="Z326" s="41"/>
      <c r="AA326" s="41"/>
      <c r="AB326" s="41"/>
      <c r="AC326" s="41"/>
      <c r="AD326" s="41"/>
    </row>
    <row r="327" spans="1:30" s="14" customFormat="1" ht="14.1" hidden="1" customHeight="1" outlineLevel="1" x14ac:dyDescent="0.2">
      <c r="A327" s="1398"/>
      <c r="B327" s="51"/>
      <c r="C327" s="281" t="s">
        <v>31</v>
      </c>
      <c r="D327" s="528">
        <v>12000</v>
      </c>
      <c r="E327" s="282">
        <f>MFD_Value*(1+Inflation)^0</f>
        <v>12000</v>
      </c>
      <c r="F327" s="282">
        <f>MFD_Value*(1+Inflation)</f>
        <v>12240</v>
      </c>
      <c r="G327" s="282">
        <f>MFD_Value*(1+Inflation)^2</f>
        <v>12484.8</v>
      </c>
      <c r="H327" s="282">
        <f>MFD_Value*(1+Inflation)^3</f>
        <v>12734.495999999999</v>
      </c>
      <c r="I327" s="282">
        <f>MFD_Value*(1+Inflation)^4</f>
        <v>12989.18592</v>
      </c>
      <c r="J327" s="282">
        <f>MFD_Value*(1+Inflation)^5</f>
        <v>13248.9696384</v>
      </c>
      <c r="K327" s="282">
        <f>MFD_Value*(1+Inflation)^6</f>
        <v>13513.949031168</v>
      </c>
      <c r="L327" s="282">
        <f>MFD_Value*(1+Inflation)^7</f>
        <v>13784.228011791358</v>
      </c>
      <c r="M327" s="282">
        <f>MFD_Value*(1+Inflation)^8</f>
        <v>14059.912572027186</v>
      </c>
      <c r="N327" s="282">
        <f>MFD_Value*(1+Inflation)^9</f>
        <v>14341.11082346773</v>
      </c>
      <c r="O327" s="271"/>
      <c r="P327" s="38"/>
      <c r="Q327" s="41"/>
      <c r="R327" s="41"/>
      <c r="S327" s="41"/>
      <c r="T327" s="41"/>
      <c r="U327" s="41"/>
      <c r="V327" s="41"/>
      <c r="W327" s="41"/>
      <c r="X327" s="41"/>
      <c r="Y327" s="41"/>
      <c r="Z327" s="41"/>
      <c r="AA327" s="41"/>
      <c r="AB327" s="41"/>
      <c r="AC327" s="41"/>
      <c r="AD327" s="41"/>
    </row>
    <row r="328" spans="1:30" s="14" customFormat="1" ht="14.1" hidden="1" customHeight="1" outlineLevel="1" x14ac:dyDescent="0.2">
      <c r="A328" s="1398"/>
      <c r="B328" s="51"/>
      <c r="C328" s="270"/>
      <c r="D328" s="37" t="s">
        <v>702</v>
      </c>
      <c r="E328" s="528">
        <v>25</v>
      </c>
      <c r="F328" s="528">
        <v>25</v>
      </c>
      <c r="G328" s="528">
        <v>25</v>
      </c>
      <c r="H328" s="528">
        <v>25</v>
      </c>
      <c r="I328" s="528">
        <v>25</v>
      </c>
      <c r="J328" s="528">
        <v>25</v>
      </c>
      <c r="K328" s="528">
        <v>25</v>
      </c>
      <c r="L328" s="528">
        <v>25</v>
      </c>
      <c r="M328" s="528">
        <v>25</v>
      </c>
      <c r="N328" s="528">
        <v>25</v>
      </c>
      <c r="O328" s="271"/>
      <c r="P328" s="38"/>
      <c r="Q328" s="41"/>
      <c r="R328" s="41"/>
      <c r="S328" s="41"/>
      <c r="T328" s="41"/>
      <c r="U328" s="41"/>
      <c r="V328" s="41"/>
      <c r="W328" s="41"/>
      <c r="X328" s="41"/>
      <c r="Y328" s="41"/>
      <c r="Z328" s="41"/>
      <c r="AA328" s="41"/>
      <c r="AB328" s="41"/>
      <c r="AC328" s="41"/>
      <c r="AD328" s="41"/>
    </row>
    <row r="329" spans="1:30" s="14" customFormat="1" ht="14.1" hidden="1" customHeight="1" outlineLevel="1" x14ac:dyDescent="0.2">
      <c r="A329" s="1398"/>
      <c r="B329" s="51"/>
      <c r="C329" s="270"/>
      <c r="D329" s="37" t="s">
        <v>703</v>
      </c>
      <c r="E329" s="282">
        <f>SUM(E327*E328)/1000</f>
        <v>300</v>
      </c>
      <c r="F329" s="282">
        <f t="shared" ref="F329:N329" si="155">SUM(F327*F328)/1000</f>
        <v>306</v>
      </c>
      <c r="G329" s="282">
        <f t="shared" si="155"/>
        <v>312.12</v>
      </c>
      <c r="H329" s="282">
        <f t="shared" si="155"/>
        <v>318.36239999999998</v>
      </c>
      <c r="I329" s="282">
        <f t="shared" si="155"/>
        <v>324.729648</v>
      </c>
      <c r="J329" s="282">
        <f t="shared" si="155"/>
        <v>331.22424096000003</v>
      </c>
      <c r="K329" s="282">
        <f t="shared" si="155"/>
        <v>337.84872577920004</v>
      </c>
      <c r="L329" s="282">
        <f t="shared" si="155"/>
        <v>344.6057002947839</v>
      </c>
      <c r="M329" s="282">
        <f t="shared" si="155"/>
        <v>351.49781430067964</v>
      </c>
      <c r="N329" s="282">
        <f t="shared" si="155"/>
        <v>358.52777058669324</v>
      </c>
      <c r="O329" s="257" t="s">
        <v>701</v>
      </c>
      <c r="P329" s="38"/>
      <c r="Q329" s="41"/>
      <c r="R329" s="41"/>
      <c r="S329" s="41"/>
      <c r="T329" s="41"/>
      <c r="U329" s="41"/>
      <c r="V329" s="41"/>
      <c r="W329" s="41"/>
      <c r="X329" s="41"/>
      <c r="Y329" s="41"/>
      <c r="Z329" s="41"/>
      <c r="AA329" s="41"/>
      <c r="AB329" s="41"/>
      <c r="AC329" s="41"/>
      <c r="AD329" s="41"/>
    </row>
    <row r="330" spans="1:30" s="14" customFormat="1" ht="14.1" hidden="1" customHeight="1" outlineLevel="1" x14ac:dyDescent="0.2">
      <c r="A330" s="1398"/>
      <c r="B330" s="51"/>
      <c r="C330" s="270"/>
      <c r="D330" s="57"/>
      <c r="E330" s="38"/>
      <c r="F330" s="38"/>
      <c r="G330" s="38"/>
      <c r="H330" s="38"/>
      <c r="I330" s="38"/>
      <c r="J330" s="38"/>
      <c r="K330" s="38"/>
      <c r="L330" s="38"/>
      <c r="M330" s="38"/>
      <c r="N330" s="38"/>
      <c r="O330" s="897"/>
      <c r="P330" s="38"/>
      <c r="Q330" s="41"/>
      <c r="R330" s="41"/>
      <c r="S330" s="41"/>
      <c r="T330" s="41"/>
      <c r="U330" s="41"/>
      <c r="V330" s="41"/>
      <c r="W330" s="41"/>
      <c r="X330" s="41"/>
      <c r="Y330" s="41"/>
      <c r="Z330" s="41"/>
      <c r="AA330" s="41"/>
      <c r="AB330" s="41"/>
      <c r="AC330" s="41"/>
      <c r="AD330" s="41"/>
    </row>
    <row r="331" spans="1:30" hidden="1" outlineLevel="1" x14ac:dyDescent="0.2">
      <c r="A331" s="1398"/>
      <c r="B331" s="58"/>
      <c r="C331" s="165"/>
      <c r="D331" s="918" t="s">
        <v>132</v>
      </c>
      <c r="E331" s="319">
        <f t="shared" ref="E331:N331" si="156">MFDLeaseCostpa_Each*pSystemsMFD_Total</f>
        <v>25200</v>
      </c>
      <c r="F331" s="319">
        <f t="shared" si="156"/>
        <v>27234</v>
      </c>
      <c r="G331" s="319">
        <f t="shared" si="156"/>
        <v>27778.68</v>
      </c>
      <c r="H331" s="319">
        <f t="shared" si="156"/>
        <v>28334.253599999996</v>
      </c>
      <c r="I331" s="319">
        <f t="shared" si="156"/>
        <v>28900.938672</v>
      </c>
      <c r="J331" s="319">
        <f t="shared" si="156"/>
        <v>29478.957445440003</v>
      </c>
      <c r="K331" s="319">
        <f t="shared" si="156"/>
        <v>30068.536594348803</v>
      </c>
      <c r="L331" s="319">
        <f t="shared" si="156"/>
        <v>30669.907326235767</v>
      </c>
      <c r="M331" s="319">
        <f t="shared" si="156"/>
        <v>31283.305472760487</v>
      </c>
      <c r="N331" s="319">
        <f t="shared" si="156"/>
        <v>31908.971582215698</v>
      </c>
      <c r="O331" s="257" t="s">
        <v>704</v>
      </c>
      <c r="P331" s="13"/>
      <c r="Q331" s="19"/>
      <c r="R331" s="19"/>
      <c r="S331" s="19"/>
      <c r="T331" s="19"/>
      <c r="U331" s="19"/>
      <c r="V331" s="19"/>
      <c r="W331" s="19"/>
      <c r="X331" s="19"/>
      <c r="Y331" s="19"/>
      <c r="Z331" s="19"/>
      <c r="AA331" s="19"/>
      <c r="AB331" s="19"/>
      <c r="AC331" s="19"/>
      <c r="AD331" s="19"/>
    </row>
    <row r="332" spans="1:30" s="7" customFormat="1" hidden="1" outlineLevel="1" x14ac:dyDescent="0.2">
      <c r="A332" s="1398"/>
      <c r="B332" s="64"/>
      <c r="C332" s="284"/>
      <c r="D332" s="820"/>
      <c r="E332" s="320"/>
      <c r="F332" s="320"/>
      <c r="G332" s="320"/>
      <c r="H332" s="320"/>
      <c r="I332" s="320"/>
      <c r="J332" s="320"/>
      <c r="K332" s="320"/>
      <c r="L332" s="320"/>
      <c r="M332" s="320"/>
      <c r="N332" s="320"/>
      <c r="O332" s="285"/>
      <c r="P332" s="50"/>
      <c r="Q332" s="24"/>
      <c r="R332" s="24"/>
      <c r="S332" s="24"/>
      <c r="T332" s="24"/>
      <c r="U332" s="24"/>
      <c r="V332" s="24"/>
      <c r="W332" s="24"/>
      <c r="X332" s="24"/>
      <c r="Y332" s="24"/>
      <c r="Z332" s="24"/>
      <c r="AA332" s="24"/>
      <c r="AB332" s="24"/>
      <c r="AC332" s="24"/>
      <c r="AD332" s="24"/>
    </row>
    <row r="333" spans="1:30" hidden="1" outlineLevel="1" x14ac:dyDescent="0.2">
      <c r="A333" s="1398"/>
      <c r="B333" s="58"/>
      <c r="C333" s="165"/>
      <c r="D333" s="921" t="s">
        <v>133</v>
      </c>
      <c r="E333" s="319">
        <f t="shared" ref="E333:N333" si="157">MFDLeaseCostpa_Each*hSystemsMFD_Total</f>
        <v>25200</v>
      </c>
      <c r="F333" s="319">
        <f t="shared" si="157"/>
        <v>27234</v>
      </c>
      <c r="G333" s="319">
        <f t="shared" si="157"/>
        <v>27778.68</v>
      </c>
      <c r="H333" s="319">
        <f t="shared" si="157"/>
        <v>28334.253599999996</v>
      </c>
      <c r="I333" s="319">
        <f t="shared" si="157"/>
        <v>28900.938672</v>
      </c>
      <c r="J333" s="319">
        <f t="shared" si="157"/>
        <v>29478.957445440003</v>
      </c>
      <c r="K333" s="319">
        <f t="shared" si="157"/>
        <v>30068.536594348803</v>
      </c>
      <c r="L333" s="319">
        <f t="shared" si="157"/>
        <v>30669.907326235767</v>
      </c>
      <c r="M333" s="319">
        <f t="shared" si="157"/>
        <v>31283.305472760487</v>
      </c>
      <c r="N333" s="319">
        <f t="shared" si="157"/>
        <v>31908.971582215698</v>
      </c>
      <c r="O333" s="257" t="s">
        <v>705</v>
      </c>
      <c r="P333" s="13"/>
      <c r="Q333" s="19"/>
      <c r="R333" s="19"/>
      <c r="S333" s="19"/>
      <c r="T333" s="19"/>
      <c r="U333" s="19"/>
      <c r="V333" s="19"/>
      <c r="W333" s="19"/>
      <c r="X333" s="19"/>
      <c r="Y333" s="19"/>
      <c r="Z333" s="19"/>
      <c r="AA333" s="19"/>
      <c r="AB333" s="19"/>
      <c r="AC333" s="19"/>
      <c r="AD333" s="19"/>
    </row>
    <row r="334" spans="1:30" s="7" customFormat="1" hidden="1" outlineLevel="1" x14ac:dyDescent="0.2">
      <c r="A334" s="1398"/>
      <c r="B334" s="64"/>
      <c r="C334" s="284"/>
      <c r="D334" s="820"/>
      <c r="E334" s="320"/>
      <c r="F334" s="320"/>
      <c r="G334" s="320"/>
      <c r="H334" s="320"/>
      <c r="I334" s="320"/>
      <c r="J334" s="320"/>
      <c r="K334" s="320"/>
      <c r="L334" s="320"/>
      <c r="M334" s="320"/>
      <c r="N334" s="320"/>
      <c r="O334" s="285"/>
      <c r="P334" s="50"/>
      <c r="Q334" s="24"/>
      <c r="R334" s="24"/>
      <c r="S334" s="24"/>
      <c r="T334" s="24"/>
      <c r="U334" s="24"/>
      <c r="V334" s="24"/>
      <c r="W334" s="24"/>
      <c r="X334" s="24"/>
      <c r="Y334" s="24"/>
      <c r="Z334" s="24"/>
      <c r="AA334" s="24"/>
      <c r="AB334" s="24"/>
      <c r="AC334" s="24"/>
      <c r="AD334" s="24"/>
    </row>
    <row r="335" spans="1:30" hidden="1" outlineLevel="1" x14ac:dyDescent="0.2">
      <c r="A335" s="1398"/>
      <c r="B335" s="58"/>
      <c r="C335" s="273"/>
      <c r="D335" s="934" t="s">
        <v>134</v>
      </c>
      <c r="E335" s="319">
        <f t="shared" ref="E335:N335" si="158">MFDLeaseCostpa_Each*eSystemsMFD_Total</f>
        <v>22500</v>
      </c>
      <c r="F335" s="319">
        <f t="shared" si="158"/>
        <v>27234</v>
      </c>
      <c r="G335" s="319">
        <f t="shared" si="158"/>
        <v>27778.68</v>
      </c>
      <c r="H335" s="319">
        <f t="shared" si="158"/>
        <v>28334.253599999996</v>
      </c>
      <c r="I335" s="319">
        <f t="shared" si="158"/>
        <v>28900.938672</v>
      </c>
      <c r="J335" s="319">
        <f t="shared" si="158"/>
        <v>29478.957445440003</v>
      </c>
      <c r="K335" s="319">
        <f t="shared" si="158"/>
        <v>30068.536594348803</v>
      </c>
      <c r="L335" s="319">
        <f t="shared" si="158"/>
        <v>30669.907326235767</v>
      </c>
      <c r="M335" s="319">
        <f t="shared" si="158"/>
        <v>31283.305472760487</v>
      </c>
      <c r="N335" s="319">
        <f t="shared" si="158"/>
        <v>31908.971582215698</v>
      </c>
      <c r="O335" s="257" t="s">
        <v>706</v>
      </c>
      <c r="P335" s="13"/>
      <c r="Q335" s="19"/>
      <c r="R335" s="19"/>
      <c r="S335" s="19"/>
      <c r="T335" s="19"/>
      <c r="U335" s="19"/>
      <c r="V335" s="19"/>
      <c r="W335" s="19"/>
      <c r="X335" s="19"/>
      <c r="Y335" s="19"/>
      <c r="Z335" s="19"/>
      <c r="AA335" s="19"/>
      <c r="AB335" s="19"/>
      <c r="AC335" s="19"/>
      <c r="AD335" s="19"/>
    </row>
    <row r="336" spans="1:30" s="114" customFormat="1" ht="13.5" hidden="1" outlineLevel="1" thickBot="1" x14ac:dyDescent="0.25">
      <c r="A336" s="1399"/>
      <c r="B336" s="58"/>
      <c r="C336" s="250"/>
      <c r="D336" s="251"/>
      <c r="E336" s="251"/>
      <c r="F336" s="251"/>
      <c r="G336" s="251"/>
      <c r="H336" s="251"/>
      <c r="I336" s="251"/>
      <c r="J336" s="251"/>
      <c r="K336" s="251"/>
      <c r="L336" s="251"/>
      <c r="M336" s="251"/>
      <c r="N336" s="251"/>
      <c r="O336" s="900"/>
      <c r="P336" s="113"/>
    </row>
    <row r="337" spans="1:32" hidden="1" outlineLevel="1" x14ac:dyDescent="0.2">
      <c r="B337" s="58"/>
      <c r="C337" s="54"/>
      <c r="D337" s="38"/>
      <c r="E337" s="38"/>
      <c r="F337" s="38"/>
      <c r="G337" s="38"/>
      <c r="H337" s="38"/>
      <c r="I337" s="38"/>
      <c r="J337" s="38"/>
      <c r="K337" s="38"/>
      <c r="L337" s="38"/>
      <c r="M337" s="38"/>
      <c r="N337" s="38"/>
      <c r="O337" s="494"/>
      <c r="P337" s="13"/>
      <c r="Q337" s="19"/>
      <c r="R337" s="19"/>
      <c r="S337" s="19"/>
      <c r="T337" s="19"/>
      <c r="U337" s="19"/>
      <c r="V337" s="19"/>
      <c r="W337" s="19"/>
      <c r="X337" s="19"/>
      <c r="Y337" s="19"/>
      <c r="Z337" s="19"/>
      <c r="AA337" s="19"/>
      <c r="AB337" s="19"/>
      <c r="AC337" s="19"/>
      <c r="AD337" s="19"/>
    </row>
    <row r="338" spans="1:32" s="122" customFormat="1" ht="15.75" collapsed="1" x14ac:dyDescent="0.2">
      <c r="A338" s="1043">
        <v>7</v>
      </c>
      <c r="B338" s="1039"/>
      <c r="C338" s="1039"/>
      <c r="D338" s="1039"/>
      <c r="E338" s="1039"/>
      <c r="F338" s="1039"/>
      <c r="G338" s="1039"/>
      <c r="H338" s="1039"/>
      <c r="I338" s="1039"/>
      <c r="J338" s="1039"/>
      <c r="K338" s="1039"/>
      <c r="L338" s="1039"/>
      <c r="M338" s="1039"/>
      <c r="N338" s="1039"/>
      <c r="O338" s="1039"/>
      <c r="P338" s="206"/>
      <c r="Q338" s="206"/>
      <c r="R338" s="206"/>
      <c r="S338" s="206"/>
      <c r="T338" s="206"/>
      <c r="U338" s="206"/>
      <c r="V338" s="206"/>
      <c r="W338" s="206"/>
      <c r="X338" s="206"/>
      <c r="Y338" s="206"/>
      <c r="Z338" s="206"/>
      <c r="AA338" s="206"/>
      <c r="AB338" s="206"/>
      <c r="AC338" s="206"/>
      <c r="AD338" s="206"/>
      <c r="AE338" s="206"/>
      <c r="AF338" s="206"/>
    </row>
    <row r="339" spans="1:32" s="122" customFormat="1" ht="16.5" thickBot="1" x14ac:dyDescent="0.25">
      <c r="A339" s="1104"/>
      <c r="B339" s="1105"/>
      <c r="C339" s="1105"/>
      <c r="D339" s="1105"/>
      <c r="E339" s="1105"/>
      <c r="F339" s="1105"/>
      <c r="G339" s="1105"/>
      <c r="H339" s="1105"/>
      <c r="I339" s="1105"/>
      <c r="J339" s="1105"/>
      <c r="K339" s="1105"/>
      <c r="L339" s="1105"/>
      <c r="M339" s="1105"/>
      <c r="N339" s="1105"/>
      <c r="O339" s="1105"/>
      <c r="P339" s="206"/>
      <c r="Q339" s="206"/>
      <c r="R339" s="206"/>
      <c r="S339" s="206"/>
      <c r="T339" s="206"/>
      <c r="U339" s="206"/>
      <c r="V339" s="206"/>
      <c r="W339" s="206"/>
      <c r="X339" s="206"/>
      <c r="Y339" s="206"/>
      <c r="Z339" s="206"/>
      <c r="AA339" s="206"/>
      <c r="AB339" s="206"/>
      <c r="AC339" s="206"/>
      <c r="AD339" s="206"/>
      <c r="AE339" s="206"/>
      <c r="AF339" s="206"/>
    </row>
    <row r="340" spans="1:32" s="18" customFormat="1" ht="20.100000000000001" customHeight="1" x14ac:dyDescent="0.2">
      <c r="A340" s="1397" t="s">
        <v>4293</v>
      </c>
      <c r="B340" s="267"/>
      <c r="C340" s="967" t="s">
        <v>270</v>
      </c>
      <c r="D340" s="23"/>
      <c r="E340" s="23"/>
      <c r="F340" s="23"/>
      <c r="G340" s="23"/>
      <c r="H340" s="23"/>
      <c r="I340" s="23"/>
      <c r="J340" s="23"/>
      <c r="K340" s="23"/>
      <c r="L340" s="23"/>
      <c r="M340" s="23"/>
      <c r="N340" s="23"/>
      <c r="O340" s="23"/>
      <c r="P340" s="12"/>
      <c r="Q340" s="12"/>
    </row>
    <row r="341" spans="1:32" s="18" customFormat="1" ht="12" customHeight="1" x14ac:dyDescent="0.2">
      <c r="A341" s="1398"/>
      <c r="B341" s="267"/>
      <c r="C341" s="267"/>
      <c r="D341" s="30"/>
      <c r="E341" s="23"/>
      <c r="F341" s="23"/>
      <c r="G341" s="23"/>
      <c r="H341" s="23"/>
      <c r="I341" s="23"/>
      <c r="J341" s="23"/>
      <c r="K341" s="23"/>
      <c r="L341" s="23"/>
      <c r="M341" s="23"/>
      <c r="N341" s="23"/>
      <c r="O341" s="23"/>
      <c r="P341" s="12"/>
      <c r="Q341" s="12"/>
    </row>
    <row r="342" spans="1:32" s="18" customFormat="1" ht="20.25" customHeight="1" x14ac:dyDescent="0.2">
      <c r="A342" s="1398"/>
      <c r="B342" s="267"/>
      <c r="C342" s="267"/>
      <c r="D342" s="30"/>
      <c r="E342" s="23"/>
      <c r="F342" s="23"/>
      <c r="G342" s="23"/>
      <c r="H342" s="23"/>
      <c r="I342" s="23"/>
      <c r="J342" s="23"/>
      <c r="K342" s="23"/>
      <c r="L342" s="23"/>
      <c r="M342" s="23"/>
      <c r="N342" s="23"/>
      <c r="O342" s="23"/>
      <c r="P342" s="12"/>
      <c r="Q342" s="12"/>
    </row>
    <row r="343" spans="1:32" ht="19.5" customHeight="1" x14ac:dyDescent="0.2">
      <c r="A343" s="1399"/>
      <c r="B343" s="13"/>
      <c r="C343" s="56"/>
      <c r="D343" s="667"/>
      <c r="E343" s="15"/>
      <c r="F343" s="15"/>
      <c r="G343" s="15"/>
      <c r="H343" s="13"/>
      <c r="I343" s="19"/>
      <c r="J343" s="19"/>
      <c r="K343" s="19"/>
      <c r="L343" s="19"/>
      <c r="M343" s="19"/>
      <c r="N343" s="19"/>
      <c r="O343" s="35"/>
      <c r="P343" s="13"/>
      <c r="Q343" s="19"/>
      <c r="R343" s="19"/>
      <c r="S343" s="19"/>
      <c r="T343" s="19"/>
      <c r="U343" s="19"/>
      <c r="V343" s="19"/>
      <c r="W343" s="19"/>
      <c r="X343" s="19"/>
      <c r="Y343" s="19"/>
      <c r="Z343" s="19"/>
      <c r="AA343" s="19"/>
      <c r="AB343" s="19"/>
      <c r="AC343" s="19"/>
      <c r="AD343" s="19"/>
    </row>
    <row r="344" spans="1:32" s="122" customFormat="1" ht="15.75" x14ac:dyDescent="0.2">
      <c r="A344" s="1104"/>
      <c r="B344" s="1105"/>
      <c r="C344" s="1105"/>
      <c r="D344" s="1105"/>
      <c r="E344" s="1105"/>
      <c r="F344" s="1105"/>
      <c r="G344" s="1105"/>
      <c r="H344" s="1105"/>
      <c r="I344" s="1105"/>
      <c r="J344" s="1105"/>
      <c r="K344" s="1105"/>
      <c r="L344" s="1105"/>
      <c r="M344" s="1105"/>
      <c r="N344" s="1105"/>
      <c r="O344" s="1105"/>
      <c r="P344" s="206"/>
      <c r="Q344" s="206"/>
      <c r="R344" s="206"/>
      <c r="S344" s="206"/>
      <c r="T344" s="206"/>
      <c r="U344" s="206"/>
      <c r="V344" s="206"/>
      <c r="W344" s="206"/>
      <c r="X344" s="206"/>
      <c r="Y344" s="206"/>
      <c r="Z344" s="206"/>
      <c r="AA344" s="206"/>
      <c r="AB344" s="206"/>
      <c r="AC344" s="206"/>
      <c r="AD344" s="206"/>
      <c r="AE344" s="206"/>
      <c r="AF344" s="206"/>
    </row>
    <row r="345" spans="1:32" ht="13.5" hidden="1" outlineLevel="1" thickBot="1" x14ac:dyDescent="0.25">
      <c r="B345" s="58"/>
      <c r="C345" s="54"/>
      <c r="D345" s="38"/>
      <c r="E345" s="38"/>
      <c r="F345" s="38"/>
      <c r="G345" s="38"/>
      <c r="H345" s="38"/>
      <c r="I345" s="38"/>
      <c r="J345" s="38"/>
      <c r="K345" s="38"/>
      <c r="L345" s="38"/>
      <c r="M345" s="38"/>
      <c r="N345" s="38"/>
      <c r="O345" s="494"/>
      <c r="P345" s="13"/>
      <c r="Q345" s="19"/>
      <c r="R345" s="19"/>
      <c r="S345" s="19"/>
      <c r="T345" s="19"/>
      <c r="U345" s="19"/>
      <c r="V345" s="19"/>
      <c r="W345" s="19"/>
      <c r="X345" s="19"/>
      <c r="Y345" s="19"/>
      <c r="Z345" s="19"/>
      <c r="AA345" s="19"/>
      <c r="AB345" s="19"/>
      <c r="AC345" s="19"/>
      <c r="AD345" s="19"/>
    </row>
    <row r="346" spans="1:32" s="14" customFormat="1" ht="20.100000000000001" hidden="1" customHeight="1" outlineLevel="1" x14ac:dyDescent="0.2">
      <c r="A346" s="1397" t="s">
        <v>4294</v>
      </c>
      <c r="B346" s="51"/>
      <c r="C346" s="1102"/>
      <c r="D346" s="812"/>
      <c r="E346" s="812"/>
      <c r="F346" s="812"/>
      <c r="G346" s="812"/>
      <c r="H346" s="812"/>
      <c r="I346" s="812"/>
      <c r="J346" s="239"/>
      <c r="K346" s="239"/>
      <c r="L346" s="239"/>
      <c r="M346" s="239"/>
      <c r="N346" s="239"/>
      <c r="O346" s="909"/>
      <c r="P346" s="38"/>
      <c r="Q346" s="41"/>
      <c r="R346" s="41"/>
      <c r="S346" s="41"/>
      <c r="T346" s="41"/>
      <c r="U346" s="41"/>
      <c r="V346" s="41"/>
      <c r="W346" s="41"/>
      <c r="X346" s="41"/>
      <c r="Y346" s="41"/>
      <c r="Z346" s="41"/>
      <c r="AA346" s="41"/>
      <c r="AB346" s="41"/>
      <c r="AC346" s="41"/>
      <c r="AD346" s="41"/>
    </row>
    <row r="347" spans="1:32" s="14" customFormat="1" ht="15.75" hidden="1" customHeight="1" outlineLevel="1" x14ac:dyDescent="0.2">
      <c r="A347" s="1398"/>
      <c r="B347" s="51"/>
      <c r="C347" s="846"/>
      <c r="D347" s="966" t="s">
        <v>116</v>
      </c>
      <c r="E347" s="38"/>
      <c r="F347" s="38"/>
      <c r="G347" s="38"/>
      <c r="H347" s="38"/>
      <c r="I347" s="38"/>
      <c r="J347" s="13"/>
      <c r="K347" s="13"/>
      <c r="L347" s="13"/>
      <c r="M347" s="13"/>
      <c r="N347" s="13"/>
      <c r="O347" s="897"/>
      <c r="P347" s="38"/>
      <c r="Q347" s="41"/>
      <c r="R347" s="41"/>
      <c r="S347" s="41"/>
      <c r="T347" s="41"/>
      <c r="U347" s="41"/>
      <c r="V347" s="41"/>
      <c r="W347" s="41"/>
      <c r="X347" s="41"/>
      <c r="Y347" s="41"/>
      <c r="Z347" s="41"/>
      <c r="AA347" s="41"/>
      <c r="AB347" s="41"/>
      <c r="AC347" s="41"/>
      <c r="AD347" s="41"/>
    </row>
    <row r="348" spans="1:32" ht="16.5" hidden="1" customHeight="1" outlineLevel="1" x14ac:dyDescent="0.2">
      <c r="A348" s="1398"/>
      <c r="B348" s="51"/>
      <c r="C348" s="281" t="s">
        <v>115</v>
      </c>
      <c r="D348" s="935">
        <v>4.8899999999999999E-2</v>
      </c>
      <c r="E348" s="6"/>
      <c r="F348" s="6"/>
      <c r="G348" s="6"/>
      <c r="H348" s="6"/>
      <c r="J348" s="6"/>
      <c r="K348" s="6"/>
      <c r="L348" s="6"/>
      <c r="M348" s="6"/>
      <c r="N348" s="6"/>
      <c r="O348" s="897"/>
      <c r="P348" s="13"/>
      <c r="Q348" s="19"/>
      <c r="R348" s="19"/>
      <c r="S348" s="19"/>
      <c r="T348" s="19"/>
      <c r="U348" s="19"/>
      <c r="V348" s="19"/>
      <c r="W348" s="19"/>
      <c r="X348" s="19"/>
      <c r="Y348" s="19"/>
      <c r="Z348" s="19"/>
      <c r="AA348" s="19"/>
      <c r="AB348" s="19"/>
      <c r="AC348" s="19"/>
      <c r="AD348" s="19"/>
    </row>
    <row r="349" spans="1:32" ht="16.5" hidden="1" customHeight="1" outlineLevel="1" x14ac:dyDescent="0.2">
      <c r="A349" s="1398"/>
      <c r="B349" s="51"/>
      <c r="C349" s="281"/>
      <c r="D349" s="918" t="s">
        <v>135</v>
      </c>
      <c r="E349" s="507">
        <f>pSystemsPaperRecords_Total*CostperCopy</f>
        <v>1049225.8329</v>
      </c>
      <c r="F349" s="321">
        <f>(pSystemsPaperRecords_Total*CostperCopy)*(1+Inflation)</f>
        <v>1069017.356541974</v>
      </c>
      <c r="G349" s="321">
        <f>(pSystemsPaperRecords_Total*CostperCopy)*(1+Inflation)^2</f>
        <v>1089496.4967559802</v>
      </c>
      <c r="H349" s="321">
        <f>(pSystemsPaperRecords_Total*CostperCopy)*(1+Inflation)^3</f>
        <v>1113561.8980405147</v>
      </c>
      <c r="I349" s="321">
        <f>(pSystemsPaperRecords_Total*CostperCopy)*(1+Inflation)^4</f>
        <v>1136543.4580656257</v>
      </c>
      <c r="J349" s="321">
        <f>(pSystemsPaperRecords_Total*CostperCopy)*(1+Inflation)^5</f>
        <v>1160008.150636957</v>
      </c>
      <c r="K349" s="321">
        <f>(pSystemsPaperRecords_Total*CostperCopy)*(1+Inflation)^6</f>
        <v>1183964.5166799638</v>
      </c>
      <c r="L349" s="321">
        <f>(pSystemsPaperRecords_Total*CostperCopy)*(1+Inflation)^7</f>
        <v>1208421.6047521564</v>
      </c>
      <c r="M349" s="321">
        <f>(pSystemsPaperRecords_Total*CostperCopy)*(1+Inflation)^8</f>
        <v>1233388.8905911271</v>
      </c>
      <c r="N349" s="321">
        <f>(pSystemsPaperRecords_Total*CostperCopy)*(1+Inflation)^9</f>
        <v>1258876.2234757126</v>
      </c>
      <c r="O349" s="257" t="s">
        <v>707</v>
      </c>
      <c r="P349" s="13"/>
      <c r="Q349" s="19"/>
      <c r="R349" s="19"/>
      <c r="S349" s="19"/>
      <c r="T349" s="19"/>
      <c r="U349" s="19"/>
      <c r="V349" s="19"/>
      <c r="W349" s="19"/>
      <c r="X349" s="19"/>
      <c r="Y349" s="19"/>
      <c r="Z349" s="19"/>
      <c r="AA349" s="19"/>
      <c r="AB349" s="19"/>
      <c r="AC349" s="19"/>
      <c r="AD349" s="19"/>
    </row>
    <row r="350" spans="1:32" s="7" customFormat="1" ht="16.5" hidden="1" customHeight="1" outlineLevel="1" x14ac:dyDescent="0.2">
      <c r="A350" s="1398"/>
      <c r="B350" s="51"/>
      <c r="C350" s="281"/>
      <c r="D350" s="37"/>
      <c r="E350" s="320"/>
      <c r="F350" s="320"/>
      <c r="G350" s="320"/>
      <c r="H350" s="320"/>
      <c r="I350" s="320"/>
      <c r="J350" s="320"/>
      <c r="K350" s="320"/>
      <c r="L350" s="320"/>
      <c r="M350" s="320"/>
      <c r="N350" s="320"/>
      <c r="O350" s="285"/>
      <c r="P350" s="50"/>
      <c r="Q350" s="24"/>
      <c r="R350" s="24"/>
      <c r="S350" s="24"/>
      <c r="T350" s="24"/>
      <c r="U350" s="24"/>
      <c r="V350" s="24"/>
      <c r="W350" s="24"/>
      <c r="X350" s="24"/>
      <c r="Y350" s="24"/>
      <c r="Z350" s="24"/>
      <c r="AA350" s="24"/>
      <c r="AB350" s="24"/>
      <c r="AC350" s="24"/>
      <c r="AD350" s="24"/>
    </row>
    <row r="351" spans="1:32" ht="16.5" hidden="1" customHeight="1" outlineLevel="1" x14ac:dyDescent="0.2">
      <c r="A351" s="1398"/>
      <c r="B351" s="51"/>
      <c r="C351" s="281"/>
      <c r="D351" s="921" t="s">
        <v>136</v>
      </c>
      <c r="E351" s="507">
        <f>hSystemsPaperRecords_Total*CostperCopy</f>
        <v>1049225.8329</v>
      </c>
      <c r="F351" s="321">
        <f>(hSystemsPaperRecords_Total*CostperCopy)*(1+Inflation)</f>
        <v>534508.678270987</v>
      </c>
      <c r="G351" s="321">
        <f>(hSystemsPaperRecords_Total*CostperCopy)*(1+Inflation)^2</f>
        <v>490273.42354019091</v>
      </c>
      <c r="H351" s="321">
        <f>(hSystemsPaperRecords_Total*CostperCopy)*(1+Inflation)^3</f>
        <v>445424.75921620586</v>
      </c>
      <c r="I351" s="321">
        <f>(hSystemsPaperRecords_Total*CostperCopy)*(1+Inflation)^4</f>
        <v>454617.38322625024</v>
      </c>
      <c r="J351" s="321">
        <f>(hSystemsPaperRecords_Total*CostperCopy)*(1+Inflation)^5</f>
        <v>464003.26025478292</v>
      </c>
      <c r="K351" s="321">
        <f>(hSystemsPaperRecords_Total*CostperCopy)*(1+Inflation)^6</f>
        <v>473585.80667198554</v>
      </c>
      <c r="L351" s="321">
        <f>(hSystemsPaperRecords_Total*CostperCopy)*(1+Inflation)^7</f>
        <v>483368.64190086257</v>
      </c>
      <c r="M351" s="321">
        <f>(hSystemsPaperRecords_Total*CostperCopy)*(1+Inflation)^8</f>
        <v>493355.55623645074</v>
      </c>
      <c r="N351" s="321">
        <f>(hSystemsPaperRecords_Total*CostperCopy)*(1+Inflation)^9</f>
        <v>503550.48939028493</v>
      </c>
      <c r="O351" s="257" t="s">
        <v>708</v>
      </c>
      <c r="P351" s="13"/>
      <c r="Q351" s="19"/>
      <c r="R351" s="19"/>
      <c r="S351" s="19"/>
      <c r="T351" s="19"/>
      <c r="U351" s="19"/>
      <c r="V351" s="19"/>
      <c r="W351" s="19"/>
      <c r="X351" s="19"/>
      <c r="Y351" s="19"/>
      <c r="Z351" s="19"/>
      <c r="AA351" s="19"/>
      <c r="AB351" s="19"/>
      <c r="AC351" s="19"/>
      <c r="AD351" s="19"/>
    </row>
    <row r="352" spans="1:32" s="7" customFormat="1" ht="16.5" hidden="1" customHeight="1" outlineLevel="1" x14ac:dyDescent="0.2">
      <c r="A352" s="1398"/>
      <c r="B352" s="51"/>
      <c r="C352" s="281"/>
      <c r="D352" s="898"/>
      <c r="E352" s="320"/>
      <c r="F352" s="320"/>
      <c r="G352" s="320"/>
      <c r="H352" s="320"/>
      <c r="I352" s="320"/>
      <c r="J352" s="320"/>
      <c r="K352" s="320"/>
      <c r="L352" s="320"/>
      <c r="M352" s="320"/>
      <c r="N352" s="320"/>
      <c r="O352" s="285"/>
      <c r="P352" s="50"/>
      <c r="Q352" s="24"/>
      <c r="R352" s="24"/>
      <c r="S352" s="24"/>
      <c r="T352" s="24"/>
      <c r="U352" s="24"/>
      <c r="V352" s="24"/>
      <c r="W352" s="24"/>
      <c r="X352" s="24"/>
      <c r="Y352" s="24"/>
      <c r="Z352" s="24"/>
      <c r="AA352" s="24"/>
      <c r="AB352" s="24"/>
      <c r="AC352" s="24"/>
      <c r="AD352" s="24"/>
    </row>
    <row r="353" spans="1:32" ht="16.5" hidden="1" customHeight="1" outlineLevel="1" x14ac:dyDescent="0.2">
      <c r="A353" s="1398"/>
      <c r="B353" s="51"/>
      <c r="C353" s="281"/>
      <c r="D353" s="934" t="s">
        <v>137</v>
      </c>
      <c r="E353" s="507">
        <f>eSystemsPaperRecords_Total*CostperCopy</f>
        <v>1049225.8329</v>
      </c>
      <c r="F353" s="321">
        <f>(eSystemsPaperRecords_Total*CostperCopy)*(1+Inflation)</f>
        <v>42760.69426167896</v>
      </c>
      <c r="G353" s="321">
        <f>(eSystemsPaperRecords_Total*CostperCopy)*(1+Inflation)^2</f>
        <v>32684.8949026794</v>
      </c>
      <c r="H353" s="321">
        <f>(eSystemsPaperRecords_Total*CostperCopy)*(1+Inflation)^3</f>
        <v>38974.666431418009</v>
      </c>
      <c r="I353" s="321">
        <f>(eSystemsPaperRecords_Total*CostperCopy)*(1+Inflation)^4</f>
        <v>34096.303741968775</v>
      </c>
      <c r="J353" s="321">
        <f>(eSystemsPaperRecords_Total*CostperCopy)*(1+Inflation)^5</f>
        <v>29000.203765923932</v>
      </c>
      <c r="K353" s="321">
        <f>(eSystemsPaperRecords_Total*CostperCopy)*(1+Inflation)^6</f>
        <v>23679.290333599281</v>
      </c>
      <c r="L353" s="321">
        <f>(eSystemsPaperRecords_Total*CostperCopy)*(1+Inflation)^7</f>
        <v>18126.324071282343</v>
      </c>
      <c r="M353" s="321">
        <f>(eSystemsPaperRecords_Total*CostperCopy)*(1+Inflation)^8</f>
        <v>12333.888905911273</v>
      </c>
      <c r="N353" s="321">
        <f>(eSystemsPaperRecords_Total*CostperCopy)*(1+Inflation)^9</f>
        <v>6294.3811173785625</v>
      </c>
      <c r="O353" s="257" t="s">
        <v>709</v>
      </c>
      <c r="P353" s="13"/>
      <c r="Q353" s="19"/>
      <c r="R353" s="19"/>
      <c r="S353" s="19"/>
      <c r="T353" s="19"/>
      <c r="U353" s="19"/>
      <c r="V353" s="19"/>
      <c r="W353" s="19"/>
      <c r="X353" s="19"/>
      <c r="Y353" s="19"/>
      <c r="Z353" s="19"/>
      <c r="AA353" s="19"/>
      <c r="AB353" s="19"/>
      <c r="AC353" s="19"/>
      <c r="AD353" s="19"/>
    </row>
    <row r="354" spans="1:32" s="114" customFormat="1" ht="85.5" hidden="1" customHeight="1" outlineLevel="1" thickBot="1" x14ac:dyDescent="0.25">
      <c r="A354" s="1399"/>
      <c r="B354" s="51"/>
      <c r="C354" s="250"/>
      <c r="D354" s="251"/>
      <c r="E354" s="251"/>
      <c r="F354" s="251"/>
      <c r="G354" s="251"/>
      <c r="H354" s="251"/>
      <c r="I354" s="251"/>
      <c r="J354" s="251"/>
      <c r="K354" s="251"/>
      <c r="L354" s="251"/>
      <c r="M354" s="251"/>
      <c r="N354" s="251"/>
      <c r="O354" s="900"/>
      <c r="P354" s="113"/>
    </row>
    <row r="355" spans="1:32" s="7" customFormat="1" ht="16.5" hidden="1" customHeight="1" outlineLevel="1" x14ac:dyDescent="0.2">
      <c r="A355" s="173"/>
      <c r="B355" s="64"/>
      <c r="C355" s="37"/>
      <c r="D355" s="899"/>
      <c r="E355" s="179"/>
      <c r="F355" s="179"/>
      <c r="G355" s="179"/>
      <c r="H355" s="179"/>
      <c r="I355" s="179"/>
      <c r="J355" s="179"/>
      <c r="K355" s="179"/>
      <c r="L355" s="179"/>
      <c r="M355" s="179"/>
      <c r="N355" s="179"/>
      <c r="O355" s="494"/>
      <c r="P355" s="50"/>
      <c r="Q355" s="24"/>
      <c r="R355" s="24"/>
      <c r="S355" s="24"/>
      <c r="T355" s="24"/>
      <c r="U355" s="24"/>
      <c r="V355" s="24"/>
      <c r="W355" s="24"/>
      <c r="X355" s="24"/>
      <c r="Y355" s="24"/>
      <c r="Z355" s="24"/>
      <c r="AA355" s="24"/>
      <c r="AB355" s="24"/>
      <c r="AC355" s="24"/>
      <c r="AD355" s="24"/>
    </row>
    <row r="356" spans="1:32" s="122" customFormat="1" ht="15.75" collapsed="1" x14ac:dyDescent="0.2">
      <c r="A356" s="1043">
        <v>9</v>
      </c>
      <c r="B356" s="1039"/>
      <c r="C356" s="1039"/>
      <c r="D356" s="1039"/>
      <c r="E356" s="1039"/>
      <c r="F356" s="1039"/>
      <c r="G356" s="1039"/>
      <c r="H356" s="1039"/>
      <c r="I356" s="1039"/>
      <c r="J356" s="1039"/>
      <c r="K356" s="1039"/>
      <c r="L356" s="1039"/>
      <c r="M356" s="1039"/>
      <c r="N356" s="1039"/>
      <c r="O356" s="1039"/>
      <c r="P356" s="206"/>
      <c r="Q356" s="206"/>
      <c r="R356" s="206"/>
      <c r="S356" s="206"/>
      <c r="T356" s="206"/>
      <c r="U356" s="206"/>
      <c r="V356" s="206"/>
      <c r="W356" s="206"/>
      <c r="X356" s="206"/>
      <c r="Y356" s="206"/>
      <c r="Z356" s="206"/>
      <c r="AA356" s="206"/>
      <c r="AB356" s="206"/>
      <c r="AC356" s="206"/>
      <c r="AD356" s="206"/>
      <c r="AE356" s="206"/>
      <c r="AF356" s="206"/>
    </row>
    <row r="357" spans="1:32" s="191" customFormat="1" ht="14.1" customHeight="1" thickBot="1" x14ac:dyDescent="0.25">
      <c r="B357" s="55"/>
      <c r="C357" s="30"/>
      <c r="D357" s="30"/>
      <c r="E357" s="24"/>
      <c r="F357" s="24"/>
      <c r="G357" s="24"/>
      <c r="H357" s="30"/>
      <c r="I357" s="180"/>
      <c r="J357" s="24"/>
      <c r="K357" s="24"/>
      <c r="L357" s="24"/>
      <c r="M357" s="24"/>
      <c r="N357" s="24"/>
      <c r="O357" s="494"/>
      <c r="P357" s="30"/>
      <c r="Q357" s="180"/>
      <c r="R357" s="180"/>
      <c r="S357" s="180"/>
      <c r="T357" s="180"/>
      <c r="U357" s="180"/>
      <c r="V357" s="180"/>
      <c r="W357" s="180"/>
      <c r="X357" s="180"/>
      <c r="Y357" s="180"/>
      <c r="Z357" s="180"/>
      <c r="AA357" s="180"/>
      <c r="AB357" s="180"/>
      <c r="AC357" s="180"/>
      <c r="AD357" s="180"/>
    </row>
    <row r="358" spans="1:32" s="18" customFormat="1" ht="20.100000000000001" customHeight="1" x14ac:dyDescent="0.2">
      <c r="A358" s="1400" t="s">
        <v>129</v>
      </c>
      <c r="B358" s="267"/>
      <c r="C358" s="967" t="s">
        <v>129</v>
      </c>
      <c r="D358" s="23"/>
      <c r="E358" s="23"/>
      <c r="F358" s="23"/>
      <c r="G358" s="23"/>
      <c r="H358" s="23"/>
      <c r="I358" s="23"/>
      <c r="J358" s="23"/>
      <c r="K358" s="23"/>
      <c r="L358" s="23"/>
      <c r="M358" s="23"/>
      <c r="N358" s="23"/>
      <c r="O358" s="23"/>
      <c r="P358" s="12"/>
      <c r="Q358" s="12"/>
    </row>
    <row r="359" spans="1:32" s="18" customFormat="1" ht="12" customHeight="1" x14ac:dyDescent="0.2">
      <c r="A359" s="1399"/>
      <c r="B359" s="267"/>
      <c r="C359" s="267"/>
      <c r="D359" s="30"/>
      <c r="E359" s="23"/>
      <c r="F359" s="23"/>
      <c r="G359" s="23"/>
      <c r="H359" s="23"/>
      <c r="I359" s="23"/>
      <c r="J359" s="23"/>
      <c r="K359" s="23"/>
      <c r="L359" s="23"/>
      <c r="M359" s="23"/>
      <c r="N359" s="23"/>
      <c r="O359" s="23"/>
      <c r="P359" s="12"/>
      <c r="Q359" s="12"/>
    </row>
    <row r="360" spans="1:32" s="191" customFormat="1" ht="14.1" customHeight="1" x14ac:dyDescent="0.2">
      <c r="B360" s="55"/>
      <c r="C360" s="30"/>
      <c r="D360" s="30"/>
      <c r="E360" s="24"/>
      <c r="F360" s="24"/>
      <c r="G360" s="24"/>
      <c r="H360" s="30"/>
      <c r="I360" s="180"/>
      <c r="J360" s="24"/>
      <c r="K360" s="24"/>
      <c r="L360" s="24"/>
      <c r="M360" s="24"/>
      <c r="N360" s="24"/>
      <c r="O360" s="494"/>
      <c r="P360" s="30"/>
      <c r="Q360" s="180"/>
      <c r="R360" s="180"/>
      <c r="S360" s="180"/>
      <c r="T360" s="180"/>
      <c r="U360" s="180"/>
      <c r="V360" s="180"/>
      <c r="W360" s="180"/>
      <c r="X360" s="180"/>
      <c r="Y360" s="180"/>
      <c r="Z360" s="180"/>
      <c r="AA360" s="180"/>
      <c r="AB360" s="180"/>
      <c r="AC360" s="180"/>
      <c r="AD360" s="180"/>
    </row>
    <row r="361" spans="1:32" s="7" customFormat="1" ht="16.5" hidden="1" customHeight="1" outlineLevel="1" thickBot="1" x14ac:dyDescent="0.25">
      <c r="A361" s="173"/>
      <c r="B361" s="64"/>
      <c r="C361" s="37"/>
      <c r="D361" s="899"/>
      <c r="E361" s="179"/>
      <c r="F361" s="179"/>
      <c r="G361" s="179"/>
      <c r="H361" s="179"/>
      <c r="I361" s="179"/>
      <c r="J361" s="179"/>
      <c r="K361" s="179"/>
      <c r="L361" s="179"/>
      <c r="M361" s="179"/>
      <c r="N361" s="179"/>
      <c r="O361" s="494"/>
      <c r="P361" s="50"/>
      <c r="Q361" s="24"/>
      <c r="R361" s="24"/>
      <c r="S361" s="24"/>
      <c r="T361" s="24"/>
      <c r="U361" s="24"/>
      <c r="V361" s="24"/>
      <c r="W361" s="24"/>
      <c r="X361" s="24"/>
      <c r="Y361" s="24"/>
      <c r="Z361" s="24"/>
      <c r="AA361" s="24"/>
      <c r="AB361" s="24"/>
      <c r="AC361" s="24"/>
      <c r="AD361" s="24"/>
    </row>
    <row r="362" spans="1:32" s="7" customFormat="1" ht="20.100000000000001" hidden="1" customHeight="1" outlineLevel="1" x14ac:dyDescent="0.2">
      <c r="A362" s="1394" t="s">
        <v>4292</v>
      </c>
      <c r="B362" s="64"/>
      <c r="C362" s="1103"/>
      <c r="D362" s="286"/>
      <c r="E362" s="286"/>
      <c r="F362" s="286"/>
      <c r="G362" s="286"/>
      <c r="H362" s="286"/>
      <c r="I362" s="286"/>
      <c r="J362" s="286"/>
      <c r="K362" s="286"/>
      <c r="L362" s="286"/>
      <c r="M362" s="286"/>
      <c r="N362" s="286"/>
      <c r="O362" s="813"/>
      <c r="P362" s="50"/>
      <c r="Q362" s="24"/>
      <c r="R362" s="24"/>
      <c r="S362" s="24"/>
      <c r="T362" s="24"/>
      <c r="U362" s="24"/>
      <c r="V362" s="24"/>
      <c r="W362" s="24"/>
      <c r="X362" s="24"/>
      <c r="Y362" s="24"/>
      <c r="Z362" s="24"/>
      <c r="AA362" s="24"/>
      <c r="AB362" s="24"/>
      <c r="AC362" s="24"/>
      <c r="AD362" s="24"/>
    </row>
    <row r="363" spans="1:32" s="7" customFormat="1" ht="16.5" hidden="1" customHeight="1" outlineLevel="1" x14ac:dyDescent="0.2">
      <c r="A363" s="1395"/>
      <c r="B363" s="64"/>
      <c r="C363" s="281"/>
      <c r="D363" s="833" t="s">
        <v>138</v>
      </c>
      <c r="E363" s="507">
        <f t="shared" ref="E363:N363" si="159">SUM(E349+E331)</f>
        <v>1074425.8329</v>
      </c>
      <c r="F363" s="507">
        <f t="shared" si="159"/>
        <v>1096251.356541974</v>
      </c>
      <c r="G363" s="507">
        <f t="shared" si="159"/>
        <v>1117275.1767559801</v>
      </c>
      <c r="H363" s="507">
        <f t="shared" si="159"/>
        <v>1141896.1516405146</v>
      </c>
      <c r="I363" s="507">
        <f t="shared" si="159"/>
        <v>1165444.3967376258</v>
      </c>
      <c r="J363" s="507">
        <f t="shared" si="159"/>
        <v>1189487.1080823971</v>
      </c>
      <c r="K363" s="507">
        <f t="shared" si="159"/>
        <v>1214033.0532743125</v>
      </c>
      <c r="L363" s="507">
        <f t="shared" si="159"/>
        <v>1239091.5120783921</v>
      </c>
      <c r="M363" s="507">
        <f t="shared" si="159"/>
        <v>1264672.1960638876</v>
      </c>
      <c r="N363" s="507">
        <f t="shared" si="159"/>
        <v>1290785.1950579283</v>
      </c>
      <c r="O363" s="257" t="s">
        <v>710</v>
      </c>
      <c r="P363" s="50"/>
      <c r="Q363" s="24"/>
      <c r="R363" s="24"/>
      <c r="S363" s="24"/>
      <c r="T363" s="24"/>
      <c r="U363" s="24"/>
      <c r="V363" s="24"/>
      <c r="W363" s="24"/>
      <c r="X363" s="24"/>
      <c r="Y363" s="24"/>
      <c r="Z363" s="24"/>
      <c r="AA363" s="24"/>
      <c r="AB363" s="24"/>
      <c r="AC363" s="24"/>
      <c r="AD363" s="24"/>
    </row>
    <row r="364" spans="1:32" s="7" customFormat="1" ht="16.5" hidden="1" customHeight="1" outlineLevel="1" x14ac:dyDescent="0.2">
      <c r="A364" s="1395"/>
      <c r="B364" s="64"/>
      <c r="C364" s="281"/>
      <c r="D364" s="37"/>
      <c r="E364" s="320"/>
      <c r="F364" s="320"/>
      <c r="G364" s="320"/>
      <c r="H364" s="320"/>
      <c r="I364" s="320"/>
      <c r="J364" s="320"/>
      <c r="K364" s="320"/>
      <c r="L364" s="320"/>
      <c r="M364" s="320"/>
      <c r="N364" s="320"/>
      <c r="O364" s="285"/>
      <c r="P364" s="50"/>
      <c r="Q364" s="24"/>
      <c r="R364" s="24"/>
      <c r="S364" s="24"/>
      <c r="T364" s="24"/>
      <c r="U364" s="24"/>
      <c r="V364" s="24"/>
      <c r="W364" s="24"/>
      <c r="X364" s="24"/>
      <c r="Y364" s="24"/>
      <c r="Z364" s="24"/>
      <c r="AA364" s="24"/>
      <c r="AB364" s="24"/>
      <c r="AC364" s="24"/>
      <c r="AD364" s="24"/>
    </row>
    <row r="365" spans="1:32" s="7" customFormat="1" ht="16.5" hidden="1" customHeight="1" outlineLevel="1" x14ac:dyDescent="0.2">
      <c r="A365" s="1395"/>
      <c r="B365" s="64"/>
      <c r="C365" s="281"/>
      <c r="D365" s="921" t="s">
        <v>139</v>
      </c>
      <c r="E365" s="507">
        <f t="shared" ref="E365:N365" si="160">SUM(E351+E333)</f>
        <v>1074425.8329</v>
      </c>
      <c r="F365" s="507">
        <f t="shared" si="160"/>
        <v>561742.678270987</v>
      </c>
      <c r="G365" s="507">
        <f t="shared" si="160"/>
        <v>518052.1035401909</v>
      </c>
      <c r="H365" s="507">
        <f t="shared" si="160"/>
        <v>473759.01281620585</v>
      </c>
      <c r="I365" s="507">
        <f t="shared" si="160"/>
        <v>483518.32189825026</v>
      </c>
      <c r="J365" s="507">
        <f t="shared" si="160"/>
        <v>493482.21770022291</v>
      </c>
      <c r="K365" s="507">
        <f t="shared" si="160"/>
        <v>503654.34326633433</v>
      </c>
      <c r="L365" s="507">
        <f t="shared" si="160"/>
        <v>514038.54922709835</v>
      </c>
      <c r="M365" s="507">
        <f t="shared" si="160"/>
        <v>524638.86170921125</v>
      </c>
      <c r="N365" s="507">
        <f t="shared" si="160"/>
        <v>535459.46097250062</v>
      </c>
      <c r="O365" s="257" t="s">
        <v>711</v>
      </c>
      <c r="P365" s="50"/>
      <c r="Q365" s="24"/>
      <c r="R365" s="24"/>
      <c r="S365" s="24"/>
      <c r="T365" s="24"/>
      <c r="U365" s="24"/>
      <c r="V365" s="24"/>
      <c r="W365" s="24"/>
      <c r="X365" s="24"/>
      <c r="Y365" s="24"/>
      <c r="Z365" s="24"/>
      <c r="AA365" s="24"/>
      <c r="AB365" s="24"/>
      <c r="AC365" s="24"/>
      <c r="AD365" s="24"/>
    </row>
    <row r="366" spans="1:32" s="7" customFormat="1" ht="16.5" hidden="1" customHeight="1" outlineLevel="1" x14ac:dyDescent="0.2">
      <c r="A366" s="1395"/>
      <c r="B366" s="64"/>
      <c r="C366" s="281"/>
      <c r="D366" s="921"/>
      <c r="E366" s="320"/>
      <c r="F366" s="320"/>
      <c r="G366" s="320"/>
      <c r="H366" s="320"/>
      <c r="I366" s="320"/>
      <c r="J366" s="320"/>
      <c r="K366" s="320"/>
      <c r="L366" s="320"/>
      <c r="M366" s="320"/>
      <c r="N366" s="320"/>
      <c r="O366" s="285"/>
      <c r="P366" s="50"/>
      <c r="Q366" s="24"/>
      <c r="R366" s="24"/>
      <c r="S366" s="24"/>
      <c r="T366" s="24"/>
      <c r="U366" s="24"/>
      <c r="V366" s="24"/>
      <c r="W366" s="24"/>
      <c r="X366" s="24"/>
      <c r="Y366" s="24"/>
      <c r="Z366" s="24"/>
      <c r="AA366" s="24"/>
      <c r="AB366" s="24"/>
      <c r="AC366" s="24"/>
      <c r="AD366" s="24"/>
    </row>
    <row r="367" spans="1:32" s="7" customFormat="1" ht="16.5" hidden="1" customHeight="1" outlineLevel="1" x14ac:dyDescent="0.2">
      <c r="A367" s="1395"/>
      <c r="B367" s="64"/>
      <c r="C367" s="281"/>
      <c r="D367" s="934" t="s">
        <v>140</v>
      </c>
      <c r="E367" s="507">
        <f t="shared" ref="E367:N367" si="161">SUM(E353+E335)</f>
        <v>1071725.8329</v>
      </c>
      <c r="F367" s="507">
        <f t="shared" si="161"/>
        <v>69994.69426167896</v>
      </c>
      <c r="G367" s="507">
        <f t="shared" si="161"/>
        <v>60463.5749026794</v>
      </c>
      <c r="H367" s="507">
        <f t="shared" si="161"/>
        <v>67308.920031418005</v>
      </c>
      <c r="I367" s="507">
        <f t="shared" si="161"/>
        <v>62997.242413968779</v>
      </c>
      <c r="J367" s="507">
        <f t="shared" si="161"/>
        <v>58479.161211363935</v>
      </c>
      <c r="K367" s="507">
        <f t="shared" si="161"/>
        <v>53747.826927948088</v>
      </c>
      <c r="L367" s="507">
        <f t="shared" si="161"/>
        <v>48796.23139751811</v>
      </c>
      <c r="M367" s="507">
        <f t="shared" si="161"/>
        <v>43617.19437867176</v>
      </c>
      <c r="N367" s="507">
        <f t="shared" si="161"/>
        <v>38203.352699594259</v>
      </c>
      <c r="O367" s="257" t="s">
        <v>712</v>
      </c>
      <c r="P367" s="50"/>
      <c r="Q367" s="24"/>
      <c r="R367" s="24"/>
      <c r="S367" s="24"/>
      <c r="T367" s="24"/>
      <c r="U367" s="24"/>
      <c r="V367" s="24"/>
      <c r="W367" s="24"/>
      <c r="X367" s="24"/>
      <c r="Y367" s="24"/>
      <c r="Z367" s="24"/>
      <c r="AA367" s="24"/>
      <c r="AB367" s="24"/>
      <c r="AC367" s="24"/>
      <c r="AD367" s="24"/>
    </row>
    <row r="368" spans="1:32" ht="16.5" hidden="1" customHeight="1" outlineLevel="1" thickBot="1" x14ac:dyDescent="0.25">
      <c r="A368" s="1396"/>
      <c r="B368" s="64"/>
      <c r="C368" s="287"/>
      <c r="D368" s="511"/>
      <c r="E368" s="511"/>
      <c r="F368" s="511"/>
      <c r="G368" s="511"/>
      <c r="H368" s="511"/>
      <c r="I368" s="511"/>
      <c r="J368" s="511"/>
      <c r="K368" s="511"/>
      <c r="L368" s="511"/>
      <c r="M368" s="511"/>
      <c r="N368" s="511"/>
      <c r="O368" s="810"/>
      <c r="P368" s="13"/>
      <c r="Q368" s="19"/>
      <c r="R368" s="19"/>
      <c r="S368" s="19"/>
      <c r="T368" s="19"/>
      <c r="U368" s="19"/>
      <c r="V368" s="19"/>
      <c r="W368" s="19"/>
      <c r="X368" s="19"/>
      <c r="Y368" s="19"/>
      <c r="Z368" s="19"/>
      <c r="AA368" s="19"/>
      <c r="AB368" s="19"/>
      <c r="AC368" s="19"/>
      <c r="AD368" s="19"/>
    </row>
    <row r="369" spans="1:32" hidden="1" outlineLevel="1" x14ac:dyDescent="0.2">
      <c r="P369" s="802"/>
    </row>
    <row r="370" spans="1:32" s="122" customFormat="1" ht="15.75" collapsed="1" x14ac:dyDescent="0.2">
      <c r="A370" s="1043">
        <v>10</v>
      </c>
      <c r="B370" s="1039"/>
      <c r="C370" s="1039"/>
      <c r="D370" s="1039"/>
      <c r="E370" s="1039"/>
      <c r="F370" s="1039"/>
      <c r="G370" s="1039"/>
      <c r="H370" s="1039"/>
      <c r="I370" s="1039"/>
      <c r="J370" s="1039"/>
      <c r="K370" s="1039"/>
      <c r="L370" s="1039"/>
      <c r="M370" s="1039"/>
      <c r="N370" s="1039"/>
      <c r="O370" s="1039"/>
      <c r="P370" s="206"/>
      <c r="Q370" s="206"/>
      <c r="R370" s="206"/>
      <c r="S370" s="206"/>
      <c r="T370" s="206"/>
      <c r="U370" s="206"/>
      <c r="V370" s="206"/>
      <c r="W370" s="206"/>
      <c r="X370" s="206"/>
      <c r="Y370" s="206"/>
      <c r="Z370" s="206"/>
      <c r="AA370" s="206"/>
      <c r="AB370" s="206"/>
      <c r="AC370" s="206"/>
      <c r="AD370" s="206"/>
      <c r="AE370" s="206"/>
      <c r="AF370" s="206"/>
    </row>
    <row r="371" spans="1:32" ht="13.5" thickBot="1" x14ac:dyDescent="0.25">
      <c r="P371" s="802"/>
    </row>
    <row r="372" spans="1:32" s="18" customFormat="1" ht="20.100000000000001" customHeight="1" x14ac:dyDescent="0.2">
      <c r="A372" s="1397" t="s">
        <v>4296</v>
      </c>
      <c r="B372" s="267"/>
      <c r="C372" s="968" t="s">
        <v>271</v>
      </c>
      <c r="D372" s="23"/>
      <c r="E372" s="23"/>
      <c r="F372" s="23"/>
      <c r="G372" s="23"/>
      <c r="H372" s="23"/>
      <c r="I372" s="23"/>
      <c r="J372" s="23"/>
      <c r="K372" s="23"/>
      <c r="L372" s="23"/>
      <c r="M372" s="23"/>
      <c r="N372" s="23"/>
      <c r="O372" s="23"/>
      <c r="P372" s="12"/>
      <c r="Q372" s="12"/>
    </row>
    <row r="373" spans="1:32" s="18" customFormat="1" ht="12" customHeight="1" x14ac:dyDescent="0.2">
      <c r="A373" s="1398"/>
      <c r="B373" s="267"/>
      <c r="C373" s="267"/>
      <c r="D373" s="30"/>
      <c r="E373" s="23"/>
      <c r="F373" s="23"/>
      <c r="G373" s="23"/>
      <c r="H373" s="23"/>
      <c r="I373" s="23"/>
      <c r="J373" s="23"/>
      <c r="K373" s="23"/>
      <c r="L373" s="23"/>
      <c r="M373" s="23"/>
      <c r="N373" s="23"/>
      <c r="O373" s="23"/>
      <c r="P373" s="12"/>
      <c r="Q373" s="12"/>
    </row>
    <row r="374" spans="1:32" s="18" customFormat="1" ht="20.25" customHeight="1" x14ac:dyDescent="0.2">
      <c r="A374" s="1398"/>
      <c r="B374" s="267"/>
      <c r="C374" s="267"/>
      <c r="D374" s="30"/>
      <c r="E374" s="23"/>
      <c r="F374" s="23"/>
      <c r="G374" s="23"/>
      <c r="H374" s="23"/>
      <c r="I374" s="23"/>
      <c r="J374" s="23"/>
      <c r="K374" s="23"/>
      <c r="L374" s="23"/>
      <c r="M374" s="23"/>
      <c r="N374" s="23"/>
      <c r="O374" s="23"/>
      <c r="P374" s="12"/>
      <c r="Q374" s="12"/>
    </row>
    <row r="375" spans="1:32" ht="15.75" x14ac:dyDescent="0.2">
      <c r="A375" s="1399"/>
      <c r="B375" s="13"/>
      <c r="C375" s="56"/>
      <c r="D375" s="667"/>
      <c r="E375" s="15"/>
      <c r="F375" s="15"/>
      <c r="G375" s="15"/>
      <c r="H375" s="13"/>
      <c r="I375" s="19"/>
      <c r="J375" s="19"/>
      <c r="K375" s="19"/>
      <c r="L375" s="19"/>
      <c r="M375" s="19"/>
      <c r="N375" s="19"/>
      <c r="O375" s="35"/>
      <c r="P375" s="13"/>
      <c r="Q375" s="19"/>
      <c r="R375" s="19"/>
      <c r="S375" s="19"/>
      <c r="T375" s="19"/>
      <c r="U375" s="19"/>
      <c r="V375" s="19"/>
      <c r="W375" s="19"/>
      <c r="X375" s="19"/>
      <c r="Y375" s="19"/>
      <c r="Z375" s="19"/>
      <c r="AA375" s="19"/>
      <c r="AB375" s="19"/>
      <c r="AC375" s="19"/>
      <c r="AD375" s="19"/>
    </row>
    <row r="376" spans="1:32" x14ac:dyDescent="0.2">
      <c r="P376" s="802"/>
    </row>
    <row r="377" spans="1:32" s="114" customFormat="1" ht="13.5" hidden="1" outlineLevel="1" thickBot="1" x14ac:dyDescent="0.25">
      <c r="B377" s="911"/>
      <c r="C377" s="172"/>
      <c r="D377" s="172"/>
      <c r="E377" s="172"/>
      <c r="F377" s="172"/>
      <c r="G377" s="172"/>
      <c r="H377" s="172"/>
      <c r="I377" s="172"/>
      <c r="J377" s="172"/>
      <c r="K377" s="172"/>
      <c r="L377" s="172"/>
      <c r="M377" s="172"/>
      <c r="N377" s="172"/>
      <c r="O377" s="673"/>
      <c r="P377" s="113"/>
    </row>
    <row r="378" spans="1:32" ht="20.100000000000001" hidden="1" customHeight="1" outlineLevel="1" x14ac:dyDescent="0.2">
      <c r="A378" s="1394" t="s">
        <v>4295</v>
      </c>
      <c r="B378" s="19"/>
      <c r="C378" s="912" t="str">
        <f>Scenario1&amp;" Print Room &amp; Paper Storage Area Required"</f>
        <v>pSystems (Paper) Print Room &amp; Paper Storage Area Required</v>
      </c>
      <c r="D378" s="288"/>
      <c r="E378" s="288"/>
      <c r="F378" s="288"/>
      <c r="G378" s="288"/>
      <c r="H378" s="288"/>
      <c r="I378" s="288"/>
      <c r="J378" s="288"/>
      <c r="K378" s="288"/>
      <c r="L378" s="288"/>
      <c r="M378" s="288"/>
      <c r="N378" s="288"/>
      <c r="O378" s="909"/>
      <c r="P378" s="13"/>
      <c r="Q378" s="19"/>
      <c r="R378" s="19"/>
      <c r="S378" s="19"/>
      <c r="T378" s="19"/>
      <c r="U378" s="19"/>
      <c r="V378" s="19"/>
      <c r="W378" s="19"/>
      <c r="X378" s="19"/>
      <c r="Y378" s="19"/>
      <c r="Z378" s="19"/>
      <c r="AA378" s="19"/>
      <c r="AB378" s="19"/>
      <c r="AC378" s="19"/>
      <c r="AD378" s="19"/>
    </row>
    <row r="379" spans="1:32" ht="14.1" hidden="1" customHeight="1" outlineLevel="1" x14ac:dyDescent="0.2">
      <c r="A379" s="1395"/>
      <c r="B379" s="19"/>
      <c r="C379" s="837"/>
      <c r="D379" s="59"/>
      <c r="E379" s="59"/>
      <c r="F379" s="59"/>
      <c r="G379" s="59"/>
      <c r="H379" s="59"/>
      <c r="I379" s="59"/>
      <c r="J379" s="59"/>
      <c r="K379" s="59"/>
      <c r="L379" s="59"/>
      <c r="M379" s="59"/>
      <c r="N379" s="59"/>
      <c r="O379" s="897"/>
      <c r="P379" s="13"/>
      <c r="Q379" s="19"/>
      <c r="R379" s="19"/>
      <c r="S379" s="19"/>
      <c r="T379" s="19"/>
      <c r="U379" s="19"/>
      <c r="V379" s="19"/>
      <c r="W379" s="19"/>
      <c r="X379" s="19"/>
      <c r="Y379" s="19"/>
      <c r="Z379" s="19"/>
      <c r="AA379" s="19"/>
      <c r="AB379" s="19"/>
      <c r="AC379" s="19"/>
      <c r="AD379" s="19"/>
    </row>
    <row r="380" spans="1:32" ht="14.1" hidden="1" customHeight="1" outlineLevel="1" x14ac:dyDescent="0.2">
      <c r="A380" s="1395"/>
      <c r="B380" s="19"/>
      <c r="C380" s="165"/>
      <c r="D380" s="37" t="str">
        <f>"Print Room Area Required "&amp;(OfficeLeaseUnit)</f>
        <v>Print Room Area Required m2</v>
      </c>
      <c r="E380" s="519">
        <v>12</v>
      </c>
      <c r="F380" s="936">
        <v>12</v>
      </c>
      <c r="G380" s="937">
        <v>12</v>
      </c>
      <c r="H380" s="937">
        <v>12</v>
      </c>
      <c r="I380" s="937">
        <v>12</v>
      </c>
      <c r="J380" s="937">
        <v>12</v>
      </c>
      <c r="K380" s="937">
        <v>12</v>
      </c>
      <c r="L380" s="937">
        <v>12</v>
      </c>
      <c r="M380" s="937">
        <v>12</v>
      </c>
      <c r="N380" s="937">
        <v>12</v>
      </c>
      <c r="O380" s="257" t="s">
        <v>735</v>
      </c>
      <c r="P380" s="13"/>
      <c r="Q380" s="19"/>
      <c r="R380" s="19"/>
      <c r="S380" s="19"/>
      <c r="T380" s="19"/>
      <c r="U380" s="19"/>
      <c r="V380" s="19"/>
      <c r="W380" s="19"/>
      <c r="X380" s="19"/>
      <c r="Y380" s="19"/>
      <c r="Z380" s="19"/>
      <c r="AA380" s="19"/>
      <c r="AB380" s="19"/>
      <c r="AC380" s="19"/>
      <c r="AD380" s="19"/>
    </row>
    <row r="381" spans="1:32" ht="14.1" hidden="1" customHeight="1" outlineLevel="1" x14ac:dyDescent="0.2">
      <c r="A381" s="1395"/>
      <c r="B381" s="19"/>
      <c r="C381" s="165"/>
      <c r="D381" s="833"/>
      <c r="E381" s="917"/>
      <c r="F381" s="917"/>
      <c r="G381" s="917"/>
      <c r="H381" s="13"/>
      <c r="I381" s="13"/>
      <c r="J381" s="13"/>
      <c r="K381" s="13"/>
      <c r="L381" s="13"/>
      <c r="M381" s="13"/>
      <c r="N381" s="13"/>
      <c r="O381" s="938"/>
      <c r="P381" s="13"/>
      <c r="Q381" s="19"/>
      <c r="R381" s="19"/>
      <c r="S381" s="19"/>
      <c r="T381" s="19"/>
      <c r="U381" s="19"/>
      <c r="V381" s="19"/>
      <c r="W381" s="19"/>
      <c r="X381" s="19"/>
      <c r="Y381" s="19"/>
      <c r="Z381" s="19"/>
      <c r="AA381" s="19"/>
      <c r="AB381" s="19"/>
      <c r="AC381" s="19"/>
      <c r="AD381" s="19"/>
    </row>
    <row r="382" spans="1:32" ht="14.1" hidden="1" customHeight="1" outlineLevel="1" x14ac:dyDescent="0.2">
      <c r="A382" s="1395"/>
      <c r="B382" s="19"/>
      <c r="C382" s="165"/>
      <c r="D382" s="57" t="s">
        <v>48</v>
      </c>
      <c r="E382" s="939">
        <v>1</v>
      </c>
      <c r="F382" s="939">
        <v>1</v>
      </c>
      <c r="G382" s="939">
        <v>1</v>
      </c>
      <c r="H382" s="939">
        <v>1</v>
      </c>
      <c r="I382" s="939">
        <v>1</v>
      </c>
      <c r="J382" s="939">
        <v>1</v>
      </c>
      <c r="K382" s="939">
        <v>1</v>
      </c>
      <c r="L382" s="939">
        <v>1</v>
      </c>
      <c r="M382" s="939">
        <v>1</v>
      </c>
      <c r="N382" s="939">
        <v>1</v>
      </c>
      <c r="O382" s="938"/>
      <c r="P382" s="13"/>
      <c r="Q382" s="19"/>
      <c r="R382" s="19"/>
      <c r="S382" s="19"/>
      <c r="T382" s="19"/>
      <c r="U382" s="19"/>
      <c r="V382" s="19"/>
      <c r="W382" s="19"/>
      <c r="X382" s="19"/>
      <c r="Y382" s="19"/>
      <c r="Z382" s="19"/>
      <c r="AA382" s="19"/>
      <c r="AB382" s="19"/>
      <c r="AC382" s="19"/>
      <c r="AD382" s="19"/>
    </row>
    <row r="383" spans="1:32" ht="14.1" hidden="1" customHeight="1" outlineLevel="1" x14ac:dyDescent="0.2">
      <c r="A383" s="1395"/>
      <c r="B383" s="19"/>
      <c r="C383" s="165"/>
      <c r="D383" s="54" t="s">
        <v>49</v>
      </c>
      <c r="E383" s="927">
        <f t="shared" ref="E383:N383" si="162">SUM(E382*LocTransit)</f>
        <v>19</v>
      </c>
      <c r="F383" s="927">
        <f t="shared" si="162"/>
        <v>20</v>
      </c>
      <c r="G383" s="927">
        <f t="shared" si="162"/>
        <v>20</v>
      </c>
      <c r="H383" s="927">
        <f t="shared" si="162"/>
        <v>20</v>
      </c>
      <c r="I383" s="927">
        <f t="shared" si="162"/>
        <v>20</v>
      </c>
      <c r="J383" s="927">
        <f t="shared" si="162"/>
        <v>20</v>
      </c>
      <c r="K383" s="927">
        <f t="shared" si="162"/>
        <v>20</v>
      </c>
      <c r="L383" s="927">
        <f t="shared" si="162"/>
        <v>20</v>
      </c>
      <c r="M383" s="927">
        <f t="shared" si="162"/>
        <v>20</v>
      </c>
      <c r="N383" s="927">
        <f t="shared" si="162"/>
        <v>20</v>
      </c>
      <c r="O383" s="938"/>
      <c r="P383" s="13"/>
      <c r="Q383" s="19"/>
      <c r="R383" s="19"/>
      <c r="S383" s="19"/>
      <c r="T383" s="19"/>
      <c r="U383" s="19"/>
      <c r="V383" s="19"/>
      <c r="W383" s="19"/>
      <c r="X383" s="19"/>
      <c r="Y383" s="19"/>
      <c r="Z383" s="19"/>
      <c r="AA383" s="19"/>
      <c r="AB383" s="19"/>
      <c r="AC383" s="19"/>
      <c r="AD383" s="19"/>
    </row>
    <row r="384" spans="1:32" ht="14.1" hidden="1" customHeight="1" outlineLevel="1" x14ac:dyDescent="0.2">
      <c r="A384" s="1395"/>
      <c r="B384" s="19"/>
      <c r="C384" s="165"/>
      <c r="D384" s="54"/>
      <c r="E384" s="38"/>
      <c r="F384" s="38"/>
      <c r="G384" s="38"/>
      <c r="H384" s="38"/>
      <c r="I384" s="38"/>
      <c r="J384" s="38"/>
      <c r="K384" s="38"/>
      <c r="L384" s="38"/>
      <c r="M384" s="38"/>
      <c r="N384" s="38"/>
      <c r="O384" s="938"/>
      <c r="P384" s="13"/>
      <c r="Q384" s="19"/>
      <c r="R384" s="19"/>
      <c r="S384" s="19"/>
      <c r="T384" s="19"/>
      <c r="U384" s="19"/>
      <c r="V384" s="19"/>
      <c r="W384" s="19"/>
      <c r="X384" s="19"/>
      <c r="Y384" s="19"/>
      <c r="Z384" s="19"/>
      <c r="AA384" s="19"/>
      <c r="AB384" s="19"/>
      <c r="AC384" s="19"/>
      <c r="AD384" s="19"/>
    </row>
    <row r="385" spans="1:30" ht="14.1" hidden="1" customHeight="1" outlineLevel="1" x14ac:dyDescent="0.2">
      <c r="A385" s="1395"/>
      <c r="B385" s="19"/>
      <c r="C385" s="165"/>
      <c r="D385" s="57" t="s">
        <v>50</v>
      </c>
      <c r="E385" s="939">
        <v>1</v>
      </c>
      <c r="F385" s="939">
        <v>1</v>
      </c>
      <c r="G385" s="939">
        <v>1</v>
      </c>
      <c r="H385" s="939">
        <v>1</v>
      </c>
      <c r="I385" s="939">
        <v>1</v>
      </c>
      <c r="J385" s="939">
        <v>1</v>
      </c>
      <c r="K385" s="939">
        <v>1</v>
      </c>
      <c r="L385" s="939">
        <v>1</v>
      </c>
      <c r="M385" s="939">
        <v>1</v>
      </c>
      <c r="N385" s="939">
        <v>1</v>
      </c>
      <c r="O385" s="938"/>
      <c r="P385" s="13"/>
      <c r="Q385" s="19"/>
      <c r="R385" s="19"/>
      <c r="S385" s="19"/>
      <c r="T385" s="19"/>
      <c r="U385" s="19"/>
      <c r="V385" s="19"/>
      <c r="W385" s="19"/>
      <c r="X385" s="19"/>
      <c r="Y385" s="19"/>
      <c r="Z385" s="19"/>
      <c r="AA385" s="19"/>
      <c r="AB385" s="19"/>
      <c r="AC385" s="19"/>
      <c r="AD385" s="19"/>
    </row>
    <row r="386" spans="1:30" ht="14.1" hidden="1" customHeight="1" outlineLevel="1" x14ac:dyDescent="0.2">
      <c r="A386" s="1395"/>
      <c r="B386" s="19"/>
      <c r="C386" s="165"/>
      <c r="D386" s="54" t="s">
        <v>715</v>
      </c>
      <c r="E386" s="927">
        <f t="shared" ref="E386:N386" si="163">SUM(E385*LocLM)</f>
        <v>8</v>
      </c>
      <c r="F386" s="927">
        <f t="shared" si="163"/>
        <v>9</v>
      </c>
      <c r="G386" s="927">
        <f t="shared" si="163"/>
        <v>9</v>
      </c>
      <c r="H386" s="927">
        <f t="shared" si="163"/>
        <v>9</v>
      </c>
      <c r="I386" s="927">
        <f t="shared" si="163"/>
        <v>9</v>
      </c>
      <c r="J386" s="927">
        <f t="shared" si="163"/>
        <v>9</v>
      </c>
      <c r="K386" s="927">
        <f t="shared" si="163"/>
        <v>9</v>
      </c>
      <c r="L386" s="927">
        <f t="shared" si="163"/>
        <v>9</v>
      </c>
      <c r="M386" s="927">
        <f t="shared" si="163"/>
        <v>9</v>
      </c>
      <c r="N386" s="927">
        <f t="shared" si="163"/>
        <v>9</v>
      </c>
      <c r="O386" s="938"/>
      <c r="P386" s="13"/>
      <c r="Q386" s="19"/>
      <c r="R386" s="19"/>
      <c r="S386" s="19"/>
      <c r="T386" s="19"/>
      <c r="U386" s="19"/>
      <c r="V386" s="19"/>
      <c r="W386" s="19"/>
      <c r="X386" s="19"/>
      <c r="Y386" s="19"/>
      <c r="Z386" s="19"/>
      <c r="AA386" s="19"/>
      <c r="AB386" s="19"/>
      <c r="AC386" s="19"/>
      <c r="AD386" s="19"/>
    </row>
    <row r="387" spans="1:30" ht="14.1" hidden="1" customHeight="1" outlineLevel="1" x14ac:dyDescent="0.2">
      <c r="A387" s="1395"/>
      <c r="B387" s="19"/>
      <c r="C387" s="165"/>
      <c r="D387" s="54"/>
      <c r="E387" s="38"/>
      <c r="F387" s="38"/>
      <c r="G387" s="38"/>
      <c r="H387" s="38"/>
      <c r="I387" s="38"/>
      <c r="J387" s="38"/>
      <c r="K387" s="38"/>
      <c r="L387" s="38"/>
      <c r="M387" s="38"/>
      <c r="N387" s="38"/>
      <c r="O387" s="938"/>
      <c r="P387" s="13"/>
      <c r="Q387" s="19"/>
      <c r="R387" s="19"/>
      <c r="S387" s="19"/>
      <c r="T387" s="19"/>
      <c r="U387" s="19"/>
      <c r="V387" s="19"/>
      <c r="W387" s="19"/>
      <c r="X387" s="19"/>
      <c r="Y387" s="19"/>
      <c r="Z387" s="19"/>
      <c r="AA387" s="19"/>
      <c r="AB387" s="19"/>
      <c r="AC387" s="19"/>
      <c r="AD387" s="19"/>
    </row>
    <row r="388" spans="1:30" ht="14.1" hidden="1" customHeight="1" outlineLevel="1" x14ac:dyDescent="0.2">
      <c r="A388" s="1395"/>
      <c r="B388" s="19"/>
      <c r="C388" s="165"/>
      <c r="D388" s="57" t="s">
        <v>51</v>
      </c>
      <c r="E388" s="939">
        <v>2</v>
      </c>
      <c r="F388" s="939">
        <v>2</v>
      </c>
      <c r="G388" s="939">
        <v>2</v>
      </c>
      <c r="H388" s="939">
        <v>2</v>
      </c>
      <c r="I388" s="939">
        <v>2</v>
      </c>
      <c r="J388" s="939">
        <v>2</v>
      </c>
      <c r="K388" s="939">
        <v>2</v>
      </c>
      <c r="L388" s="939">
        <v>2</v>
      </c>
      <c r="M388" s="939">
        <v>2</v>
      </c>
      <c r="N388" s="939">
        <v>2</v>
      </c>
      <c r="O388" s="938"/>
      <c r="P388" s="13"/>
      <c r="Q388" s="19"/>
      <c r="R388" s="19"/>
      <c r="S388" s="19"/>
      <c r="T388" s="19"/>
      <c r="U388" s="19"/>
      <c r="V388" s="19"/>
      <c r="W388" s="19"/>
      <c r="X388" s="19"/>
      <c r="Y388" s="19"/>
      <c r="Z388" s="19"/>
      <c r="AA388" s="19"/>
      <c r="AB388" s="19"/>
      <c r="AC388" s="19"/>
      <c r="AD388" s="19"/>
    </row>
    <row r="389" spans="1:30" ht="14.1" hidden="1" customHeight="1" outlineLevel="1" x14ac:dyDescent="0.2">
      <c r="A389" s="1395"/>
      <c r="B389" s="19"/>
      <c r="C389" s="165"/>
      <c r="D389" s="54" t="s">
        <v>716</v>
      </c>
      <c r="E389" s="927">
        <f t="shared" ref="E389:N389" si="164">SUM(E388*LocHM)</f>
        <v>2</v>
      </c>
      <c r="F389" s="927">
        <f t="shared" si="164"/>
        <v>2</v>
      </c>
      <c r="G389" s="927">
        <f t="shared" si="164"/>
        <v>2</v>
      </c>
      <c r="H389" s="927">
        <f t="shared" si="164"/>
        <v>2</v>
      </c>
      <c r="I389" s="927">
        <f t="shared" si="164"/>
        <v>2</v>
      </c>
      <c r="J389" s="927">
        <f t="shared" si="164"/>
        <v>2</v>
      </c>
      <c r="K389" s="927">
        <f t="shared" si="164"/>
        <v>2</v>
      </c>
      <c r="L389" s="927">
        <f t="shared" si="164"/>
        <v>2</v>
      </c>
      <c r="M389" s="927">
        <f t="shared" si="164"/>
        <v>2</v>
      </c>
      <c r="N389" s="927">
        <f t="shared" si="164"/>
        <v>2</v>
      </c>
      <c r="O389" s="938"/>
      <c r="P389" s="13"/>
      <c r="Q389" s="19"/>
      <c r="R389" s="19"/>
      <c r="S389" s="19"/>
      <c r="T389" s="19"/>
      <c r="U389" s="19"/>
      <c r="V389" s="19"/>
      <c r="W389" s="19"/>
      <c r="X389" s="19"/>
      <c r="Y389" s="19"/>
      <c r="Z389" s="19"/>
      <c r="AA389" s="19"/>
      <c r="AB389" s="19"/>
      <c r="AC389" s="19"/>
      <c r="AD389" s="19"/>
    </row>
    <row r="390" spans="1:30" ht="14.1" hidden="1" customHeight="1" outlineLevel="1" x14ac:dyDescent="0.2">
      <c r="A390" s="1395"/>
      <c r="B390" s="19"/>
      <c r="C390" s="165"/>
      <c r="D390" s="54"/>
      <c r="E390" s="38"/>
      <c r="F390" s="38"/>
      <c r="G390" s="38"/>
      <c r="H390" s="38"/>
      <c r="I390" s="38"/>
      <c r="J390" s="38"/>
      <c r="K390" s="38"/>
      <c r="L390" s="38"/>
      <c r="M390" s="38"/>
      <c r="N390" s="38"/>
      <c r="O390" s="938"/>
      <c r="P390" s="13"/>
      <c r="Q390" s="19"/>
      <c r="R390" s="19"/>
      <c r="S390" s="19"/>
      <c r="T390" s="19"/>
      <c r="U390" s="19"/>
      <c r="V390" s="19"/>
      <c r="W390" s="19"/>
      <c r="X390" s="19"/>
      <c r="Y390" s="19"/>
      <c r="Z390" s="19"/>
      <c r="AA390" s="19"/>
      <c r="AB390" s="19"/>
      <c r="AC390" s="19"/>
      <c r="AD390" s="19"/>
    </row>
    <row r="391" spans="1:30" ht="14.1" hidden="1" customHeight="1" outlineLevel="1" x14ac:dyDescent="0.2">
      <c r="A391" s="1395"/>
      <c r="B391" s="19"/>
      <c r="C391" s="165"/>
      <c r="D391" s="57" t="s">
        <v>991</v>
      </c>
      <c r="E391" s="939">
        <v>1</v>
      </c>
      <c r="F391" s="939">
        <v>1</v>
      </c>
      <c r="G391" s="939">
        <v>1</v>
      </c>
      <c r="H391" s="939">
        <v>1</v>
      </c>
      <c r="I391" s="939">
        <v>1</v>
      </c>
      <c r="J391" s="939">
        <v>1</v>
      </c>
      <c r="K391" s="939">
        <v>1</v>
      </c>
      <c r="L391" s="939">
        <v>1</v>
      </c>
      <c r="M391" s="939">
        <v>1</v>
      </c>
      <c r="N391" s="939">
        <v>1</v>
      </c>
      <c r="O391" s="271"/>
      <c r="P391" s="13"/>
      <c r="Q391" s="19"/>
      <c r="R391" s="19"/>
      <c r="S391" s="19"/>
      <c r="T391" s="19"/>
      <c r="U391" s="19"/>
      <c r="V391" s="19"/>
      <c r="W391" s="19"/>
      <c r="X391" s="19"/>
      <c r="Y391" s="19"/>
      <c r="Z391" s="19"/>
      <c r="AA391" s="19"/>
      <c r="AB391" s="19"/>
      <c r="AC391" s="19"/>
      <c r="AD391" s="19"/>
    </row>
    <row r="392" spans="1:30" ht="14.1" hidden="1" customHeight="1" outlineLevel="1" x14ac:dyDescent="0.2">
      <c r="A392" s="1395"/>
      <c r="B392" s="19"/>
      <c r="C392" s="165"/>
      <c r="D392" s="54" t="s">
        <v>992</v>
      </c>
      <c r="E392" s="927">
        <f t="shared" ref="E392:N392" si="165">SUM(E391*LocENG)</f>
        <v>1</v>
      </c>
      <c r="F392" s="927">
        <f t="shared" si="165"/>
        <v>1</v>
      </c>
      <c r="G392" s="927">
        <f t="shared" si="165"/>
        <v>1</v>
      </c>
      <c r="H392" s="927">
        <f t="shared" si="165"/>
        <v>1</v>
      </c>
      <c r="I392" s="927">
        <f t="shared" si="165"/>
        <v>1</v>
      </c>
      <c r="J392" s="927">
        <f t="shared" si="165"/>
        <v>1</v>
      </c>
      <c r="K392" s="927">
        <f t="shared" si="165"/>
        <v>1</v>
      </c>
      <c r="L392" s="927">
        <f t="shared" si="165"/>
        <v>1</v>
      </c>
      <c r="M392" s="927">
        <f t="shared" si="165"/>
        <v>1</v>
      </c>
      <c r="N392" s="927">
        <f t="shared" si="165"/>
        <v>1</v>
      </c>
      <c r="O392" s="271"/>
      <c r="P392" s="13"/>
      <c r="Q392" s="19"/>
      <c r="R392" s="19"/>
      <c r="S392" s="19"/>
      <c r="T392" s="19"/>
      <c r="U392" s="19"/>
      <c r="V392" s="19"/>
      <c r="W392" s="19"/>
      <c r="X392" s="19"/>
      <c r="Y392" s="19"/>
      <c r="Z392" s="19"/>
      <c r="AA392" s="19"/>
      <c r="AB392" s="19"/>
      <c r="AC392" s="19"/>
      <c r="AD392" s="19"/>
    </row>
    <row r="393" spans="1:30" ht="14.1" hidden="1" customHeight="1" outlineLevel="1" x14ac:dyDescent="0.2">
      <c r="A393" s="1395"/>
      <c r="B393" s="19"/>
      <c r="C393" s="165"/>
      <c r="D393" s="54"/>
      <c r="E393" s="38"/>
      <c r="F393" s="38"/>
      <c r="G393" s="38"/>
      <c r="H393" s="38"/>
      <c r="I393" s="38"/>
      <c r="J393" s="38"/>
      <c r="K393" s="38"/>
      <c r="L393" s="38"/>
      <c r="M393" s="38"/>
      <c r="N393" s="38"/>
      <c r="O393" s="938"/>
      <c r="P393" s="13"/>
      <c r="Q393" s="19"/>
      <c r="R393" s="19"/>
      <c r="S393" s="19"/>
      <c r="T393" s="19"/>
      <c r="U393" s="19"/>
      <c r="V393" s="19"/>
      <c r="W393" s="19"/>
      <c r="X393" s="19"/>
      <c r="Y393" s="19"/>
      <c r="Z393" s="19"/>
      <c r="AA393" s="19"/>
      <c r="AB393" s="19"/>
      <c r="AC393" s="19"/>
      <c r="AD393" s="19"/>
    </row>
    <row r="394" spans="1:30" ht="14.1" hidden="1" customHeight="1" outlineLevel="1" x14ac:dyDescent="0.2">
      <c r="A394" s="1395"/>
      <c r="B394" s="19"/>
      <c r="C394" s="165"/>
      <c r="D394" s="57" t="s">
        <v>993</v>
      </c>
      <c r="E394" s="939">
        <v>1</v>
      </c>
      <c r="F394" s="939">
        <v>1</v>
      </c>
      <c r="G394" s="939">
        <v>1</v>
      </c>
      <c r="H394" s="939">
        <v>1</v>
      </c>
      <c r="I394" s="939">
        <v>1</v>
      </c>
      <c r="J394" s="939">
        <v>1</v>
      </c>
      <c r="K394" s="939">
        <v>1</v>
      </c>
      <c r="L394" s="939">
        <v>1</v>
      </c>
      <c r="M394" s="939">
        <v>1</v>
      </c>
      <c r="N394" s="939">
        <v>1</v>
      </c>
      <c r="O394" s="271"/>
      <c r="P394" s="13"/>
      <c r="Q394" s="19"/>
      <c r="R394" s="19"/>
      <c r="S394" s="19"/>
      <c r="T394" s="19"/>
      <c r="U394" s="19"/>
      <c r="V394" s="19"/>
      <c r="W394" s="19"/>
      <c r="X394" s="19"/>
      <c r="Y394" s="19"/>
      <c r="Z394" s="19"/>
      <c r="AA394" s="19"/>
      <c r="AB394" s="19"/>
      <c r="AC394" s="19"/>
      <c r="AD394" s="19"/>
    </row>
    <row r="395" spans="1:30" ht="14.1" hidden="1" customHeight="1" outlineLevel="1" x14ac:dyDescent="0.2">
      <c r="A395" s="1395"/>
      <c r="B395" s="19"/>
      <c r="C395" s="165"/>
      <c r="D395" s="54" t="s">
        <v>994</v>
      </c>
      <c r="E395" s="927">
        <f t="shared" ref="E395:N395" si="166">SUM(E394*LocPLG)</f>
        <v>1</v>
      </c>
      <c r="F395" s="927">
        <f t="shared" si="166"/>
        <v>1</v>
      </c>
      <c r="G395" s="927">
        <f t="shared" si="166"/>
        <v>1</v>
      </c>
      <c r="H395" s="927">
        <f t="shared" si="166"/>
        <v>1</v>
      </c>
      <c r="I395" s="927">
        <f t="shared" si="166"/>
        <v>1</v>
      </c>
      <c r="J395" s="927">
        <f t="shared" si="166"/>
        <v>1</v>
      </c>
      <c r="K395" s="927">
        <f t="shared" si="166"/>
        <v>1</v>
      </c>
      <c r="L395" s="927">
        <f t="shared" si="166"/>
        <v>1</v>
      </c>
      <c r="M395" s="927">
        <f t="shared" si="166"/>
        <v>1</v>
      </c>
      <c r="N395" s="927">
        <f t="shared" si="166"/>
        <v>1</v>
      </c>
      <c r="O395" s="271"/>
      <c r="P395" s="13"/>
      <c r="Q395" s="19"/>
      <c r="R395" s="19"/>
      <c r="S395" s="19"/>
      <c r="T395" s="19"/>
      <c r="U395" s="19"/>
      <c r="V395" s="19"/>
      <c r="W395" s="19"/>
      <c r="X395" s="19"/>
      <c r="Y395" s="19"/>
      <c r="Z395" s="19"/>
      <c r="AA395" s="19"/>
      <c r="AB395" s="19"/>
      <c r="AC395" s="19"/>
      <c r="AD395" s="19"/>
    </row>
    <row r="396" spans="1:30" ht="14.1" hidden="1" customHeight="1" outlineLevel="1" x14ac:dyDescent="0.2">
      <c r="A396" s="1395"/>
      <c r="B396" s="19"/>
      <c r="C396" s="165"/>
      <c r="D396" s="54"/>
      <c r="E396" s="38"/>
      <c r="F396" s="38"/>
      <c r="G396" s="38"/>
      <c r="H396" s="38"/>
      <c r="I396" s="38"/>
      <c r="J396" s="38"/>
      <c r="K396" s="38"/>
      <c r="L396" s="38"/>
      <c r="M396" s="38"/>
      <c r="N396" s="38"/>
      <c r="O396" s="938"/>
      <c r="P396" s="13"/>
      <c r="Q396" s="19"/>
      <c r="R396" s="19"/>
      <c r="S396" s="19"/>
      <c r="T396" s="19"/>
      <c r="U396" s="19"/>
      <c r="V396" s="19"/>
      <c r="W396" s="19"/>
      <c r="X396" s="19"/>
      <c r="Y396" s="19"/>
      <c r="Z396" s="19"/>
      <c r="AA396" s="19"/>
      <c r="AB396" s="19"/>
      <c r="AC396" s="19"/>
      <c r="AD396" s="19"/>
    </row>
    <row r="397" spans="1:30" ht="14.1" hidden="1" customHeight="1" outlineLevel="1" x14ac:dyDescent="0.2">
      <c r="A397" s="1395"/>
      <c r="B397" s="19"/>
      <c r="C397" s="165"/>
      <c r="D397" s="57" t="s">
        <v>665</v>
      </c>
      <c r="E397" s="939">
        <v>1</v>
      </c>
      <c r="F397" s="939">
        <v>1</v>
      </c>
      <c r="G397" s="939">
        <v>1</v>
      </c>
      <c r="H397" s="939">
        <v>1</v>
      </c>
      <c r="I397" s="939">
        <v>1</v>
      </c>
      <c r="J397" s="939">
        <v>1</v>
      </c>
      <c r="K397" s="939">
        <v>1</v>
      </c>
      <c r="L397" s="939">
        <v>1</v>
      </c>
      <c r="M397" s="939">
        <v>1</v>
      </c>
      <c r="N397" s="939">
        <v>1</v>
      </c>
      <c r="O397" s="271"/>
      <c r="P397" s="13"/>
      <c r="Q397" s="19"/>
      <c r="R397" s="19"/>
      <c r="S397" s="19"/>
      <c r="T397" s="19"/>
      <c r="U397" s="19"/>
      <c r="V397" s="19"/>
      <c r="W397" s="19"/>
      <c r="X397" s="19"/>
      <c r="Y397" s="19"/>
      <c r="Z397" s="19"/>
      <c r="AA397" s="19"/>
      <c r="AB397" s="19"/>
      <c r="AC397" s="19"/>
      <c r="AD397" s="19"/>
    </row>
    <row r="398" spans="1:30" ht="14.1" hidden="1" customHeight="1" outlineLevel="1" x14ac:dyDescent="0.2">
      <c r="A398" s="1395"/>
      <c r="B398" s="19"/>
      <c r="C398" s="165"/>
      <c r="D398" s="54" t="s">
        <v>717</v>
      </c>
      <c r="E398" s="927">
        <f t="shared" ref="E398:N398" si="167">SUM(E397*LocCRT)</f>
        <v>9</v>
      </c>
      <c r="F398" s="927">
        <f t="shared" si="167"/>
        <v>9</v>
      </c>
      <c r="G398" s="927">
        <f t="shared" si="167"/>
        <v>9</v>
      </c>
      <c r="H398" s="927">
        <f t="shared" si="167"/>
        <v>9</v>
      </c>
      <c r="I398" s="927">
        <f t="shared" si="167"/>
        <v>9</v>
      </c>
      <c r="J398" s="927">
        <f t="shared" si="167"/>
        <v>9</v>
      </c>
      <c r="K398" s="927">
        <f t="shared" si="167"/>
        <v>9</v>
      </c>
      <c r="L398" s="927">
        <f t="shared" si="167"/>
        <v>9</v>
      </c>
      <c r="M398" s="927">
        <f t="shared" si="167"/>
        <v>9</v>
      </c>
      <c r="N398" s="927">
        <f t="shared" si="167"/>
        <v>9</v>
      </c>
      <c r="O398" s="271"/>
      <c r="P398" s="13"/>
      <c r="Q398" s="19"/>
      <c r="R398" s="19"/>
      <c r="S398" s="19"/>
      <c r="T398" s="19"/>
      <c r="U398" s="19"/>
      <c r="V398" s="19"/>
      <c r="W398" s="19"/>
      <c r="X398" s="19"/>
      <c r="Y398" s="19"/>
      <c r="Z398" s="19"/>
      <c r="AA398" s="19"/>
      <c r="AB398" s="19"/>
      <c r="AC398" s="19"/>
      <c r="AD398" s="19"/>
    </row>
    <row r="399" spans="1:30" s="7" customFormat="1" ht="14.1" hidden="1" customHeight="1" outlineLevel="1" x14ac:dyDescent="0.2">
      <c r="A399" s="1395"/>
      <c r="B399" s="24"/>
      <c r="C399" s="284"/>
      <c r="D399" s="27"/>
      <c r="E399" s="940"/>
      <c r="F399" s="940"/>
      <c r="G399" s="940"/>
      <c r="H399" s="940"/>
      <c r="I399" s="940"/>
      <c r="J399" s="940"/>
      <c r="K399" s="940"/>
      <c r="L399" s="940"/>
      <c r="M399" s="940"/>
      <c r="N399" s="940"/>
      <c r="O399" s="289"/>
      <c r="P399" s="50"/>
      <c r="Q399" s="24"/>
      <c r="R399" s="24"/>
      <c r="S399" s="24"/>
      <c r="T399" s="24"/>
      <c r="U399" s="24"/>
      <c r="V399" s="24"/>
      <c r="W399" s="24"/>
      <c r="X399" s="24"/>
      <c r="Y399" s="24"/>
      <c r="Z399" s="24"/>
      <c r="AA399" s="24"/>
      <c r="AB399" s="24"/>
      <c r="AC399" s="24"/>
      <c r="AD399" s="24"/>
    </row>
    <row r="400" spans="1:30" s="7" customFormat="1" ht="14.1" hidden="1" customHeight="1" outlineLevel="1" x14ac:dyDescent="0.2">
      <c r="A400" s="1395"/>
      <c r="B400" s="24"/>
      <c r="C400" s="165"/>
      <c r="D400" s="57" t="s">
        <v>721</v>
      </c>
      <c r="E400" s="939">
        <v>1</v>
      </c>
      <c r="F400" s="939">
        <v>1</v>
      </c>
      <c r="G400" s="939">
        <v>1</v>
      </c>
      <c r="H400" s="939">
        <v>1</v>
      </c>
      <c r="I400" s="939">
        <v>1</v>
      </c>
      <c r="J400" s="939">
        <v>1</v>
      </c>
      <c r="K400" s="939">
        <v>1</v>
      </c>
      <c r="L400" s="939">
        <v>1</v>
      </c>
      <c r="M400" s="939">
        <v>1</v>
      </c>
      <c r="N400" s="939">
        <v>1</v>
      </c>
      <c r="O400" s="941"/>
      <c r="P400" s="50"/>
      <c r="Q400" s="24"/>
      <c r="R400" s="24"/>
      <c r="S400" s="24"/>
      <c r="T400" s="24"/>
      <c r="U400" s="24"/>
      <c r="V400" s="24"/>
      <c r="W400" s="24"/>
      <c r="X400" s="24"/>
      <c r="Y400" s="24"/>
      <c r="Z400" s="24"/>
      <c r="AA400" s="24"/>
      <c r="AB400" s="24"/>
      <c r="AC400" s="24"/>
      <c r="AD400" s="24"/>
    </row>
    <row r="401" spans="1:30" ht="14.1" hidden="1" customHeight="1" outlineLevel="1" x14ac:dyDescent="0.2">
      <c r="A401" s="1395"/>
      <c r="B401" s="19"/>
      <c r="C401" s="165"/>
      <c r="D401" s="54" t="s">
        <v>63</v>
      </c>
      <c r="E401" s="927">
        <f t="shared" ref="E401:N401" si="168">SUM(E400*LocSCL)</f>
        <v>8</v>
      </c>
      <c r="F401" s="927">
        <f t="shared" si="168"/>
        <v>9</v>
      </c>
      <c r="G401" s="927">
        <f t="shared" si="168"/>
        <v>9</v>
      </c>
      <c r="H401" s="927">
        <f t="shared" si="168"/>
        <v>9</v>
      </c>
      <c r="I401" s="927">
        <f t="shared" si="168"/>
        <v>9</v>
      </c>
      <c r="J401" s="927">
        <f t="shared" si="168"/>
        <v>9</v>
      </c>
      <c r="K401" s="927">
        <f t="shared" si="168"/>
        <v>9</v>
      </c>
      <c r="L401" s="927">
        <f t="shared" si="168"/>
        <v>9</v>
      </c>
      <c r="M401" s="927">
        <f t="shared" si="168"/>
        <v>9</v>
      </c>
      <c r="N401" s="927">
        <f t="shared" si="168"/>
        <v>9</v>
      </c>
      <c r="O401" s="938"/>
      <c r="P401" s="13"/>
      <c r="Q401" s="19"/>
      <c r="R401" s="19"/>
      <c r="S401" s="19"/>
      <c r="T401" s="19"/>
      <c r="U401" s="19"/>
      <c r="V401" s="19"/>
      <c r="W401" s="19"/>
      <c r="X401" s="19"/>
      <c r="Y401" s="19"/>
      <c r="Z401" s="19"/>
      <c r="AA401" s="19"/>
      <c r="AB401" s="19"/>
      <c r="AC401" s="19"/>
      <c r="AD401" s="19"/>
    </row>
    <row r="402" spans="1:30" s="7" customFormat="1" ht="14.1" hidden="1" customHeight="1" outlineLevel="1" x14ac:dyDescent="0.2">
      <c r="A402" s="1395"/>
      <c r="B402" s="24"/>
      <c r="C402" s="284"/>
      <c r="D402" s="27"/>
      <c r="E402" s="940"/>
      <c r="F402" s="940"/>
      <c r="G402" s="940"/>
      <c r="H402" s="940"/>
      <c r="I402" s="940"/>
      <c r="J402" s="940"/>
      <c r="K402" s="940"/>
      <c r="L402" s="940"/>
      <c r="M402" s="940"/>
      <c r="N402" s="940"/>
      <c r="O402" s="289"/>
      <c r="P402" s="50"/>
      <c r="Q402" s="24"/>
      <c r="R402" s="24"/>
      <c r="S402" s="24"/>
      <c r="T402" s="24"/>
      <c r="U402" s="24"/>
      <c r="V402" s="24"/>
      <c r="W402" s="24"/>
      <c r="X402" s="24"/>
      <c r="Y402" s="24"/>
      <c r="Z402" s="24"/>
      <c r="AA402" s="24"/>
      <c r="AB402" s="24"/>
      <c r="AC402" s="24"/>
      <c r="AD402" s="24"/>
    </row>
    <row r="403" spans="1:30" s="7" customFormat="1" ht="14.1" hidden="1" customHeight="1" outlineLevel="1" x14ac:dyDescent="0.2">
      <c r="A403" s="1395"/>
      <c r="B403" s="24"/>
      <c r="C403" s="165"/>
      <c r="D403" s="57" t="s">
        <v>722</v>
      </c>
      <c r="E403" s="939">
        <v>1</v>
      </c>
      <c r="F403" s="939">
        <v>1</v>
      </c>
      <c r="G403" s="939">
        <v>1</v>
      </c>
      <c r="H403" s="939">
        <v>1</v>
      </c>
      <c r="I403" s="939">
        <v>1</v>
      </c>
      <c r="J403" s="939">
        <v>1</v>
      </c>
      <c r="K403" s="939">
        <v>1</v>
      </c>
      <c r="L403" s="939">
        <v>1</v>
      </c>
      <c r="M403" s="939">
        <v>1</v>
      </c>
      <c r="N403" s="939">
        <v>1</v>
      </c>
      <c r="O403" s="941"/>
      <c r="P403" s="50"/>
      <c r="Q403" s="24"/>
      <c r="R403" s="24"/>
      <c r="S403" s="24"/>
      <c r="T403" s="24"/>
      <c r="U403" s="24"/>
      <c r="V403" s="24"/>
      <c r="W403" s="24"/>
      <c r="X403" s="24"/>
      <c r="Y403" s="24"/>
      <c r="Z403" s="24"/>
      <c r="AA403" s="24"/>
      <c r="AB403" s="24"/>
      <c r="AC403" s="24"/>
      <c r="AD403" s="24"/>
    </row>
    <row r="404" spans="1:30" ht="14.1" hidden="1" customHeight="1" outlineLevel="1" x14ac:dyDescent="0.2">
      <c r="A404" s="1395"/>
      <c r="B404" s="19"/>
      <c r="C404" s="165"/>
      <c r="D404" s="54" t="s">
        <v>718</v>
      </c>
      <c r="E404" s="927">
        <f t="shared" ref="E404:N404" si="169">SUM(E403*LocQSC)</f>
        <v>1</v>
      </c>
      <c r="F404" s="927">
        <f t="shared" si="169"/>
        <v>1</v>
      </c>
      <c r="G404" s="927">
        <f t="shared" si="169"/>
        <v>1</v>
      </c>
      <c r="H404" s="927">
        <f t="shared" si="169"/>
        <v>1</v>
      </c>
      <c r="I404" s="927">
        <f t="shared" si="169"/>
        <v>1</v>
      </c>
      <c r="J404" s="927">
        <f t="shared" si="169"/>
        <v>1</v>
      </c>
      <c r="K404" s="927">
        <f t="shared" si="169"/>
        <v>1</v>
      </c>
      <c r="L404" s="927">
        <f t="shared" si="169"/>
        <v>1</v>
      </c>
      <c r="M404" s="927">
        <f t="shared" si="169"/>
        <v>1</v>
      </c>
      <c r="N404" s="927">
        <f t="shared" si="169"/>
        <v>1</v>
      </c>
      <c r="O404" s="938"/>
      <c r="P404" s="13"/>
      <c r="Q404" s="19"/>
      <c r="R404" s="19"/>
      <c r="S404" s="19"/>
      <c r="T404" s="19"/>
      <c r="U404" s="19"/>
      <c r="V404" s="19"/>
      <c r="W404" s="19"/>
      <c r="X404" s="19"/>
      <c r="Y404" s="19"/>
      <c r="Z404" s="19"/>
      <c r="AA404" s="19"/>
      <c r="AB404" s="19"/>
      <c r="AC404" s="19"/>
      <c r="AD404" s="19"/>
    </row>
    <row r="405" spans="1:30" s="7" customFormat="1" ht="14.1" hidden="1" customHeight="1" outlineLevel="1" x14ac:dyDescent="0.2">
      <c r="A405" s="1395"/>
      <c r="B405" s="24"/>
      <c r="C405" s="284"/>
      <c r="D405" s="27"/>
      <c r="E405" s="940"/>
      <c r="F405" s="940"/>
      <c r="G405" s="940"/>
      <c r="H405" s="940"/>
      <c r="I405" s="940"/>
      <c r="J405" s="940"/>
      <c r="K405" s="940"/>
      <c r="L405" s="940"/>
      <c r="M405" s="940"/>
      <c r="N405" s="940"/>
      <c r="O405" s="289"/>
      <c r="P405" s="50"/>
      <c r="Q405" s="24"/>
      <c r="R405" s="24"/>
      <c r="S405" s="24"/>
      <c r="T405" s="24"/>
      <c r="U405" s="24"/>
      <c r="V405" s="24"/>
      <c r="W405" s="24"/>
      <c r="X405" s="24"/>
      <c r="Y405" s="24"/>
      <c r="Z405" s="24"/>
      <c r="AA405" s="24"/>
      <c r="AB405" s="24"/>
      <c r="AC405" s="24"/>
      <c r="AD405" s="24"/>
    </row>
    <row r="406" spans="1:30" s="7" customFormat="1" ht="14.1" hidden="1" customHeight="1" outlineLevel="1" x14ac:dyDescent="0.2">
      <c r="A406" s="1395"/>
      <c r="B406" s="24"/>
      <c r="C406" s="165"/>
      <c r="D406" s="57" t="s">
        <v>719</v>
      </c>
      <c r="E406" s="939">
        <v>1</v>
      </c>
      <c r="F406" s="939">
        <v>1</v>
      </c>
      <c r="G406" s="939">
        <v>1</v>
      </c>
      <c r="H406" s="939">
        <v>1</v>
      </c>
      <c r="I406" s="939">
        <v>1</v>
      </c>
      <c r="J406" s="939">
        <v>1</v>
      </c>
      <c r="K406" s="939">
        <v>1</v>
      </c>
      <c r="L406" s="939">
        <v>1</v>
      </c>
      <c r="M406" s="939">
        <v>1</v>
      </c>
      <c r="N406" s="939">
        <v>1</v>
      </c>
      <c r="O406" s="941"/>
      <c r="P406" s="50"/>
      <c r="Q406" s="24"/>
      <c r="R406" s="24"/>
      <c r="S406" s="24"/>
      <c r="T406" s="24"/>
      <c r="U406" s="24"/>
      <c r="V406" s="24"/>
      <c r="W406" s="24"/>
      <c r="X406" s="24"/>
      <c r="Y406" s="24"/>
      <c r="Z406" s="24"/>
      <c r="AA406" s="24"/>
      <c r="AB406" s="24"/>
      <c r="AC406" s="24"/>
      <c r="AD406" s="24"/>
    </row>
    <row r="407" spans="1:30" ht="14.1" hidden="1" customHeight="1" outlineLevel="1" x14ac:dyDescent="0.2">
      <c r="A407" s="1395"/>
      <c r="B407" s="19"/>
      <c r="C407" s="165"/>
      <c r="D407" s="54" t="s">
        <v>720</v>
      </c>
      <c r="E407" s="927">
        <f t="shared" ref="E407:N407" si="170">SUM(E406*LocEM)</f>
        <v>2</v>
      </c>
      <c r="F407" s="927">
        <f t="shared" si="170"/>
        <v>2</v>
      </c>
      <c r="G407" s="927">
        <f t="shared" si="170"/>
        <v>2</v>
      </c>
      <c r="H407" s="927">
        <f t="shared" si="170"/>
        <v>2</v>
      </c>
      <c r="I407" s="927">
        <f t="shared" si="170"/>
        <v>2</v>
      </c>
      <c r="J407" s="927">
        <f t="shared" si="170"/>
        <v>2</v>
      </c>
      <c r="K407" s="927">
        <f t="shared" si="170"/>
        <v>2</v>
      </c>
      <c r="L407" s="927">
        <f t="shared" si="170"/>
        <v>2</v>
      </c>
      <c r="M407" s="927">
        <f t="shared" si="170"/>
        <v>2</v>
      </c>
      <c r="N407" s="927">
        <f t="shared" si="170"/>
        <v>2</v>
      </c>
      <c r="O407" s="938"/>
      <c r="P407" s="13"/>
      <c r="Q407" s="19"/>
      <c r="R407" s="19"/>
      <c r="S407" s="19"/>
      <c r="T407" s="19"/>
      <c r="U407" s="19"/>
      <c r="V407" s="19"/>
      <c r="W407" s="19"/>
      <c r="X407" s="19"/>
      <c r="Y407" s="19"/>
      <c r="Z407" s="19"/>
      <c r="AA407" s="19"/>
      <c r="AB407" s="19"/>
      <c r="AC407" s="19"/>
      <c r="AD407" s="19"/>
    </row>
    <row r="408" spans="1:30" s="7" customFormat="1" ht="14.1" hidden="1" customHeight="1" outlineLevel="1" x14ac:dyDescent="0.2">
      <c r="A408" s="1395"/>
      <c r="B408" s="24"/>
      <c r="C408" s="284"/>
      <c r="D408" s="27"/>
      <c r="E408" s="940"/>
      <c r="F408" s="940"/>
      <c r="G408" s="940"/>
      <c r="H408" s="940"/>
      <c r="I408" s="940"/>
      <c r="J408" s="940"/>
      <c r="K408" s="940"/>
      <c r="L408" s="940"/>
      <c r="M408" s="940"/>
      <c r="N408" s="940"/>
      <c r="O408" s="289"/>
      <c r="P408" s="50"/>
      <c r="Q408" s="24"/>
      <c r="R408" s="24"/>
      <c r="S408" s="24"/>
      <c r="T408" s="24"/>
      <c r="U408" s="24"/>
      <c r="V408" s="24"/>
      <c r="W408" s="24"/>
      <c r="X408" s="24"/>
      <c r="Y408" s="24"/>
      <c r="Z408" s="24"/>
      <c r="AA408" s="24"/>
      <c r="AB408" s="24"/>
      <c r="AC408" s="24"/>
      <c r="AD408" s="24"/>
    </row>
    <row r="409" spans="1:30" s="7" customFormat="1" ht="14.1" hidden="1" customHeight="1" outlineLevel="1" x14ac:dyDescent="0.2">
      <c r="A409" s="1395"/>
      <c r="B409" s="24"/>
      <c r="C409" s="165"/>
      <c r="D409" s="57" t="s">
        <v>723</v>
      </c>
      <c r="E409" s="939">
        <v>1</v>
      </c>
      <c r="F409" s="939">
        <v>1</v>
      </c>
      <c r="G409" s="939">
        <v>1</v>
      </c>
      <c r="H409" s="939">
        <v>1</v>
      </c>
      <c r="I409" s="939">
        <v>1</v>
      </c>
      <c r="J409" s="939">
        <v>1</v>
      </c>
      <c r="K409" s="939">
        <v>1</v>
      </c>
      <c r="L409" s="939">
        <v>1</v>
      </c>
      <c r="M409" s="939">
        <v>1</v>
      </c>
      <c r="N409" s="939">
        <v>1</v>
      </c>
      <c r="O409" s="941"/>
      <c r="P409" s="50"/>
      <c r="Q409" s="24"/>
      <c r="R409" s="24"/>
      <c r="S409" s="24"/>
      <c r="T409" s="24"/>
      <c r="U409" s="24"/>
      <c r="V409" s="24"/>
      <c r="W409" s="24"/>
      <c r="X409" s="24"/>
      <c r="Y409" s="24"/>
      <c r="Z409" s="24"/>
      <c r="AA409" s="24"/>
      <c r="AB409" s="24"/>
      <c r="AC409" s="24"/>
      <c r="AD409" s="24"/>
    </row>
    <row r="410" spans="1:30" ht="14.1" hidden="1" customHeight="1" outlineLevel="1" x14ac:dyDescent="0.2">
      <c r="A410" s="1395"/>
      <c r="B410" s="19"/>
      <c r="C410" s="165"/>
      <c r="D410" s="54" t="s">
        <v>724</v>
      </c>
      <c r="E410" s="927">
        <f t="shared" ref="E410:N410" si="171">SUM(E409*LocCM)</f>
        <v>3</v>
      </c>
      <c r="F410" s="927">
        <f t="shared" si="171"/>
        <v>3</v>
      </c>
      <c r="G410" s="927">
        <f t="shared" si="171"/>
        <v>3</v>
      </c>
      <c r="H410" s="927">
        <f t="shared" si="171"/>
        <v>3</v>
      </c>
      <c r="I410" s="927">
        <f t="shared" si="171"/>
        <v>3</v>
      </c>
      <c r="J410" s="927">
        <f t="shared" si="171"/>
        <v>3</v>
      </c>
      <c r="K410" s="927">
        <f t="shared" si="171"/>
        <v>3</v>
      </c>
      <c r="L410" s="927">
        <f t="shared" si="171"/>
        <v>3</v>
      </c>
      <c r="M410" s="927">
        <f t="shared" si="171"/>
        <v>3</v>
      </c>
      <c r="N410" s="927">
        <f t="shared" si="171"/>
        <v>3</v>
      </c>
      <c r="O410" s="938"/>
      <c r="P410" s="13"/>
      <c r="Q410" s="19"/>
      <c r="R410" s="19"/>
      <c r="S410" s="19"/>
      <c r="T410" s="19"/>
      <c r="U410" s="19"/>
      <c r="V410" s="19"/>
      <c r="W410" s="19"/>
      <c r="X410" s="19"/>
      <c r="Y410" s="19"/>
      <c r="Z410" s="19"/>
      <c r="AA410" s="19"/>
      <c r="AB410" s="19"/>
      <c r="AC410" s="19"/>
      <c r="AD410" s="19"/>
    </row>
    <row r="411" spans="1:30" s="7" customFormat="1" ht="14.1" hidden="1" customHeight="1" outlineLevel="1" x14ac:dyDescent="0.2">
      <c r="A411" s="1395"/>
      <c r="B411" s="24"/>
      <c r="C411" s="284"/>
      <c r="D411" s="27"/>
      <c r="E411" s="940"/>
      <c r="F411" s="940"/>
      <c r="G411" s="940"/>
      <c r="H411" s="940"/>
      <c r="I411" s="940"/>
      <c r="J411" s="940"/>
      <c r="K411" s="940"/>
      <c r="L411" s="940"/>
      <c r="M411" s="940"/>
      <c r="N411" s="940"/>
      <c r="O411" s="289"/>
      <c r="P411" s="50"/>
      <c r="Q411" s="24"/>
      <c r="R411" s="24"/>
      <c r="S411" s="24"/>
      <c r="T411" s="24"/>
      <c r="U411" s="24"/>
      <c r="V411" s="24"/>
      <c r="W411" s="24"/>
      <c r="X411" s="24"/>
      <c r="Y411" s="24"/>
      <c r="Z411" s="24"/>
      <c r="AA411" s="24"/>
      <c r="AB411" s="24"/>
      <c r="AC411" s="24"/>
      <c r="AD411" s="24"/>
    </row>
    <row r="412" spans="1:30" s="7" customFormat="1" ht="14.1" hidden="1" customHeight="1" outlineLevel="1" x14ac:dyDescent="0.2">
      <c r="A412" s="1395"/>
      <c r="B412" s="24"/>
      <c r="C412" s="165"/>
      <c r="D412" s="57" t="s">
        <v>725</v>
      </c>
      <c r="E412" s="939">
        <v>1</v>
      </c>
      <c r="F412" s="939">
        <v>1</v>
      </c>
      <c r="G412" s="939">
        <v>1</v>
      </c>
      <c r="H412" s="939">
        <v>1</v>
      </c>
      <c r="I412" s="939">
        <v>1</v>
      </c>
      <c r="J412" s="939">
        <v>1</v>
      </c>
      <c r="K412" s="939">
        <v>1</v>
      </c>
      <c r="L412" s="939">
        <v>1</v>
      </c>
      <c r="M412" s="939">
        <v>1</v>
      </c>
      <c r="N412" s="939">
        <v>1</v>
      </c>
      <c r="O412" s="941"/>
      <c r="P412" s="50"/>
      <c r="Q412" s="24"/>
      <c r="R412" s="24"/>
      <c r="S412" s="24"/>
      <c r="T412" s="24"/>
      <c r="U412" s="24"/>
      <c r="V412" s="24"/>
      <c r="W412" s="24"/>
      <c r="X412" s="24"/>
      <c r="Y412" s="24"/>
      <c r="Z412" s="24"/>
      <c r="AA412" s="24"/>
      <c r="AB412" s="24"/>
      <c r="AC412" s="24"/>
      <c r="AD412" s="24"/>
    </row>
    <row r="413" spans="1:30" ht="14.1" hidden="1" customHeight="1" outlineLevel="1" x14ac:dyDescent="0.2">
      <c r="A413" s="1395"/>
      <c r="B413" s="19"/>
      <c r="C413" s="165"/>
      <c r="D413" s="54" t="s">
        <v>726</v>
      </c>
      <c r="E413" s="927">
        <f t="shared" ref="E413:N413" si="172">SUM(E412*LocSMCS)</f>
        <v>3</v>
      </c>
      <c r="F413" s="927">
        <f t="shared" si="172"/>
        <v>3</v>
      </c>
      <c r="G413" s="927">
        <f t="shared" si="172"/>
        <v>3</v>
      </c>
      <c r="H413" s="927">
        <f t="shared" si="172"/>
        <v>3</v>
      </c>
      <c r="I413" s="927">
        <f t="shared" si="172"/>
        <v>3</v>
      </c>
      <c r="J413" s="927">
        <f t="shared" si="172"/>
        <v>3</v>
      </c>
      <c r="K413" s="927">
        <f t="shared" si="172"/>
        <v>3</v>
      </c>
      <c r="L413" s="927">
        <f t="shared" si="172"/>
        <v>3</v>
      </c>
      <c r="M413" s="927">
        <f t="shared" si="172"/>
        <v>3</v>
      </c>
      <c r="N413" s="927">
        <f t="shared" si="172"/>
        <v>3</v>
      </c>
      <c r="O413" s="938"/>
      <c r="P413" s="13"/>
      <c r="Q413" s="19"/>
      <c r="R413" s="19"/>
      <c r="S413" s="19"/>
      <c r="T413" s="19"/>
      <c r="U413" s="19"/>
      <c r="V413" s="19"/>
      <c r="W413" s="19"/>
      <c r="X413" s="19"/>
      <c r="Y413" s="19"/>
      <c r="Z413" s="19"/>
      <c r="AA413" s="19"/>
      <c r="AB413" s="19"/>
      <c r="AC413" s="19"/>
      <c r="AD413" s="19"/>
    </row>
    <row r="414" spans="1:30" s="7" customFormat="1" ht="14.1" hidden="1" customHeight="1" outlineLevel="1" x14ac:dyDescent="0.2">
      <c r="A414" s="1395"/>
      <c r="B414" s="24"/>
      <c r="C414" s="284"/>
      <c r="D414" s="27"/>
      <c r="E414" s="940"/>
      <c r="F414" s="940"/>
      <c r="G414" s="940"/>
      <c r="H414" s="940"/>
      <c r="I414" s="940"/>
      <c r="J414" s="940"/>
      <c r="K414" s="940"/>
      <c r="L414" s="940"/>
      <c r="M414" s="940"/>
      <c r="N414" s="940"/>
      <c r="O414" s="289"/>
      <c r="P414" s="50"/>
      <c r="Q414" s="24"/>
      <c r="R414" s="24"/>
      <c r="S414" s="24"/>
      <c r="T414" s="24"/>
      <c r="U414" s="24"/>
      <c r="V414" s="24"/>
      <c r="W414" s="24"/>
      <c r="X414" s="24"/>
      <c r="Y414" s="24"/>
      <c r="Z414" s="24"/>
      <c r="AA414" s="24"/>
      <c r="AB414" s="24"/>
      <c r="AC414" s="24"/>
      <c r="AD414" s="24"/>
    </row>
    <row r="415" spans="1:30" s="7" customFormat="1" ht="14.1" hidden="1" customHeight="1" outlineLevel="1" x14ac:dyDescent="0.2">
      <c r="A415" s="1395"/>
      <c r="B415" s="24"/>
      <c r="C415" s="165"/>
      <c r="D415" s="57" t="s">
        <v>727</v>
      </c>
      <c r="E415" s="939">
        <v>1</v>
      </c>
      <c r="F415" s="939">
        <v>1</v>
      </c>
      <c r="G415" s="939">
        <v>1</v>
      </c>
      <c r="H415" s="939">
        <v>1</v>
      </c>
      <c r="I415" s="939">
        <v>1</v>
      </c>
      <c r="J415" s="939">
        <v>1</v>
      </c>
      <c r="K415" s="939">
        <v>1</v>
      </c>
      <c r="L415" s="939">
        <v>1</v>
      </c>
      <c r="M415" s="939">
        <v>1</v>
      </c>
      <c r="N415" s="939">
        <v>1</v>
      </c>
      <c r="O415" s="941"/>
      <c r="P415" s="50"/>
      <c r="Q415" s="24"/>
      <c r="R415" s="24"/>
      <c r="S415" s="24"/>
      <c r="T415" s="24"/>
      <c r="U415" s="24"/>
      <c r="V415" s="24"/>
      <c r="W415" s="24"/>
      <c r="X415" s="24"/>
      <c r="Y415" s="24"/>
      <c r="Z415" s="24"/>
      <c r="AA415" s="24"/>
      <c r="AB415" s="24"/>
      <c r="AC415" s="24"/>
      <c r="AD415" s="24"/>
    </row>
    <row r="416" spans="1:30" ht="14.1" hidden="1" customHeight="1" outlineLevel="1" x14ac:dyDescent="0.2">
      <c r="A416" s="1395"/>
      <c r="B416" s="19"/>
      <c r="C416" s="165"/>
      <c r="D416" s="54" t="s">
        <v>728</v>
      </c>
      <c r="E416" s="927">
        <f t="shared" ref="E416:N416" si="173">SUM(E415*LocO1)</f>
        <v>3</v>
      </c>
      <c r="F416" s="927">
        <f t="shared" si="173"/>
        <v>3</v>
      </c>
      <c r="G416" s="927">
        <f t="shared" si="173"/>
        <v>3</v>
      </c>
      <c r="H416" s="927">
        <f t="shared" si="173"/>
        <v>3</v>
      </c>
      <c r="I416" s="927">
        <f t="shared" si="173"/>
        <v>3</v>
      </c>
      <c r="J416" s="927">
        <f t="shared" si="173"/>
        <v>3</v>
      </c>
      <c r="K416" s="927">
        <f t="shared" si="173"/>
        <v>3</v>
      </c>
      <c r="L416" s="927">
        <f t="shared" si="173"/>
        <v>3</v>
      </c>
      <c r="M416" s="927">
        <f t="shared" si="173"/>
        <v>3</v>
      </c>
      <c r="N416" s="927">
        <f t="shared" si="173"/>
        <v>3</v>
      </c>
      <c r="O416" s="938"/>
      <c r="P416" s="13"/>
      <c r="Q416" s="19"/>
      <c r="R416" s="19"/>
      <c r="S416" s="19"/>
      <c r="T416" s="19"/>
      <c r="U416" s="19"/>
      <c r="V416" s="19"/>
      <c r="W416" s="19"/>
      <c r="X416" s="19"/>
      <c r="Y416" s="19"/>
      <c r="Z416" s="19"/>
      <c r="AA416" s="19"/>
      <c r="AB416" s="19"/>
      <c r="AC416" s="19"/>
      <c r="AD416" s="19"/>
    </row>
    <row r="417" spans="1:30" s="7" customFormat="1" ht="14.1" hidden="1" customHeight="1" outlineLevel="1" x14ac:dyDescent="0.2">
      <c r="A417" s="1395"/>
      <c r="B417" s="24"/>
      <c r="C417" s="284"/>
      <c r="D417" s="27"/>
      <c r="E417" s="940"/>
      <c r="F417" s="940"/>
      <c r="G417" s="940"/>
      <c r="H417" s="940"/>
      <c r="I417" s="940"/>
      <c r="J417" s="940"/>
      <c r="K417" s="940"/>
      <c r="L417" s="940"/>
      <c r="M417" s="940"/>
      <c r="N417" s="940"/>
      <c r="O417" s="289"/>
      <c r="P417" s="50"/>
      <c r="Q417" s="24"/>
      <c r="R417" s="24"/>
      <c r="S417" s="24"/>
      <c r="T417" s="24"/>
      <c r="U417" s="24"/>
      <c r="V417" s="24"/>
      <c r="W417" s="24"/>
      <c r="X417" s="24"/>
      <c r="Y417" s="24"/>
      <c r="Z417" s="24"/>
      <c r="AA417" s="24"/>
      <c r="AB417" s="24"/>
      <c r="AC417" s="24"/>
      <c r="AD417" s="24"/>
    </row>
    <row r="418" spans="1:30" s="7" customFormat="1" ht="14.1" hidden="1" customHeight="1" outlineLevel="1" x14ac:dyDescent="0.2">
      <c r="A418" s="1395"/>
      <c r="B418" s="24"/>
      <c r="C418" s="165"/>
      <c r="D418" s="57" t="s">
        <v>729</v>
      </c>
      <c r="E418" s="939">
        <v>1</v>
      </c>
      <c r="F418" s="939">
        <v>1</v>
      </c>
      <c r="G418" s="939">
        <v>1</v>
      </c>
      <c r="H418" s="939">
        <v>1</v>
      </c>
      <c r="I418" s="939">
        <v>1</v>
      </c>
      <c r="J418" s="939">
        <v>1</v>
      </c>
      <c r="K418" s="939">
        <v>1</v>
      </c>
      <c r="L418" s="939">
        <v>1</v>
      </c>
      <c r="M418" s="939">
        <v>1</v>
      </c>
      <c r="N418" s="939">
        <v>1</v>
      </c>
      <c r="O418" s="941"/>
      <c r="P418" s="50"/>
      <c r="Q418" s="24"/>
      <c r="R418" s="24"/>
      <c r="S418" s="24"/>
      <c r="T418" s="24"/>
      <c r="U418" s="24"/>
      <c r="V418" s="24"/>
      <c r="W418" s="24"/>
      <c r="X418" s="24"/>
      <c r="Y418" s="24"/>
      <c r="Z418" s="24"/>
      <c r="AA418" s="24"/>
      <c r="AB418" s="24"/>
      <c r="AC418" s="24"/>
      <c r="AD418" s="24"/>
    </row>
    <row r="419" spans="1:30" ht="14.1" hidden="1" customHeight="1" outlineLevel="1" x14ac:dyDescent="0.2">
      <c r="A419" s="1395"/>
      <c r="B419" s="19"/>
      <c r="C419" s="165"/>
      <c r="D419" s="54" t="s">
        <v>730</v>
      </c>
      <c r="E419" s="927">
        <f t="shared" ref="E419:N419" si="174">SUM(E418*LocO2)</f>
        <v>3</v>
      </c>
      <c r="F419" s="927">
        <f t="shared" si="174"/>
        <v>3</v>
      </c>
      <c r="G419" s="927">
        <f t="shared" si="174"/>
        <v>3</v>
      </c>
      <c r="H419" s="927">
        <f t="shared" si="174"/>
        <v>3</v>
      </c>
      <c r="I419" s="927">
        <f t="shared" si="174"/>
        <v>3</v>
      </c>
      <c r="J419" s="927">
        <f t="shared" si="174"/>
        <v>3</v>
      </c>
      <c r="K419" s="927">
        <f t="shared" si="174"/>
        <v>3</v>
      </c>
      <c r="L419" s="927">
        <f t="shared" si="174"/>
        <v>3</v>
      </c>
      <c r="M419" s="927">
        <f t="shared" si="174"/>
        <v>3</v>
      </c>
      <c r="N419" s="927">
        <f t="shared" si="174"/>
        <v>3</v>
      </c>
      <c r="O419" s="938"/>
      <c r="P419" s="13"/>
      <c r="Q419" s="19"/>
      <c r="R419" s="19"/>
      <c r="S419" s="19"/>
      <c r="T419" s="19"/>
      <c r="U419" s="19"/>
      <c r="V419" s="19"/>
      <c r="W419" s="19"/>
      <c r="X419" s="19"/>
      <c r="Y419" s="19"/>
      <c r="Z419" s="19"/>
      <c r="AA419" s="19"/>
      <c r="AB419" s="19"/>
      <c r="AC419" s="19"/>
      <c r="AD419" s="19"/>
    </row>
    <row r="420" spans="1:30" ht="14.1" hidden="1" customHeight="1" outlineLevel="1" x14ac:dyDescent="0.2">
      <c r="A420" s="1395"/>
      <c r="B420" s="19"/>
      <c r="C420" s="290"/>
      <c r="D420" s="38"/>
      <c r="E420" s="38"/>
      <c r="F420" s="38"/>
      <c r="G420" s="38"/>
      <c r="H420" s="13"/>
      <c r="I420" s="13"/>
      <c r="J420" s="13"/>
      <c r="K420" s="13"/>
      <c r="L420" s="13"/>
      <c r="M420" s="13"/>
      <c r="N420" s="13"/>
      <c r="O420" s="897"/>
      <c r="P420" s="13"/>
      <c r="Q420" s="19"/>
      <c r="R420" s="19"/>
      <c r="S420" s="19"/>
      <c r="T420" s="19"/>
      <c r="U420" s="19"/>
      <c r="V420" s="19"/>
      <c r="W420" s="19"/>
      <c r="X420" s="19"/>
      <c r="Y420" s="19"/>
      <c r="Z420" s="19"/>
      <c r="AA420" s="19"/>
      <c r="AB420" s="19"/>
      <c r="AC420" s="19"/>
      <c r="AD420" s="19"/>
    </row>
    <row r="421" spans="1:30" ht="14.1" hidden="1" customHeight="1" outlineLevel="1" x14ac:dyDescent="0.2">
      <c r="A421" s="1396"/>
      <c r="B421" s="19"/>
      <c r="C421" s="270"/>
      <c r="D421" s="833" t="s">
        <v>130</v>
      </c>
      <c r="E421" s="292">
        <f t="shared" ref="E421:N421" si="175">SUM(E419+E416+E413+E410+E407+E404+E401+E398+E395+E389+E386+E383)*pSystemsPrintRoomArea_Each</f>
        <v>744</v>
      </c>
      <c r="F421" s="292">
        <f t="shared" si="175"/>
        <v>780</v>
      </c>
      <c r="G421" s="292">
        <f t="shared" si="175"/>
        <v>780</v>
      </c>
      <c r="H421" s="292">
        <f t="shared" si="175"/>
        <v>780</v>
      </c>
      <c r="I421" s="292">
        <f t="shared" si="175"/>
        <v>780</v>
      </c>
      <c r="J421" s="292">
        <f t="shared" si="175"/>
        <v>780</v>
      </c>
      <c r="K421" s="292">
        <f t="shared" si="175"/>
        <v>780</v>
      </c>
      <c r="L421" s="292">
        <f t="shared" si="175"/>
        <v>780</v>
      </c>
      <c r="M421" s="292">
        <f t="shared" si="175"/>
        <v>780</v>
      </c>
      <c r="N421" s="292">
        <f t="shared" si="175"/>
        <v>780</v>
      </c>
      <c r="O421" s="257" t="s">
        <v>733</v>
      </c>
      <c r="P421" s="13"/>
      <c r="Q421" s="19"/>
      <c r="R421" s="19"/>
      <c r="S421" s="19"/>
      <c r="T421" s="19"/>
      <c r="U421" s="19"/>
      <c r="V421" s="19"/>
      <c r="W421" s="19"/>
      <c r="X421" s="19"/>
      <c r="Y421" s="19"/>
      <c r="Z421" s="19"/>
      <c r="AA421" s="19"/>
      <c r="AB421" s="19"/>
      <c r="AC421" s="19"/>
      <c r="AD421" s="19"/>
    </row>
    <row r="422" spans="1:30" s="7" customFormat="1" ht="13.5" hidden="1" customHeight="1" outlineLevel="1" thickBot="1" x14ac:dyDescent="0.25">
      <c r="A422" s="190"/>
      <c r="B422" s="19"/>
      <c r="C422" s="170"/>
      <c r="D422" s="929"/>
      <c r="E422" s="942"/>
      <c r="F422" s="942"/>
      <c r="G422" s="942"/>
      <c r="H422" s="942"/>
      <c r="I422" s="942"/>
      <c r="J422" s="942"/>
      <c r="K422" s="942"/>
      <c r="L422" s="942"/>
      <c r="M422" s="942"/>
      <c r="N422" s="942"/>
      <c r="O422" s="643"/>
      <c r="P422" s="50"/>
      <c r="Q422" s="24"/>
      <c r="R422" s="24"/>
      <c r="S422" s="24"/>
      <c r="T422" s="24"/>
      <c r="U422" s="24"/>
      <c r="V422" s="24"/>
      <c r="W422" s="24"/>
      <c r="X422" s="24"/>
      <c r="Y422" s="24"/>
      <c r="Z422" s="24"/>
      <c r="AA422" s="24"/>
      <c r="AB422" s="24"/>
      <c r="AC422" s="24"/>
      <c r="AD422" s="24"/>
    </row>
    <row r="423" spans="1:30" s="114" customFormat="1" ht="13.5" hidden="1" outlineLevel="1" thickBot="1" x14ac:dyDescent="0.25">
      <c r="A423" s="190"/>
      <c r="B423" s="19"/>
      <c r="C423" s="172"/>
      <c r="D423" s="172"/>
      <c r="E423" s="172"/>
      <c r="F423" s="172"/>
      <c r="G423" s="172"/>
      <c r="H423" s="172"/>
      <c r="I423" s="172"/>
      <c r="J423" s="172"/>
      <c r="K423" s="172"/>
      <c r="L423" s="172"/>
      <c r="M423" s="172"/>
      <c r="N423" s="172"/>
      <c r="O423" s="673"/>
      <c r="P423" s="113"/>
    </row>
    <row r="424" spans="1:30" ht="20.100000000000001" hidden="1" customHeight="1" outlineLevel="1" x14ac:dyDescent="0.2">
      <c r="A424" s="190"/>
      <c r="B424" s="19"/>
      <c r="C424" s="920" t="str">
        <f>Scenario2&amp;" Print Room &amp; Paper Storage Area Required"</f>
        <v>hSystems (Hybrid) Print Room &amp; Paper Storage Area Required</v>
      </c>
      <c r="D424" s="288"/>
      <c r="E424" s="288"/>
      <c r="F424" s="288"/>
      <c r="G424" s="288"/>
      <c r="H424" s="288"/>
      <c r="I424" s="288"/>
      <c r="J424" s="288"/>
      <c r="K424" s="288"/>
      <c r="L424" s="288"/>
      <c r="M424" s="288"/>
      <c r="N424" s="288"/>
      <c r="O424" s="909"/>
      <c r="P424" s="13"/>
      <c r="Q424" s="19"/>
      <c r="R424" s="19"/>
      <c r="S424" s="19"/>
      <c r="T424" s="19"/>
      <c r="U424" s="19"/>
      <c r="V424" s="19"/>
      <c r="W424" s="19"/>
      <c r="X424" s="19"/>
      <c r="Y424" s="19"/>
      <c r="Z424" s="19"/>
      <c r="AA424" s="19"/>
      <c r="AB424" s="19"/>
      <c r="AC424" s="19"/>
      <c r="AD424" s="19"/>
    </row>
    <row r="425" spans="1:30" ht="14.1" hidden="1" customHeight="1" outlineLevel="1" x14ac:dyDescent="0.2">
      <c r="A425" s="190"/>
      <c r="B425" s="19"/>
      <c r="C425" s="837"/>
      <c r="D425" s="59"/>
      <c r="E425" s="59"/>
      <c r="F425" s="59"/>
      <c r="G425" s="59"/>
      <c r="H425" s="59"/>
      <c r="I425" s="59"/>
      <c r="J425" s="59"/>
      <c r="K425" s="59"/>
      <c r="L425" s="59"/>
      <c r="M425" s="59"/>
      <c r="N425" s="59"/>
      <c r="O425" s="897"/>
      <c r="P425" s="13"/>
      <c r="Q425" s="19"/>
      <c r="R425" s="19"/>
      <c r="S425" s="19"/>
      <c r="T425" s="19"/>
      <c r="U425" s="19"/>
      <c r="V425" s="19"/>
      <c r="W425" s="19"/>
      <c r="X425" s="19"/>
      <c r="Y425" s="19"/>
      <c r="Z425" s="19"/>
      <c r="AA425" s="19"/>
      <c r="AB425" s="19"/>
      <c r="AC425" s="19"/>
      <c r="AD425" s="19"/>
    </row>
    <row r="426" spans="1:30" ht="14.1" hidden="1" customHeight="1" outlineLevel="1" x14ac:dyDescent="0.2">
      <c r="A426" s="190"/>
      <c r="B426" s="19"/>
      <c r="C426" s="165"/>
      <c r="D426" s="37" t="str">
        <f>"Print Room Area Required "&amp;(OfficeLeaseUnit)</f>
        <v>Print Room Area Required m2</v>
      </c>
      <c r="E426" s="519">
        <v>9</v>
      </c>
      <c r="F426" s="936">
        <v>9</v>
      </c>
      <c r="G426" s="936">
        <v>9</v>
      </c>
      <c r="H426" s="937">
        <v>9</v>
      </c>
      <c r="I426" s="936">
        <v>9</v>
      </c>
      <c r="J426" s="937">
        <v>9</v>
      </c>
      <c r="K426" s="936">
        <v>9</v>
      </c>
      <c r="L426" s="937">
        <v>9</v>
      </c>
      <c r="M426" s="936">
        <v>9</v>
      </c>
      <c r="N426" s="937">
        <v>9</v>
      </c>
      <c r="O426" s="257" t="s">
        <v>734</v>
      </c>
      <c r="P426" s="13"/>
      <c r="Q426" s="19"/>
      <c r="R426" s="19"/>
      <c r="S426" s="19"/>
      <c r="T426" s="19"/>
      <c r="U426" s="19"/>
      <c r="V426" s="19"/>
      <c r="W426" s="19"/>
      <c r="X426" s="19"/>
      <c r="Y426" s="19"/>
      <c r="Z426" s="19"/>
      <c r="AA426" s="19"/>
      <c r="AB426" s="19"/>
      <c r="AC426" s="19"/>
      <c r="AD426" s="19"/>
    </row>
    <row r="427" spans="1:30" ht="14.1" hidden="1" customHeight="1" outlineLevel="1" x14ac:dyDescent="0.2">
      <c r="A427" s="190"/>
      <c r="B427" s="19"/>
      <c r="C427" s="165"/>
      <c r="D427" s="833"/>
      <c r="E427" s="917"/>
      <c r="F427" s="917"/>
      <c r="G427" s="917"/>
      <c r="H427" s="13"/>
      <c r="I427" s="13"/>
      <c r="J427" s="13"/>
      <c r="K427" s="13"/>
      <c r="L427" s="13"/>
      <c r="M427" s="13"/>
      <c r="N427" s="13"/>
      <c r="O427" s="938"/>
      <c r="P427" s="13"/>
      <c r="Q427" s="19"/>
      <c r="R427" s="19"/>
      <c r="S427" s="19"/>
      <c r="T427" s="19"/>
      <c r="U427" s="19"/>
      <c r="V427" s="19"/>
      <c r="W427" s="19"/>
      <c r="X427" s="19"/>
      <c r="Y427" s="19"/>
      <c r="Z427" s="19"/>
      <c r="AA427" s="19"/>
      <c r="AB427" s="19"/>
      <c r="AC427" s="19"/>
      <c r="AD427" s="19"/>
    </row>
    <row r="428" spans="1:30" ht="14.1" hidden="1" customHeight="1" outlineLevel="1" x14ac:dyDescent="0.2">
      <c r="A428" s="190"/>
      <c r="B428" s="19"/>
      <c r="C428" s="165"/>
      <c r="D428" s="57" t="s">
        <v>48</v>
      </c>
      <c r="E428" s="939">
        <v>1</v>
      </c>
      <c r="F428" s="939">
        <v>1</v>
      </c>
      <c r="G428" s="939">
        <v>1</v>
      </c>
      <c r="H428" s="939">
        <v>1</v>
      </c>
      <c r="I428" s="939">
        <v>1</v>
      </c>
      <c r="J428" s="939">
        <v>1</v>
      </c>
      <c r="K428" s="939">
        <v>1</v>
      </c>
      <c r="L428" s="939">
        <v>1</v>
      </c>
      <c r="M428" s="939">
        <v>1</v>
      </c>
      <c r="N428" s="939">
        <v>1</v>
      </c>
      <c r="O428" s="938"/>
      <c r="P428" s="13"/>
      <c r="Q428" s="19"/>
      <c r="R428" s="19"/>
      <c r="S428" s="19"/>
      <c r="T428" s="19"/>
      <c r="U428" s="19"/>
      <c r="V428" s="19"/>
      <c r="W428" s="19"/>
      <c r="X428" s="19"/>
      <c r="Y428" s="19"/>
      <c r="Z428" s="19"/>
      <c r="AA428" s="19"/>
      <c r="AB428" s="19"/>
      <c r="AC428" s="19"/>
      <c r="AD428" s="19"/>
    </row>
    <row r="429" spans="1:30" ht="14.1" hidden="1" customHeight="1" outlineLevel="1" x14ac:dyDescent="0.2">
      <c r="A429" s="190"/>
      <c r="B429" s="19"/>
      <c r="C429" s="165"/>
      <c r="D429" s="54" t="s">
        <v>49</v>
      </c>
      <c r="E429" s="927">
        <f t="shared" ref="E429:N429" si="176">SUM(E428*LocTransit)</f>
        <v>19</v>
      </c>
      <c r="F429" s="927">
        <f t="shared" si="176"/>
        <v>20</v>
      </c>
      <c r="G429" s="927">
        <f t="shared" si="176"/>
        <v>20</v>
      </c>
      <c r="H429" s="927">
        <f t="shared" si="176"/>
        <v>20</v>
      </c>
      <c r="I429" s="927">
        <f t="shared" si="176"/>
        <v>20</v>
      </c>
      <c r="J429" s="927">
        <f t="shared" si="176"/>
        <v>20</v>
      </c>
      <c r="K429" s="927">
        <f t="shared" si="176"/>
        <v>20</v>
      </c>
      <c r="L429" s="927">
        <f t="shared" si="176"/>
        <v>20</v>
      </c>
      <c r="M429" s="927">
        <f t="shared" si="176"/>
        <v>20</v>
      </c>
      <c r="N429" s="927">
        <f t="shared" si="176"/>
        <v>20</v>
      </c>
      <c r="O429" s="938"/>
      <c r="P429" s="13"/>
      <c r="Q429" s="19"/>
      <c r="R429" s="19"/>
      <c r="S429" s="19"/>
      <c r="T429" s="19"/>
      <c r="U429" s="19"/>
      <c r="V429" s="19"/>
      <c r="W429" s="19"/>
      <c r="X429" s="19"/>
      <c r="Y429" s="19"/>
      <c r="Z429" s="19"/>
      <c r="AA429" s="19"/>
      <c r="AB429" s="19"/>
      <c r="AC429" s="19"/>
      <c r="AD429" s="19"/>
    </row>
    <row r="430" spans="1:30" ht="14.1" hidden="1" customHeight="1" outlineLevel="1" x14ac:dyDescent="0.2">
      <c r="A430" s="190"/>
      <c r="B430" s="19"/>
      <c r="C430" s="165"/>
      <c r="D430" s="54"/>
      <c r="E430" s="38"/>
      <c r="F430" s="38"/>
      <c r="G430" s="38"/>
      <c r="H430" s="38"/>
      <c r="I430" s="38"/>
      <c r="J430" s="38"/>
      <c r="K430" s="38"/>
      <c r="L430" s="38"/>
      <c r="M430" s="38"/>
      <c r="N430" s="38"/>
      <c r="O430" s="938"/>
      <c r="P430" s="13"/>
      <c r="Q430" s="19"/>
      <c r="R430" s="19"/>
      <c r="S430" s="19"/>
      <c r="T430" s="19"/>
      <c r="U430" s="19"/>
      <c r="V430" s="19"/>
      <c r="W430" s="19"/>
      <c r="X430" s="19"/>
      <c r="Y430" s="19"/>
      <c r="Z430" s="19"/>
      <c r="AA430" s="19"/>
      <c r="AB430" s="19"/>
      <c r="AC430" s="19"/>
      <c r="AD430" s="19"/>
    </row>
    <row r="431" spans="1:30" ht="14.1" hidden="1" customHeight="1" outlineLevel="1" x14ac:dyDescent="0.2">
      <c r="A431" s="190"/>
      <c r="B431" s="19"/>
      <c r="C431" s="165"/>
      <c r="D431" s="57" t="s">
        <v>50</v>
      </c>
      <c r="E431" s="939">
        <v>1</v>
      </c>
      <c r="F431" s="939">
        <v>1</v>
      </c>
      <c r="G431" s="939">
        <v>1</v>
      </c>
      <c r="H431" s="939">
        <v>1</v>
      </c>
      <c r="I431" s="939">
        <v>1</v>
      </c>
      <c r="J431" s="939">
        <v>1</v>
      </c>
      <c r="K431" s="939">
        <v>1</v>
      </c>
      <c r="L431" s="939">
        <v>1</v>
      </c>
      <c r="M431" s="939">
        <v>1</v>
      </c>
      <c r="N431" s="939">
        <v>1</v>
      </c>
      <c r="O431" s="938"/>
      <c r="P431" s="13"/>
      <c r="Q431" s="19"/>
      <c r="R431" s="19"/>
      <c r="S431" s="19"/>
      <c r="T431" s="19"/>
      <c r="U431" s="19"/>
      <c r="V431" s="19"/>
      <c r="W431" s="19"/>
      <c r="X431" s="19"/>
      <c r="Y431" s="19"/>
      <c r="Z431" s="19"/>
      <c r="AA431" s="19"/>
      <c r="AB431" s="19"/>
      <c r="AC431" s="19"/>
      <c r="AD431" s="19"/>
    </row>
    <row r="432" spans="1:30" ht="14.1" hidden="1" customHeight="1" outlineLevel="1" x14ac:dyDescent="0.2">
      <c r="A432" s="190"/>
      <c r="B432" s="19"/>
      <c r="C432" s="165"/>
      <c r="D432" s="54" t="s">
        <v>715</v>
      </c>
      <c r="E432" s="927">
        <f t="shared" ref="E432:N432" si="177">SUM(E431*LocLM)</f>
        <v>8</v>
      </c>
      <c r="F432" s="927">
        <f t="shared" si="177"/>
        <v>9</v>
      </c>
      <c r="G432" s="927">
        <f t="shared" si="177"/>
        <v>9</v>
      </c>
      <c r="H432" s="927">
        <f t="shared" si="177"/>
        <v>9</v>
      </c>
      <c r="I432" s="927">
        <f t="shared" si="177"/>
        <v>9</v>
      </c>
      <c r="J432" s="927">
        <f t="shared" si="177"/>
        <v>9</v>
      </c>
      <c r="K432" s="927">
        <f t="shared" si="177"/>
        <v>9</v>
      </c>
      <c r="L432" s="927">
        <f t="shared" si="177"/>
        <v>9</v>
      </c>
      <c r="M432" s="927">
        <f t="shared" si="177"/>
        <v>9</v>
      </c>
      <c r="N432" s="927">
        <f t="shared" si="177"/>
        <v>9</v>
      </c>
      <c r="O432" s="938"/>
      <c r="P432" s="13"/>
      <c r="Q432" s="19"/>
      <c r="R432" s="19"/>
      <c r="S432" s="19"/>
      <c r="T432" s="19"/>
      <c r="U432" s="19"/>
      <c r="V432" s="19"/>
      <c r="W432" s="19"/>
      <c r="X432" s="19"/>
      <c r="Y432" s="19"/>
      <c r="Z432" s="19"/>
      <c r="AA432" s="19"/>
      <c r="AB432" s="19"/>
      <c r="AC432" s="19"/>
      <c r="AD432" s="19"/>
    </row>
    <row r="433" spans="1:30" ht="14.1" hidden="1" customHeight="1" outlineLevel="1" x14ac:dyDescent="0.2">
      <c r="A433" s="190"/>
      <c r="B433" s="19"/>
      <c r="C433" s="165"/>
      <c r="D433" s="54"/>
      <c r="E433" s="38"/>
      <c r="F433" s="38"/>
      <c r="G433" s="38"/>
      <c r="H433" s="38"/>
      <c r="I433" s="38"/>
      <c r="J433" s="38"/>
      <c r="K433" s="38"/>
      <c r="L433" s="38"/>
      <c r="M433" s="38"/>
      <c r="N433" s="38"/>
      <c r="O433" s="938"/>
      <c r="P433" s="13"/>
      <c r="Q433" s="19"/>
      <c r="R433" s="19"/>
      <c r="S433" s="19"/>
      <c r="T433" s="19"/>
      <c r="U433" s="19"/>
      <c r="V433" s="19"/>
      <c r="W433" s="19"/>
      <c r="X433" s="19"/>
      <c r="Y433" s="19"/>
      <c r="Z433" s="19"/>
      <c r="AA433" s="19"/>
      <c r="AB433" s="19"/>
      <c r="AC433" s="19"/>
      <c r="AD433" s="19"/>
    </row>
    <row r="434" spans="1:30" ht="14.1" hidden="1" customHeight="1" outlineLevel="1" x14ac:dyDescent="0.2">
      <c r="A434" s="190"/>
      <c r="B434" s="19"/>
      <c r="C434" s="165"/>
      <c r="D434" s="57" t="s">
        <v>51</v>
      </c>
      <c r="E434" s="939">
        <v>2</v>
      </c>
      <c r="F434" s="939">
        <v>2</v>
      </c>
      <c r="G434" s="939">
        <v>2</v>
      </c>
      <c r="H434" s="939">
        <v>2</v>
      </c>
      <c r="I434" s="939">
        <v>2</v>
      </c>
      <c r="J434" s="939">
        <v>2</v>
      </c>
      <c r="K434" s="939">
        <v>2</v>
      </c>
      <c r="L434" s="939">
        <v>2</v>
      </c>
      <c r="M434" s="939">
        <v>2</v>
      </c>
      <c r="N434" s="939">
        <v>2</v>
      </c>
      <c r="O434" s="938"/>
      <c r="P434" s="13"/>
      <c r="Q434" s="19"/>
      <c r="R434" s="19"/>
      <c r="S434" s="19"/>
      <c r="T434" s="19"/>
      <c r="U434" s="19"/>
      <c r="V434" s="19"/>
      <c r="W434" s="19"/>
      <c r="X434" s="19"/>
      <c r="Y434" s="19"/>
      <c r="Z434" s="19"/>
      <c r="AA434" s="19"/>
      <c r="AB434" s="19"/>
      <c r="AC434" s="19"/>
      <c r="AD434" s="19"/>
    </row>
    <row r="435" spans="1:30" ht="14.1" hidden="1" customHeight="1" outlineLevel="1" x14ac:dyDescent="0.2">
      <c r="A435" s="190"/>
      <c r="B435" s="19"/>
      <c r="C435" s="165"/>
      <c r="D435" s="54" t="s">
        <v>716</v>
      </c>
      <c r="E435" s="927">
        <f t="shared" ref="E435:N435" si="178">SUM(E434*LocHM)</f>
        <v>2</v>
      </c>
      <c r="F435" s="927">
        <f t="shared" si="178"/>
        <v>2</v>
      </c>
      <c r="G435" s="927">
        <f t="shared" si="178"/>
        <v>2</v>
      </c>
      <c r="H435" s="927">
        <f t="shared" si="178"/>
        <v>2</v>
      </c>
      <c r="I435" s="927">
        <f t="shared" si="178"/>
        <v>2</v>
      </c>
      <c r="J435" s="927">
        <f t="shared" si="178"/>
        <v>2</v>
      </c>
      <c r="K435" s="927">
        <f t="shared" si="178"/>
        <v>2</v>
      </c>
      <c r="L435" s="927">
        <f t="shared" si="178"/>
        <v>2</v>
      </c>
      <c r="M435" s="927">
        <f t="shared" si="178"/>
        <v>2</v>
      </c>
      <c r="N435" s="927">
        <f t="shared" si="178"/>
        <v>2</v>
      </c>
      <c r="O435" s="938"/>
      <c r="P435" s="13"/>
      <c r="Q435" s="19"/>
      <c r="R435" s="19"/>
      <c r="S435" s="19"/>
      <c r="T435" s="19"/>
      <c r="U435" s="19"/>
      <c r="V435" s="19"/>
      <c r="W435" s="19"/>
      <c r="X435" s="19"/>
      <c r="Y435" s="19"/>
      <c r="Z435" s="19"/>
      <c r="AA435" s="19"/>
      <c r="AB435" s="19"/>
      <c r="AC435" s="19"/>
      <c r="AD435" s="19"/>
    </row>
    <row r="436" spans="1:30" ht="14.1" hidden="1" customHeight="1" outlineLevel="1" x14ac:dyDescent="0.2">
      <c r="A436" s="190"/>
      <c r="B436" s="19"/>
      <c r="C436" s="165"/>
      <c r="D436" s="54"/>
      <c r="E436" s="38"/>
      <c r="F436" s="38"/>
      <c r="G436" s="38"/>
      <c r="H436" s="38"/>
      <c r="I436" s="38"/>
      <c r="J436" s="38"/>
      <c r="K436" s="38"/>
      <c r="L436" s="38"/>
      <c r="M436" s="38"/>
      <c r="N436" s="38"/>
      <c r="O436" s="938"/>
      <c r="P436" s="13"/>
      <c r="Q436" s="19"/>
      <c r="R436" s="19"/>
      <c r="S436" s="19"/>
      <c r="T436" s="19"/>
      <c r="U436" s="19"/>
      <c r="V436" s="19"/>
      <c r="W436" s="19"/>
      <c r="X436" s="19"/>
      <c r="Y436" s="19"/>
      <c r="Z436" s="19"/>
      <c r="AA436" s="19"/>
      <c r="AB436" s="19"/>
      <c r="AC436" s="19"/>
      <c r="AD436" s="19"/>
    </row>
    <row r="437" spans="1:30" ht="14.1" hidden="1" customHeight="1" outlineLevel="1" x14ac:dyDescent="0.2">
      <c r="A437" s="190"/>
      <c r="B437" s="19"/>
      <c r="C437" s="165"/>
      <c r="D437" s="57" t="s">
        <v>991</v>
      </c>
      <c r="E437" s="939">
        <v>1</v>
      </c>
      <c r="F437" s="939">
        <v>1</v>
      </c>
      <c r="G437" s="939">
        <v>1</v>
      </c>
      <c r="H437" s="939">
        <v>1</v>
      </c>
      <c r="I437" s="939">
        <v>1</v>
      </c>
      <c r="J437" s="939">
        <v>1</v>
      </c>
      <c r="K437" s="939">
        <v>1</v>
      </c>
      <c r="L437" s="939">
        <v>1</v>
      </c>
      <c r="M437" s="939">
        <v>1</v>
      </c>
      <c r="N437" s="939">
        <v>1</v>
      </c>
      <c r="O437" s="271"/>
      <c r="P437" s="13"/>
      <c r="Q437" s="19"/>
      <c r="R437" s="19"/>
      <c r="S437" s="19"/>
      <c r="T437" s="19"/>
      <c r="U437" s="19"/>
      <c r="V437" s="19"/>
      <c r="W437" s="19"/>
      <c r="X437" s="19"/>
      <c r="Y437" s="19"/>
      <c r="Z437" s="19"/>
      <c r="AA437" s="19"/>
      <c r="AB437" s="19"/>
      <c r="AC437" s="19"/>
      <c r="AD437" s="19"/>
    </row>
    <row r="438" spans="1:30" ht="14.1" hidden="1" customHeight="1" outlineLevel="1" x14ac:dyDescent="0.2">
      <c r="A438" s="190"/>
      <c r="B438" s="19"/>
      <c r="C438" s="165"/>
      <c r="D438" s="54" t="s">
        <v>992</v>
      </c>
      <c r="E438" s="927">
        <f t="shared" ref="E438:N438" si="179">SUM(E437*LocENG)</f>
        <v>1</v>
      </c>
      <c r="F438" s="927">
        <f t="shared" si="179"/>
        <v>1</v>
      </c>
      <c r="G438" s="927">
        <f t="shared" si="179"/>
        <v>1</v>
      </c>
      <c r="H438" s="927">
        <f t="shared" si="179"/>
        <v>1</v>
      </c>
      <c r="I438" s="927">
        <f t="shared" si="179"/>
        <v>1</v>
      </c>
      <c r="J438" s="927">
        <f t="shared" si="179"/>
        <v>1</v>
      </c>
      <c r="K438" s="927">
        <f t="shared" si="179"/>
        <v>1</v>
      </c>
      <c r="L438" s="927">
        <f t="shared" si="179"/>
        <v>1</v>
      </c>
      <c r="M438" s="927">
        <f t="shared" si="179"/>
        <v>1</v>
      </c>
      <c r="N438" s="927">
        <f t="shared" si="179"/>
        <v>1</v>
      </c>
      <c r="O438" s="271"/>
      <c r="P438" s="13"/>
      <c r="Q438" s="19"/>
      <c r="R438" s="19"/>
      <c r="S438" s="19"/>
      <c r="T438" s="19"/>
      <c r="U438" s="19"/>
      <c r="V438" s="19"/>
      <c r="W438" s="19"/>
      <c r="X438" s="19"/>
      <c r="Y438" s="19"/>
      <c r="Z438" s="19"/>
      <c r="AA438" s="19"/>
      <c r="AB438" s="19"/>
      <c r="AC438" s="19"/>
      <c r="AD438" s="19"/>
    </row>
    <row r="439" spans="1:30" ht="14.1" hidden="1" customHeight="1" outlineLevel="1" x14ac:dyDescent="0.2">
      <c r="A439" s="190"/>
      <c r="B439" s="19"/>
      <c r="C439" s="165"/>
      <c r="D439" s="54"/>
      <c r="E439" s="38"/>
      <c r="F439" s="38"/>
      <c r="G439" s="38"/>
      <c r="H439" s="38"/>
      <c r="I439" s="38"/>
      <c r="J439" s="38"/>
      <c r="K439" s="38"/>
      <c r="L439" s="38"/>
      <c r="M439" s="38"/>
      <c r="N439" s="38"/>
      <c r="O439" s="938"/>
      <c r="P439" s="13"/>
      <c r="Q439" s="19"/>
      <c r="R439" s="19"/>
      <c r="S439" s="19"/>
      <c r="T439" s="19"/>
      <c r="U439" s="19"/>
      <c r="V439" s="19"/>
      <c r="W439" s="19"/>
      <c r="X439" s="19"/>
      <c r="Y439" s="19"/>
      <c r="Z439" s="19"/>
      <c r="AA439" s="19"/>
      <c r="AB439" s="19"/>
      <c r="AC439" s="19"/>
      <c r="AD439" s="19"/>
    </row>
    <row r="440" spans="1:30" ht="14.1" hidden="1" customHeight="1" outlineLevel="1" x14ac:dyDescent="0.2">
      <c r="A440" s="190"/>
      <c r="B440" s="19"/>
      <c r="C440" s="165"/>
      <c r="D440" s="57" t="s">
        <v>993</v>
      </c>
      <c r="E440" s="939">
        <v>1</v>
      </c>
      <c r="F440" s="939">
        <v>1</v>
      </c>
      <c r="G440" s="939">
        <v>1</v>
      </c>
      <c r="H440" s="939">
        <v>1</v>
      </c>
      <c r="I440" s="939">
        <v>1</v>
      </c>
      <c r="J440" s="939">
        <v>1</v>
      </c>
      <c r="K440" s="939">
        <v>1</v>
      </c>
      <c r="L440" s="939">
        <v>1</v>
      </c>
      <c r="M440" s="939">
        <v>1</v>
      </c>
      <c r="N440" s="939">
        <v>1</v>
      </c>
      <c r="O440" s="271"/>
      <c r="P440" s="13"/>
      <c r="Q440" s="19"/>
      <c r="R440" s="19"/>
      <c r="S440" s="19"/>
      <c r="T440" s="19"/>
      <c r="U440" s="19"/>
      <c r="V440" s="19"/>
      <c r="W440" s="19"/>
      <c r="X440" s="19"/>
      <c r="Y440" s="19"/>
      <c r="Z440" s="19"/>
      <c r="AA440" s="19"/>
      <c r="AB440" s="19"/>
      <c r="AC440" s="19"/>
      <c r="AD440" s="19"/>
    </row>
    <row r="441" spans="1:30" ht="14.1" hidden="1" customHeight="1" outlineLevel="1" x14ac:dyDescent="0.2">
      <c r="A441" s="190"/>
      <c r="B441" s="19"/>
      <c r="C441" s="165"/>
      <c r="D441" s="54" t="s">
        <v>994</v>
      </c>
      <c r="E441" s="927">
        <f t="shared" ref="E441" si="180">SUM(E440*LocPLG)</f>
        <v>1</v>
      </c>
      <c r="F441" s="927">
        <f t="shared" ref="F441" si="181">SUM(F440*LocPLG)</f>
        <v>1</v>
      </c>
      <c r="G441" s="927">
        <f t="shared" ref="G441" si="182">SUM(G440*LocPLG)</f>
        <v>1</v>
      </c>
      <c r="H441" s="927">
        <f t="shared" ref="H441" si="183">SUM(H440*LocPLG)</f>
        <v>1</v>
      </c>
      <c r="I441" s="927">
        <f t="shared" ref="I441" si="184">SUM(I440*LocPLG)</f>
        <v>1</v>
      </c>
      <c r="J441" s="927">
        <f t="shared" ref="J441" si="185">SUM(J440*LocPLG)</f>
        <v>1</v>
      </c>
      <c r="K441" s="927">
        <f t="shared" ref="K441" si="186">SUM(K440*LocPLG)</f>
        <v>1</v>
      </c>
      <c r="L441" s="927">
        <f t="shared" ref="L441" si="187">SUM(L440*LocPLG)</f>
        <v>1</v>
      </c>
      <c r="M441" s="927">
        <f t="shared" ref="M441" si="188">SUM(M440*LocPLG)</f>
        <v>1</v>
      </c>
      <c r="N441" s="927">
        <f t="shared" ref="N441" si="189">SUM(N440*LocPLG)</f>
        <v>1</v>
      </c>
      <c r="O441" s="271"/>
      <c r="P441" s="13"/>
      <c r="Q441" s="19"/>
      <c r="R441" s="19"/>
      <c r="S441" s="19"/>
      <c r="T441" s="19"/>
      <c r="U441" s="19"/>
      <c r="V441" s="19"/>
      <c r="W441" s="19"/>
      <c r="X441" s="19"/>
      <c r="Y441" s="19"/>
      <c r="Z441" s="19"/>
      <c r="AA441" s="19"/>
      <c r="AB441" s="19"/>
      <c r="AC441" s="19"/>
      <c r="AD441" s="19"/>
    </row>
    <row r="442" spans="1:30" ht="14.1" hidden="1" customHeight="1" outlineLevel="1" x14ac:dyDescent="0.2">
      <c r="A442" s="190"/>
      <c r="B442" s="19"/>
      <c r="C442" s="165"/>
      <c r="D442" s="54"/>
      <c r="E442" s="38"/>
      <c r="F442" s="38"/>
      <c r="G442" s="38"/>
      <c r="H442" s="38"/>
      <c r="I442" s="38"/>
      <c r="J442" s="38"/>
      <c r="K442" s="38"/>
      <c r="L442" s="38"/>
      <c r="M442" s="38"/>
      <c r="N442" s="38"/>
      <c r="O442" s="938"/>
      <c r="P442" s="13"/>
      <c r="Q442" s="19"/>
      <c r="R442" s="19"/>
      <c r="S442" s="19"/>
      <c r="T442" s="19"/>
      <c r="U442" s="19"/>
      <c r="V442" s="19"/>
      <c r="W442" s="19"/>
      <c r="X442" s="19"/>
      <c r="Y442" s="19"/>
      <c r="Z442" s="19"/>
      <c r="AA442" s="19"/>
      <c r="AB442" s="19"/>
      <c r="AC442" s="19"/>
      <c r="AD442" s="19"/>
    </row>
    <row r="443" spans="1:30" ht="14.1" hidden="1" customHeight="1" outlineLevel="1" x14ac:dyDescent="0.2">
      <c r="A443" s="190"/>
      <c r="B443" s="19"/>
      <c r="C443" s="165"/>
      <c r="D443" s="57" t="s">
        <v>665</v>
      </c>
      <c r="E443" s="939">
        <v>1</v>
      </c>
      <c r="F443" s="939">
        <v>1</v>
      </c>
      <c r="G443" s="939">
        <v>1</v>
      </c>
      <c r="H443" s="939">
        <v>1</v>
      </c>
      <c r="I443" s="939">
        <v>1</v>
      </c>
      <c r="J443" s="939">
        <v>1</v>
      </c>
      <c r="K443" s="939">
        <v>1</v>
      </c>
      <c r="L443" s="939">
        <v>1</v>
      </c>
      <c r="M443" s="939">
        <v>1</v>
      </c>
      <c r="N443" s="939">
        <v>1</v>
      </c>
      <c r="O443" s="271"/>
      <c r="P443" s="13"/>
      <c r="Q443" s="19"/>
      <c r="R443" s="19"/>
      <c r="S443" s="19"/>
      <c r="T443" s="19"/>
      <c r="U443" s="19"/>
      <c r="V443" s="19"/>
      <c r="W443" s="19"/>
      <c r="X443" s="19"/>
      <c r="Y443" s="19"/>
      <c r="Z443" s="19"/>
      <c r="AA443" s="19"/>
      <c r="AB443" s="19"/>
      <c r="AC443" s="19"/>
      <c r="AD443" s="19"/>
    </row>
    <row r="444" spans="1:30" ht="14.1" hidden="1" customHeight="1" outlineLevel="1" x14ac:dyDescent="0.2">
      <c r="A444" s="190"/>
      <c r="B444" s="19"/>
      <c r="C444" s="165"/>
      <c r="D444" s="54" t="s">
        <v>717</v>
      </c>
      <c r="E444" s="927">
        <f t="shared" ref="E444:N444" si="190">SUM(E443*LocCRT)</f>
        <v>9</v>
      </c>
      <c r="F444" s="927">
        <f t="shared" si="190"/>
        <v>9</v>
      </c>
      <c r="G444" s="927">
        <f t="shared" si="190"/>
        <v>9</v>
      </c>
      <c r="H444" s="927">
        <f t="shared" si="190"/>
        <v>9</v>
      </c>
      <c r="I444" s="927">
        <f t="shared" si="190"/>
        <v>9</v>
      </c>
      <c r="J444" s="927">
        <f t="shared" si="190"/>
        <v>9</v>
      </c>
      <c r="K444" s="927">
        <f t="shared" si="190"/>
        <v>9</v>
      </c>
      <c r="L444" s="927">
        <f t="shared" si="190"/>
        <v>9</v>
      </c>
      <c r="M444" s="927">
        <f t="shared" si="190"/>
        <v>9</v>
      </c>
      <c r="N444" s="927">
        <f t="shared" si="190"/>
        <v>9</v>
      </c>
      <c r="O444" s="271"/>
      <c r="P444" s="13"/>
      <c r="Q444" s="19"/>
      <c r="R444" s="19"/>
      <c r="S444" s="19"/>
      <c r="T444" s="19"/>
      <c r="U444" s="19"/>
      <c r="V444" s="19"/>
      <c r="W444" s="19"/>
      <c r="X444" s="19"/>
      <c r="Y444" s="19"/>
      <c r="Z444" s="19"/>
      <c r="AA444" s="19"/>
      <c r="AB444" s="19"/>
      <c r="AC444" s="19"/>
      <c r="AD444" s="19"/>
    </row>
    <row r="445" spans="1:30" s="7" customFormat="1" ht="14.1" hidden="1" customHeight="1" outlineLevel="1" x14ac:dyDescent="0.2">
      <c r="A445" s="190"/>
      <c r="B445" s="24"/>
      <c r="C445" s="284"/>
      <c r="D445" s="27"/>
      <c r="E445" s="940"/>
      <c r="F445" s="940"/>
      <c r="G445" s="940"/>
      <c r="H445" s="940"/>
      <c r="I445" s="940"/>
      <c r="J445" s="940"/>
      <c r="K445" s="940"/>
      <c r="L445" s="940"/>
      <c r="M445" s="940"/>
      <c r="N445" s="940"/>
      <c r="O445" s="289"/>
      <c r="P445" s="50"/>
      <c r="Q445" s="24"/>
      <c r="R445" s="24"/>
      <c r="S445" s="24"/>
      <c r="T445" s="24"/>
      <c r="U445" s="24"/>
      <c r="V445" s="24"/>
      <c r="W445" s="24"/>
      <c r="X445" s="24"/>
      <c r="Y445" s="24"/>
      <c r="Z445" s="24"/>
      <c r="AA445" s="24"/>
      <c r="AB445" s="24"/>
      <c r="AC445" s="24"/>
      <c r="AD445" s="24"/>
    </row>
    <row r="446" spans="1:30" s="7" customFormat="1" ht="14.1" hidden="1" customHeight="1" outlineLevel="1" x14ac:dyDescent="0.2">
      <c r="A446" s="190"/>
      <c r="B446" s="24"/>
      <c r="C446" s="165"/>
      <c r="D446" s="57" t="s">
        <v>721</v>
      </c>
      <c r="E446" s="939">
        <v>1</v>
      </c>
      <c r="F446" s="939">
        <v>1</v>
      </c>
      <c r="G446" s="939">
        <v>1</v>
      </c>
      <c r="H446" s="939">
        <v>1</v>
      </c>
      <c r="I446" s="939">
        <v>1</v>
      </c>
      <c r="J446" s="939">
        <v>1</v>
      </c>
      <c r="K446" s="939">
        <v>1</v>
      </c>
      <c r="L446" s="939">
        <v>1</v>
      </c>
      <c r="M446" s="939">
        <v>1</v>
      </c>
      <c r="N446" s="939">
        <v>1</v>
      </c>
      <c r="O446" s="941"/>
      <c r="P446" s="50"/>
      <c r="Q446" s="24"/>
      <c r="R446" s="24"/>
      <c r="S446" s="24"/>
      <c r="T446" s="24"/>
      <c r="U446" s="24"/>
      <c r="V446" s="24"/>
      <c r="W446" s="24"/>
      <c r="X446" s="24"/>
      <c r="Y446" s="24"/>
      <c r="Z446" s="24"/>
      <c r="AA446" s="24"/>
      <c r="AB446" s="24"/>
      <c r="AC446" s="24"/>
      <c r="AD446" s="24"/>
    </row>
    <row r="447" spans="1:30" ht="14.1" hidden="1" customHeight="1" outlineLevel="1" x14ac:dyDescent="0.2">
      <c r="A447" s="190"/>
      <c r="B447" s="19"/>
      <c r="C447" s="165"/>
      <c r="D447" s="54" t="s">
        <v>63</v>
      </c>
      <c r="E447" s="927">
        <f t="shared" ref="E447:N447" si="191">SUM(E446*LocSCL)</f>
        <v>8</v>
      </c>
      <c r="F447" s="927">
        <f t="shared" si="191"/>
        <v>9</v>
      </c>
      <c r="G447" s="927">
        <f t="shared" si="191"/>
        <v>9</v>
      </c>
      <c r="H447" s="927">
        <f t="shared" si="191"/>
        <v>9</v>
      </c>
      <c r="I447" s="927">
        <f t="shared" si="191"/>
        <v>9</v>
      </c>
      <c r="J447" s="927">
        <f t="shared" si="191"/>
        <v>9</v>
      </c>
      <c r="K447" s="927">
        <f t="shared" si="191"/>
        <v>9</v>
      </c>
      <c r="L447" s="927">
        <f t="shared" si="191"/>
        <v>9</v>
      </c>
      <c r="M447" s="927">
        <f t="shared" si="191"/>
        <v>9</v>
      </c>
      <c r="N447" s="927">
        <f t="shared" si="191"/>
        <v>9</v>
      </c>
      <c r="O447" s="938"/>
      <c r="P447" s="13"/>
      <c r="Q447" s="19"/>
      <c r="R447" s="19"/>
      <c r="S447" s="19"/>
      <c r="T447" s="19"/>
      <c r="U447" s="19"/>
      <c r="V447" s="19"/>
      <c r="W447" s="19"/>
      <c r="X447" s="19"/>
      <c r="Y447" s="19"/>
      <c r="Z447" s="19"/>
      <c r="AA447" s="19"/>
      <c r="AB447" s="19"/>
      <c r="AC447" s="19"/>
      <c r="AD447" s="19"/>
    </row>
    <row r="448" spans="1:30" s="7" customFormat="1" ht="14.1" hidden="1" customHeight="1" outlineLevel="1" x14ac:dyDescent="0.2">
      <c r="A448" s="190"/>
      <c r="B448" s="24"/>
      <c r="C448" s="284"/>
      <c r="D448" s="27"/>
      <c r="E448" s="940"/>
      <c r="F448" s="940"/>
      <c r="G448" s="940"/>
      <c r="H448" s="940"/>
      <c r="I448" s="940"/>
      <c r="J448" s="940"/>
      <c r="K448" s="940"/>
      <c r="L448" s="940"/>
      <c r="M448" s="940"/>
      <c r="N448" s="940"/>
      <c r="O448" s="289"/>
      <c r="P448" s="50"/>
      <c r="Q448" s="24"/>
      <c r="R448" s="24"/>
      <c r="S448" s="24"/>
      <c r="T448" s="24"/>
      <c r="U448" s="24"/>
      <c r="V448" s="24"/>
      <c r="W448" s="24"/>
      <c r="X448" s="24"/>
      <c r="Y448" s="24"/>
      <c r="Z448" s="24"/>
      <c r="AA448" s="24"/>
      <c r="AB448" s="24"/>
      <c r="AC448" s="24"/>
      <c r="AD448" s="24"/>
    </row>
    <row r="449" spans="1:30" s="7" customFormat="1" ht="14.1" hidden="1" customHeight="1" outlineLevel="1" x14ac:dyDescent="0.2">
      <c r="A449" s="190"/>
      <c r="B449" s="24"/>
      <c r="C449" s="165"/>
      <c r="D449" s="57" t="s">
        <v>722</v>
      </c>
      <c r="E449" s="939">
        <v>1</v>
      </c>
      <c r="F449" s="939">
        <v>1</v>
      </c>
      <c r="G449" s="939">
        <v>1</v>
      </c>
      <c r="H449" s="939">
        <v>1</v>
      </c>
      <c r="I449" s="939">
        <v>1</v>
      </c>
      <c r="J449" s="939">
        <v>1</v>
      </c>
      <c r="K449" s="939">
        <v>1</v>
      </c>
      <c r="L449" s="939">
        <v>1</v>
      </c>
      <c r="M449" s="939">
        <v>1</v>
      </c>
      <c r="N449" s="939">
        <v>1</v>
      </c>
      <c r="O449" s="941"/>
      <c r="P449" s="50"/>
      <c r="Q449" s="24"/>
      <c r="R449" s="24"/>
      <c r="S449" s="24"/>
      <c r="T449" s="24"/>
      <c r="U449" s="24"/>
      <c r="V449" s="24"/>
      <c r="W449" s="24"/>
      <c r="X449" s="24"/>
      <c r="Y449" s="24"/>
      <c r="Z449" s="24"/>
      <c r="AA449" s="24"/>
      <c r="AB449" s="24"/>
      <c r="AC449" s="24"/>
      <c r="AD449" s="24"/>
    </row>
    <row r="450" spans="1:30" ht="14.1" hidden="1" customHeight="1" outlineLevel="1" x14ac:dyDescent="0.2">
      <c r="A450" s="190"/>
      <c r="B450" s="19"/>
      <c r="C450" s="165"/>
      <c r="D450" s="54" t="s">
        <v>718</v>
      </c>
      <c r="E450" s="927">
        <f t="shared" ref="E450:N450" si="192">SUM(E449*LocQSC)</f>
        <v>1</v>
      </c>
      <c r="F450" s="927">
        <f t="shared" si="192"/>
        <v>1</v>
      </c>
      <c r="G450" s="927">
        <f t="shared" si="192"/>
        <v>1</v>
      </c>
      <c r="H450" s="927">
        <f t="shared" si="192"/>
        <v>1</v>
      </c>
      <c r="I450" s="927">
        <f t="shared" si="192"/>
        <v>1</v>
      </c>
      <c r="J450" s="927">
        <f t="shared" si="192"/>
        <v>1</v>
      </c>
      <c r="K450" s="927">
        <f t="shared" si="192"/>
        <v>1</v>
      </c>
      <c r="L450" s="927">
        <f t="shared" si="192"/>
        <v>1</v>
      </c>
      <c r="M450" s="927">
        <f t="shared" si="192"/>
        <v>1</v>
      </c>
      <c r="N450" s="927">
        <f t="shared" si="192"/>
        <v>1</v>
      </c>
      <c r="O450" s="938"/>
      <c r="P450" s="13"/>
      <c r="Q450" s="19"/>
      <c r="R450" s="19"/>
      <c r="S450" s="19"/>
      <c r="T450" s="19"/>
      <c r="U450" s="19"/>
      <c r="V450" s="19"/>
      <c r="W450" s="19"/>
      <c r="X450" s="19"/>
      <c r="Y450" s="19"/>
      <c r="Z450" s="19"/>
      <c r="AA450" s="19"/>
      <c r="AB450" s="19"/>
      <c r="AC450" s="19"/>
      <c r="AD450" s="19"/>
    </row>
    <row r="451" spans="1:30" s="7" customFormat="1" ht="14.1" hidden="1" customHeight="1" outlineLevel="1" x14ac:dyDescent="0.2">
      <c r="A451" s="190"/>
      <c r="B451" s="24"/>
      <c r="C451" s="284"/>
      <c r="D451" s="27"/>
      <c r="E451" s="940"/>
      <c r="F451" s="940"/>
      <c r="G451" s="940"/>
      <c r="H451" s="940"/>
      <c r="I451" s="940"/>
      <c r="J451" s="940"/>
      <c r="K451" s="940"/>
      <c r="L451" s="940"/>
      <c r="M451" s="940"/>
      <c r="N451" s="940"/>
      <c r="O451" s="289"/>
      <c r="P451" s="50"/>
      <c r="Q451" s="24"/>
      <c r="R451" s="24"/>
      <c r="S451" s="24"/>
      <c r="T451" s="24"/>
      <c r="U451" s="24"/>
      <c r="V451" s="24"/>
      <c r="W451" s="24"/>
      <c r="X451" s="24"/>
      <c r="Y451" s="24"/>
      <c r="Z451" s="24"/>
      <c r="AA451" s="24"/>
      <c r="AB451" s="24"/>
      <c r="AC451" s="24"/>
      <c r="AD451" s="24"/>
    </row>
    <row r="452" spans="1:30" s="7" customFormat="1" ht="14.1" hidden="1" customHeight="1" outlineLevel="1" x14ac:dyDescent="0.2">
      <c r="A452" s="190"/>
      <c r="B452" s="24"/>
      <c r="C452" s="165"/>
      <c r="D452" s="57" t="s">
        <v>719</v>
      </c>
      <c r="E452" s="939">
        <v>1</v>
      </c>
      <c r="F452" s="939">
        <v>1</v>
      </c>
      <c r="G452" s="939">
        <v>1</v>
      </c>
      <c r="H452" s="939">
        <v>1</v>
      </c>
      <c r="I452" s="939">
        <v>1</v>
      </c>
      <c r="J452" s="939">
        <v>1</v>
      </c>
      <c r="K452" s="939">
        <v>1</v>
      </c>
      <c r="L452" s="939">
        <v>1</v>
      </c>
      <c r="M452" s="939">
        <v>1</v>
      </c>
      <c r="N452" s="939">
        <v>1</v>
      </c>
      <c r="O452" s="941"/>
      <c r="P452" s="50"/>
      <c r="Q452" s="24"/>
      <c r="R452" s="24"/>
      <c r="S452" s="24"/>
      <c r="T452" s="24"/>
      <c r="U452" s="24"/>
      <c r="V452" s="24"/>
      <c r="W452" s="24"/>
      <c r="X452" s="24"/>
      <c r="Y452" s="24"/>
      <c r="Z452" s="24"/>
      <c r="AA452" s="24"/>
      <c r="AB452" s="24"/>
      <c r="AC452" s="24"/>
      <c r="AD452" s="24"/>
    </row>
    <row r="453" spans="1:30" ht="14.1" hidden="1" customHeight="1" outlineLevel="1" x14ac:dyDescent="0.2">
      <c r="A453" s="190"/>
      <c r="B453" s="19"/>
      <c r="C453" s="165"/>
      <c r="D453" s="54" t="s">
        <v>720</v>
      </c>
      <c r="E453" s="927">
        <f t="shared" ref="E453:N453" si="193">SUM(E452*LocEM)</f>
        <v>2</v>
      </c>
      <c r="F453" s="927">
        <f t="shared" si="193"/>
        <v>2</v>
      </c>
      <c r="G453" s="927">
        <f t="shared" si="193"/>
        <v>2</v>
      </c>
      <c r="H453" s="927">
        <f t="shared" si="193"/>
        <v>2</v>
      </c>
      <c r="I453" s="927">
        <f t="shared" si="193"/>
        <v>2</v>
      </c>
      <c r="J453" s="927">
        <f t="shared" si="193"/>
        <v>2</v>
      </c>
      <c r="K453" s="927">
        <f t="shared" si="193"/>
        <v>2</v>
      </c>
      <c r="L453" s="927">
        <f t="shared" si="193"/>
        <v>2</v>
      </c>
      <c r="M453" s="927">
        <f t="shared" si="193"/>
        <v>2</v>
      </c>
      <c r="N453" s="927">
        <f t="shared" si="193"/>
        <v>2</v>
      </c>
      <c r="O453" s="938"/>
      <c r="P453" s="13"/>
      <c r="Q453" s="19"/>
      <c r="R453" s="19"/>
      <c r="S453" s="19"/>
      <c r="T453" s="19"/>
      <c r="U453" s="19"/>
      <c r="V453" s="19"/>
      <c r="W453" s="19"/>
      <c r="X453" s="19"/>
      <c r="Y453" s="19"/>
      <c r="Z453" s="19"/>
      <c r="AA453" s="19"/>
      <c r="AB453" s="19"/>
      <c r="AC453" s="19"/>
      <c r="AD453" s="19"/>
    </row>
    <row r="454" spans="1:30" s="7" customFormat="1" ht="14.1" hidden="1" customHeight="1" outlineLevel="1" x14ac:dyDescent="0.2">
      <c r="A454" s="190"/>
      <c r="B454" s="24"/>
      <c r="C454" s="284"/>
      <c r="D454" s="27"/>
      <c r="E454" s="940"/>
      <c r="F454" s="940"/>
      <c r="G454" s="940"/>
      <c r="H454" s="940"/>
      <c r="I454" s="940"/>
      <c r="J454" s="940"/>
      <c r="K454" s="940"/>
      <c r="L454" s="940"/>
      <c r="M454" s="940"/>
      <c r="N454" s="940"/>
      <c r="O454" s="289"/>
      <c r="P454" s="50"/>
      <c r="Q454" s="24"/>
      <c r="R454" s="24"/>
      <c r="S454" s="24"/>
      <c r="T454" s="24"/>
      <c r="U454" s="24"/>
      <c r="V454" s="24"/>
      <c r="W454" s="24"/>
      <c r="X454" s="24"/>
      <c r="Y454" s="24"/>
      <c r="Z454" s="24"/>
      <c r="AA454" s="24"/>
      <c r="AB454" s="24"/>
      <c r="AC454" s="24"/>
      <c r="AD454" s="24"/>
    </row>
    <row r="455" spans="1:30" s="7" customFormat="1" ht="14.1" hidden="1" customHeight="1" outlineLevel="1" x14ac:dyDescent="0.2">
      <c r="A455" s="190"/>
      <c r="B455" s="24"/>
      <c r="C455" s="165"/>
      <c r="D455" s="57" t="s">
        <v>723</v>
      </c>
      <c r="E455" s="939">
        <v>1</v>
      </c>
      <c r="F455" s="939">
        <v>1</v>
      </c>
      <c r="G455" s="939">
        <v>1</v>
      </c>
      <c r="H455" s="939">
        <v>1</v>
      </c>
      <c r="I455" s="939">
        <v>1</v>
      </c>
      <c r="J455" s="939">
        <v>1</v>
      </c>
      <c r="K455" s="939">
        <v>1</v>
      </c>
      <c r="L455" s="939">
        <v>1</v>
      </c>
      <c r="M455" s="939">
        <v>1</v>
      </c>
      <c r="N455" s="939">
        <v>1</v>
      </c>
      <c r="O455" s="941"/>
      <c r="P455" s="50"/>
      <c r="Q455" s="24"/>
      <c r="R455" s="24"/>
      <c r="S455" s="24"/>
      <c r="T455" s="24"/>
      <c r="U455" s="24"/>
      <c r="V455" s="24"/>
      <c r="W455" s="24"/>
      <c r="X455" s="24"/>
      <c r="Y455" s="24"/>
      <c r="Z455" s="24"/>
      <c r="AA455" s="24"/>
      <c r="AB455" s="24"/>
      <c r="AC455" s="24"/>
      <c r="AD455" s="24"/>
    </row>
    <row r="456" spans="1:30" ht="14.1" hidden="1" customHeight="1" outlineLevel="1" x14ac:dyDescent="0.2">
      <c r="A456" s="190"/>
      <c r="B456" s="19"/>
      <c r="C456" s="165"/>
      <c r="D456" s="54" t="s">
        <v>724</v>
      </c>
      <c r="E456" s="927">
        <f t="shared" ref="E456:N456" si="194">SUM(E455*LocCM)</f>
        <v>3</v>
      </c>
      <c r="F456" s="927">
        <f t="shared" si="194"/>
        <v>3</v>
      </c>
      <c r="G456" s="927">
        <f t="shared" si="194"/>
        <v>3</v>
      </c>
      <c r="H456" s="927">
        <f t="shared" si="194"/>
        <v>3</v>
      </c>
      <c r="I456" s="927">
        <f t="shared" si="194"/>
        <v>3</v>
      </c>
      <c r="J456" s="927">
        <f t="shared" si="194"/>
        <v>3</v>
      </c>
      <c r="K456" s="927">
        <f t="shared" si="194"/>
        <v>3</v>
      </c>
      <c r="L456" s="927">
        <f t="shared" si="194"/>
        <v>3</v>
      </c>
      <c r="M456" s="927">
        <f t="shared" si="194"/>
        <v>3</v>
      </c>
      <c r="N456" s="927">
        <f t="shared" si="194"/>
        <v>3</v>
      </c>
      <c r="O456" s="938"/>
      <c r="P456" s="13"/>
      <c r="Q456" s="19"/>
      <c r="R456" s="19"/>
      <c r="S456" s="19"/>
      <c r="T456" s="19"/>
      <c r="U456" s="19"/>
      <c r="V456" s="19"/>
      <c r="W456" s="19"/>
      <c r="X456" s="19"/>
      <c r="Y456" s="19"/>
      <c r="Z456" s="19"/>
      <c r="AA456" s="19"/>
      <c r="AB456" s="19"/>
      <c r="AC456" s="19"/>
      <c r="AD456" s="19"/>
    </row>
    <row r="457" spans="1:30" s="7" customFormat="1" ht="14.1" hidden="1" customHeight="1" outlineLevel="1" x14ac:dyDescent="0.2">
      <c r="A457" s="190"/>
      <c r="B457" s="24"/>
      <c r="C457" s="284"/>
      <c r="D457" s="27"/>
      <c r="E457" s="940"/>
      <c r="F457" s="940"/>
      <c r="G457" s="940"/>
      <c r="H457" s="940"/>
      <c r="I457" s="940"/>
      <c r="J457" s="940"/>
      <c r="K457" s="940"/>
      <c r="L457" s="940"/>
      <c r="M457" s="940"/>
      <c r="N457" s="940"/>
      <c r="O457" s="289"/>
      <c r="P457" s="50"/>
      <c r="Q457" s="24"/>
      <c r="R457" s="24"/>
      <c r="S457" s="24"/>
      <c r="T457" s="24"/>
      <c r="U457" s="24"/>
      <c r="V457" s="24"/>
      <c r="W457" s="24"/>
      <c r="X457" s="24"/>
      <c r="Y457" s="24"/>
      <c r="Z457" s="24"/>
      <c r="AA457" s="24"/>
      <c r="AB457" s="24"/>
      <c r="AC457" s="24"/>
      <c r="AD457" s="24"/>
    </row>
    <row r="458" spans="1:30" s="7" customFormat="1" ht="14.1" hidden="1" customHeight="1" outlineLevel="1" x14ac:dyDescent="0.2">
      <c r="A458" s="190"/>
      <c r="B458" s="24"/>
      <c r="C458" s="165"/>
      <c r="D458" s="57" t="s">
        <v>725</v>
      </c>
      <c r="E458" s="939">
        <v>1</v>
      </c>
      <c r="F458" s="939">
        <v>1</v>
      </c>
      <c r="G458" s="939">
        <v>1</v>
      </c>
      <c r="H458" s="939">
        <v>1</v>
      </c>
      <c r="I458" s="939">
        <v>1</v>
      </c>
      <c r="J458" s="939">
        <v>1</v>
      </c>
      <c r="K458" s="939">
        <v>1</v>
      </c>
      <c r="L458" s="939">
        <v>1</v>
      </c>
      <c r="M458" s="939">
        <v>1</v>
      </c>
      <c r="N458" s="939">
        <v>1</v>
      </c>
      <c r="O458" s="941"/>
      <c r="P458" s="50"/>
      <c r="Q458" s="24"/>
      <c r="R458" s="24"/>
      <c r="S458" s="24"/>
      <c r="T458" s="24"/>
      <c r="U458" s="24"/>
      <c r="V458" s="24"/>
      <c r="W458" s="24"/>
      <c r="X458" s="24"/>
      <c r="Y458" s="24"/>
      <c r="Z458" s="24"/>
      <c r="AA458" s="24"/>
      <c r="AB458" s="24"/>
      <c r="AC458" s="24"/>
      <c r="AD458" s="24"/>
    </row>
    <row r="459" spans="1:30" ht="14.1" hidden="1" customHeight="1" outlineLevel="1" x14ac:dyDescent="0.2">
      <c r="A459" s="190"/>
      <c r="B459" s="19"/>
      <c r="C459" s="165"/>
      <c r="D459" s="54" t="s">
        <v>726</v>
      </c>
      <c r="E459" s="927">
        <f t="shared" ref="E459:N459" si="195">SUM(E458*LocSMCS)</f>
        <v>3</v>
      </c>
      <c r="F459" s="927">
        <f t="shared" si="195"/>
        <v>3</v>
      </c>
      <c r="G459" s="927">
        <f t="shared" si="195"/>
        <v>3</v>
      </c>
      <c r="H459" s="927">
        <f t="shared" si="195"/>
        <v>3</v>
      </c>
      <c r="I459" s="927">
        <f t="shared" si="195"/>
        <v>3</v>
      </c>
      <c r="J459" s="927">
        <f t="shared" si="195"/>
        <v>3</v>
      </c>
      <c r="K459" s="927">
        <f t="shared" si="195"/>
        <v>3</v>
      </c>
      <c r="L459" s="927">
        <f t="shared" si="195"/>
        <v>3</v>
      </c>
      <c r="M459" s="927">
        <f t="shared" si="195"/>
        <v>3</v>
      </c>
      <c r="N459" s="927">
        <f t="shared" si="195"/>
        <v>3</v>
      </c>
      <c r="O459" s="938"/>
      <c r="P459" s="13"/>
      <c r="Q459" s="19"/>
      <c r="R459" s="19"/>
      <c r="S459" s="19"/>
      <c r="T459" s="19"/>
      <c r="U459" s="19"/>
      <c r="V459" s="19"/>
      <c r="W459" s="19"/>
      <c r="X459" s="19"/>
      <c r="Y459" s="19"/>
      <c r="Z459" s="19"/>
      <c r="AA459" s="19"/>
      <c r="AB459" s="19"/>
      <c r="AC459" s="19"/>
      <c r="AD459" s="19"/>
    </row>
    <row r="460" spans="1:30" s="7" customFormat="1" ht="14.1" hidden="1" customHeight="1" outlineLevel="1" x14ac:dyDescent="0.2">
      <c r="A460" s="190"/>
      <c r="B460" s="24"/>
      <c r="C460" s="284"/>
      <c r="D460" s="27"/>
      <c r="E460" s="940"/>
      <c r="F460" s="940"/>
      <c r="G460" s="940"/>
      <c r="H460" s="940"/>
      <c r="I460" s="940"/>
      <c r="J460" s="940"/>
      <c r="K460" s="940"/>
      <c r="L460" s="940"/>
      <c r="M460" s="940"/>
      <c r="N460" s="940"/>
      <c r="O460" s="289"/>
      <c r="P460" s="50"/>
      <c r="Q460" s="24"/>
      <c r="R460" s="24"/>
      <c r="S460" s="24"/>
      <c r="T460" s="24"/>
      <c r="U460" s="24"/>
      <c r="V460" s="24"/>
      <c r="W460" s="24"/>
      <c r="X460" s="24"/>
      <c r="Y460" s="24"/>
      <c r="Z460" s="24"/>
      <c r="AA460" s="24"/>
      <c r="AB460" s="24"/>
      <c r="AC460" s="24"/>
      <c r="AD460" s="24"/>
    </row>
    <row r="461" spans="1:30" s="7" customFormat="1" ht="14.1" hidden="1" customHeight="1" outlineLevel="1" x14ac:dyDescent="0.2">
      <c r="A461" s="190"/>
      <c r="B461" s="24"/>
      <c r="C461" s="165"/>
      <c r="D461" s="57" t="s">
        <v>727</v>
      </c>
      <c r="E461" s="939">
        <v>1</v>
      </c>
      <c r="F461" s="939">
        <v>1</v>
      </c>
      <c r="G461" s="939">
        <v>1</v>
      </c>
      <c r="H461" s="939">
        <v>1</v>
      </c>
      <c r="I461" s="939">
        <v>1</v>
      </c>
      <c r="J461" s="939">
        <v>1</v>
      </c>
      <c r="K461" s="939">
        <v>1</v>
      </c>
      <c r="L461" s="939">
        <v>1</v>
      </c>
      <c r="M461" s="939">
        <v>1</v>
      </c>
      <c r="N461" s="939">
        <v>1</v>
      </c>
      <c r="O461" s="941"/>
      <c r="P461" s="50"/>
      <c r="Q461" s="24"/>
      <c r="R461" s="24"/>
      <c r="S461" s="24"/>
      <c r="T461" s="24"/>
      <c r="U461" s="24"/>
      <c r="V461" s="24"/>
      <c r="W461" s="24"/>
      <c r="X461" s="24"/>
      <c r="Y461" s="24"/>
      <c r="Z461" s="24"/>
      <c r="AA461" s="24"/>
      <c r="AB461" s="24"/>
      <c r="AC461" s="24"/>
      <c r="AD461" s="24"/>
    </row>
    <row r="462" spans="1:30" ht="14.1" hidden="1" customHeight="1" outlineLevel="1" x14ac:dyDescent="0.2">
      <c r="A462" s="190"/>
      <c r="B462" s="19"/>
      <c r="C462" s="165"/>
      <c r="D462" s="54" t="s">
        <v>728</v>
      </c>
      <c r="E462" s="927">
        <f t="shared" ref="E462:N462" si="196">SUM(E461*LocO1)</f>
        <v>3</v>
      </c>
      <c r="F462" s="927">
        <f t="shared" si="196"/>
        <v>3</v>
      </c>
      <c r="G462" s="927">
        <f t="shared" si="196"/>
        <v>3</v>
      </c>
      <c r="H462" s="927">
        <f t="shared" si="196"/>
        <v>3</v>
      </c>
      <c r="I462" s="927">
        <f t="shared" si="196"/>
        <v>3</v>
      </c>
      <c r="J462" s="927">
        <f t="shared" si="196"/>
        <v>3</v>
      </c>
      <c r="K462" s="927">
        <f t="shared" si="196"/>
        <v>3</v>
      </c>
      <c r="L462" s="927">
        <f t="shared" si="196"/>
        <v>3</v>
      </c>
      <c r="M462" s="927">
        <f t="shared" si="196"/>
        <v>3</v>
      </c>
      <c r="N462" s="927">
        <f t="shared" si="196"/>
        <v>3</v>
      </c>
      <c r="O462" s="938"/>
      <c r="P462" s="13"/>
      <c r="Q462" s="19"/>
      <c r="R462" s="19"/>
      <c r="S462" s="19"/>
      <c r="T462" s="19"/>
      <c r="U462" s="19"/>
      <c r="V462" s="19"/>
      <c r="W462" s="19"/>
      <c r="X462" s="19"/>
      <c r="Y462" s="19"/>
      <c r="Z462" s="19"/>
      <c r="AA462" s="19"/>
      <c r="AB462" s="19"/>
      <c r="AC462" s="19"/>
      <c r="AD462" s="19"/>
    </row>
    <row r="463" spans="1:30" s="7" customFormat="1" ht="14.1" hidden="1" customHeight="1" outlineLevel="1" x14ac:dyDescent="0.2">
      <c r="A463" s="190"/>
      <c r="B463" s="24"/>
      <c r="C463" s="284"/>
      <c r="D463" s="27"/>
      <c r="E463" s="940"/>
      <c r="F463" s="940"/>
      <c r="G463" s="940"/>
      <c r="H463" s="940"/>
      <c r="I463" s="940"/>
      <c r="J463" s="940"/>
      <c r="K463" s="940"/>
      <c r="L463" s="940"/>
      <c r="M463" s="940"/>
      <c r="N463" s="940"/>
      <c r="O463" s="289"/>
      <c r="P463" s="50"/>
      <c r="Q463" s="24"/>
      <c r="R463" s="24"/>
      <c r="S463" s="24"/>
      <c r="T463" s="24"/>
      <c r="U463" s="24"/>
      <c r="V463" s="24"/>
      <c r="W463" s="24"/>
      <c r="X463" s="24"/>
      <c r="Y463" s="24"/>
      <c r="Z463" s="24"/>
      <c r="AA463" s="24"/>
      <c r="AB463" s="24"/>
      <c r="AC463" s="24"/>
      <c r="AD463" s="24"/>
    </row>
    <row r="464" spans="1:30" s="7" customFormat="1" ht="14.1" hidden="1" customHeight="1" outlineLevel="1" x14ac:dyDescent="0.2">
      <c r="A464" s="190"/>
      <c r="B464" s="24"/>
      <c r="C464" s="165"/>
      <c r="D464" s="57" t="s">
        <v>729</v>
      </c>
      <c r="E464" s="939">
        <v>1</v>
      </c>
      <c r="F464" s="939">
        <v>1</v>
      </c>
      <c r="G464" s="939">
        <v>1</v>
      </c>
      <c r="H464" s="939">
        <v>1</v>
      </c>
      <c r="I464" s="939">
        <v>1</v>
      </c>
      <c r="J464" s="939">
        <v>1</v>
      </c>
      <c r="K464" s="939">
        <v>1</v>
      </c>
      <c r="L464" s="939">
        <v>1</v>
      </c>
      <c r="M464" s="939">
        <v>1</v>
      </c>
      <c r="N464" s="939">
        <v>1</v>
      </c>
      <c r="O464" s="941"/>
      <c r="P464" s="50"/>
      <c r="Q464" s="24"/>
      <c r="R464" s="24"/>
      <c r="S464" s="24"/>
      <c r="T464" s="24"/>
      <c r="U464" s="24"/>
      <c r="V464" s="24"/>
      <c r="W464" s="24"/>
      <c r="X464" s="24"/>
      <c r="Y464" s="24"/>
      <c r="Z464" s="24"/>
      <c r="AA464" s="24"/>
      <c r="AB464" s="24"/>
      <c r="AC464" s="24"/>
      <c r="AD464" s="24"/>
    </row>
    <row r="465" spans="1:30" ht="14.1" hidden="1" customHeight="1" outlineLevel="1" x14ac:dyDescent="0.2">
      <c r="A465" s="190"/>
      <c r="B465" s="19"/>
      <c r="C465" s="165"/>
      <c r="D465" s="54" t="s">
        <v>730</v>
      </c>
      <c r="E465" s="927">
        <f t="shared" ref="E465:N465" si="197">SUM(E464*LocO2)</f>
        <v>3</v>
      </c>
      <c r="F465" s="927">
        <f t="shared" si="197"/>
        <v>3</v>
      </c>
      <c r="G465" s="927">
        <f t="shared" si="197"/>
        <v>3</v>
      </c>
      <c r="H465" s="927">
        <f t="shared" si="197"/>
        <v>3</v>
      </c>
      <c r="I465" s="927">
        <f t="shared" si="197"/>
        <v>3</v>
      </c>
      <c r="J465" s="927">
        <f t="shared" si="197"/>
        <v>3</v>
      </c>
      <c r="K465" s="927">
        <f t="shared" si="197"/>
        <v>3</v>
      </c>
      <c r="L465" s="927">
        <f t="shared" si="197"/>
        <v>3</v>
      </c>
      <c r="M465" s="927">
        <f t="shared" si="197"/>
        <v>3</v>
      </c>
      <c r="N465" s="927">
        <f t="shared" si="197"/>
        <v>3</v>
      </c>
      <c r="O465" s="938"/>
      <c r="P465" s="13"/>
      <c r="Q465" s="19"/>
      <c r="R465" s="19"/>
      <c r="S465" s="19"/>
      <c r="T465" s="19"/>
      <c r="U465" s="19"/>
      <c r="V465" s="19"/>
      <c r="W465" s="19"/>
      <c r="X465" s="19"/>
      <c r="Y465" s="19"/>
      <c r="Z465" s="19"/>
      <c r="AA465" s="19"/>
      <c r="AB465" s="19"/>
      <c r="AC465" s="19"/>
      <c r="AD465" s="19"/>
    </row>
    <row r="466" spans="1:30" ht="14.1" hidden="1" customHeight="1" outlineLevel="1" x14ac:dyDescent="0.2">
      <c r="A466" s="190"/>
      <c r="B466" s="19"/>
      <c r="C466" s="290"/>
      <c r="D466" s="38"/>
      <c r="E466" s="38"/>
      <c r="F466" s="38"/>
      <c r="G466" s="38"/>
      <c r="H466" s="13"/>
      <c r="I466" s="13"/>
      <c r="J466" s="13"/>
      <c r="K466" s="13"/>
      <c r="L466" s="13"/>
      <c r="M466" s="13"/>
      <c r="N466" s="13"/>
      <c r="O466" s="897"/>
      <c r="P466" s="13"/>
      <c r="Q466" s="19"/>
      <c r="R466" s="19"/>
      <c r="S466" s="19"/>
      <c r="T466" s="19"/>
      <c r="U466" s="19"/>
      <c r="V466" s="19"/>
      <c r="W466" s="19"/>
      <c r="X466" s="19"/>
      <c r="Y466" s="19"/>
      <c r="Z466" s="19"/>
      <c r="AA466" s="19"/>
      <c r="AB466" s="19"/>
      <c r="AC466" s="19"/>
      <c r="AD466" s="19"/>
    </row>
    <row r="467" spans="1:30" ht="14.1" hidden="1" customHeight="1" outlineLevel="1" x14ac:dyDescent="0.2">
      <c r="A467" s="190"/>
      <c r="B467" s="19"/>
      <c r="C467" s="270"/>
      <c r="D467" s="921" t="s">
        <v>731</v>
      </c>
      <c r="E467" s="292">
        <f t="shared" ref="E467:N467" si="198">SUM(E465+E462+E459+E456+E453+E450+E447+E444+E441+E435+E432+E429)*hSystemsPrintRoomArea_Each</f>
        <v>558</v>
      </c>
      <c r="F467" s="292">
        <f t="shared" si="198"/>
        <v>585</v>
      </c>
      <c r="G467" s="292">
        <f t="shared" si="198"/>
        <v>585</v>
      </c>
      <c r="H467" s="292">
        <f t="shared" si="198"/>
        <v>585</v>
      </c>
      <c r="I467" s="292">
        <f t="shared" si="198"/>
        <v>585</v>
      </c>
      <c r="J467" s="292">
        <f t="shared" si="198"/>
        <v>585</v>
      </c>
      <c r="K467" s="292">
        <f t="shared" si="198"/>
        <v>585</v>
      </c>
      <c r="L467" s="292">
        <f t="shared" si="198"/>
        <v>585</v>
      </c>
      <c r="M467" s="292">
        <f t="shared" si="198"/>
        <v>585</v>
      </c>
      <c r="N467" s="292">
        <f t="shared" si="198"/>
        <v>585</v>
      </c>
      <c r="O467" s="257" t="s">
        <v>732</v>
      </c>
      <c r="P467" s="13"/>
      <c r="Q467" s="19"/>
      <c r="R467" s="19"/>
      <c r="S467" s="19"/>
      <c r="T467" s="19"/>
      <c r="U467" s="19"/>
      <c r="V467" s="19"/>
      <c r="W467" s="19"/>
      <c r="X467" s="19"/>
      <c r="Y467" s="19"/>
      <c r="Z467" s="19"/>
      <c r="AA467" s="19"/>
      <c r="AB467" s="19"/>
      <c r="AC467" s="19"/>
      <c r="AD467" s="19"/>
    </row>
    <row r="468" spans="1:30" s="7" customFormat="1" ht="13.5" hidden="1" customHeight="1" outlineLevel="1" thickBot="1" x14ac:dyDescent="0.25">
      <c r="A468" s="190"/>
      <c r="B468" s="19"/>
      <c r="C468" s="170"/>
      <c r="D468" s="929"/>
      <c r="E468" s="942"/>
      <c r="F468" s="942"/>
      <c r="G468" s="942"/>
      <c r="H468" s="942"/>
      <c r="I468" s="942"/>
      <c r="J468" s="942"/>
      <c r="K468" s="942"/>
      <c r="L468" s="942"/>
      <c r="M468" s="942"/>
      <c r="N468" s="942"/>
      <c r="O468" s="643"/>
      <c r="P468" s="50"/>
      <c r="Q468" s="24"/>
      <c r="R468" s="24"/>
      <c r="S468" s="24"/>
      <c r="T468" s="24"/>
      <c r="U468" s="24"/>
      <c r="V468" s="24"/>
      <c r="W468" s="24"/>
      <c r="X468" s="24"/>
      <c r="Y468" s="24"/>
      <c r="Z468" s="24"/>
      <c r="AA468" s="24"/>
      <c r="AB468" s="24"/>
      <c r="AC468" s="24"/>
      <c r="AD468" s="24"/>
    </row>
    <row r="469" spans="1:30" s="41" customFormat="1" ht="13.5" hidden="1" outlineLevel="1" thickBot="1" x14ac:dyDescent="0.25">
      <c r="A469" s="190"/>
      <c r="B469" s="19"/>
      <c r="C469" s="30"/>
      <c r="D469" s="30"/>
      <c r="E469" s="30"/>
      <c r="F469" s="30"/>
      <c r="G469" s="30"/>
      <c r="H469" s="30"/>
      <c r="I469" s="30"/>
      <c r="J469" s="30"/>
      <c r="K469" s="30"/>
      <c r="L469" s="30"/>
      <c r="M469" s="30"/>
      <c r="N469" s="30"/>
      <c r="O469" s="494"/>
      <c r="P469" s="38"/>
      <c r="Q469" s="38"/>
      <c r="R469" s="38"/>
      <c r="S469" s="38"/>
      <c r="T469" s="38"/>
      <c r="U469" s="38"/>
      <c r="V469" s="38"/>
      <c r="W469" s="38"/>
      <c r="X469" s="38"/>
      <c r="Y469" s="38"/>
      <c r="Z469" s="38"/>
      <c r="AA469" s="38"/>
      <c r="AB469" s="38"/>
      <c r="AC469" s="38"/>
      <c r="AD469" s="38"/>
    </row>
    <row r="470" spans="1:30" ht="20.100000000000001" hidden="1" customHeight="1" outlineLevel="1" x14ac:dyDescent="0.2">
      <c r="A470" s="190"/>
      <c r="B470" s="19"/>
      <c r="C470" s="933" t="str">
        <f>Scenario3&amp;" Print Room &amp; Paper Storage Area Required"</f>
        <v>eSystems (Paperless) Print Room &amp; Paper Storage Area Required</v>
      </c>
      <c r="D470" s="288"/>
      <c r="E470" s="288"/>
      <c r="F470" s="288"/>
      <c r="G470" s="288"/>
      <c r="H470" s="288"/>
      <c r="I470" s="288"/>
      <c r="J470" s="288"/>
      <c r="K470" s="288"/>
      <c r="L470" s="288"/>
      <c r="M470" s="288"/>
      <c r="N470" s="288"/>
      <c r="O470" s="909"/>
      <c r="P470" s="13"/>
      <c r="Q470" s="19"/>
      <c r="R470" s="19"/>
      <c r="S470" s="19"/>
      <c r="T470" s="19"/>
      <c r="U470" s="19"/>
      <c r="V470" s="19"/>
      <c r="W470" s="19"/>
      <c r="X470" s="19"/>
      <c r="Y470" s="19"/>
      <c r="Z470" s="19"/>
      <c r="AA470" s="19"/>
      <c r="AB470" s="19"/>
      <c r="AC470" s="19"/>
      <c r="AD470" s="19"/>
    </row>
    <row r="471" spans="1:30" ht="14.1" hidden="1" customHeight="1" outlineLevel="1" x14ac:dyDescent="0.2">
      <c r="A471" s="190"/>
      <c r="B471" s="19"/>
      <c r="C471" s="837"/>
      <c r="D471" s="59"/>
      <c r="E471" s="59"/>
      <c r="F471" s="59"/>
      <c r="G471" s="59"/>
      <c r="H471" s="59"/>
      <c r="I471" s="59"/>
      <c r="J471" s="59"/>
      <c r="K471" s="59"/>
      <c r="L471" s="59"/>
      <c r="M471" s="59"/>
      <c r="N471" s="59"/>
      <c r="O471" s="897"/>
      <c r="P471" s="13"/>
      <c r="Q471" s="19"/>
      <c r="R471" s="19"/>
      <c r="S471" s="19"/>
      <c r="T471" s="19"/>
      <c r="U471" s="19"/>
      <c r="V471" s="19"/>
      <c r="W471" s="19"/>
      <c r="X471" s="19"/>
      <c r="Y471" s="19"/>
      <c r="Z471" s="19"/>
      <c r="AA471" s="19"/>
      <c r="AB471" s="19"/>
      <c r="AC471" s="19"/>
      <c r="AD471" s="19"/>
    </row>
    <row r="472" spans="1:30" ht="14.1" hidden="1" customHeight="1" outlineLevel="1" x14ac:dyDescent="0.2">
      <c r="A472" s="190"/>
      <c r="B472" s="19"/>
      <c r="C472" s="165"/>
      <c r="D472" s="37" t="str">
        <f>"Print Room Area Required "&amp;(OfficeLeaseUnit)</f>
        <v>Print Room Area Required m2</v>
      </c>
      <c r="E472" s="519">
        <v>6</v>
      </c>
      <c r="F472" s="936">
        <v>6</v>
      </c>
      <c r="G472" s="519">
        <v>6</v>
      </c>
      <c r="H472" s="936">
        <v>6</v>
      </c>
      <c r="I472" s="519">
        <v>6</v>
      </c>
      <c r="J472" s="936">
        <v>6</v>
      </c>
      <c r="K472" s="519">
        <v>6</v>
      </c>
      <c r="L472" s="936">
        <v>6</v>
      </c>
      <c r="M472" s="519">
        <v>6</v>
      </c>
      <c r="N472" s="936">
        <v>6</v>
      </c>
      <c r="O472" s="257" t="s">
        <v>736</v>
      </c>
      <c r="P472" s="13"/>
      <c r="Q472" s="19"/>
      <c r="R472" s="19"/>
      <c r="S472" s="19"/>
      <c r="T472" s="19"/>
      <c r="U472" s="19"/>
      <c r="V472" s="19"/>
      <c r="W472" s="19"/>
      <c r="X472" s="19"/>
      <c r="Y472" s="19"/>
      <c r="Z472" s="19"/>
      <c r="AA472" s="19"/>
      <c r="AB472" s="19"/>
      <c r="AC472" s="19"/>
      <c r="AD472" s="19"/>
    </row>
    <row r="473" spans="1:30" ht="14.1" hidden="1" customHeight="1" outlineLevel="1" x14ac:dyDescent="0.2">
      <c r="A473" s="190"/>
      <c r="B473" s="19"/>
      <c r="C473" s="165"/>
      <c r="D473" s="833"/>
      <c r="E473" s="917"/>
      <c r="F473" s="917"/>
      <c r="G473" s="917"/>
      <c r="H473" s="13"/>
      <c r="I473" s="13"/>
      <c r="J473" s="13"/>
      <c r="K473" s="13"/>
      <c r="L473" s="13"/>
      <c r="M473" s="13"/>
      <c r="N473" s="13"/>
      <c r="O473" s="938"/>
      <c r="P473" s="13"/>
      <c r="Q473" s="19"/>
      <c r="R473" s="19"/>
      <c r="S473" s="19"/>
      <c r="T473" s="19"/>
      <c r="U473" s="19"/>
      <c r="V473" s="19"/>
      <c r="W473" s="19"/>
      <c r="X473" s="19"/>
      <c r="Y473" s="19"/>
      <c r="Z473" s="19"/>
      <c r="AA473" s="19"/>
      <c r="AB473" s="19"/>
      <c r="AC473" s="19"/>
      <c r="AD473" s="19"/>
    </row>
    <row r="474" spans="1:30" ht="14.1" hidden="1" customHeight="1" outlineLevel="1" x14ac:dyDescent="0.2">
      <c r="A474" s="190"/>
      <c r="B474" s="19"/>
      <c r="C474" s="165"/>
      <c r="D474" s="57" t="s">
        <v>48</v>
      </c>
      <c r="E474" s="939">
        <v>1</v>
      </c>
      <c r="F474" s="939">
        <v>1</v>
      </c>
      <c r="G474" s="939">
        <v>1</v>
      </c>
      <c r="H474" s="939">
        <v>1</v>
      </c>
      <c r="I474" s="939">
        <v>1</v>
      </c>
      <c r="J474" s="939">
        <v>1</v>
      </c>
      <c r="K474" s="939">
        <v>1</v>
      </c>
      <c r="L474" s="939">
        <v>1</v>
      </c>
      <c r="M474" s="939">
        <v>1</v>
      </c>
      <c r="N474" s="939">
        <v>1</v>
      </c>
      <c r="O474" s="938"/>
      <c r="P474" s="13"/>
      <c r="Q474" s="19"/>
      <c r="R474" s="19"/>
      <c r="S474" s="19"/>
      <c r="T474" s="19"/>
      <c r="U474" s="19"/>
      <c r="V474" s="19"/>
      <c r="W474" s="19"/>
      <c r="X474" s="19"/>
      <c r="Y474" s="19"/>
      <c r="Z474" s="19"/>
      <c r="AA474" s="19"/>
      <c r="AB474" s="19"/>
      <c r="AC474" s="19"/>
      <c r="AD474" s="19"/>
    </row>
    <row r="475" spans="1:30" ht="14.1" hidden="1" customHeight="1" outlineLevel="1" x14ac:dyDescent="0.2">
      <c r="A475" s="190"/>
      <c r="B475" s="19"/>
      <c r="C475" s="165"/>
      <c r="D475" s="54" t="s">
        <v>49</v>
      </c>
      <c r="E475" s="927">
        <f t="shared" ref="E475:N475" si="199">SUM(E474*LocTransit)</f>
        <v>19</v>
      </c>
      <c r="F475" s="927">
        <f t="shared" si="199"/>
        <v>20</v>
      </c>
      <c r="G475" s="927">
        <f t="shared" si="199"/>
        <v>20</v>
      </c>
      <c r="H475" s="927">
        <f t="shared" si="199"/>
        <v>20</v>
      </c>
      <c r="I475" s="927">
        <f t="shared" si="199"/>
        <v>20</v>
      </c>
      <c r="J475" s="927">
        <f t="shared" si="199"/>
        <v>20</v>
      </c>
      <c r="K475" s="927">
        <f t="shared" si="199"/>
        <v>20</v>
      </c>
      <c r="L475" s="927">
        <f t="shared" si="199"/>
        <v>20</v>
      </c>
      <c r="M475" s="927">
        <f t="shared" si="199"/>
        <v>20</v>
      </c>
      <c r="N475" s="927">
        <f t="shared" si="199"/>
        <v>20</v>
      </c>
      <c r="O475" s="938"/>
      <c r="P475" s="13"/>
      <c r="Q475" s="19"/>
      <c r="R475" s="19"/>
      <c r="S475" s="19"/>
      <c r="T475" s="19"/>
      <c r="U475" s="19"/>
      <c r="V475" s="19"/>
      <c r="W475" s="19"/>
      <c r="X475" s="19"/>
      <c r="Y475" s="19"/>
      <c r="Z475" s="19"/>
      <c r="AA475" s="19"/>
      <c r="AB475" s="19"/>
      <c r="AC475" s="19"/>
      <c r="AD475" s="19"/>
    </row>
    <row r="476" spans="1:30" ht="14.1" hidden="1" customHeight="1" outlineLevel="1" x14ac:dyDescent="0.2">
      <c r="A476" s="190"/>
      <c r="B476" s="19"/>
      <c r="C476" s="165"/>
      <c r="D476" s="54"/>
      <c r="E476" s="38"/>
      <c r="F476" s="38"/>
      <c r="G476" s="38"/>
      <c r="H476" s="38"/>
      <c r="I476" s="38"/>
      <c r="J476" s="38"/>
      <c r="K476" s="38"/>
      <c r="L476" s="38"/>
      <c r="M476" s="38"/>
      <c r="N476" s="38"/>
      <c r="O476" s="938"/>
      <c r="P476" s="13"/>
      <c r="Q476" s="19"/>
      <c r="R476" s="19"/>
      <c r="S476" s="19"/>
      <c r="T476" s="19"/>
      <c r="U476" s="19"/>
      <c r="V476" s="19"/>
      <c r="W476" s="19"/>
      <c r="X476" s="19"/>
      <c r="Y476" s="19"/>
      <c r="Z476" s="19"/>
      <c r="AA476" s="19"/>
      <c r="AB476" s="19"/>
      <c r="AC476" s="19"/>
      <c r="AD476" s="19"/>
    </row>
    <row r="477" spans="1:30" ht="14.1" hidden="1" customHeight="1" outlineLevel="1" x14ac:dyDescent="0.2">
      <c r="A477" s="190"/>
      <c r="B477" s="19"/>
      <c r="C477" s="165"/>
      <c r="D477" s="57" t="s">
        <v>50</v>
      </c>
      <c r="E477" s="939">
        <v>1</v>
      </c>
      <c r="F477" s="939">
        <v>1</v>
      </c>
      <c r="G477" s="939">
        <v>1</v>
      </c>
      <c r="H477" s="939">
        <v>1</v>
      </c>
      <c r="I477" s="939">
        <v>1</v>
      </c>
      <c r="J477" s="939">
        <v>1</v>
      </c>
      <c r="K477" s="939">
        <v>1</v>
      </c>
      <c r="L477" s="939">
        <v>1</v>
      </c>
      <c r="M477" s="939">
        <v>1</v>
      </c>
      <c r="N477" s="939">
        <v>1</v>
      </c>
      <c r="O477" s="938"/>
      <c r="P477" s="13"/>
      <c r="Q477" s="19"/>
      <c r="R477" s="19"/>
      <c r="S477" s="19"/>
      <c r="T477" s="19"/>
      <c r="U477" s="19"/>
      <c r="V477" s="19"/>
      <c r="W477" s="19"/>
      <c r="X477" s="19"/>
      <c r="Y477" s="19"/>
      <c r="Z477" s="19"/>
      <c r="AA477" s="19"/>
      <c r="AB477" s="19"/>
      <c r="AC477" s="19"/>
      <c r="AD477" s="19"/>
    </row>
    <row r="478" spans="1:30" ht="14.1" hidden="1" customHeight="1" outlineLevel="1" x14ac:dyDescent="0.2">
      <c r="A478" s="190"/>
      <c r="B478" s="19"/>
      <c r="C478" s="165"/>
      <c r="D478" s="54" t="s">
        <v>715</v>
      </c>
      <c r="E478" s="927">
        <f t="shared" ref="E478:N478" si="200">SUM(E477*LocLM)</f>
        <v>8</v>
      </c>
      <c r="F478" s="927">
        <f t="shared" si="200"/>
        <v>9</v>
      </c>
      <c r="G478" s="927">
        <f t="shared" si="200"/>
        <v>9</v>
      </c>
      <c r="H478" s="927">
        <f t="shared" si="200"/>
        <v>9</v>
      </c>
      <c r="I478" s="927">
        <f t="shared" si="200"/>
        <v>9</v>
      </c>
      <c r="J478" s="927">
        <f t="shared" si="200"/>
        <v>9</v>
      </c>
      <c r="K478" s="927">
        <f t="shared" si="200"/>
        <v>9</v>
      </c>
      <c r="L478" s="927">
        <f t="shared" si="200"/>
        <v>9</v>
      </c>
      <c r="M478" s="927">
        <f t="shared" si="200"/>
        <v>9</v>
      </c>
      <c r="N478" s="927">
        <f t="shared" si="200"/>
        <v>9</v>
      </c>
      <c r="O478" s="938"/>
      <c r="P478" s="13"/>
      <c r="Q478" s="19"/>
      <c r="R478" s="19"/>
      <c r="S478" s="19"/>
      <c r="T478" s="19"/>
      <c r="U478" s="19"/>
      <c r="V478" s="19"/>
      <c r="W478" s="19"/>
      <c r="X478" s="19"/>
      <c r="Y478" s="19"/>
      <c r="Z478" s="19"/>
      <c r="AA478" s="19"/>
      <c r="AB478" s="19"/>
      <c r="AC478" s="19"/>
      <c r="AD478" s="19"/>
    </row>
    <row r="479" spans="1:30" ht="14.1" hidden="1" customHeight="1" outlineLevel="1" x14ac:dyDescent="0.2">
      <c r="A479" s="190"/>
      <c r="B479" s="19"/>
      <c r="C479" s="165"/>
      <c r="D479" s="54"/>
      <c r="E479" s="38"/>
      <c r="F479" s="38"/>
      <c r="G479" s="38"/>
      <c r="H479" s="38"/>
      <c r="I479" s="38"/>
      <c r="J479" s="38"/>
      <c r="K479" s="38"/>
      <c r="L479" s="38"/>
      <c r="M479" s="38"/>
      <c r="N479" s="38"/>
      <c r="O479" s="938"/>
      <c r="P479" s="13"/>
      <c r="Q479" s="19"/>
      <c r="R479" s="19"/>
      <c r="S479" s="19"/>
      <c r="T479" s="19"/>
      <c r="U479" s="19"/>
      <c r="V479" s="19"/>
      <c r="W479" s="19"/>
      <c r="X479" s="19"/>
      <c r="Y479" s="19"/>
      <c r="Z479" s="19"/>
      <c r="AA479" s="19"/>
      <c r="AB479" s="19"/>
      <c r="AC479" s="19"/>
      <c r="AD479" s="19"/>
    </row>
    <row r="480" spans="1:30" ht="14.1" hidden="1" customHeight="1" outlineLevel="1" x14ac:dyDescent="0.2">
      <c r="A480" s="190"/>
      <c r="B480" s="19"/>
      <c r="C480" s="165"/>
      <c r="D480" s="57" t="s">
        <v>51</v>
      </c>
      <c r="E480" s="939">
        <v>2</v>
      </c>
      <c r="F480" s="939">
        <v>2</v>
      </c>
      <c r="G480" s="939">
        <v>2</v>
      </c>
      <c r="H480" s="939">
        <v>2</v>
      </c>
      <c r="I480" s="939">
        <v>2</v>
      </c>
      <c r="J480" s="939">
        <v>2</v>
      </c>
      <c r="K480" s="939">
        <v>2</v>
      </c>
      <c r="L480" s="939">
        <v>2</v>
      </c>
      <c r="M480" s="939">
        <v>2</v>
      </c>
      <c r="N480" s="939">
        <v>2</v>
      </c>
      <c r="O480" s="938"/>
      <c r="P480" s="13"/>
      <c r="Q480" s="19"/>
      <c r="R480" s="19"/>
      <c r="S480" s="19"/>
      <c r="T480" s="19"/>
      <c r="U480" s="19"/>
      <c r="V480" s="19"/>
      <c r="W480" s="19"/>
      <c r="X480" s="19"/>
      <c r="Y480" s="19"/>
      <c r="Z480" s="19"/>
      <c r="AA480" s="19"/>
      <c r="AB480" s="19"/>
      <c r="AC480" s="19"/>
      <c r="AD480" s="19"/>
    </row>
    <row r="481" spans="1:30" ht="14.1" hidden="1" customHeight="1" outlineLevel="1" x14ac:dyDescent="0.2">
      <c r="A481" s="190"/>
      <c r="B481" s="19"/>
      <c r="C481" s="165"/>
      <c r="D481" s="54" t="s">
        <v>716</v>
      </c>
      <c r="E481" s="927">
        <f t="shared" ref="E481:N481" si="201">SUM(E480*LocHM)</f>
        <v>2</v>
      </c>
      <c r="F481" s="927">
        <f t="shared" si="201"/>
        <v>2</v>
      </c>
      <c r="G481" s="927">
        <f t="shared" si="201"/>
        <v>2</v>
      </c>
      <c r="H481" s="927">
        <f t="shared" si="201"/>
        <v>2</v>
      </c>
      <c r="I481" s="927">
        <f t="shared" si="201"/>
        <v>2</v>
      </c>
      <c r="J481" s="927">
        <f t="shared" si="201"/>
        <v>2</v>
      </c>
      <c r="K481" s="927">
        <f t="shared" si="201"/>
        <v>2</v>
      </c>
      <c r="L481" s="927">
        <f t="shared" si="201"/>
        <v>2</v>
      </c>
      <c r="M481" s="927">
        <f t="shared" si="201"/>
        <v>2</v>
      </c>
      <c r="N481" s="927">
        <f t="shared" si="201"/>
        <v>2</v>
      </c>
      <c r="O481" s="938"/>
      <c r="P481" s="13"/>
      <c r="Q481" s="19"/>
      <c r="R481" s="19"/>
      <c r="S481" s="19"/>
      <c r="T481" s="19"/>
      <c r="U481" s="19"/>
      <c r="V481" s="19"/>
      <c r="W481" s="19"/>
      <c r="X481" s="19"/>
      <c r="Y481" s="19"/>
      <c r="Z481" s="19"/>
      <c r="AA481" s="19"/>
      <c r="AB481" s="19"/>
      <c r="AC481" s="19"/>
      <c r="AD481" s="19"/>
    </row>
    <row r="482" spans="1:30" ht="14.1" hidden="1" customHeight="1" outlineLevel="1" x14ac:dyDescent="0.2">
      <c r="A482" s="190"/>
      <c r="B482" s="19"/>
      <c r="C482" s="165"/>
      <c r="D482" s="54"/>
      <c r="E482" s="38"/>
      <c r="F482" s="38"/>
      <c r="G482" s="38"/>
      <c r="H482" s="38"/>
      <c r="I482" s="38"/>
      <c r="J482" s="38"/>
      <c r="K482" s="38"/>
      <c r="L482" s="38"/>
      <c r="M482" s="38"/>
      <c r="N482" s="38"/>
      <c r="O482" s="938"/>
      <c r="P482" s="13"/>
      <c r="Q482" s="19"/>
      <c r="R482" s="19"/>
      <c r="S482" s="19"/>
      <c r="T482" s="19"/>
      <c r="U482" s="19"/>
      <c r="V482" s="19"/>
      <c r="W482" s="19"/>
      <c r="X482" s="19"/>
      <c r="Y482" s="19"/>
      <c r="Z482" s="19"/>
      <c r="AA482" s="19"/>
      <c r="AB482" s="19"/>
      <c r="AC482" s="19"/>
      <c r="AD482" s="19"/>
    </row>
    <row r="483" spans="1:30" ht="14.1" hidden="1" customHeight="1" outlineLevel="1" x14ac:dyDescent="0.2">
      <c r="A483" s="190"/>
      <c r="B483" s="19"/>
      <c r="C483" s="165"/>
      <c r="D483" s="57" t="s">
        <v>991</v>
      </c>
      <c r="E483" s="939">
        <v>1</v>
      </c>
      <c r="F483" s="939">
        <v>1</v>
      </c>
      <c r="G483" s="939">
        <v>1</v>
      </c>
      <c r="H483" s="939">
        <v>1</v>
      </c>
      <c r="I483" s="939">
        <v>1</v>
      </c>
      <c r="J483" s="939">
        <v>1</v>
      </c>
      <c r="K483" s="939">
        <v>1</v>
      </c>
      <c r="L483" s="939">
        <v>1</v>
      </c>
      <c r="M483" s="939">
        <v>1</v>
      </c>
      <c r="N483" s="939">
        <v>1</v>
      </c>
      <c r="O483" s="271"/>
      <c r="P483" s="13"/>
      <c r="Q483" s="19"/>
      <c r="R483" s="19"/>
      <c r="S483" s="19"/>
      <c r="T483" s="19"/>
      <c r="U483" s="19"/>
      <c r="V483" s="19"/>
      <c r="W483" s="19"/>
      <c r="X483" s="19"/>
      <c r="Y483" s="19"/>
      <c r="Z483" s="19"/>
      <c r="AA483" s="19"/>
      <c r="AB483" s="19"/>
      <c r="AC483" s="19"/>
      <c r="AD483" s="19"/>
    </row>
    <row r="484" spans="1:30" ht="14.1" hidden="1" customHeight="1" outlineLevel="1" x14ac:dyDescent="0.2">
      <c r="A484" s="190"/>
      <c r="B484" s="19"/>
      <c r="C484" s="165"/>
      <c r="D484" s="54" t="s">
        <v>992</v>
      </c>
      <c r="E484" s="927">
        <f t="shared" ref="E484:N484" si="202">SUM(E483*LocENG)</f>
        <v>1</v>
      </c>
      <c r="F484" s="927">
        <f t="shared" si="202"/>
        <v>1</v>
      </c>
      <c r="G484" s="927">
        <f t="shared" si="202"/>
        <v>1</v>
      </c>
      <c r="H484" s="927">
        <f t="shared" si="202"/>
        <v>1</v>
      </c>
      <c r="I484" s="927">
        <f t="shared" si="202"/>
        <v>1</v>
      </c>
      <c r="J484" s="927">
        <f t="shared" si="202"/>
        <v>1</v>
      </c>
      <c r="K484" s="927">
        <f t="shared" si="202"/>
        <v>1</v>
      </c>
      <c r="L484" s="927">
        <f t="shared" si="202"/>
        <v>1</v>
      </c>
      <c r="M484" s="927">
        <f t="shared" si="202"/>
        <v>1</v>
      </c>
      <c r="N484" s="927">
        <f t="shared" si="202"/>
        <v>1</v>
      </c>
      <c r="O484" s="271"/>
      <c r="P484" s="13"/>
      <c r="Q484" s="19"/>
      <c r="R484" s="19"/>
      <c r="S484" s="19"/>
      <c r="T484" s="19"/>
      <c r="U484" s="19"/>
      <c r="V484" s="19"/>
      <c r="W484" s="19"/>
      <c r="X484" s="19"/>
      <c r="Y484" s="19"/>
      <c r="Z484" s="19"/>
      <c r="AA484" s="19"/>
      <c r="AB484" s="19"/>
      <c r="AC484" s="19"/>
      <c r="AD484" s="19"/>
    </row>
    <row r="485" spans="1:30" ht="14.1" hidden="1" customHeight="1" outlineLevel="1" x14ac:dyDescent="0.2">
      <c r="A485" s="190"/>
      <c r="B485" s="19"/>
      <c r="C485" s="165"/>
      <c r="D485" s="54"/>
      <c r="E485" s="38"/>
      <c r="F485" s="38"/>
      <c r="G485" s="38"/>
      <c r="H485" s="38"/>
      <c r="I485" s="38"/>
      <c r="J485" s="38"/>
      <c r="K485" s="38"/>
      <c r="L485" s="38"/>
      <c r="M485" s="38"/>
      <c r="N485" s="38"/>
      <c r="O485" s="938"/>
      <c r="P485" s="13"/>
      <c r="Q485" s="19"/>
      <c r="R485" s="19"/>
      <c r="S485" s="19"/>
      <c r="T485" s="19"/>
      <c r="U485" s="19"/>
      <c r="V485" s="19"/>
      <c r="W485" s="19"/>
      <c r="X485" s="19"/>
      <c r="Y485" s="19"/>
      <c r="Z485" s="19"/>
      <c r="AA485" s="19"/>
      <c r="AB485" s="19"/>
      <c r="AC485" s="19"/>
      <c r="AD485" s="19"/>
    </row>
    <row r="486" spans="1:30" ht="14.1" hidden="1" customHeight="1" outlineLevel="1" x14ac:dyDescent="0.2">
      <c r="A486" s="190"/>
      <c r="B486" s="19"/>
      <c r="C486" s="165"/>
      <c r="D486" s="57" t="s">
        <v>993</v>
      </c>
      <c r="E486" s="939">
        <v>1</v>
      </c>
      <c r="F486" s="939">
        <v>1</v>
      </c>
      <c r="G486" s="939">
        <v>1</v>
      </c>
      <c r="H486" s="939">
        <v>1</v>
      </c>
      <c r="I486" s="939">
        <v>1</v>
      </c>
      <c r="J486" s="939">
        <v>1</v>
      </c>
      <c r="K486" s="939">
        <v>1</v>
      </c>
      <c r="L486" s="939">
        <v>1</v>
      </c>
      <c r="M486" s="939">
        <v>1</v>
      </c>
      <c r="N486" s="939">
        <v>1</v>
      </c>
      <c r="O486" s="271"/>
      <c r="P486" s="13"/>
      <c r="Q486" s="19"/>
      <c r="R486" s="19"/>
      <c r="S486" s="19"/>
      <c r="T486" s="19"/>
      <c r="U486" s="19"/>
      <c r="V486" s="19"/>
      <c r="W486" s="19"/>
      <c r="X486" s="19"/>
      <c r="Y486" s="19"/>
      <c r="Z486" s="19"/>
      <c r="AA486" s="19"/>
      <c r="AB486" s="19"/>
      <c r="AC486" s="19"/>
      <c r="AD486" s="19"/>
    </row>
    <row r="487" spans="1:30" ht="14.1" hidden="1" customHeight="1" outlineLevel="1" x14ac:dyDescent="0.2">
      <c r="A487" s="190"/>
      <c r="B487" s="19"/>
      <c r="C487" s="165"/>
      <c r="D487" s="54" t="s">
        <v>994</v>
      </c>
      <c r="E487" s="927">
        <f t="shared" ref="E487" si="203">SUM(E486*LocPLG)</f>
        <v>1</v>
      </c>
      <c r="F487" s="927">
        <f t="shared" ref="F487" si="204">SUM(F486*LocPLG)</f>
        <v>1</v>
      </c>
      <c r="G487" s="927">
        <f t="shared" ref="G487" si="205">SUM(G486*LocPLG)</f>
        <v>1</v>
      </c>
      <c r="H487" s="927">
        <f t="shared" ref="H487" si="206">SUM(H486*LocPLG)</f>
        <v>1</v>
      </c>
      <c r="I487" s="927">
        <f t="shared" ref="I487" si="207">SUM(I486*LocPLG)</f>
        <v>1</v>
      </c>
      <c r="J487" s="927">
        <f t="shared" ref="J487" si="208">SUM(J486*LocPLG)</f>
        <v>1</v>
      </c>
      <c r="K487" s="927">
        <f t="shared" ref="K487" si="209">SUM(K486*LocPLG)</f>
        <v>1</v>
      </c>
      <c r="L487" s="927">
        <f t="shared" ref="L487" si="210">SUM(L486*LocPLG)</f>
        <v>1</v>
      </c>
      <c r="M487" s="927">
        <f t="shared" ref="M487" si="211">SUM(M486*LocPLG)</f>
        <v>1</v>
      </c>
      <c r="N487" s="927">
        <f t="shared" ref="N487" si="212">SUM(N486*LocPLG)</f>
        <v>1</v>
      </c>
      <c r="O487" s="271"/>
      <c r="P487" s="13"/>
      <c r="Q487" s="19"/>
      <c r="R487" s="19"/>
      <c r="S487" s="19"/>
      <c r="T487" s="19"/>
      <c r="U487" s="19"/>
      <c r="V487" s="19"/>
      <c r="W487" s="19"/>
      <c r="X487" s="19"/>
      <c r="Y487" s="19"/>
      <c r="Z487" s="19"/>
      <c r="AA487" s="19"/>
      <c r="AB487" s="19"/>
      <c r="AC487" s="19"/>
      <c r="AD487" s="19"/>
    </row>
    <row r="488" spans="1:30" ht="14.1" hidden="1" customHeight="1" outlineLevel="1" x14ac:dyDescent="0.2">
      <c r="A488" s="190"/>
      <c r="B488" s="19"/>
      <c r="C488" s="165"/>
      <c r="D488" s="54"/>
      <c r="E488" s="38"/>
      <c r="F488" s="38"/>
      <c r="G488" s="38"/>
      <c r="H488" s="38"/>
      <c r="I488" s="38"/>
      <c r="J488" s="38"/>
      <c r="K488" s="38"/>
      <c r="L488" s="38"/>
      <c r="M488" s="38"/>
      <c r="N488" s="38"/>
      <c r="O488" s="938"/>
      <c r="P488" s="13"/>
      <c r="Q488" s="19"/>
      <c r="R488" s="19"/>
      <c r="S488" s="19"/>
      <c r="T488" s="19"/>
      <c r="U488" s="19"/>
      <c r="V488" s="19"/>
      <c r="W488" s="19"/>
      <c r="X488" s="19"/>
      <c r="Y488" s="19"/>
      <c r="Z488" s="19"/>
      <c r="AA488" s="19"/>
      <c r="AB488" s="19"/>
      <c r="AC488" s="19"/>
      <c r="AD488" s="19"/>
    </row>
    <row r="489" spans="1:30" ht="14.1" hidden="1" customHeight="1" outlineLevel="1" x14ac:dyDescent="0.2">
      <c r="A489" s="190"/>
      <c r="B489" s="19"/>
      <c r="C489" s="165"/>
      <c r="D489" s="57" t="s">
        <v>665</v>
      </c>
      <c r="E489" s="939">
        <v>1</v>
      </c>
      <c r="F489" s="939">
        <v>1</v>
      </c>
      <c r="G489" s="939">
        <v>1</v>
      </c>
      <c r="H489" s="939">
        <v>1</v>
      </c>
      <c r="I489" s="939">
        <v>1</v>
      </c>
      <c r="J489" s="939">
        <v>1</v>
      </c>
      <c r="K489" s="939">
        <v>1</v>
      </c>
      <c r="L489" s="939">
        <v>1</v>
      </c>
      <c r="M489" s="939">
        <v>1</v>
      </c>
      <c r="N489" s="939">
        <v>1</v>
      </c>
      <c r="O489" s="271"/>
      <c r="P489" s="13"/>
      <c r="Q489" s="19"/>
      <c r="R489" s="19"/>
      <c r="S489" s="19"/>
      <c r="T489" s="19"/>
      <c r="U489" s="19"/>
      <c r="V489" s="19"/>
      <c r="W489" s="19"/>
      <c r="X489" s="19"/>
      <c r="Y489" s="19"/>
      <c r="Z489" s="19"/>
      <c r="AA489" s="19"/>
      <c r="AB489" s="19"/>
      <c r="AC489" s="19"/>
      <c r="AD489" s="19"/>
    </row>
    <row r="490" spans="1:30" ht="14.1" hidden="1" customHeight="1" outlineLevel="1" x14ac:dyDescent="0.2">
      <c r="A490" s="190"/>
      <c r="B490" s="19"/>
      <c r="C490" s="165"/>
      <c r="D490" s="54" t="s">
        <v>717</v>
      </c>
      <c r="E490" s="927">
        <f t="shared" ref="E490:N490" si="213">SUM(E489*LocCRT)</f>
        <v>9</v>
      </c>
      <c r="F490" s="927">
        <f t="shared" si="213"/>
        <v>9</v>
      </c>
      <c r="G490" s="927">
        <f t="shared" si="213"/>
        <v>9</v>
      </c>
      <c r="H490" s="927">
        <f t="shared" si="213"/>
        <v>9</v>
      </c>
      <c r="I490" s="927">
        <f t="shared" si="213"/>
        <v>9</v>
      </c>
      <c r="J490" s="927">
        <f t="shared" si="213"/>
        <v>9</v>
      </c>
      <c r="K490" s="927">
        <f t="shared" si="213"/>
        <v>9</v>
      </c>
      <c r="L490" s="927">
        <f t="shared" si="213"/>
        <v>9</v>
      </c>
      <c r="M490" s="927">
        <f t="shared" si="213"/>
        <v>9</v>
      </c>
      <c r="N490" s="927">
        <f t="shared" si="213"/>
        <v>9</v>
      </c>
      <c r="O490" s="271"/>
      <c r="P490" s="13"/>
      <c r="Q490" s="19"/>
      <c r="R490" s="19"/>
      <c r="S490" s="19"/>
      <c r="T490" s="19"/>
      <c r="U490" s="19"/>
      <c r="V490" s="19"/>
      <c r="W490" s="19"/>
      <c r="X490" s="19"/>
      <c r="Y490" s="19"/>
      <c r="Z490" s="19"/>
      <c r="AA490" s="19"/>
      <c r="AB490" s="19"/>
      <c r="AC490" s="19"/>
      <c r="AD490" s="19"/>
    </row>
    <row r="491" spans="1:30" s="7" customFormat="1" ht="14.1" hidden="1" customHeight="1" outlineLevel="1" x14ac:dyDescent="0.2">
      <c r="A491" s="190"/>
      <c r="B491" s="24"/>
      <c r="C491" s="284"/>
      <c r="D491" s="27"/>
      <c r="E491" s="940"/>
      <c r="F491" s="940"/>
      <c r="G491" s="940"/>
      <c r="H491" s="940"/>
      <c r="I491" s="940"/>
      <c r="J491" s="940"/>
      <c r="K491" s="940"/>
      <c r="L491" s="940"/>
      <c r="M491" s="940"/>
      <c r="N491" s="940"/>
      <c r="O491" s="289"/>
      <c r="P491" s="50"/>
      <c r="Q491" s="24"/>
      <c r="R491" s="24"/>
      <c r="S491" s="24"/>
      <c r="T491" s="24"/>
      <c r="U491" s="24"/>
      <c r="V491" s="24"/>
      <c r="W491" s="24"/>
      <c r="X491" s="24"/>
      <c r="Y491" s="24"/>
      <c r="Z491" s="24"/>
      <c r="AA491" s="24"/>
      <c r="AB491" s="24"/>
      <c r="AC491" s="24"/>
      <c r="AD491" s="24"/>
    </row>
    <row r="492" spans="1:30" s="7" customFormat="1" ht="14.1" hidden="1" customHeight="1" outlineLevel="1" x14ac:dyDescent="0.2">
      <c r="A492" s="190"/>
      <c r="B492" s="24"/>
      <c r="C492" s="165"/>
      <c r="D492" s="57" t="s">
        <v>721</v>
      </c>
      <c r="E492" s="939">
        <v>1</v>
      </c>
      <c r="F492" s="939">
        <v>1</v>
      </c>
      <c r="G492" s="939">
        <v>1</v>
      </c>
      <c r="H492" s="939">
        <v>1</v>
      </c>
      <c r="I492" s="939">
        <v>1</v>
      </c>
      <c r="J492" s="939">
        <v>1</v>
      </c>
      <c r="K492" s="939">
        <v>1</v>
      </c>
      <c r="L492" s="939">
        <v>1</v>
      </c>
      <c r="M492" s="939">
        <v>1</v>
      </c>
      <c r="N492" s="939">
        <v>1</v>
      </c>
      <c r="O492" s="941"/>
      <c r="P492" s="50"/>
      <c r="Q492" s="24"/>
      <c r="R492" s="24"/>
      <c r="S492" s="24"/>
      <c r="T492" s="24"/>
      <c r="U492" s="24"/>
      <c r="V492" s="24"/>
      <c r="W492" s="24"/>
      <c r="X492" s="24"/>
      <c r="Y492" s="24"/>
      <c r="Z492" s="24"/>
      <c r="AA492" s="24"/>
      <c r="AB492" s="24"/>
      <c r="AC492" s="24"/>
      <c r="AD492" s="24"/>
    </row>
    <row r="493" spans="1:30" ht="14.1" hidden="1" customHeight="1" outlineLevel="1" x14ac:dyDescent="0.2">
      <c r="A493" s="190"/>
      <c r="B493" s="19"/>
      <c r="C493" s="165"/>
      <c r="D493" s="54" t="s">
        <v>63</v>
      </c>
      <c r="E493" s="927">
        <f t="shared" ref="E493:N493" si="214">SUM(E492*LocSCL)</f>
        <v>8</v>
      </c>
      <c r="F493" s="927">
        <f t="shared" si="214"/>
        <v>9</v>
      </c>
      <c r="G493" s="927">
        <f t="shared" si="214"/>
        <v>9</v>
      </c>
      <c r="H493" s="927">
        <f t="shared" si="214"/>
        <v>9</v>
      </c>
      <c r="I493" s="927">
        <f t="shared" si="214"/>
        <v>9</v>
      </c>
      <c r="J493" s="927">
        <f t="shared" si="214"/>
        <v>9</v>
      </c>
      <c r="K493" s="927">
        <f t="shared" si="214"/>
        <v>9</v>
      </c>
      <c r="L493" s="927">
        <f t="shared" si="214"/>
        <v>9</v>
      </c>
      <c r="M493" s="927">
        <f t="shared" si="214"/>
        <v>9</v>
      </c>
      <c r="N493" s="927">
        <f t="shared" si="214"/>
        <v>9</v>
      </c>
      <c r="O493" s="938"/>
      <c r="P493" s="13"/>
      <c r="Q493" s="19"/>
      <c r="R493" s="19"/>
      <c r="S493" s="19"/>
      <c r="T493" s="19"/>
      <c r="U493" s="19"/>
      <c r="V493" s="19"/>
      <c r="W493" s="19"/>
      <c r="X493" s="19"/>
      <c r="Y493" s="19"/>
      <c r="Z493" s="19"/>
      <c r="AA493" s="19"/>
      <c r="AB493" s="19"/>
      <c r="AC493" s="19"/>
      <c r="AD493" s="19"/>
    </row>
    <row r="494" spans="1:30" s="7" customFormat="1" ht="14.1" hidden="1" customHeight="1" outlineLevel="1" x14ac:dyDescent="0.2">
      <c r="A494" s="190"/>
      <c r="B494" s="24"/>
      <c r="C494" s="284"/>
      <c r="D494" s="27"/>
      <c r="E494" s="940"/>
      <c r="F494" s="940"/>
      <c r="G494" s="940"/>
      <c r="H494" s="940"/>
      <c r="I494" s="940"/>
      <c r="J494" s="940"/>
      <c r="K494" s="940"/>
      <c r="L494" s="940"/>
      <c r="M494" s="940"/>
      <c r="N494" s="940"/>
      <c r="O494" s="289"/>
      <c r="P494" s="50"/>
      <c r="Q494" s="24"/>
      <c r="R494" s="24"/>
      <c r="S494" s="24"/>
      <c r="T494" s="24"/>
      <c r="U494" s="24"/>
      <c r="V494" s="24"/>
      <c r="W494" s="24"/>
      <c r="X494" s="24"/>
      <c r="Y494" s="24"/>
      <c r="Z494" s="24"/>
      <c r="AA494" s="24"/>
      <c r="AB494" s="24"/>
      <c r="AC494" s="24"/>
      <c r="AD494" s="24"/>
    </row>
    <row r="495" spans="1:30" s="7" customFormat="1" ht="14.1" hidden="1" customHeight="1" outlineLevel="1" x14ac:dyDescent="0.2">
      <c r="A495" s="190"/>
      <c r="B495" s="24"/>
      <c r="C495" s="165"/>
      <c r="D495" s="57" t="s">
        <v>722</v>
      </c>
      <c r="E495" s="939">
        <v>1</v>
      </c>
      <c r="F495" s="939">
        <v>1</v>
      </c>
      <c r="G495" s="939">
        <v>1</v>
      </c>
      <c r="H495" s="939">
        <v>1</v>
      </c>
      <c r="I495" s="939">
        <v>1</v>
      </c>
      <c r="J495" s="939">
        <v>1</v>
      </c>
      <c r="K495" s="939">
        <v>1</v>
      </c>
      <c r="L495" s="939">
        <v>1</v>
      </c>
      <c r="M495" s="939">
        <v>1</v>
      </c>
      <c r="N495" s="939">
        <v>1</v>
      </c>
      <c r="O495" s="941"/>
      <c r="P495" s="50"/>
      <c r="Q495" s="24"/>
      <c r="R495" s="24"/>
      <c r="S495" s="24"/>
      <c r="T495" s="24"/>
      <c r="U495" s="24"/>
      <c r="V495" s="24"/>
      <c r="W495" s="24"/>
      <c r="X495" s="24"/>
      <c r="Y495" s="24"/>
      <c r="Z495" s="24"/>
      <c r="AA495" s="24"/>
      <c r="AB495" s="24"/>
      <c r="AC495" s="24"/>
      <c r="AD495" s="24"/>
    </row>
    <row r="496" spans="1:30" ht="14.1" hidden="1" customHeight="1" outlineLevel="1" x14ac:dyDescent="0.2">
      <c r="A496" s="190"/>
      <c r="B496" s="19"/>
      <c r="C496" s="165"/>
      <c r="D496" s="54" t="s">
        <v>718</v>
      </c>
      <c r="E496" s="927">
        <f t="shared" ref="E496:N496" si="215">SUM(E495*LocQSC)</f>
        <v>1</v>
      </c>
      <c r="F496" s="927">
        <f t="shared" si="215"/>
        <v>1</v>
      </c>
      <c r="G496" s="927">
        <f t="shared" si="215"/>
        <v>1</v>
      </c>
      <c r="H496" s="927">
        <f t="shared" si="215"/>
        <v>1</v>
      </c>
      <c r="I496" s="927">
        <f t="shared" si="215"/>
        <v>1</v>
      </c>
      <c r="J496" s="927">
        <f t="shared" si="215"/>
        <v>1</v>
      </c>
      <c r="K496" s="927">
        <f t="shared" si="215"/>
        <v>1</v>
      </c>
      <c r="L496" s="927">
        <f t="shared" si="215"/>
        <v>1</v>
      </c>
      <c r="M496" s="927">
        <f t="shared" si="215"/>
        <v>1</v>
      </c>
      <c r="N496" s="927">
        <f t="shared" si="215"/>
        <v>1</v>
      </c>
      <c r="O496" s="938"/>
      <c r="P496" s="13"/>
      <c r="Q496" s="19"/>
      <c r="R496" s="19"/>
      <c r="S496" s="19"/>
      <c r="T496" s="19"/>
      <c r="U496" s="19"/>
      <c r="V496" s="19"/>
      <c r="W496" s="19"/>
      <c r="X496" s="19"/>
      <c r="Y496" s="19"/>
      <c r="Z496" s="19"/>
      <c r="AA496" s="19"/>
      <c r="AB496" s="19"/>
      <c r="AC496" s="19"/>
      <c r="AD496" s="19"/>
    </row>
    <row r="497" spans="1:30" s="7" customFormat="1" ht="14.1" hidden="1" customHeight="1" outlineLevel="1" x14ac:dyDescent="0.2">
      <c r="A497" s="190"/>
      <c r="B497" s="24"/>
      <c r="C497" s="284"/>
      <c r="D497" s="27"/>
      <c r="E497" s="940"/>
      <c r="F497" s="940"/>
      <c r="G497" s="940"/>
      <c r="H497" s="940"/>
      <c r="I497" s="940"/>
      <c r="J497" s="940"/>
      <c r="K497" s="940"/>
      <c r="L497" s="940"/>
      <c r="M497" s="940"/>
      <c r="N497" s="940"/>
      <c r="O497" s="289"/>
      <c r="P497" s="50"/>
      <c r="Q497" s="24"/>
      <c r="R497" s="24"/>
      <c r="S497" s="24"/>
      <c r="T497" s="24"/>
      <c r="U497" s="24"/>
      <c r="V497" s="24"/>
      <c r="W497" s="24"/>
      <c r="X497" s="24"/>
      <c r="Y497" s="24"/>
      <c r="Z497" s="24"/>
      <c r="AA497" s="24"/>
      <c r="AB497" s="24"/>
      <c r="AC497" s="24"/>
      <c r="AD497" s="24"/>
    </row>
    <row r="498" spans="1:30" s="7" customFormat="1" ht="14.1" hidden="1" customHeight="1" outlineLevel="1" x14ac:dyDescent="0.2">
      <c r="A498" s="190"/>
      <c r="B498" s="24"/>
      <c r="C498" s="165"/>
      <c r="D498" s="57" t="s">
        <v>719</v>
      </c>
      <c r="E498" s="939">
        <v>1</v>
      </c>
      <c r="F498" s="939">
        <v>1</v>
      </c>
      <c r="G498" s="939">
        <v>1</v>
      </c>
      <c r="H498" s="939">
        <v>1</v>
      </c>
      <c r="I498" s="939">
        <v>1</v>
      </c>
      <c r="J498" s="939">
        <v>1</v>
      </c>
      <c r="K498" s="939">
        <v>1</v>
      </c>
      <c r="L498" s="939">
        <v>1</v>
      </c>
      <c r="M498" s="939">
        <v>1</v>
      </c>
      <c r="N498" s="939">
        <v>1</v>
      </c>
      <c r="O498" s="941"/>
      <c r="P498" s="50"/>
      <c r="Q498" s="24"/>
      <c r="R498" s="24"/>
      <c r="S498" s="24"/>
      <c r="T498" s="24"/>
      <c r="U498" s="24"/>
      <c r="V498" s="24"/>
      <c r="W498" s="24"/>
      <c r="X498" s="24"/>
      <c r="Y498" s="24"/>
      <c r="Z498" s="24"/>
      <c r="AA498" s="24"/>
      <c r="AB498" s="24"/>
      <c r="AC498" s="24"/>
      <c r="AD498" s="24"/>
    </row>
    <row r="499" spans="1:30" ht="14.1" hidden="1" customHeight="1" outlineLevel="1" x14ac:dyDescent="0.2">
      <c r="A499" s="190"/>
      <c r="B499" s="19"/>
      <c r="C499" s="165"/>
      <c r="D499" s="54" t="s">
        <v>720</v>
      </c>
      <c r="E499" s="927">
        <f t="shared" ref="E499:N499" si="216">SUM(E498*LocEM)</f>
        <v>2</v>
      </c>
      <c r="F499" s="927">
        <f t="shared" si="216"/>
        <v>2</v>
      </c>
      <c r="G499" s="927">
        <f t="shared" si="216"/>
        <v>2</v>
      </c>
      <c r="H499" s="927">
        <f t="shared" si="216"/>
        <v>2</v>
      </c>
      <c r="I499" s="927">
        <f t="shared" si="216"/>
        <v>2</v>
      </c>
      <c r="J499" s="927">
        <f t="shared" si="216"/>
        <v>2</v>
      </c>
      <c r="K499" s="927">
        <f t="shared" si="216"/>
        <v>2</v>
      </c>
      <c r="L499" s="927">
        <f t="shared" si="216"/>
        <v>2</v>
      </c>
      <c r="M499" s="927">
        <f t="shared" si="216"/>
        <v>2</v>
      </c>
      <c r="N499" s="927">
        <f t="shared" si="216"/>
        <v>2</v>
      </c>
      <c r="O499" s="938"/>
      <c r="P499" s="13"/>
      <c r="Q499" s="19"/>
      <c r="R499" s="19"/>
      <c r="S499" s="19"/>
      <c r="T499" s="19"/>
      <c r="U499" s="19"/>
      <c r="V499" s="19"/>
      <c r="W499" s="19"/>
      <c r="X499" s="19"/>
      <c r="Y499" s="19"/>
      <c r="Z499" s="19"/>
      <c r="AA499" s="19"/>
      <c r="AB499" s="19"/>
      <c r="AC499" s="19"/>
      <c r="AD499" s="19"/>
    </row>
    <row r="500" spans="1:30" s="7" customFormat="1" ht="14.1" hidden="1" customHeight="1" outlineLevel="1" x14ac:dyDescent="0.2">
      <c r="A500" s="190"/>
      <c r="B500" s="24"/>
      <c r="C500" s="284"/>
      <c r="D500" s="27"/>
      <c r="E500" s="940"/>
      <c r="F500" s="940"/>
      <c r="G500" s="940"/>
      <c r="H500" s="940"/>
      <c r="I500" s="940"/>
      <c r="J500" s="940"/>
      <c r="K500" s="940"/>
      <c r="L500" s="940"/>
      <c r="M500" s="940"/>
      <c r="N500" s="940"/>
      <c r="O500" s="289"/>
      <c r="P500" s="50"/>
      <c r="Q500" s="24"/>
      <c r="R500" s="24"/>
      <c r="S500" s="24"/>
      <c r="T500" s="24"/>
      <c r="U500" s="24"/>
      <c r="V500" s="24"/>
      <c r="W500" s="24"/>
      <c r="X500" s="24"/>
      <c r="Y500" s="24"/>
      <c r="Z500" s="24"/>
      <c r="AA500" s="24"/>
      <c r="AB500" s="24"/>
      <c r="AC500" s="24"/>
      <c r="AD500" s="24"/>
    </row>
    <row r="501" spans="1:30" s="7" customFormat="1" ht="14.1" hidden="1" customHeight="1" outlineLevel="1" x14ac:dyDescent="0.2">
      <c r="A501" s="190"/>
      <c r="B501" s="24"/>
      <c r="C501" s="165"/>
      <c r="D501" s="57" t="s">
        <v>723</v>
      </c>
      <c r="E501" s="939">
        <v>1</v>
      </c>
      <c r="F501" s="939">
        <v>1</v>
      </c>
      <c r="G501" s="939">
        <v>1</v>
      </c>
      <c r="H501" s="939">
        <v>1</v>
      </c>
      <c r="I501" s="939">
        <v>1</v>
      </c>
      <c r="J501" s="939">
        <v>1</v>
      </c>
      <c r="K501" s="939">
        <v>1</v>
      </c>
      <c r="L501" s="939">
        <v>1</v>
      </c>
      <c r="M501" s="939">
        <v>1</v>
      </c>
      <c r="N501" s="939">
        <v>1</v>
      </c>
      <c r="O501" s="941"/>
      <c r="P501" s="50"/>
      <c r="Q501" s="24"/>
      <c r="R501" s="24"/>
      <c r="S501" s="24"/>
      <c r="T501" s="24"/>
      <c r="U501" s="24"/>
      <c r="V501" s="24"/>
      <c r="W501" s="24"/>
      <c r="X501" s="24"/>
      <c r="Y501" s="24"/>
      <c r="Z501" s="24"/>
      <c r="AA501" s="24"/>
      <c r="AB501" s="24"/>
      <c r="AC501" s="24"/>
      <c r="AD501" s="24"/>
    </row>
    <row r="502" spans="1:30" ht="14.1" hidden="1" customHeight="1" outlineLevel="1" x14ac:dyDescent="0.2">
      <c r="A502" s="190"/>
      <c r="B502" s="19"/>
      <c r="C502" s="165"/>
      <c r="D502" s="54" t="s">
        <v>724</v>
      </c>
      <c r="E502" s="927">
        <f t="shared" ref="E502:N502" si="217">SUM(E501*LocCM)</f>
        <v>3</v>
      </c>
      <c r="F502" s="927">
        <f t="shared" si="217"/>
        <v>3</v>
      </c>
      <c r="G502" s="927">
        <f t="shared" si="217"/>
        <v>3</v>
      </c>
      <c r="H502" s="927">
        <f t="shared" si="217"/>
        <v>3</v>
      </c>
      <c r="I502" s="927">
        <f t="shared" si="217"/>
        <v>3</v>
      </c>
      <c r="J502" s="927">
        <f t="shared" si="217"/>
        <v>3</v>
      </c>
      <c r="K502" s="927">
        <f t="shared" si="217"/>
        <v>3</v>
      </c>
      <c r="L502" s="927">
        <f t="shared" si="217"/>
        <v>3</v>
      </c>
      <c r="M502" s="927">
        <f t="shared" si="217"/>
        <v>3</v>
      </c>
      <c r="N502" s="927">
        <f t="shared" si="217"/>
        <v>3</v>
      </c>
      <c r="O502" s="938"/>
      <c r="P502" s="13"/>
      <c r="Q502" s="19"/>
      <c r="R502" s="19"/>
      <c r="S502" s="19"/>
      <c r="T502" s="19"/>
      <c r="U502" s="19"/>
      <c r="V502" s="19"/>
      <c r="W502" s="19"/>
      <c r="X502" s="19"/>
      <c r="Y502" s="19"/>
      <c r="Z502" s="19"/>
      <c r="AA502" s="19"/>
      <c r="AB502" s="19"/>
      <c r="AC502" s="19"/>
      <c r="AD502" s="19"/>
    </row>
    <row r="503" spans="1:30" s="7" customFormat="1" ht="14.1" hidden="1" customHeight="1" outlineLevel="1" x14ac:dyDescent="0.2">
      <c r="A503" s="190"/>
      <c r="B503" s="24"/>
      <c r="C503" s="284"/>
      <c r="D503" s="27"/>
      <c r="E503" s="940"/>
      <c r="F503" s="940"/>
      <c r="G503" s="940"/>
      <c r="H503" s="940"/>
      <c r="I503" s="940"/>
      <c r="J503" s="940"/>
      <c r="K503" s="940"/>
      <c r="L503" s="940"/>
      <c r="M503" s="940"/>
      <c r="N503" s="940"/>
      <c r="O503" s="289"/>
      <c r="P503" s="50"/>
      <c r="Q503" s="24"/>
      <c r="R503" s="24"/>
      <c r="S503" s="24"/>
      <c r="T503" s="24"/>
      <c r="U503" s="24"/>
      <c r="V503" s="24"/>
      <c r="W503" s="24"/>
      <c r="X503" s="24"/>
      <c r="Y503" s="24"/>
      <c r="Z503" s="24"/>
      <c r="AA503" s="24"/>
      <c r="AB503" s="24"/>
      <c r="AC503" s="24"/>
      <c r="AD503" s="24"/>
    </row>
    <row r="504" spans="1:30" s="7" customFormat="1" ht="14.1" hidden="1" customHeight="1" outlineLevel="1" x14ac:dyDescent="0.2">
      <c r="A504" s="190"/>
      <c r="B504" s="24"/>
      <c r="C504" s="165"/>
      <c r="D504" s="57" t="s">
        <v>725</v>
      </c>
      <c r="E504" s="939">
        <v>1</v>
      </c>
      <c r="F504" s="939">
        <v>1</v>
      </c>
      <c r="G504" s="939">
        <v>1</v>
      </c>
      <c r="H504" s="939">
        <v>1</v>
      </c>
      <c r="I504" s="939">
        <v>1</v>
      </c>
      <c r="J504" s="939">
        <v>1</v>
      </c>
      <c r="K504" s="939">
        <v>1</v>
      </c>
      <c r="L504" s="939">
        <v>1</v>
      </c>
      <c r="M504" s="939">
        <v>1</v>
      </c>
      <c r="N504" s="939">
        <v>1</v>
      </c>
      <c r="O504" s="941"/>
      <c r="P504" s="50"/>
      <c r="Q504" s="24"/>
      <c r="R504" s="24"/>
      <c r="S504" s="24"/>
      <c r="T504" s="24"/>
      <c r="U504" s="24"/>
      <c r="V504" s="24"/>
      <c r="W504" s="24"/>
      <c r="X504" s="24"/>
      <c r="Y504" s="24"/>
      <c r="Z504" s="24"/>
      <c r="AA504" s="24"/>
      <c r="AB504" s="24"/>
      <c r="AC504" s="24"/>
      <c r="AD504" s="24"/>
    </row>
    <row r="505" spans="1:30" ht="14.1" hidden="1" customHeight="1" outlineLevel="1" x14ac:dyDescent="0.2">
      <c r="A505" s="190"/>
      <c r="B505" s="19"/>
      <c r="C505" s="165"/>
      <c r="D505" s="54" t="s">
        <v>726</v>
      </c>
      <c r="E505" s="927">
        <f t="shared" ref="E505:N505" si="218">SUM(E504*LocSMCS)</f>
        <v>3</v>
      </c>
      <c r="F505" s="927">
        <f t="shared" si="218"/>
        <v>3</v>
      </c>
      <c r="G505" s="927">
        <f t="shared" si="218"/>
        <v>3</v>
      </c>
      <c r="H505" s="927">
        <f t="shared" si="218"/>
        <v>3</v>
      </c>
      <c r="I505" s="927">
        <f t="shared" si="218"/>
        <v>3</v>
      </c>
      <c r="J505" s="927">
        <f t="shared" si="218"/>
        <v>3</v>
      </c>
      <c r="K505" s="927">
        <f t="shared" si="218"/>
        <v>3</v>
      </c>
      <c r="L505" s="927">
        <f t="shared" si="218"/>
        <v>3</v>
      </c>
      <c r="M505" s="927">
        <f t="shared" si="218"/>
        <v>3</v>
      </c>
      <c r="N505" s="927">
        <f t="shared" si="218"/>
        <v>3</v>
      </c>
      <c r="O505" s="938"/>
      <c r="P505" s="13"/>
      <c r="Q505" s="19"/>
      <c r="R505" s="19"/>
      <c r="S505" s="19"/>
      <c r="T505" s="19"/>
      <c r="U505" s="19"/>
      <c r="V505" s="19"/>
      <c r="W505" s="19"/>
      <c r="X505" s="19"/>
      <c r="Y505" s="19"/>
      <c r="Z505" s="19"/>
      <c r="AA505" s="19"/>
      <c r="AB505" s="19"/>
      <c r="AC505" s="19"/>
      <c r="AD505" s="19"/>
    </row>
    <row r="506" spans="1:30" s="7" customFormat="1" ht="14.1" hidden="1" customHeight="1" outlineLevel="1" x14ac:dyDescent="0.2">
      <c r="A506" s="190"/>
      <c r="B506" s="24"/>
      <c r="C506" s="284"/>
      <c r="D506" s="27"/>
      <c r="E506" s="940"/>
      <c r="F506" s="940"/>
      <c r="G506" s="940"/>
      <c r="H506" s="940"/>
      <c r="I506" s="940"/>
      <c r="J506" s="940"/>
      <c r="K506" s="940"/>
      <c r="L506" s="940"/>
      <c r="M506" s="940"/>
      <c r="N506" s="940"/>
      <c r="O506" s="289"/>
      <c r="P506" s="50"/>
      <c r="Q506" s="24"/>
      <c r="R506" s="24"/>
      <c r="S506" s="24"/>
      <c r="T506" s="24"/>
      <c r="U506" s="24"/>
      <c r="V506" s="24"/>
      <c r="W506" s="24"/>
      <c r="X506" s="24"/>
      <c r="Y506" s="24"/>
      <c r="Z506" s="24"/>
      <c r="AA506" s="24"/>
      <c r="AB506" s="24"/>
      <c r="AC506" s="24"/>
      <c r="AD506" s="24"/>
    </row>
    <row r="507" spans="1:30" s="7" customFormat="1" ht="14.1" hidden="1" customHeight="1" outlineLevel="1" x14ac:dyDescent="0.2">
      <c r="A507" s="190"/>
      <c r="B507" s="24"/>
      <c r="C507" s="165"/>
      <c r="D507" s="57" t="s">
        <v>727</v>
      </c>
      <c r="E507" s="939">
        <v>1</v>
      </c>
      <c r="F507" s="939">
        <v>1</v>
      </c>
      <c r="G507" s="939">
        <v>1</v>
      </c>
      <c r="H507" s="939">
        <v>1</v>
      </c>
      <c r="I507" s="939">
        <v>1</v>
      </c>
      <c r="J507" s="939">
        <v>1</v>
      </c>
      <c r="K507" s="939">
        <v>1</v>
      </c>
      <c r="L507" s="939">
        <v>1</v>
      </c>
      <c r="M507" s="939">
        <v>1</v>
      </c>
      <c r="N507" s="939">
        <v>1</v>
      </c>
      <c r="O507" s="941"/>
      <c r="P507" s="50"/>
      <c r="Q507" s="24"/>
      <c r="R507" s="24"/>
      <c r="S507" s="24"/>
      <c r="T507" s="24"/>
      <c r="U507" s="24"/>
      <c r="V507" s="24"/>
      <c r="W507" s="24"/>
      <c r="X507" s="24"/>
      <c r="Y507" s="24"/>
      <c r="Z507" s="24"/>
      <c r="AA507" s="24"/>
      <c r="AB507" s="24"/>
      <c r="AC507" s="24"/>
      <c r="AD507" s="24"/>
    </row>
    <row r="508" spans="1:30" ht="14.1" hidden="1" customHeight="1" outlineLevel="1" x14ac:dyDescent="0.2">
      <c r="A508" s="190"/>
      <c r="B508" s="19"/>
      <c r="C508" s="165"/>
      <c r="D508" s="54" t="s">
        <v>728</v>
      </c>
      <c r="E508" s="927">
        <f t="shared" ref="E508:N508" si="219">SUM(E507*LocO1)</f>
        <v>3</v>
      </c>
      <c r="F508" s="927">
        <f t="shared" si="219"/>
        <v>3</v>
      </c>
      <c r="G508" s="927">
        <f t="shared" si="219"/>
        <v>3</v>
      </c>
      <c r="H508" s="927">
        <f t="shared" si="219"/>
        <v>3</v>
      </c>
      <c r="I508" s="927">
        <f t="shared" si="219"/>
        <v>3</v>
      </c>
      <c r="J508" s="927">
        <f t="shared" si="219"/>
        <v>3</v>
      </c>
      <c r="K508" s="927">
        <f t="shared" si="219"/>
        <v>3</v>
      </c>
      <c r="L508" s="927">
        <f t="shared" si="219"/>
        <v>3</v>
      </c>
      <c r="M508" s="927">
        <f t="shared" si="219"/>
        <v>3</v>
      </c>
      <c r="N508" s="927">
        <f t="shared" si="219"/>
        <v>3</v>
      </c>
      <c r="O508" s="938"/>
      <c r="P508" s="13"/>
      <c r="Q508" s="19"/>
      <c r="R508" s="19"/>
      <c r="S508" s="19"/>
      <c r="T508" s="19"/>
      <c r="U508" s="19"/>
      <c r="V508" s="19"/>
      <c r="W508" s="19"/>
      <c r="X508" s="19"/>
      <c r="Y508" s="19"/>
      <c r="Z508" s="19"/>
      <c r="AA508" s="19"/>
      <c r="AB508" s="19"/>
      <c r="AC508" s="19"/>
      <c r="AD508" s="19"/>
    </row>
    <row r="509" spans="1:30" s="7" customFormat="1" ht="14.1" hidden="1" customHeight="1" outlineLevel="1" x14ac:dyDescent="0.2">
      <c r="A509" s="190"/>
      <c r="B509" s="24"/>
      <c r="C509" s="284"/>
      <c r="D509" s="27"/>
      <c r="E509" s="940"/>
      <c r="F509" s="940"/>
      <c r="G509" s="940"/>
      <c r="H509" s="940"/>
      <c r="I509" s="940"/>
      <c r="J509" s="940"/>
      <c r="K509" s="940"/>
      <c r="L509" s="940"/>
      <c r="M509" s="940"/>
      <c r="N509" s="940"/>
      <c r="O509" s="289"/>
      <c r="P509" s="50"/>
      <c r="Q509" s="24"/>
      <c r="R509" s="24"/>
      <c r="S509" s="24"/>
      <c r="T509" s="24"/>
      <c r="U509" s="24"/>
      <c r="V509" s="24"/>
      <c r="W509" s="24"/>
      <c r="X509" s="24"/>
      <c r="Y509" s="24"/>
      <c r="Z509" s="24"/>
      <c r="AA509" s="24"/>
      <c r="AB509" s="24"/>
      <c r="AC509" s="24"/>
      <c r="AD509" s="24"/>
    </row>
    <row r="510" spans="1:30" s="7" customFormat="1" ht="14.1" hidden="1" customHeight="1" outlineLevel="1" x14ac:dyDescent="0.2">
      <c r="A510" s="190"/>
      <c r="B510" s="24"/>
      <c r="C510" s="165"/>
      <c r="D510" s="57" t="s">
        <v>729</v>
      </c>
      <c r="E510" s="939">
        <v>1</v>
      </c>
      <c r="F510" s="939">
        <v>1</v>
      </c>
      <c r="G510" s="939">
        <v>1</v>
      </c>
      <c r="H510" s="939">
        <v>1</v>
      </c>
      <c r="I510" s="939">
        <v>1</v>
      </c>
      <c r="J510" s="939">
        <v>1</v>
      </c>
      <c r="K510" s="939">
        <v>1</v>
      </c>
      <c r="L510" s="939">
        <v>1</v>
      </c>
      <c r="M510" s="939">
        <v>1</v>
      </c>
      <c r="N510" s="939">
        <v>1</v>
      </c>
      <c r="O510" s="941"/>
      <c r="P510" s="50"/>
      <c r="Q510" s="24"/>
      <c r="R510" s="24"/>
      <c r="S510" s="24"/>
      <c r="T510" s="24"/>
      <c r="U510" s="24"/>
      <c r="V510" s="24"/>
      <c r="W510" s="24"/>
      <c r="X510" s="24"/>
      <c r="Y510" s="24"/>
      <c r="Z510" s="24"/>
      <c r="AA510" s="24"/>
      <c r="AB510" s="24"/>
      <c r="AC510" s="24"/>
      <c r="AD510" s="24"/>
    </row>
    <row r="511" spans="1:30" ht="14.1" hidden="1" customHeight="1" outlineLevel="1" x14ac:dyDescent="0.2">
      <c r="A511" s="190"/>
      <c r="B511" s="19"/>
      <c r="C511" s="165"/>
      <c r="D511" s="54" t="s">
        <v>730</v>
      </c>
      <c r="E511" s="927">
        <f t="shared" ref="E511:N511" si="220">SUM(E510*LocO2)</f>
        <v>3</v>
      </c>
      <c r="F511" s="927">
        <f t="shared" si="220"/>
        <v>3</v>
      </c>
      <c r="G511" s="927">
        <f t="shared" si="220"/>
        <v>3</v>
      </c>
      <c r="H511" s="927">
        <f t="shared" si="220"/>
        <v>3</v>
      </c>
      <c r="I511" s="927">
        <f t="shared" si="220"/>
        <v>3</v>
      </c>
      <c r="J511" s="927">
        <f t="shared" si="220"/>
        <v>3</v>
      </c>
      <c r="K511" s="927">
        <f t="shared" si="220"/>
        <v>3</v>
      </c>
      <c r="L511" s="927">
        <f t="shared" si="220"/>
        <v>3</v>
      </c>
      <c r="M511" s="927">
        <f t="shared" si="220"/>
        <v>3</v>
      </c>
      <c r="N511" s="927">
        <f t="shared" si="220"/>
        <v>3</v>
      </c>
      <c r="O511" s="938"/>
      <c r="P511" s="13"/>
      <c r="Q511" s="19"/>
      <c r="R511" s="19"/>
      <c r="S511" s="19"/>
      <c r="T511" s="19"/>
      <c r="U511" s="19"/>
      <c r="V511" s="19"/>
      <c r="W511" s="19"/>
      <c r="X511" s="19"/>
      <c r="Y511" s="19"/>
      <c r="Z511" s="19"/>
      <c r="AA511" s="19"/>
      <c r="AB511" s="19"/>
      <c r="AC511" s="19"/>
      <c r="AD511" s="19"/>
    </row>
    <row r="512" spans="1:30" ht="14.1" hidden="1" customHeight="1" outlineLevel="1" x14ac:dyDescent="0.2">
      <c r="A512" s="190"/>
      <c r="B512" s="19"/>
      <c r="C512" s="290"/>
      <c r="D512" s="38"/>
      <c r="E512" s="38"/>
      <c r="F512" s="38"/>
      <c r="G512" s="38"/>
      <c r="H512" s="13"/>
      <c r="I512" s="13"/>
      <c r="J512" s="13"/>
      <c r="K512" s="13"/>
      <c r="L512" s="13"/>
      <c r="M512" s="13"/>
      <c r="N512" s="13"/>
      <c r="O512" s="897"/>
      <c r="P512" s="13"/>
      <c r="Q512" s="19"/>
      <c r="R512" s="19"/>
      <c r="S512" s="19"/>
      <c r="T512" s="19"/>
      <c r="U512" s="19"/>
      <c r="V512" s="19"/>
      <c r="W512" s="19"/>
      <c r="X512" s="19"/>
      <c r="Y512" s="19"/>
      <c r="Z512" s="19"/>
      <c r="AA512" s="19"/>
      <c r="AB512" s="19"/>
      <c r="AC512" s="19"/>
      <c r="AD512" s="19"/>
    </row>
    <row r="513" spans="1:32" ht="14.1" hidden="1" customHeight="1" outlineLevel="1" x14ac:dyDescent="0.2">
      <c r="A513" s="190"/>
      <c r="B513" s="19"/>
      <c r="C513" s="270"/>
      <c r="D513" s="923" t="s">
        <v>738</v>
      </c>
      <c r="E513" s="292">
        <f t="shared" ref="E513:N513" si="221">SUM(E511+E508+E505+E502+E499+E496+E493+E490+E487+E481+E478+E475)*eSystemsPrintRoomArea_Each</f>
        <v>372</v>
      </c>
      <c r="F513" s="292">
        <f t="shared" si="221"/>
        <v>390</v>
      </c>
      <c r="G513" s="292">
        <f t="shared" si="221"/>
        <v>390</v>
      </c>
      <c r="H513" s="292">
        <f t="shared" si="221"/>
        <v>390</v>
      </c>
      <c r="I513" s="292">
        <f t="shared" si="221"/>
        <v>390</v>
      </c>
      <c r="J513" s="292">
        <f t="shared" si="221"/>
        <v>390</v>
      </c>
      <c r="K513" s="292">
        <f t="shared" si="221"/>
        <v>390</v>
      </c>
      <c r="L513" s="292">
        <f t="shared" si="221"/>
        <v>390</v>
      </c>
      <c r="M513" s="292">
        <f t="shared" si="221"/>
        <v>390</v>
      </c>
      <c r="N513" s="292">
        <f t="shared" si="221"/>
        <v>390</v>
      </c>
      <c r="O513" s="257" t="s">
        <v>737</v>
      </c>
      <c r="P513" s="13"/>
      <c r="Q513" s="19"/>
      <c r="R513" s="19"/>
      <c r="S513" s="19"/>
      <c r="T513" s="19"/>
      <c r="U513" s="19"/>
      <c r="V513" s="19"/>
      <c r="W513" s="19"/>
      <c r="X513" s="19"/>
      <c r="Y513" s="19"/>
      <c r="Z513" s="19"/>
      <c r="AA513" s="19"/>
      <c r="AB513" s="19"/>
      <c r="AC513" s="19"/>
      <c r="AD513" s="19"/>
    </row>
    <row r="514" spans="1:32" s="41" customFormat="1" ht="13.5" hidden="1" outlineLevel="1" thickBot="1" x14ac:dyDescent="0.25">
      <c r="A514" s="190"/>
      <c r="B514" s="19"/>
      <c r="C514" s="170"/>
      <c r="D514" s="278"/>
      <c r="E514" s="278"/>
      <c r="F514" s="278"/>
      <c r="G514" s="278"/>
      <c r="H514" s="278"/>
      <c r="I514" s="278"/>
      <c r="J514" s="278"/>
      <c r="K514" s="278"/>
      <c r="L514" s="278"/>
      <c r="M514" s="278"/>
      <c r="N514" s="278"/>
      <c r="O514" s="643"/>
      <c r="P514" s="38"/>
      <c r="Q514" s="38"/>
      <c r="R514" s="38"/>
      <c r="S514" s="38"/>
      <c r="T514" s="38"/>
      <c r="U514" s="38"/>
      <c r="V514" s="38"/>
      <c r="W514" s="38"/>
      <c r="X514" s="38"/>
      <c r="Y514" s="38"/>
      <c r="Z514" s="38"/>
      <c r="AA514" s="38"/>
      <c r="AB514" s="38"/>
      <c r="AC514" s="38"/>
      <c r="AD514" s="38"/>
    </row>
    <row r="515" spans="1:32" s="7" customFormat="1" ht="14.25" hidden="1" customHeight="1" outlineLevel="1" x14ac:dyDescent="0.2">
      <c r="A515" s="190"/>
      <c r="B515" s="24"/>
      <c r="C515" s="180"/>
      <c r="D515" s="820"/>
      <c r="E515" s="179"/>
      <c r="F515" s="179"/>
      <c r="G515" s="179"/>
      <c r="H515" s="179"/>
      <c r="I515" s="179"/>
      <c r="J515" s="179"/>
      <c r="K515" s="179"/>
      <c r="L515" s="179"/>
      <c r="M515" s="179"/>
      <c r="N515" s="179"/>
      <c r="O515" s="494"/>
      <c r="P515" s="50"/>
      <c r="Q515" s="24"/>
      <c r="R515" s="24"/>
      <c r="S515" s="24"/>
      <c r="T515" s="24"/>
      <c r="U515" s="24"/>
      <c r="V515" s="24"/>
      <c r="W515" s="24"/>
      <c r="X515" s="24"/>
      <c r="Y515" s="24"/>
      <c r="Z515" s="24"/>
      <c r="AA515" s="24"/>
      <c r="AB515" s="24"/>
      <c r="AC515" s="24"/>
      <c r="AD515" s="24"/>
    </row>
    <row r="516" spans="1:32" s="122" customFormat="1" ht="15.75" collapsed="1" x14ac:dyDescent="0.2">
      <c r="A516" s="1043">
        <v>11</v>
      </c>
      <c r="B516" s="1039"/>
      <c r="C516" s="1039"/>
      <c r="D516" s="1039"/>
      <c r="E516" s="1039"/>
      <c r="F516" s="1039"/>
      <c r="G516" s="1039"/>
      <c r="H516" s="1039"/>
      <c r="I516" s="1039"/>
      <c r="J516" s="1039"/>
      <c r="K516" s="1039"/>
      <c r="L516" s="1039"/>
      <c r="M516" s="1039"/>
      <c r="N516" s="1039"/>
      <c r="O516" s="1039"/>
      <c r="P516" s="206"/>
      <c r="Q516" s="206"/>
      <c r="R516" s="206"/>
      <c r="S516" s="206"/>
      <c r="T516" s="206"/>
      <c r="U516" s="206"/>
      <c r="V516" s="206"/>
      <c r="W516" s="206"/>
      <c r="X516" s="206"/>
      <c r="Y516" s="206"/>
      <c r="Z516" s="206"/>
      <c r="AA516" s="206"/>
      <c r="AB516" s="206"/>
      <c r="AC516" s="206"/>
      <c r="AD516" s="206"/>
      <c r="AE516" s="206"/>
      <c r="AF516" s="206"/>
    </row>
    <row r="517" spans="1:32" ht="13.5" thickBot="1" x14ac:dyDescent="0.25">
      <c r="P517" s="802"/>
    </row>
    <row r="518" spans="1:32" s="18" customFormat="1" ht="20.100000000000001" customHeight="1" x14ac:dyDescent="0.2">
      <c r="A518" s="1401" t="s">
        <v>4297</v>
      </c>
      <c r="B518" s="267"/>
      <c r="C518" s="968" t="s">
        <v>272</v>
      </c>
      <c r="D518" s="23"/>
      <c r="E518" s="23"/>
      <c r="F518" s="23"/>
      <c r="G518" s="23"/>
      <c r="H518" s="23"/>
      <c r="I518" s="23"/>
      <c r="J518" s="23"/>
      <c r="K518" s="23"/>
      <c r="L518" s="23"/>
      <c r="M518" s="23"/>
      <c r="N518" s="23"/>
      <c r="O518" s="23"/>
      <c r="P518" s="12"/>
      <c r="Q518" s="12"/>
    </row>
    <row r="519" spans="1:32" s="18" customFormat="1" ht="12" customHeight="1" x14ac:dyDescent="0.2">
      <c r="A519" s="1402"/>
      <c r="B519" s="267"/>
      <c r="C519" s="267"/>
      <c r="D519" s="30"/>
      <c r="E519" s="23"/>
      <c r="F519" s="23"/>
      <c r="G519" s="23"/>
      <c r="H519" s="23"/>
      <c r="I519" s="23"/>
      <c r="J519" s="23"/>
      <c r="K519" s="23"/>
      <c r="L519" s="23"/>
      <c r="M519" s="23"/>
      <c r="N519" s="23"/>
      <c r="O519" s="23"/>
      <c r="P519" s="12"/>
      <c r="Q519" s="12"/>
    </row>
    <row r="520" spans="1:32" s="18" customFormat="1" ht="20.25" customHeight="1" x14ac:dyDescent="0.2">
      <c r="A520" s="1403"/>
      <c r="B520" s="267"/>
      <c r="C520" s="267"/>
      <c r="D520" s="30"/>
      <c r="E520" s="23"/>
      <c r="F520" s="23"/>
      <c r="G520" s="23"/>
      <c r="H520" s="23"/>
      <c r="I520" s="23"/>
      <c r="J520" s="23"/>
      <c r="K520" s="23"/>
      <c r="L520" s="23"/>
      <c r="M520" s="23"/>
      <c r="N520" s="23"/>
      <c r="O520" s="23"/>
      <c r="P520" s="12"/>
      <c r="Q520" s="12"/>
    </row>
    <row r="521" spans="1:32" s="7" customFormat="1" x14ac:dyDescent="0.2">
      <c r="A521" s="190"/>
      <c r="B521" s="24"/>
      <c r="C521" s="180"/>
      <c r="D521" s="820"/>
      <c r="E521" s="179"/>
      <c r="F521" s="179"/>
      <c r="G521" s="179"/>
      <c r="H521" s="179"/>
      <c r="I521" s="179"/>
      <c r="J521" s="179"/>
      <c r="K521" s="179"/>
      <c r="L521" s="179"/>
      <c r="M521" s="179"/>
      <c r="N521" s="179"/>
      <c r="O521" s="494"/>
      <c r="P521" s="50"/>
      <c r="Q521" s="24"/>
      <c r="R521" s="24"/>
      <c r="S521" s="24"/>
      <c r="T521" s="24"/>
      <c r="U521" s="24"/>
      <c r="V521" s="24"/>
      <c r="W521" s="24"/>
      <c r="X521" s="24"/>
      <c r="Y521" s="24"/>
      <c r="Z521" s="24"/>
      <c r="AA521" s="24"/>
      <c r="AB521" s="24"/>
      <c r="AC521" s="24"/>
      <c r="AD521" s="24"/>
    </row>
    <row r="522" spans="1:32" s="7" customFormat="1" ht="13.5" hidden="1" outlineLevel="1" thickBot="1" x14ac:dyDescent="0.25">
      <c r="A522" s="190"/>
      <c r="B522" s="24"/>
      <c r="C522" s="180"/>
      <c r="D522" s="820"/>
      <c r="E522" s="179"/>
      <c r="F522" s="179"/>
      <c r="G522" s="179"/>
      <c r="H522" s="179"/>
      <c r="I522" s="179"/>
      <c r="J522" s="179"/>
      <c r="K522" s="179"/>
      <c r="L522" s="179"/>
      <c r="M522" s="179"/>
      <c r="N522" s="179"/>
      <c r="O522" s="494"/>
      <c r="P522" s="50"/>
      <c r="Q522" s="24"/>
      <c r="R522" s="24"/>
      <c r="S522" s="24"/>
      <c r="T522" s="24"/>
      <c r="U522" s="24"/>
      <c r="V522" s="24"/>
      <c r="W522" s="24"/>
      <c r="X522" s="24"/>
      <c r="Y522" s="24"/>
      <c r="Z522" s="24"/>
      <c r="AA522" s="24"/>
      <c r="AB522" s="24"/>
      <c r="AC522" s="24"/>
      <c r="AD522" s="24"/>
    </row>
    <row r="523" spans="1:32" s="7" customFormat="1" hidden="1" outlineLevel="1" x14ac:dyDescent="0.2">
      <c r="A523" s="1397" t="s">
        <v>4298</v>
      </c>
      <c r="B523" s="24"/>
      <c r="C523" s="912" t="str">
        <f>Scenario1&amp;" Filing Cabinet Area Required"</f>
        <v>pSystems (Paper) Filing Cabinet Area Required</v>
      </c>
      <c r="D523" s="824"/>
      <c r="E523" s="286"/>
      <c r="F523" s="286"/>
      <c r="G523" s="286"/>
      <c r="H523" s="286"/>
      <c r="I523" s="286"/>
      <c r="J523" s="286"/>
      <c r="K523" s="286"/>
      <c r="L523" s="286"/>
      <c r="M523" s="286"/>
      <c r="N523" s="286"/>
      <c r="O523" s="813"/>
      <c r="P523" s="50"/>
      <c r="Q523" s="24"/>
      <c r="R523" s="24"/>
      <c r="S523" s="24"/>
      <c r="T523" s="24"/>
      <c r="U523" s="24"/>
      <c r="V523" s="24"/>
      <c r="W523" s="24"/>
      <c r="X523" s="24"/>
      <c r="Y523" s="24"/>
      <c r="Z523" s="24"/>
      <c r="AA523" s="24"/>
      <c r="AB523" s="24"/>
      <c r="AC523" s="24"/>
      <c r="AD523" s="24"/>
    </row>
    <row r="524" spans="1:32" s="21" customFormat="1" ht="14.1" hidden="1" customHeight="1" outlineLevel="1" x14ac:dyDescent="0.2">
      <c r="A524" s="1398"/>
      <c r="B524" s="48"/>
      <c r="C524" s="837"/>
      <c r="D524" s="59"/>
      <c r="E524" s="59"/>
      <c r="F524" s="59"/>
      <c r="G524" s="59"/>
      <c r="H524" s="59"/>
      <c r="I524" s="59"/>
      <c r="J524" s="59"/>
      <c r="K524" s="59"/>
      <c r="L524" s="59"/>
      <c r="M524" s="59"/>
      <c r="N524" s="59"/>
      <c r="O524" s="897"/>
      <c r="P524" s="59"/>
      <c r="Q524" s="48"/>
      <c r="R524" s="48"/>
      <c r="S524" s="48"/>
      <c r="T524" s="48"/>
      <c r="U524" s="48"/>
      <c r="V524" s="48"/>
      <c r="W524" s="48"/>
      <c r="X524" s="48"/>
      <c r="Y524" s="48"/>
      <c r="Z524" s="48"/>
      <c r="AA524" s="48"/>
      <c r="AB524" s="48"/>
      <c r="AC524" s="48"/>
      <c r="AD524" s="48"/>
    </row>
    <row r="525" spans="1:32" ht="14.1" hidden="1" customHeight="1" outlineLevel="1" x14ac:dyDescent="0.2">
      <c r="A525" s="1398"/>
      <c r="B525" s="13"/>
      <c r="C525" s="165"/>
      <c r="D525" s="60" t="str">
        <f>"Filing Cabinet Area per "&amp;(OfficeLeaseUnit)</f>
        <v>Filing Cabinet Area per m2</v>
      </c>
      <c r="E525" s="943">
        <v>1.5</v>
      </c>
      <c r="F525" s="943">
        <v>1.5</v>
      </c>
      <c r="G525" s="943">
        <v>1.5</v>
      </c>
      <c r="H525" s="943">
        <v>1.5</v>
      </c>
      <c r="I525" s="943">
        <v>1.5</v>
      </c>
      <c r="J525" s="943">
        <v>1.5</v>
      </c>
      <c r="K525" s="943">
        <v>1.5</v>
      </c>
      <c r="L525" s="943">
        <v>1.5</v>
      </c>
      <c r="M525" s="943">
        <v>1.5</v>
      </c>
      <c r="N525" s="943">
        <v>1.5</v>
      </c>
      <c r="O525" s="257" t="s">
        <v>739</v>
      </c>
      <c r="P525" s="13"/>
      <c r="Q525" s="19"/>
      <c r="R525" s="19"/>
      <c r="S525" s="19"/>
      <c r="T525" s="19"/>
      <c r="U525" s="19"/>
      <c r="V525" s="19"/>
      <c r="W525" s="19"/>
      <c r="X525" s="19"/>
      <c r="Y525" s="19"/>
      <c r="Z525" s="19"/>
      <c r="AA525" s="19"/>
      <c r="AB525" s="19"/>
      <c r="AC525" s="19"/>
      <c r="AD525" s="19"/>
    </row>
    <row r="526" spans="1:32" ht="14.1" hidden="1" customHeight="1" outlineLevel="1" x14ac:dyDescent="0.2">
      <c r="A526" s="1398"/>
      <c r="B526" s="19"/>
      <c r="C526" s="165"/>
      <c r="D526" s="833"/>
      <c r="E526" s="917"/>
      <c r="F526" s="917"/>
      <c r="G526" s="917"/>
      <c r="H526" s="13"/>
      <c r="I526" s="13"/>
      <c r="J526" s="13"/>
      <c r="K526" s="13"/>
      <c r="L526" s="13"/>
      <c r="M526" s="13"/>
      <c r="N526" s="13"/>
      <c r="O526" s="938"/>
      <c r="P526" s="13"/>
      <c r="Q526" s="19"/>
      <c r="R526" s="19"/>
      <c r="S526" s="19"/>
      <c r="T526" s="19"/>
      <c r="U526" s="19"/>
      <c r="V526" s="19"/>
      <c r="W526" s="19"/>
      <c r="X526" s="19"/>
      <c r="Y526" s="19"/>
      <c r="Z526" s="19"/>
      <c r="AA526" s="19"/>
      <c r="AB526" s="19"/>
      <c r="AC526" s="19"/>
      <c r="AD526" s="19"/>
    </row>
    <row r="527" spans="1:32" ht="14.1" hidden="1" customHeight="1" outlineLevel="1" x14ac:dyDescent="0.2">
      <c r="A527" s="1398"/>
      <c r="B527" s="19"/>
      <c r="C527" s="165"/>
      <c r="D527" s="57" t="s">
        <v>740</v>
      </c>
      <c r="E527" s="939">
        <v>2</v>
      </c>
      <c r="F527" s="939">
        <v>2</v>
      </c>
      <c r="G527" s="939">
        <v>2</v>
      </c>
      <c r="H527" s="939">
        <v>2</v>
      </c>
      <c r="I527" s="939">
        <v>2</v>
      </c>
      <c r="J527" s="939">
        <v>2</v>
      </c>
      <c r="K527" s="939">
        <v>2</v>
      </c>
      <c r="L527" s="939">
        <v>2</v>
      </c>
      <c r="M527" s="939">
        <v>2</v>
      </c>
      <c r="N527" s="939">
        <v>2</v>
      </c>
      <c r="O527" s="938"/>
      <c r="P527" s="13"/>
      <c r="Q527" s="19"/>
      <c r="R527" s="19"/>
      <c r="S527" s="19"/>
      <c r="T527" s="19"/>
      <c r="U527" s="19"/>
      <c r="V527" s="19"/>
      <c r="W527" s="19"/>
      <c r="X527" s="19"/>
      <c r="Y527" s="19"/>
      <c r="Z527" s="19"/>
      <c r="AA527" s="19"/>
      <c r="AB527" s="19"/>
      <c r="AC527" s="19"/>
      <c r="AD527" s="19"/>
    </row>
    <row r="528" spans="1:32" ht="14.1" hidden="1" customHeight="1" outlineLevel="1" x14ac:dyDescent="0.2">
      <c r="A528" s="1398"/>
      <c r="B528" s="19"/>
      <c r="C528" s="165"/>
      <c r="D528" s="54" t="s">
        <v>741</v>
      </c>
      <c r="E528" s="914">
        <f t="shared" ref="E528:N528" si="222">SUM(E527*LocTransit)</f>
        <v>38</v>
      </c>
      <c r="F528" s="914">
        <f t="shared" si="222"/>
        <v>40</v>
      </c>
      <c r="G528" s="914">
        <f t="shared" si="222"/>
        <v>40</v>
      </c>
      <c r="H528" s="914">
        <f t="shared" si="222"/>
        <v>40</v>
      </c>
      <c r="I528" s="914">
        <f t="shared" si="222"/>
        <v>40</v>
      </c>
      <c r="J528" s="914">
        <f t="shared" si="222"/>
        <v>40</v>
      </c>
      <c r="K528" s="914">
        <f t="shared" si="222"/>
        <v>40</v>
      </c>
      <c r="L528" s="914">
        <f t="shared" si="222"/>
        <v>40</v>
      </c>
      <c r="M528" s="914">
        <f t="shared" si="222"/>
        <v>40</v>
      </c>
      <c r="N528" s="914">
        <f t="shared" si="222"/>
        <v>40</v>
      </c>
      <c r="O528" s="938"/>
      <c r="P528" s="13"/>
      <c r="Q528" s="19"/>
      <c r="R528" s="19"/>
      <c r="S528" s="19"/>
      <c r="T528" s="19"/>
      <c r="U528" s="19"/>
      <c r="V528" s="19"/>
      <c r="W528" s="19"/>
      <c r="X528" s="19"/>
      <c r="Y528" s="19"/>
      <c r="Z528" s="19"/>
      <c r="AA528" s="19"/>
      <c r="AB528" s="19"/>
      <c r="AC528" s="19"/>
      <c r="AD528" s="19"/>
    </row>
    <row r="529" spans="1:30" ht="14.1" hidden="1" customHeight="1" outlineLevel="1" x14ac:dyDescent="0.2">
      <c r="A529" s="1398"/>
      <c r="B529" s="19"/>
      <c r="C529" s="165"/>
      <c r="D529" s="54"/>
      <c r="E529" s="38"/>
      <c r="F529" s="38"/>
      <c r="G529" s="38"/>
      <c r="H529" s="38"/>
      <c r="I529" s="38"/>
      <c r="J529" s="38"/>
      <c r="K529" s="38"/>
      <c r="L529" s="38"/>
      <c r="M529" s="38"/>
      <c r="N529" s="38"/>
      <c r="O529" s="938"/>
      <c r="P529" s="13"/>
      <c r="Q529" s="19"/>
      <c r="R529" s="19"/>
      <c r="S529" s="19"/>
      <c r="T529" s="19"/>
      <c r="U529" s="19"/>
      <c r="V529" s="19"/>
      <c r="W529" s="19"/>
      <c r="X529" s="19"/>
      <c r="Y529" s="19"/>
      <c r="Z529" s="19"/>
      <c r="AA529" s="19"/>
      <c r="AB529" s="19"/>
      <c r="AC529" s="19"/>
      <c r="AD529" s="19"/>
    </row>
    <row r="530" spans="1:30" ht="14.1" hidden="1" customHeight="1" outlineLevel="1" x14ac:dyDescent="0.2">
      <c r="A530" s="1398"/>
      <c r="B530" s="19"/>
      <c r="C530" s="165"/>
      <c r="D530" s="57" t="s">
        <v>742</v>
      </c>
      <c r="E530" s="939">
        <v>2</v>
      </c>
      <c r="F530" s="939">
        <v>2</v>
      </c>
      <c r="G530" s="939">
        <v>2</v>
      </c>
      <c r="H530" s="939">
        <v>2</v>
      </c>
      <c r="I530" s="939">
        <v>2</v>
      </c>
      <c r="J530" s="939">
        <v>2</v>
      </c>
      <c r="K530" s="939">
        <v>2</v>
      </c>
      <c r="L530" s="939">
        <v>2</v>
      </c>
      <c r="M530" s="939">
        <v>2</v>
      </c>
      <c r="N530" s="939">
        <v>2</v>
      </c>
      <c r="O530" s="938"/>
      <c r="P530" s="13"/>
      <c r="Q530" s="19"/>
      <c r="R530" s="19"/>
      <c r="S530" s="19"/>
      <c r="T530" s="19"/>
      <c r="U530" s="19"/>
      <c r="V530" s="19"/>
      <c r="W530" s="19"/>
      <c r="X530" s="19"/>
      <c r="Y530" s="19"/>
      <c r="Z530" s="19"/>
      <c r="AA530" s="19"/>
      <c r="AB530" s="19"/>
      <c r="AC530" s="19"/>
      <c r="AD530" s="19"/>
    </row>
    <row r="531" spans="1:30" ht="14.1" hidden="1" customHeight="1" outlineLevel="1" x14ac:dyDescent="0.2">
      <c r="A531" s="1398"/>
      <c r="B531" s="19"/>
      <c r="C531" s="165"/>
      <c r="D531" s="54" t="s">
        <v>743</v>
      </c>
      <c r="E531" s="914">
        <f t="shared" ref="E531:N531" si="223">SUM(E530*LocLM)</f>
        <v>16</v>
      </c>
      <c r="F531" s="914">
        <f t="shared" si="223"/>
        <v>18</v>
      </c>
      <c r="G531" s="914">
        <f t="shared" si="223"/>
        <v>18</v>
      </c>
      <c r="H531" s="914">
        <f t="shared" si="223"/>
        <v>18</v>
      </c>
      <c r="I531" s="914">
        <f t="shared" si="223"/>
        <v>18</v>
      </c>
      <c r="J531" s="914">
        <f t="shared" si="223"/>
        <v>18</v>
      </c>
      <c r="K531" s="914">
        <f t="shared" si="223"/>
        <v>18</v>
      </c>
      <c r="L531" s="914">
        <f t="shared" si="223"/>
        <v>18</v>
      </c>
      <c r="M531" s="914">
        <f t="shared" si="223"/>
        <v>18</v>
      </c>
      <c r="N531" s="914">
        <f t="shared" si="223"/>
        <v>18</v>
      </c>
      <c r="O531" s="938"/>
      <c r="P531" s="13"/>
      <c r="Q531" s="19"/>
      <c r="R531" s="19"/>
      <c r="S531" s="19"/>
      <c r="T531" s="19"/>
      <c r="U531" s="19"/>
      <c r="V531" s="19"/>
      <c r="W531" s="19"/>
      <c r="X531" s="19"/>
      <c r="Y531" s="19"/>
      <c r="Z531" s="19"/>
      <c r="AA531" s="19"/>
      <c r="AB531" s="19"/>
      <c r="AC531" s="19"/>
      <c r="AD531" s="19"/>
    </row>
    <row r="532" spans="1:30" ht="14.1" hidden="1" customHeight="1" outlineLevel="1" x14ac:dyDescent="0.2">
      <c r="A532" s="1398"/>
      <c r="B532" s="19"/>
      <c r="C532" s="165"/>
      <c r="D532" s="54"/>
      <c r="E532" s="38"/>
      <c r="F532" s="38"/>
      <c r="G532" s="38"/>
      <c r="H532" s="38"/>
      <c r="I532" s="38"/>
      <c r="J532" s="38"/>
      <c r="K532" s="38"/>
      <c r="L532" s="38"/>
      <c r="M532" s="38"/>
      <c r="N532" s="38"/>
      <c r="O532" s="938"/>
      <c r="P532" s="13"/>
      <c r="Q532" s="19"/>
      <c r="R532" s="19"/>
      <c r="S532" s="19"/>
      <c r="T532" s="19"/>
      <c r="U532" s="19"/>
      <c r="V532" s="19"/>
      <c r="W532" s="19"/>
      <c r="X532" s="19"/>
      <c r="Y532" s="19"/>
      <c r="Z532" s="19"/>
      <c r="AA532" s="19"/>
      <c r="AB532" s="19"/>
      <c r="AC532" s="19"/>
      <c r="AD532" s="19"/>
    </row>
    <row r="533" spans="1:30" ht="14.1" hidden="1" customHeight="1" outlineLevel="1" x14ac:dyDescent="0.2">
      <c r="A533" s="1398"/>
      <c r="B533" s="19"/>
      <c r="C533" s="165"/>
      <c r="D533" s="57" t="s">
        <v>744</v>
      </c>
      <c r="E533" s="939">
        <v>3</v>
      </c>
      <c r="F533" s="939">
        <v>3</v>
      </c>
      <c r="G533" s="939">
        <v>3</v>
      </c>
      <c r="H533" s="939">
        <v>3</v>
      </c>
      <c r="I533" s="939">
        <v>3</v>
      </c>
      <c r="J533" s="939">
        <v>3</v>
      </c>
      <c r="K533" s="939">
        <v>3</v>
      </c>
      <c r="L533" s="939">
        <v>3</v>
      </c>
      <c r="M533" s="939">
        <v>3</v>
      </c>
      <c r="N533" s="939">
        <v>3</v>
      </c>
      <c r="O533" s="938"/>
      <c r="P533" s="13"/>
      <c r="Q533" s="19"/>
      <c r="R533" s="19"/>
      <c r="S533" s="19"/>
      <c r="T533" s="19"/>
      <c r="U533" s="19"/>
      <c r="V533" s="19"/>
      <c r="W533" s="19"/>
      <c r="X533" s="19"/>
      <c r="Y533" s="19"/>
      <c r="Z533" s="19"/>
      <c r="AA533" s="19"/>
      <c r="AB533" s="19"/>
      <c r="AC533" s="19"/>
      <c r="AD533" s="19"/>
    </row>
    <row r="534" spans="1:30" ht="14.1" hidden="1" customHeight="1" outlineLevel="1" x14ac:dyDescent="0.2">
      <c r="A534" s="1398"/>
      <c r="B534" s="19"/>
      <c r="C534" s="165"/>
      <c r="D534" s="54" t="s">
        <v>745</v>
      </c>
      <c r="E534" s="914">
        <f t="shared" ref="E534:N534" si="224">SUM(E533*LocHM)</f>
        <v>3</v>
      </c>
      <c r="F534" s="914">
        <f t="shared" si="224"/>
        <v>3</v>
      </c>
      <c r="G534" s="914">
        <f t="shared" si="224"/>
        <v>3</v>
      </c>
      <c r="H534" s="914">
        <f t="shared" si="224"/>
        <v>3</v>
      </c>
      <c r="I534" s="914">
        <f t="shared" si="224"/>
        <v>3</v>
      </c>
      <c r="J534" s="914">
        <f t="shared" si="224"/>
        <v>3</v>
      </c>
      <c r="K534" s="914">
        <f t="shared" si="224"/>
        <v>3</v>
      </c>
      <c r="L534" s="914">
        <f t="shared" si="224"/>
        <v>3</v>
      </c>
      <c r="M534" s="914">
        <f t="shared" si="224"/>
        <v>3</v>
      </c>
      <c r="N534" s="914">
        <f t="shared" si="224"/>
        <v>3</v>
      </c>
      <c r="O534" s="938"/>
      <c r="P534" s="13"/>
      <c r="Q534" s="19"/>
      <c r="R534" s="19"/>
      <c r="S534" s="19"/>
      <c r="T534" s="19"/>
      <c r="U534" s="19"/>
      <c r="V534" s="19"/>
      <c r="W534" s="19"/>
      <c r="X534" s="19"/>
      <c r="Y534" s="19"/>
      <c r="Z534" s="19"/>
      <c r="AA534" s="19"/>
      <c r="AB534" s="19"/>
      <c r="AC534" s="19"/>
      <c r="AD534" s="19"/>
    </row>
    <row r="535" spans="1:30" ht="14.1" hidden="1" customHeight="1" outlineLevel="1" x14ac:dyDescent="0.2">
      <c r="A535" s="1398"/>
      <c r="B535" s="19"/>
      <c r="C535" s="165"/>
      <c r="D535" s="54"/>
      <c r="E535" s="38"/>
      <c r="F535" s="38"/>
      <c r="G535" s="38"/>
      <c r="H535" s="38"/>
      <c r="I535" s="38"/>
      <c r="J535" s="38"/>
      <c r="K535" s="38"/>
      <c r="L535" s="38"/>
      <c r="M535" s="38"/>
      <c r="N535" s="38"/>
      <c r="O535" s="938"/>
      <c r="P535" s="13"/>
      <c r="Q535" s="19"/>
      <c r="R535" s="19"/>
      <c r="S535" s="19"/>
      <c r="T535" s="19"/>
      <c r="U535" s="19"/>
      <c r="V535" s="19"/>
      <c r="W535" s="19"/>
      <c r="X535" s="19"/>
      <c r="Y535" s="19"/>
      <c r="Z535" s="19"/>
      <c r="AA535" s="19"/>
      <c r="AB535" s="19"/>
      <c r="AC535" s="19"/>
      <c r="AD535" s="19"/>
    </row>
    <row r="536" spans="1:30" ht="14.1" hidden="1" customHeight="1" outlineLevel="1" x14ac:dyDescent="0.2">
      <c r="A536" s="1398"/>
      <c r="B536" s="19"/>
      <c r="C536" s="165"/>
      <c r="D536" s="57" t="s">
        <v>995</v>
      </c>
      <c r="E536" s="939">
        <v>6</v>
      </c>
      <c r="F536" s="939">
        <v>6</v>
      </c>
      <c r="G536" s="939">
        <v>6</v>
      </c>
      <c r="H536" s="939">
        <v>6</v>
      </c>
      <c r="I536" s="939">
        <v>6</v>
      </c>
      <c r="J536" s="939">
        <v>6</v>
      </c>
      <c r="K536" s="939">
        <v>6</v>
      </c>
      <c r="L536" s="939">
        <v>6</v>
      </c>
      <c r="M536" s="939">
        <v>6</v>
      </c>
      <c r="N536" s="939">
        <v>6</v>
      </c>
      <c r="O536" s="271"/>
      <c r="P536" s="13"/>
      <c r="Q536" s="19"/>
      <c r="R536" s="19"/>
      <c r="S536" s="19"/>
      <c r="T536" s="19"/>
      <c r="U536" s="19"/>
      <c r="V536" s="19"/>
      <c r="W536" s="19"/>
      <c r="X536" s="19"/>
      <c r="Y536" s="19"/>
      <c r="Z536" s="19"/>
      <c r="AA536" s="19"/>
      <c r="AB536" s="19"/>
      <c r="AC536" s="19"/>
      <c r="AD536" s="19"/>
    </row>
    <row r="537" spans="1:30" ht="14.1" hidden="1" customHeight="1" outlineLevel="1" x14ac:dyDescent="0.2">
      <c r="A537" s="1398"/>
      <c r="B537" s="19"/>
      <c r="C537" s="165"/>
      <c r="D537" s="54" t="s">
        <v>996</v>
      </c>
      <c r="E537" s="914">
        <f t="shared" ref="E537:N537" si="225">SUM(E536*LocENG)</f>
        <v>6</v>
      </c>
      <c r="F537" s="914">
        <f t="shared" si="225"/>
        <v>6</v>
      </c>
      <c r="G537" s="914">
        <f t="shared" si="225"/>
        <v>6</v>
      </c>
      <c r="H537" s="914">
        <f t="shared" si="225"/>
        <v>6</v>
      </c>
      <c r="I537" s="914">
        <f t="shared" si="225"/>
        <v>6</v>
      </c>
      <c r="J537" s="914">
        <f t="shared" si="225"/>
        <v>6</v>
      </c>
      <c r="K537" s="914">
        <f t="shared" si="225"/>
        <v>6</v>
      </c>
      <c r="L537" s="914">
        <f t="shared" si="225"/>
        <v>6</v>
      </c>
      <c r="M537" s="914">
        <f t="shared" si="225"/>
        <v>6</v>
      </c>
      <c r="N537" s="914">
        <f t="shared" si="225"/>
        <v>6</v>
      </c>
      <c r="O537" s="271"/>
      <c r="P537" s="13"/>
      <c r="Q537" s="19"/>
      <c r="R537" s="19"/>
      <c r="S537" s="19"/>
      <c r="T537" s="19"/>
      <c r="U537" s="19"/>
      <c r="V537" s="19"/>
      <c r="W537" s="19"/>
      <c r="X537" s="19"/>
      <c r="Y537" s="19"/>
      <c r="Z537" s="19"/>
      <c r="AA537" s="19"/>
      <c r="AB537" s="19"/>
      <c r="AC537" s="19"/>
      <c r="AD537" s="19"/>
    </row>
    <row r="538" spans="1:30" ht="14.1" hidden="1" customHeight="1" outlineLevel="1" x14ac:dyDescent="0.2">
      <c r="A538" s="1398"/>
      <c r="B538" s="19"/>
      <c r="C538" s="165"/>
      <c r="D538" s="54"/>
      <c r="E538" s="38"/>
      <c r="F538" s="38"/>
      <c r="G538" s="38"/>
      <c r="H538" s="38"/>
      <c r="I538" s="38"/>
      <c r="J538" s="38"/>
      <c r="K538" s="38"/>
      <c r="L538" s="38"/>
      <c r="M538" s="38"/>
      <c r="N538" s="38"/>
      <c r="O538" s="938"/>
      <c r="P538" s="13"/>
      <c r="Q538" s="19"/>
      <c r="R538" s="19"/>
      <c r="S538" s="19"/>
      <c r="T538" s="19"/>
      <c r="U538" s="19"/>
      <c r="V538" s="19"/>
      <c r="W538" s="19"/>
      <c r="X538" s="19"/>
      <c r="Y538" s="19"/>
      <c r="Z538" s="19"/>
      <c r="AA538" s="19"/>
      <c r="AB538" s="19"/>
      <c r="AC538" s="19"/>
      <c r="AD538" s="19"/>
    </row>
    <row r="539" spans="1:30" ht="14.1" hidden="1" customHeight="1" outlineLevel="1" x14ac:dyDescent="0.2">
      <c r="A539" s="1398"/>
      <c r="B539" s="19"/>
      <c r="C539" s="165"/>
      <c r="D539" s="57" t="s">
        <v>997</v>
      </c>
      <c r="E539" s="939">
        <v>6</v>
      </c>
      <c r="F539" s="939">
        <v>6</v>
      </c>
      <c r="G539" s="939">
        <v>6</v>
      </c>
      <c r="H539" s="939">
        <v>6</v>
      </c>
      <c r="I539" s="939">
        <v>6</v>
      </c>
      <c r="J539" s="939">
        <v>6</v>
      </c>
      <c r="K539" s="939">
        <v>6</v>
      </c>
      <c r="L539" s="939">
        <v>6</v>
      </c>
      <c r="M539" s="939">
        <v>6</v>
      </c>
      <c r="N539" s="939">
        <v>6</v>
      </c>
      <c r="O539" s="271"/>
      <c r="P539" s="13"/>
      <c r="Q539" s="19"/>
      <c r="R539" s="19"/>
      <c r="S539" s="19"/>
      <c r="T539" s="19"/>
      <c r="U539" s="19"/>
      <c r="V539" s="19"/>
      <c r="W539" s="19"/>
      <c r="X539" s="19"/>
      <c r="Y539" s="19"/>
      <c r="Z539" s="19"/>
      <c r="AA539" s="19"/>
      <c r="AB539" s="19"/>
      <c r="AC539" s="19"/>
      <c r="AD539" s="19"/>
    </row>
    <row r="540" spans="1:30" ht="14.1" hidden="1" customHeight="1" outlineLevel="1" x14ac:dyDescent="0.2">
      <c r="A540" s="1398"/>
      <c r="B540" s="19"/>
      <c r="C540" s="165"/>
      <c r="D540" s="54" t="s">
        <v>998</v>
      </c>
      <c r="E540" s="914">
        <f t="shared" ref="E540:N540" si="226">SUM(E539*LocPLG)</f>
        <v>6</v>
      </c>
      <c r="F540" s="914">
        <f t="shared" si="226"/>
        <v>6</v>
      </c>
      <c r="G540" s="914">
        <f t="shared" si="226"/>
        <v>6</v>
      </c>
      <c r="H540" s="914">
        <f t="shared" si="226"/>
        <v>6</v>
      </c>
      <c r="I540" s="914">
        <f t="shared" si="226"/>
        <v>6</v>
      </c>
      <c r="J540" s="914">
        <f t="shared" si="226"/>
        <v>6</v>
      </c>
      <c r="K540" s="914">
        <f t="shared" si="226"/>
        <v>6</v>
      </c>
      <c r="L540" s="914">
        <f t="shared" si="226"/>
        <v>6</v>
      </c>
      <c r="M540" s="914">
        <f t="shared" si="226"/>
        <v>6</v>
      </c>
      <c r="N540" s="914">
        <f t="shared" si="226"/>
        <v>6</v>
      </c>
      <c r="O540" s="271"/>
      <c r="P540" s="13"/>
      <c r="Q540" s="19"/>
      <c r="R540" s="19"/>
      <c r="S540" s="19"/>
      <c r="T540" s="19"/>
      <c r="U540" s="19"/>
      <c r="V540" s="19"/>
      <c r="W540" s="19"/>
      <c r="X540" s="19"/>
      <c r="Y540" s="19"/>
      <c r="Z540" s="19"/>
      <c r="AA540" s="19"/>
      <c r="AB540" s="19"/>
      <c r="AC540" s="19"/>
      <c r="AD540" s="19"/>
    </row>
    <row r="541" spans="1:30" ht="14.1" hidden="1" customHeight="1" outlineLevel="1" x14ac:dyDescent="0.2">
      <c r="A541" s="1398"/>
      <c r="B541" s="19"/>
      <c r="C541" s="165"/>
      <c r="D541" s="54"/>
      <c r="E541" s="38"/>
      <c r="F541" s="38"/>
      <c r="G541" s="38"/>
      <c r="H541" s="38"/>
      <c r="I541" s="38"/>
      <c r="J541" s="38"/>
      <c r="K541" s="38"/>
      <c r="L541" s="38"/>
      <c r="M541" s="38"/>
      <c r="N541" s="38"/>
      <c r="O541" s="938"/>
      <c r="P541" s="13"/>
      <c r="Q541" s="19"/>
      <c r="R541" s="19"/>
      <c r="S541" s="19"/>
      <c r="T541" s="19"/>
      <c r="U541" s="19"/>
      <c r="V541" s="19"/>
      <c r="W541" s="19"/>
      <c r="X541" s="19"/>
      <c r="Y541" s="19"/>
      <c r="Z541" s="19"/>
      <c r="AA541" s="19"/>
      <c r="AB541" s="19"/>
      <c r="AC541" s="19"/>
      <c r="AD541" s="19"/>
    </row>
    <row r="542" spans="1:30" ht="14.1" hidden="1" customHeight="1" outlineLevel="1" x14ac:dyDescent="0.2">
      <c r="A542" s="1398"/>
      <c r="B542" s="19"/>
      <c r="C542" s="165"/>
      <c r="D542" s="57" t="s">
        <v>665</v>
      </c>
      <c r="E542" s="939">
        <v>3</v>
      </c>
      <c r="F542" s="939">
        <v>3</v>
      </c>
      <c r="G542" s="939">
        <v>3</v>
      </c>
      <c r="H542" s="939">
        <v>3</v>
      </c>
      <c r="I542" s="939">
        <v>3</v>
      </c>
      <c r="J542" s="939">
        <v>3</v>
      </c>
      <c r="K542" s="939">
        <v>3</v>
      </c>
      <c r="L542" s="939">
        <v>3</v>
      </c>
      <c r="M542" s="939">
        <v>3</v>
      </c>
      <c r="N542" s="939">
        <v>3</v>
      </c>
      <c r="O542" s="271"/>
      <c r="P542" s="13"/>
      <c r="Q542" s="19"/>
      <c r="R542" s="19"/>
      <c r="S542" s="19"/>
      <c r="T542" s="19"/>
      <c r="U542" s="19"/>
      <c r="V542" s="19"/>
      <c r="W542" s="19"/>
      <c r="X542" s="19"/>
      <c r="Y542" s="19"/>
      <c r="Z542" s="19"/>
      <c r="AA542" s="19"/>
      <c r="AB542" s="19"/>
      <c r="AC542" s="19"/>
      <c r="AD542" s="19"/>
    </row>
    <row r="543" spans="1:30" ht="14.1" hidden="1" customHeight="1" outlineLevel="1" x14ac:dyDescent="0.2">
      <c r="A543" s="1398"/>
      <c r="B543" s="19"/>
      <c r="C543" s="165"/>
      <c r="D543" s="54" t="s">
        <v>746</v>
      </c>
      <c r="E543" s="914">
        <f t="shared" ref="E543:N543" si="227">SUM(E542*LocCRT)</f>
        <v>27</v>
      </c>
      <c r="F543" s="914">
        <f t="shared" si="227"/>
        <v>27</v>
      </c>
      <c r="G543" s="914">
        <f t="shared" si="227"/>
        <v>27</v>
      </c>
      <c r="H543" s="914">
        <f t="shared" si="227"/>
        <v>27</v>
      </c>
      <c r="I543" s="914">
        <f t="shared" si="227"/>
        <v>27</v>
      </c>
      <c r="J543" s="914">
        <f t="shared" si="227"/>
        <v>27</v>
      </c>
      <c r="K543" s="914">
        <f t="shared" si="227"/>
        <v>27</v>
      </c>
      <c r="L543" s="914">
        <f t="shared" si="227"/>
        <v>27</v>
      </c>
      <c r="M543" s="914">
        <f t="shared" si="227"/>
        <v>27</v>
      </c>
      <c r="N543" s="914">
        <f t="shared" si="227"/>
        <v>27</v>
      </c>
      <c r="O543" s="271"/>
      <c r="P543" s="13"/>
      <c r="Q543" s="19"/>
      <c r="R543" s="19"/>
      <c r="S543" s="19"/>
      <c r="T543" s="19"/>
      <c r="U543" s="19"/>
      <c r="V543" s="19"/>
      <c r="W543" s="19"/>
      <c r="X543" s="19"/>
      <c r="Y543" s="19"/>
      <c r="Z543" s="19"/>
      <c r="AA543" s="19"/>
      <c r="AB543" s="19"/>
      <c r="AC543" s="19"/>
      <c r="AD543" s="19"/>
    </row>
    <row r="544" spans="1:30" s="7" customFormat="1" ht="14.1" hidden="1" customHeight="1" outlineLevel="1" x14ac:dyDescent="0.2">
      <c r="A544" s="1398"/>
      <c r="B544" s="24"/>
      <c r="C544" s="284"/>
      <c r="D544" s="27"/>
      <c r="E544" s="940"/>
      <c r="F544" s="940"/>
      <c r="G544" s="940"/>
      <c r="H544" s="940"/>
      <c r="I544" s="940"/>
      <c r="J544" s="940"/>
      <c r="K544" s="940"/>
      <c r="L544" s="940"/>
      <c r="M544" s="940"/>
      <c r="N544" s="940"/>
      <c r="O544" s="289"/>
      <c r="P544" s="50"/>
      <c r="Q544" s="24"/>
      <c r="R544" s="24"/>
      <c r="S544" s="24"/>
      <c r="T544" s="24"/>
      <c r="U544" s="24"/>
      <c r="V544" s="24"/>
      <c r="W544" s="24"/>
      <c r="X544" s="24"/>
      <c r="Y544" s="24"/>
      <c r="Z544" s="24"/>
      <c r="AA544" s="24"/>
      <c r="AB544" s="24"/>
      <c r="AC544" s="24"/>
      <c r="AD544" s="24"/>
    </row>
    <row r="545" spans="1:30" s="7" customFormat="1" ht="14.1" hidden="1" customHeight="1" outlineLevel="1" x14ac:dyDescent="0.2">
      <c r="A545" s="1398"/>
      <c r="B545" s="24"/>
      <c r="C545" s="165"/>
      <c r="D545" s="57" t="s">
        <v>747</v>
      </c>
      <c r="E545" s="939">
        <v>2</v>
      </c>
      <c r="F545" s="939">
        <v>2</v>
      </c>
      <c r="G545" s="939">
        <v>2</v>
      </c>
      <c r="H545" s="939">
        <v>2</v>
      </c>
      <c r="I545" s="939">
        <v>2</v>
      </c>
      <c r="J545" s="939">
        <v>2</v>
      </c>
      <c r="K545" s="939">
        <v>2</v>
      </c>
      <c r="L545" s="939">
        <v>2</v>
      </c>
      <c r="M545" s="939">
        <v>2</v>
      </c>
      <c r="N545" s="939">
        <v>2</v>
      </c>
      <c r="O545" s="941"/>
      <c r="P545" s="50"/>
      <c r="Q545" s="24"/>
      <c r="R545" s="24"/>
      <c r="S545" s="24"/>
      <c r="T545" s="24"/>
      <c r="U545" s="24"/>
      <c r="V545" s="24"/>
      <c r="W545" s="24"/>
      <c r="X545" s="24"/>
      <c r="Y545" s="24"/>
      <c r="Z545" s="24"/>
      <c r="AA545" s="24"/>
      <c r="AB545" s="24"/>
      <c r="AC545" s="24"/>
      <c r="AD545" s="24"/>
    </row>
    <row r="546" spans="1:30" ht="14.1" hidden="1" customHeight="1" outlineLevel="1" x14ac:dyDescent="0.2">
      <c r="A546" s="1398"/>
      <c r="B546" s="19"/>
      <c r="C546" s="165"/>
      <c r="D546" s="54" t="s">
        <v>748</v>
      </c>
      <c r="E546" s="914">
        <f t="shared" ref="E546:N546" si="228">SUM(E545*LocSCL)</f>
        <v>16</v>
      </c>
      <c r="F546" s="914">
        <f t="shared" si="228"/>
        <v>18</v>
      </c>
      <c r="G546" s="914">
        <f t="shared" si="228"/>
        <v>18</v>
      </c>
      <c r="H546" s="914">
        <f t="shared" si="228"/>
        <v>18</v>
      </c>
      <c r="I546" s="914">
        <f t="shared" si="228"/>
        <v>18</v>
      </c>
      <c r="J546" s="914">
        <f t="shared" si="228"/>
        <v>18</v>
      </c>
      <c r="K546" s="914">
        <f t="shared" si="228"/>
        <v>18</v>
      </c>
      <c r="L546" s="914">
        <f t="shared" si="228"/>
        <v>18</v>
      </c>
      <c r="M546" s="914">
        <f t="shared" si="228"/>
        <v>18</v>
      </c>
      <c r="N546" s="914">
        <f t="shared" si="228"/>
        <v>18</v>
      </c>
      <c r="O546" s="938"/>
      <c r="P546" s="13"/>
      <c r="Q546" s="19"/>
      <c r="R546" s="19"/>
      <c r="S546" s="19"/>
      <c r="T546" s="19"/>
      <c r="U546" s="19"/>
      <c r="V546" s="19"/>
      <c r="W546" s="19"/>
      <c r="X546" s="19"/>
      <c r="Y546" s="19"/>
      <c r="Z546" s="19"/>
      <c r="AA546" s="19"/>
      <c r="AB546" s="19"/>
      <c r="AC546" s="19"/>
      <c r="AD546" s="19"/>
    </row>
    <row r="547" spans="1:30" s="7" customFormat="1" ht="14.1" hidden="1" customHeight="1" outlineLevel="1" x14ac:dyDescent="0.2">
      <c r="A547" s="1398"/>
      <c r="B547" s="24"/>
      <c r="C547" s="284"/>
      <c r="D547" s="27"/>
      <c r="E547" s="940"/>
      <c r="F547" s="940"/>
      <c r="G547" s="940"/>
      <c r="H547" s="940"/>
      <c r="I547" s="940"/>
      <c r="J547" s="940"/>
      <c r="K547" s="940"/>
      <c r="L547" s="940"/>
      <c r="M547" s="940"/>
      <c r="N547" s="940"/>
      <c r="O547" s="289"/>
      <c r="P547" s="50"/>
      <c r="Q547" s="24"/>
      <c r="R547" s="24"/>
      <c r="S547" s="24"/>
      <c r="T547" s="24"/>
      <c r="U547" s="24"/>
      <c r="V547" s="24"/>
      <c r="W547" s="24"/>
      <c r="X547" s="24"/>
      <c r="Y547" s="24"/>
      <c r="Z547" s="24"/>
      <c r="AA547" s="24"/>
      <c r="AB547" s="24"/>
      <c r="AC547" s="24"/>
      <c r="AD547" s="24"/>
    </row>
    <row r="548" spans="1:30" s="7" customFormat="1" ht="14.1" hidden="1" customHeight="1" outlineLevel="1" x14ac:dyDescent="0.2">
      <c r="A548" s="1398"/>
      <c r="B548" s="24"/>
      <c r="C548" s="165"/>
      <c r="D548" s="57" t="s">
        <v>749</v>
      </c>
      <c r="E548" s="939">
        <v>2</v>
      </c>
      <c r="F548" s="939">
        <v>2</v>
      </c>
      <c r="G548" s="939">
        <v>2</v>
      </c>
      <c r="H548" s="939">
        <v>2</v>
      </c>
      <c r="I548" s="939">
        <v>2</v>
      </c>
      <c r="J548" s="939">
        <v>2</v>
      </c>
      <c r="K548" s="939">
        <v>2</v>
      </c>
      <c r="L548" s="939">
        <v>2</v>
      </c>
      <c r="M548" s="939">
        <v>2</v>
      </c>
      <c r="N548" s="939">
        <v>2</v>
      </c>
      <c r="O548" s="941"/>
      <c r="P548" s="50"/>
      <c r="Q548" s="24"/>
      <c r="R548" s="24"/>
      <c r="S548" s="24"/>
      <c r="T548" s="24"/>
      <c r="U548" s="24"/>
      <c r="V548" s="24"/>
      <c r="W548" s="24"/>
      <c r="X548" s="24"/>
      <c r="Y548" s="24"/>
      <c r="Z548" s="24"/>
      <c r="AA548" s="24"/>
      <c r="AB548" s="24"/>
      <c r="AC548" s="24"/>
      <c r="AD548" s="24"/>
    </row>
    <row r="549" spans="1:30" ht="14.1" hidden="1" customHeight="1" outlineLevel="1" x14ac:dyDescent="0.2">
      <c r="A549" s="1398"/>
      <c r="B549" s="19"/>
      <c r="C549" s="165"/>
      <c r="D549" s="54" t="s">
        <v>750</v>
      </c>
      <c r="E549" s="914">
        <f t="shared" ref="E549:N549" si="229">SUM(E548*LocQSC)</f>
        <v>2</v>
      </c>
      <c r="F549" s="914">
        <f t="shared" si="229"/>
        <v>2</v>
      </c>
      <c r="G549" s="914">
        <f t="shared" si="229"/>
        <v>2</v>
      </c>
      <c r="H549" s="914">
        <f t="shared" si="229"/>
        <v>2</v>
      </c>
      <c r="I549" s="914">
        <f t="shared" si="229"/>
        <v>2</v>
      </c>
      <c r="J549" s="914">
        <f t="shared" si="229"/>
        <v>2</v>
      </c>
      <c r="K549" s="914">
        <f t="shared" si="229"/>
        <v>2</v>
      </c>
      <c r="L549" s="914">
        <f t="shared" si="229"/>
        <v>2</v>
      </c>
      <c r="M549" s="914">
        <f t="shared" si="229"/>
        <v>2</v>
      </c>
      <c r="N549" s="914">
        <f t="shared" si="229"/>
        <v>2</v>
      </c>
      <c r="O549" s="938"/>
      <c r="P549" s="13"/>
      <c r="Q549" s="19"/>
      <c r="R549" s="19"/>
      <c r="S549" s="19"/>
      <c r="T549" s="19"/>
      <c r="U549" s="19"/>
      <c r="V549" s="19"/>
      <c r="W549" s="19"/>
      <c r="X549" s="19"/>
      <c r="Y549" s="19"/>
      <c r="Z549" s="19"/>
      <c r="AA549" s="19"/>
      <c r="AB549" s="19"/>
      <c r="AC549" s="19"/>
      <c r="AD549" s="19"/>
    </row>
    <row r="550" spans="1:30" s="7" customFormat="1" ht="14.1" hidden="1" customHeight="1" outlineLevel="1" x14ac:dyDescent="0.2">
      <c r="A550" s="1398"/>
      <c r="B550" s="24"/>
      <c r="C550" s="284"/>
      <c r="D550" s="27"/>
      <c r="E550" s="940"/>
      <c r="F550" s="940"/>
      <c r="G550" s="940"/>
      <c r="H550" s="940"/>
      <c r="I550" s="940"/>
      <c r="J550" s="940"/>
      <c r="K550" s="940"/>
      <c r="L550" s="940"/>
      <c r="M550" s="940"/>
      <c r="N550" s="940"/>
      <c r="O550" s="289"/>
      <c r="P550" s="50"/>
      <c r="Q550" s="24"/>
      <c r="R550" s="24"/>
      <c r="S550" s="24"/>
      <c r="T550" s="24"/>
      <c r="U550" s="24"/>
      <c r="V550" s="24"/>
      <c r="W550" s="24"/>
      <c r="X550" s="24"/>
      <c r="Y550" s="24"/>
      <c r="Z550" s="24"/>
      <c r="AA550" s="24"/>
      <c r="AB550" s="24"/>
      <c r="AC550" s="24"/>
      <c r="AD550" s="24"/>
    </row>
    <row r="551" spans="1:30" s="7" customFormat="1" ht="14.1" hidden="1" customHeight="1" outlineLevel="1" x14ac:dyDescent="0.2">
      <c r="A551" s="1398"/>
      <c r="B551" s="24"/>
      <c r="C551" s="165"/>
      <c r="D551" s="57" t="s">
        <v>751</v>
      </c>
      <c r="E551" s="939">
        <v>2</v>
      </c>
      <c r="F551" s="939">
        <v>2</v>
      </c>
      <c r="G551" s="939">
        <v>2</v>
      </c>
      <c r="H551" s="939">
        <v>2</v>
      </c>
      <c r="I551" s="939">
        <v>2</v>
      </c>
      <c r="J551" s="939">
        <v>2</v>
      </c>
      <c r="K551" s="939">
        <v>2</v>
      </c>
      <c r="L551" s="939">
        <v>2</v>
      </c>
      <c r="M551" s="939">
        <v>2</v>
      </c>
      <c r="N551" s="939">
        <v>2</v>
      </c>
      <c r="O551" s="941"/>
      <c r="P551" s="50"/>
      <c r="Q551" s="24"/>
      <c r="R551" s="24"/>
      <c r="S551" s="24"/>
      <c r="T551" s="24"/>
      <c r="U551" s="24"/>
      <c r="V551" s="24"/>
      <c r="W551" s="24"/>
      <c r="X551" s="24"/>
      <c r="Y551" s="24"/>
      <c r="Z551" s="24"/>
      <c r="AA551" s="24"/>
      <c r="AB551" s="24"/>
      <c r="AC551" s="24"/>
      <c r="AD551" s="24"/>
    </row>
    <row r="552" spans="1:30" ht="14.1" hidden="1" customHeight="1" outlineLevel="1" x14ac:dyDescent="0.2">
      <c r="A552" s="1398"/>
      <c r="B552" s="19"/>
      <c r="C552" s="165"/>
      <c r="D552" s="54" t="s">
        <v>752</v>
      </c>
      <c r="E552" s="914">
        <f t="shared" ref="E552:N552" si="230">SUM(E551*LocEM)</f>
        <v>4</v>
      </c>
      <c r="F552" s="914">
        <f t="shared" si="230"/>
        <v>4</v>
      </c>
      <c r="G552" s="914">
        <f t="shared" si="230"/>
        <v>4</v>
      </c>
      <c r="H552" s="914">
        <f t="shared" si="230"/>
        <v>4</v>
      </c>
      <c r="I552" s="914">
        <f t="shared" si="230"/>
        <v>4</v>
      </c>
      <c r="J552" s="914">
        <f t="shared" si="230"/>
        <v>4</v>
      </c>
      <c r="K552" s="914">
        <f t="shared" si="230"/>
        <v>4</v>
      </c>
      <c r="L552" s="914">
        <f t="shared" si="230"/>
        <v>4</v>
      </c>
      <c r="M552" s="914">
        <f t="shared" si="230"/>
        <v>4</v>
      </c>
      <c r="N552" s="914">
        <f t="shared" si="230"/>
        <v>4</v>
      </c>
      <c r="O552" s="938"/>
      <c r="P552" s="13"/>
      <c r="Q552" s="19"/>
      <c r="R552" s="19"/>
      <c r="S552" s="19"/>
      <c r="T552" s="19"/>
      <c r="U552" s="19"/>
      <c r="V552" s="19"/>
      <c r="W552" s="19"/>
      <c r="X552" s="19"/>
      <c r="Y552" s="19"/>
      <c r="Z552" s="19"/>
      <c r="AA552" s="19"/>
      <c r="AB552" s="19"/>
      <c r="AC552" s="19"/>
      <c r="AD552" s="19"/>
    </row>
    <row r="553" spans="1:30" s="7" customFormat="1" ht="14.1" hidden="1" customHeight="1" outlineLevel="1" x14ac:dyDescent="0.2">
      <c r="A553" s="1398"/>
      <c r="B553" s="24"/>
      <c r="C553" s="284"/>
      <c r="D553" s="27"/>
      <c r="E553" s="940"/>
      <c r="F553" s="940"/>
      <c r="G553" s="940"/>
      <c r="H553" s="940"/>
      <c r="I553" s="940"/>
      <c r="J553" s="940"/>
      <c r="K553" s="940"/>
      <c r="L553" s="940"/>
      <c r="M553" s="940"/>
      <c r="N553" s="940"/>
      <c r="O553" s="289"/>
      <c r="P553" s="50"/>
      <c r="Q553" s="24"/>
      <c r="R553" s="24"/>
      <c r="S553" s="24"/>
      <c r="T553" s="24"/>
      <c r="U553" s="24"/>
      <c r="V553" s="24"/>
      <c r="W553" s="24"/>
      <c r="X553" s="24"/>
      <c r="Y553" s="24"/>
      <c r="Z553" s="24"/>
      <c r="AA553" s="24"/>
      <c r="AB553" s="24"/>
      <c r="AC553" s="24"/>
      <c r="AD553" s="24"/>
    </row>
    <row r="554" spans="1:30" s="7" customFormat="1" ht="14.1" hidden="1" customHeight="1" outlineLevel="1" x14ac:dyDescent="0.2">
      <c r="A554" s="1398"/>
      <c r="B554" s="24"/>
      <c r="C554" s="165"/>
      <c r="D554" s="57" t="s">
        <v>753</v>
      </c>
      <c r="E554" s="939">
        <v>2</v>
      </c>
      <c r="F554" s="939">
        <v>2</v>
      </c>
      <c r="G554" s="939">
        <v>2</v>
      </c>
      <c r="H554" s="939">
        <v>2</v>
      </c>
      <c r="I554" s="939">
        <v>2</v>
      </c>
      <c r="J554" s="939">
        <v>2</v>
      </c>
      <c r="K554" s="939">
        <v>2</v>
      </c>
      <c r="L554" s="939">
        <v>2</v>
      </c>
      <c r="M554" s="939">
        <v>2</v>
      </c>
      <c r="N554" s="939">
        <v>2</v>
      </c>
      <c r="O554" s="941"/>
      <c r="P554" s="50"/>
      <c r="Q554" s="24"/>
      <c r="R554" s="24"/>
      <c r="S554" s="24"/>
      <c r="T554" s="24"/>
      <c r="U554" s="24"/>
      <c r="V554" s="24"/>
      <c r="W554" s="24"/>
      <c r="X554" s="24"/>
      <c r="Y554" s="24"/>
      <c r="Z554" s="24"/>
      <c r="AA554" s="24"/>
      <c r="AB554" s="24"/>
      <c r="AC554" s="24"/>
      <c r="AD554" s="24"/>
    </row>
    <row r="555" spans="1:30" ht="14.1" hidden="1" customHeight="1" outlineLevel="1" x14ac:dyDescent="0.2">
      <c r="A555" s="1398"/>
      <c r="B555" s="19"/>
      <c r="C555" s="165"/>
      <c r="D555" s="54" t="s">
        <v>754</v>
      </c>
      <c r="E555" s="914">
        <f t="shared" ref="E555:N555" si="231">SUM(E554*LocCM)</f>
        <v>6</v>
      </c>
      <c r="F555" s="914">
        <f t="shared" si="231"/>
        <v>6</v>
      </c>
      <c r="G555" s="914">
        <f t="shared" si="231"/>
        <v>6</v>
      </c>
      <c r="H555" s="914">
        <f t="shared" si="231"/>
        <v>6</v>
      </c>
      <c r="I555" s="914">
        <f t="shared" si="231"/>
        <v>6</v>
      </c>
      <c r="J555" s="914">
        <f t="shared" si="231"/>
        <v>6</v>
      </c>
      <c r="K555" s="914">
        <f t="shared" si="231"/>
        <v>6</v>
      </c>
      <c r="L555" s="914">
        <f t="shared" si="231"/>
        <v>6</v>
      </c>
      <c r="M555" s="914">
        <f t="shared" si="231"/>
        <v>6</v>
      </c>
      <c r="N555" s="914">
        <f t="shared" si="231"/>
        <v>6</v>
      </c>
      <c r="O555" s="938"/>
      <c r="P555" s="13"/>
      <c r="Q555" s="19"/>
      <c r="R555" s="19"/>
      <c r="S555" s="19"/>
      <c r="T555" s="19"/>
      <c r="U555" s="19"/>
      <c r="V555" s="19"/>
      <c r="W555" s="19"/>
      <c r="X555" s="19"/>
      <c r="Y555" s="19"/>
      <c r="Z555" s="19"/>
      <c r="AA555" s="19"/>
      <c r="AB555" s="19"/>
      <c r="AC555" s="19"/>
      <c r="AD555" s="19"/>
    </row>
    <row r="556" spans="1:30" s="7" customFormat="1" ht="14.1" hidden="1" customHeight="1" outlineLevel="1" x14ac:dyDescent="0.2">
      <c r="A556" s="1398"/>
      <c r="B556" s="24"/>
      <c r="C556" s="284"/>
      <c r="D556" s="27"/>
      <c r="E556" s="940"/>
      <c r="F556" s="940"/>
      <c r="G556" s="940"/>
      <c r="H556" s="940"/>
      <c r="I556" s="940"/>
      <c r="J556" s="940"/>
      <c r="K556" s="940"/>
      <c r="L556" s="940"/>
      <c r="M556" s="940"/>
      <c r="N556" s="940"/>
      <c r="O556" s="289"/>
      <c r="P556" s="50"/>
      <c r="Q556" s="24"/>
      <c r="R556" s="24"/>
      <c r="S556" s="24"/>
      <c r="T556" s="24"/>
      <c r="U556" s="24"/>
      <c r="V556" s="24"/>
      <c r="W556" s="24"/>
      <c r="X556" s="24"/>
      <c r="Y556" s="24"/>
      <c r="Z556" s="24"/>
      <c r="AA556" s="24"/>
      <c r="AB556" s="24"/>
      <c r="AC556" s="24"/>
      <c r="AD556" s="24"/>
    </row>
    <row r="557" spans="1:30" s="7" customFormat="1" ht="14.1" hidden="1" customHeight="1" outlineLevel="1" x14ac:dyDescent="0.2">
      <c r="A557" s="1398"/>
      <c r="B557" s="24"/>
      <c r="C557" s="165"/>
      <c r="D557" s="57" t="s">
        <v>755</v>
      </c>
      <c r="E557" s="939">
        <v>2</v>
      </c>
      <c r="F557" s="939">
        <v>2</v>
      </c>
      <c r="G557" s="939">
        <v>2</v>
      </c>
      <c r="H557" s="939">
        <v>2</v>
      </c>
      <c r="I557" s="939">
        <v>2</v>
      </c>
      <c r="J557" s="939">
        <v>2</v>
      </c>
      <c r="K557" s="939">
        <v>2</v>
      </c>
      <c r="L557" s="939">
        <v>2</v>
      </c>
      <c r="M557" s="939">
        <v>2</v>
      </c>
      <c r="N557" s="939">
        <v>2</v>
      </c>
      <c r="O557" s="941"/>
      <c r="P557" s="50"/>
      <c r="Q557" s="24"/>
      <c r="R557" s="24"/>
      <c r="S557" s="24"/>
      <c r="T557" s="24"/>
      <c r="U557" s="24"/>
      <c r="V557" s="24"/>
      <c r="W557" s="24"/>
      <c r="X557" s="24"/>
      <c r="Y557" s="24"/>
      <c r="Z557" s="24"/>
      <c r="AA557" s="24"/>
      <c r="AB557" s="24"/>
      <c r="AC557" s="24"/>
      <c r="AD557" s="24"/>
    </row>
    <row r="558" spans="1:30" ht="14.1" hidden="1" customHeight="1" outlineLevel="1" x14ac:dyDescent="0.2">
      <c r="A558" s="1398"/>
      <c r="B558" s="19"/>
      <c r="C558" s="165"/>
      <c r="D558" s="54" t="s">
        <v>756</v>
      </c>
      <c r="E558" s="914">
        <f t="shared" ref="E558:N558" si="232">SUM(E557*LocSMCS)</f>
        <v>6</v>
      </c>
      <c r="F558" s="914">
        <f t="shared" si="232"/>
        <v>6</v>
      </c>
      <c r="G558" s="914">
        <f t="shared" si="232"/>
        <v>6</v>
      </c>
      <c r="H558" s="914">
        <f t="shared" si="232"/>
        <v>6</v>
      </c>
      <c r="I558" s="914">
        <f t="shared" si="232"/>
        <v>6</v>
      </c>
      <c r="J558" s="914">
        <f t="shared" si="232"/>
        <v>6</v>
      </c>
      <c r="K558" s="914">
        <f t="shared" si="232"/>
        <v>6</v>
      </c>
      <c r="L558" s="914">
        <f t="shared" si="232"/>
        <v>6</v>
      </c>
      <c r="M558" s="914">
        <f t="shared" si="232"/>
        <v>6</v>
      </c>
      <c r="N558" s="914">
        <f t="shared" si="232"/>
        <v>6</v>
      </c>
      <c r="O558" s="938"/>
      <c r="P558" s="13"/>
      <c r="Q558" s="19"/>
      <c r="R558" s="19"/>
      <c r="S558" s="19"/>
      <c r="T558" s="19"/>
      <c r="U558" s="19"/>
      <c r="V558" s="19"/>
      <c r="W558" s="19"/>
      <c r="X558" s="19"/>
      <c r="Y558" s="19"/>
      <c r="Z558" s="19"/>
      <c r="AA558" s="19"/>
      <c r="AB558" s="19"/>
      <c r="AC558" s="19"/>
      <c r="AD558" s="19"/>
    </row>
    <row r="559" spans="1:30" s="7" customFormat="1" ht="14.1" hidden="1" customHeight="1" outlineLevel="1" x14ac:dyDescent="0.2">
      <c r="A559" s="1398"/>
      <c r="B559" s="24"/>
      <c r="C559" s="284"/>
      <c r="D559" s="27"/>
      <c r="E559" s="940"/>
      <c r="F559" s="940"/>
      <c r="G559" s="940"/>
      <c r="H559" s="940"/>
      <c r="I559" s="940"/>
      <c r="J559" s="940"/>
      <c r="K559" s="940"/>
      <c r="L559" s="940"/>
      <c r="M559" s="940"/>
      <c r="N559" s="940"/>
      <c r="O559" s="289"/>
      <c r="P559" s="50"/>
      <c r="Q559" s="24"/>
      <c r="R559" s="24"/>
      <c r="S559" s="24"/>
      <c r="T559" s="24"/>
      <c r="U559" s="24"/>
      <c r="V559" s="24"/>
      <c r="W559" s="24"/>
      <c r="X559" s="24"/>
      <c r="Y559" s="24"/>
      <c r="Z559" s="24"/>
      <c r="AA559" s="24"/>
      <c r="AB559" s="24"/>
      <c r="AC559" s="24"/>
      <c r="AD559" s="24"/>
    </row>
    <row r="560" spans="1:30" s="7" customFormat="1" ht="14.1" hidden="1" customHeight="1" outlineLevel="1" x14ac:dyDescent="0.2">
      <c r="A560" s="1398"/>
      <c r="B560" s="24"/>
      <c r="C560" s="165"/>
      <c r="D560" s="57" t="s">
        <v>757</v>
      </c>
      <c r="E560" s="939"/>
      <c r="F560" s="939"/>
      <c r="G560" s="939"/>
      <c r="H560" s="939"/>
      <c r="I560" s="939"/>
      <c r="J560" s="939"/>
      <c r="K560" s="939"/>
      <c r="L560" s="939"/>
      <c r="M560" s="939"/>
      <c r="N560" s="939"/>
      <c r="O560" s="941"/>
      <c r="P560" s="50"/>
      <c r="Q560" s="24"/>
      <c r="R560" s="24"/>
      <c r="S560" s="24"/>
      <c r="T560" s="24"/>
      <c r="U560" s="24"/>
      <c r="V560" s="24"/>
      <c r="W560" s="24"/>
      <c r="X560" s="24"/>
      <c r="Y560" s="24"/>
      <c r="Z560" s="24"/>
      <c r="AA560" s="24"/>
      <c r="AB560" s="24"/>
      <c r="AC560" s="24"/>
      <c r="AD560" s="24"/>
    </row>
    <row r="561" spans="1:30" ht="14.1" hidden="1" customHeight="1" outlineLevel="1" x14ac:dyDescent="0.2">
      <c r="A561" s="1398"/>
      <c r="B561" s="19"/>
      <c r="C561" s="165"/>
      <c r="D561" s="54" t="s">
        <v>758</v>
      </c>
      <c r="E561" s="914">
        <f t="shared" ref="E561:N561" si="233">SUM(E560*LocO1)</f>
        <v>0</v>
      </c>
      <c r="F561" s="914">
        <f t="shared" si="233"/>
        <v>0</v>
      </c>
      <c r="G561" s="914">
        <f t="shared" si="233"/>
        <v>0</v>
      </c>
      <c r="H561" s="914">
        <f t="shared" si="233"/>
        <v>0</v>
      </c>
      <c r="I561" s="914">
        <f t="shared" si="233"/>
        <v>0</v>
      </c>
      <c r="J561" s="914">
        <f t="shared" si="233"/>
        <v>0</v>
      </c>
      <c r="K561" s="914">
        <f t="shared" si="233"/>
        <v>0</v>
      </c>
      <c r="L561" s="914">
        <f t="shared" si="233"/>
        <v>0</v>
      </c>
      <c r="M561" s="914">
        <f t="shared" si="233"/>
        <v>0</v>
      </c>
      <c r="N561" s="914">
        <f t="shared" si="233"/>
        <v>0</v>
      </c>
      <c r="O561" s="938"/>
      <c r="P561" s="13"/>
      <c r="Q561" s="19"/>
      <c r="R561" s="19"/>
      <c r="S561" s="19"/>
      <c r="T561" s="19"/>
      <c r="U561" s="19"/>
      <c r="V561" s="19"/>
      <c r="W561" s="19"/>
      <c r="X561" s="19"/>
      <c r="Y561" s="19"/>
      <c r="Z561" s="19"/>
      <c r="AA561" s="19"/>
      <c r="AB561" s="19"/>
      <c r="AC561" s="19"/>
      <c r="AD561" s="19"/>
    </row>
    <row r="562" spans="1:30" s="7" customFormat="1" ht="14.1" hidden="1" customHeight="1" outlineLevel="1" x14ac:dyDescent="0.2">
      <c r="A562" s="1398"/>
      <c r="B562" s="24"/>
      <c r="C562" s="284"/>
      <c r="D562" s="27"/>
      <c r="E562" s="940"/>
      <c r="F562" s="940"/>
      <c r="G562" s="940"/>
      <c r="H562" s="940"/>
      <c r="I562" s="940"/>
      <c r="J562" s="940"/>
      <c r="K562" s="940"/>
      <c r="L562" s="940"/>
      <c r="M562" s="940"/>
      <c r="N562" s="940"/>
      <c r="O562" s="289"/>
      <c r="P562" s="50"/>
      <c r="Q562" s="24"/>
      <c r="R562" s="24"/>
      <c r="S562" s="24"/>
      <c r="T562" s="24"/>
      <c r="U562" s="24"/>
      <c r="V562" s="24"/>
      <c r="W562" s="24"/>
      <c r="X562" s="24"/>
      <c r="Y562" s="24"/>
      <c r="Z562" s="24"/>
      <c r="AA562" s="24"/>
      <c r="AB562" s="24"/>
      <c r="AC562" s="24"/>
      <c r="AD562" s="24"/>
    </row>
    <row r="563" spans="1:30" s="7" customFormat="1" ht="14.1" hidden="1" customHeight="1" outlineLevel="1" x14ac:dyDescent="0.2">
      <c r="A563" s="1398"/>
      <c r="B563" s="24"/>
      <c r="C563" s="165"/>
      <c r="D563" s="57" t="s">
        <v>759</v>
      </c>
      <c r="E563" s="939"/>
      <c r="F563" s="939"/>
      <c r="G563" s="939"/>
      <c r="H563" s="939"/>
      <c r="I563" s="939"/>
      <c r="J563" s="939"/>
      <c r="K563" s="939"/>
      <c r="L563" s="939"/>
      <c r="M563" s="939"/>
      <c r="N563" s="939"/>
      <c r="O563" s="941"/>
      <c r="P563" s="50"/>
      <c r="Q563" s="24"/>
      <c r="R563" s="24"/>
      <c r="S563" s="24"/>
      <c r="T563" s="24"/>
      <c r="U563" s="24"/>
      <c r="V563" s="24"/>
      <c r="W563" s="24"/>
      <c r="X563" s="24"/>
      <c r="Y563" s="24"/>
      <c r="Z563" s="24"/>
      <c r="AA563" s="24"/>
      <c r="AB563" s="24"/>
      <c r="AC563" s="24"/>
      <c r="AD563" s="24"/>
    </row>
    <row r="564" spans="1:30" ht="14.1" hidden="1" customHeight="1" outlineLevel="1" x14ac:dyDescent="0.2">
      <c r="A564" s="1398"/>
      <c r="B564" s="19"/>
      <c r="C564" s="165"/>
      <c r="D564" s="54" t="s">
        <v>760</v>
      </c>
      <c r="E564" s="914">
        <f t="shared" ref="E564:N564" si="234">SUM(E563*LocO2)</f>
        <v>0</v>
      </c>
      <c r="F564" s="914">
        <f t="shared" si="234"/>
        <v>0</v>
      </c>
      <c r="G564" s="914">
        <f t="shared" si="234"/>
        <v>0</v>
      </c>
      <c r="H564" s="914">
        <f t="shared" si="234"/>
        <v>0</v>
      </c>
      <c r="I564" s="914">
        <f t="shared" si="234"/>
        <v>0</v>
      </c>
      <c r="J564" s="914">
        <f t="shared" si="234"/>
        <v>0</v>
      </c>
      <c r="K564" s="914">
        <f t="shared" si="234"/>
        <v>0</v>
      </c>
      <c r="L564" s="914">
        <f t="shared" si="234"/>
        <v>0</v>
      </c>
      <c r="M564" s="914">
        <f t="shared" si="234"/>
        <v>0</v>
      </c>
      <c r="N564" s="914">
        <f t="shared" si="234"/>
        <v>0</v>
      </c>
      <c r="O564" s="938"/>
      <c r="P564" s="13"/>
      <c r="Q564" s="19"/>
      <c r="R564" s="19"/>
      <c r="S564" s="19"/>
      <c r="T564" s="19"/>
      <c r="U564" s="19"/>
      <c r="V564" s="19"/>
      <c r="W564" s="19"/>
      <c r="X564" s="19"/>
      <c r="Y564" s="19"/>
      <c r="Z564" s="19"/>
      <c r="AA564" s="19"/>
      <c r="AB564" s="19"/>
      <c r="AC564" s="19"/>
      <c r="AD564" s="19"/>
    </row>
    <row r="565" spans="1:30" ht="14.1" hidden="1" customHeight="1" outlineLevel="1" x14ac:dyDescent="0.2">
      <c r="A565" s="1398"/>
      <c r="B565" s="19"/>
      <c r="C565" s="290"/>
      <c r="D565" s="38"/>
      <c r="E565" s="38"/>
      <c r="F565" s="38"/>
      <c r="G565" s="38"/>
      <c r="H565" s="13"/>
      <c r="I565" s="13"/>
      <c r="J565" s="13"/>
      <c r="K565" s="13"/>
      <c r="L565" s="13"/>
      <c r="M565" s="13"/>
      <c r="N565" s="13"/>
      <c r="O565" s="897"/>
      <c r="P565" s="13"/>
      <c r="Q565" s="19"/>
      <c r="R565" s="19"/>
      <c r="S565" s="19"/>
      <c r="T565" s="19"/>
      <c r="U565" s="19"/>
      <c r="V565" s="19"/>
      <c r="W565" s="19"/>
      <c r="X565" s="19"/>
      <c r="Y565" s="19"/>
      <c r="Z565" s="19"/>
      <c r="AA565" s="19"/>
      <c r="AB565" s="19"/>
      <c r="AC565" s="19"/>
      <c r="AD565" s="19"/>
    </row>
    <row r="566" spans="1:30" ht="14.1" hidden="1" customHeight="1" outlineLevel="1" x14ac:dyDescent="0.2">
      <c r="A566" s="1398"/>
      <c r="B566" s="19"/>
      <c r="C566" s="270"/>
      <c r="D566" s="918" t="s">
        <v>761</v>
      </c>
      <c r="E566" s="292">
        <f t="shared" ref="E566:N566" si="235">SUM(E564+E561+E558+E555+E552+E549+E546+E543+E540+E534+E531+E528)*pSystemsFilingCabinetArea_Each</f>
        <v>186</v>
      </c>
      <c r="F566" s="292">
        <f t="shared" si="235"/>
        <v>195</v>
      </c>
      <c r="G566" s="292">
        <f t="shared" si="235"/>
        <v>195</v>
      </c>
      <c r="H566" s="292">
        <f t="shared" si="235"/>
        <v>195</v>
      </c>
      <c r="I566" s="292">
        <f t="shared" si="235"/>
        <v>195</v>
      </c>
      <c r="J566" s="292">
        <f t="shared" si="235"/>
        <v>195</v>
      </c>
      <c r="K566" s="292">
        <f t="shared" si="235"/>
        <v>195</v>
      </c>
      <c r="L566" s="292">
        <f t="shared" si="235"/>
        <v>195</v>
      </c>
      <c r="M566" s="292">
        <f t="shared" si="235"/>
        <v>195</v>
      </c>
      <c r="N566" s="292">
        <f t="shared" si="235"/>
        <v>195</v>
      </c>
      <c r="O566" s="257" t="s">
        <v>762</v>
      </c>
      <c r="P566" s="13"/>
      <c r="Q566" s="19"/>
      <c r="R566" s="19"/>
      <c r="S566" s="19"/>
      <c r="T566" s="19"/>
      <c r="U566" s="19"/>
      <c r="V566" s="19"/>
      <c r="W566" s="19"/>
      <c r="X566" s="19"/>
      <c r="Y566" s="19"/>
      <c r="Z566" s="19"/>
      <c r="AA566" s="19"/>
      <c r="AB566" s="19"/>
      <c r="AC566" s="19"/>
      <c r="AD566" s="19"/>
    </row>
    <row r="567" spans="1:30" s="7" customFormat="1" ht="14.1" hidden="1" customHeight="1" outlineLevel="1" thickBot="1" x14ac:dyDescent="0.25">
      <c r="A567" s="1399"/>
      <c r="B567" s="19"/>
      <c r="C567" s="170"/>
      <c r="D567" s="944"/>
      <c r="E567" s="510"/>
      <c r="F567" s="510"/>
      <c r="G567" s="510"/>
      <c r="H567" s="510"/>
      <c r="I567" s="510"/>
      <c r="J567" s="510"/>
      <c r="K567" s="510"/>
      <c r="L567" s="510"/>
      <c r="M567" s="510"/>
      <c r="N567" s="510"/>
      <c r="O567" s="509"/>
      <c r="P567" s="50"/>
      <c r="Q567" s="24"/>
      <c r="R567" s="24"/>
      <c r="S567" s="24"/>
      <c r="T567" s="24"/>
      <c r="U567" s="24"/>
      <c r="V567" s="24"/>
      <c r="W567" s="24"/>
      <c r="X567" s="24"/>
      <c r="Y567" s="24"/>
      <c r="Z567" s="24"/>
      <c r="AA567" s="24"/>
      <c r="AB567" s="24"/>
      <c r="AC567" s="24"/>
      <c r="AD567" s="24"/>
    </row>
    <row r="568" spans="1:30" s="173" customFormat="1" ht="13.5" hidden="1" outlineLevel="1" thickBot="1" x14ac:dyDescent="0.25">
      <c r="B568" s="945"/>
      <c r="C568" s="172"/>
      <c r="D568" s="172"/>
      <c r="E568" s="172"/>
      <c r="F568" s="172"/>
      <c r="G568" s="172"/>
      <c r="H568" s="172"/>
      <c r="I568" s="172"/>
      <c r="J568" s="172"/>
      <c r="K568" s="172"/>
      <c r="L568" s="172"/>
      <c r="M568" s="172"/>
      <c r="N568" s="172"/>
      <c r="O568" s="673"/>
      <c r="P568" s="172"/>
    </row>
    <row r="569" spans="1:30" s="21" customFormat="1" hidden="1" outlineLevel="1" x14ac:dyDescent="0.2">
      <c r="B569" s="48"/>
      <c r="C569" s="920" t="str">
        <f>Scenario2&amp;" Filing Cabinet Area Required"</f>
        <v>hSystems (Hybrid) Filing Cabinet Area Required</v>
      </c>
      <c r="D569" s="291"/>
      <c r="E569" s="288"/>
      <c r="F569" s="288"/>
      <c r="G569" s="288"/>
      <c r="H569" s="288"/>
      <c r="I569" s="288"/>
      <c r="J569" s="288"/>
      <c r="K569" s="288"/>
      <c r="L569" s="288"/>
      <c r="M569" s="288"/>
      <c r="N569" s="288"/>
      <c r="O569" s="909"/>
      <c r="P569" s="59"/>
      <c r="Q569" s="48"/>
      <c r="R569" s="48"/>
      <c r="S569" s="48"/>
      <c r="T569" s="48"/>
      <c r="U569" s="48"/>
      <c r="V569" s="48"/>
      <c r="W569" s="48"/>
      <c r="X569" s="48"/>
      <c r="Y569" s="48"/>
      <c r="Z569" s="48"/>
      <c r="AA569" s="48"/>
      <c r="AB569" s="48"/>
      <c r="AC569" s="48"/>
      <c r="AD569" s="48"/>
    </row>
    <row r="570" spans="1:30" s="21" customFormat="1" ht="14.1" hidden="1" customHeight="1" outlineLevel="1" x14ac:dyDescent="0.2">
      <c r="B570" s="48"/>
      <c r="C570" s="837"/>
      <c r="D570" s="59"/>
      <c r="E570" s="59"/>
      <c r="F570" s="59"/>
      <c r="G570" s="59"/>
      <c r="H570" s="59"/>
      <c r="I570" s="59"/>
      <c r="J570" s="59"/>
      <c r="K570" s="59"/>
      <c r="L570" s="59"/>
      <c r="M570" s="59"/>
      <c r="N570" s="59"/>
      <c r="O570" s="897"/>
      <c r="P570" s="59"/>
      <c r="Q570" s="48"/>
      <c r="R570" s="48"/>
      <c r="S570" s="48"/>
      <c r="T570" s="48"/>
      <c r="U570" s="48"/>
      <c r="V570" s="48"/>
      <c r="W570" s="48"/>
      <c r="X570" s="48"/>
      <c r="Y570" s="48"/>
      <c r="Z570" s="48"/>
      <c r="AA570" s="48"/>
      <c r="AB570" s="48"/>
      <c r="AC570" s="48"/>
      <c r="AD570" s="48"/>
    </row>
    <row r="571" spans="1:30" ht="14.1" hidden="1" customHeight="1" outlineLevel="1" x14ac:dyDescent="0.2">
      <c r="A571" s="21"/>
      <c r="B571" s="13"/>
      <c r="C571" s="165"/>
      <c r="D571" s="60" t="str">
        <f>"Filing Cabinet Area per "&amp;(OfficeLeaseUnit)</f>
        <v>Filing Cabinet Area per m2</v>
      </c>
      <c r="E571" s="943">
        <v>1.5</v>
      </c>
      <c r="F571" s="943">
        <v>1.5</v>
      </c>
      <c r="G571" s="943">
        <v>1.5</v>
      </c>
      <c r="H571" s="943">
        <v>1.5</v>
      </c>
      <c r="I571" s="943">
        <v>1.5</v>
      </c>
      <c r="J571" s="943">
        <v>1.5</v>
      </c>
      <c r="K571" s="943">
        <v>1.5</v>
      </c>
      <c r="L571" s="943">
        <v>1.5</v>
      </c>
      <c r="M571" s="943">
        <v>1.5</v>
      </c>
      <c r="N571" s="943">
        <v>1.5</v>
      </c>
      <c r="O571" s="257" t="s">
        <v>764</v>
      </c>
      <c r="P571" s="13"/>
      <c r="Q571" s="19"/>
      <c r="R571" s="19"/>
      <c r="S571" s="19"/>
      <c r="T571" s="19"/>
      <c r="U571" s="19"/>
      <c r="V571" s="19"/>
      <c r="W571" s="19"/>
      <c r="X571" s="19"/>
      <c r="Y571" s="19"/>
      <c r="Z571" s="19"/>
      <c r="AA571" s="19"/>
      <c r="AB571" s="19"/>
      <c r="AC571" s="19"/>
      <c r="AD571" s="19"/>
    </row>
    <row r="572" spans="1:30" ht="14.1" hidden="1" customHeight="1" outlineLevel="1" x14ac:dyDescent="0.2">
      <c r="A572" s="21"/>
      <c r="B572" s="19"/>
      <c r="C572" s="165"/>
      <c r="D572" s="833"/>
      <c r="E572" s="917"/>
      <c r="F572" s="917"/>
      <c r="G572" s="917"/>
      <c r="H572" s="13"/>
      <c r="I572" s="13"/>
      <c r="J572" s="13"/>
      <c r="K572" s="13"/>
      <c r="L572" s="13"/>
      <c r="M572" s="13"/>
      <c r="N572" s="13"/>
      <c r="O572" s="938"/>
      <c r="P572" s="13"/>
      <c r="Q572" s="19"/>
      <c r="R572" s="19"/>
      <c r="S572" s="19"/>
      <c r="T572" s="19"/>
      <c r="U572" s="19"/>
      <c r="V572" s="19"/>
      <c r="W572" s="19"/>
      <c r="X572" s="19"/>
      <c r="Y572" s="19"/>
      <c r="Z572" s="19"/>
      <c r="AA572" s="19"/>
      <c r="AB572" s="19"/>
      <c r="AC572" s="19"/>
      <c r="AD572" s="19"/>
    </row>
    <row r="573" spans="1:30" ht="14.1" hidden="1" customHeight="1" outlineLevel="1" x14ac:dyDescent="0.2">
      <c r="A573" s="21"/>
      <c r="B573" s="19"/>
      <c r="C573" s="165"/>
      <c r="D573" s="57" t="s">
        <v>740</v>
      </c>
      <c r="E573" s="939">
        <v>2</v>
      </c>
      <c r="F573" s="939">
        <v>2</v>
      </c>
      <c r="G573" s="939">
        <v>2</v>
      </c>
      <c r="H573" s="939">
        <v>2</v>
      </c>
      <c r="I573" s="939">
        <v>2</v>
      </c>
      <c r="J573" s="939">
        <v>2</v>
      </c>
      <c r="K573" s="939">
        <v>2</v>
      </c>
      <c r="L573" s="939">
        <v>2</v>
      </c>
      <c r="M573" s="939">
        <v>2</v>
      </c>
      <c r="N573" s="939">
        <v>2</v>
      </c>
      <c r="O573" s="938"/>
      <c r="P573" s="13"/>
      <c r="Q573" s="19"/>
      <c r="R573" s="19"/>
      <c r="S573" s="19"/>
      <c r="T573" s="19"/>
      <c r="U573" s="19"/>
      <c r="V573" s="19"/>
      <c r="W573" s="19"/>
      <c r="X573" s="19"/>
      <c r="Y573" s="19"/>
      <c r="Z573" s="19"/>
      <c r="AA573" s="19"/>
      <c r="AB573" s="19"/>
      <c r="AC573" s="19"/>
      <c r="AD573" s="19"/>
    </row>
    <row r="574" spans="1:30" ht="14.1" hidden="1" customHeight="1" outlineLevel="1" x14ac:dyDescent="0.2">
      <c r="A574" s="21"/>
      <c r="B574" s="19"/>
      <c r="C574" s="165"/>
      <c r="D574" s="54" t="s">
        <v>741</v>
      </c>
      <c r="E574" s="914">
        <f t="shared" ref="E574:N574" si="236">SUM(E573*LocTransit)</f>
        <v>38</v>
      </c>
      <c r="F574" s="914">
        <f t="shared" si="236"/>
        <v>40</v>
      </c>
      <c r="G574" s="914">
        <f t="shared" si="236"/>
        <v>40</v>
      </c>
      <c r="H574" s="914">
        <f t="shared" si="236"/>
        <v>40</v>
      </c>
      <c r="I574" s="914">
        <f t="shared" si="236"/>
        <v>40</v>
      </c>
      <c r="J574" s="914">
        <f t="shared" si="236"/>
        <v>40</v>
      </c>
      <c r="K574" s="914">
        <f t="shared" si="236"/>
        <v>40</v>
      </c>
      <c r="L574" s="914">
        <f t="shared" si="236"/>
        <v>40</v>
      </c>
      <c r="M574" s="914">
        <f t="shared" si="236"/>
        <v>40</v>
      </c>
      <c r="N574" s="914">
        <f t="shared" si="236"/>
        <v>40</v>
      </c>
      <c r="O574" s="938"/>
      <c r="P574" s="13"/>
      <c r="Q574" s="19"/>
      <c r="R574" s="19"/>
      <c r="S574" s="19"/>
      <c r="T574" s="19"/>
      <c r="U574" s="19"/>
      <c r="V574" s="19"/>
      <c r="W574" s="19"/>
      <c r="X574" s="19"/>
      <c r="Y574" s="19"/>
      <c r="Z574" s="19"/>
      <c r="AA574" s="19"/>
      <c r="AB574" s="19"/>
      <c r="AC574" s="19"/>
      <c r="AD574" s="19"/>
    </row>
    <row r="575" spans="1:30" ht="14.1" hidden="1" customHeight="1" outlineLevel="1" x14ac:dyDescent="0.2">
      <c r="A575" s="21"/>
      <c r="B575" s="19"/>
      <c r="C575" s="165"/>
      <c r="D575" s="54"/>
      <c r="E575" s="38"/>
      <c r="F575" s="38"/>
      <c r="G575" s="38"/>
      <c r="H575" s="38"/>
      <c r="I575" s="38"/>
      <c r="J575" s="38"/>
      <c r="K575" s="38"/>
      <c r="L575" s="38"/>
      <c r="M575" s="38"/>
      <c r="N575" s="38"/>
      <c r="O575" s="938"/>
      <c r="P575" s="13"/>
      <c r="Q575" s="19"/>
      <c r="R575" s="19"/>
      <c r="S575" s="19"/>
      <c r="T575" s="19"/>
      <c r="U575" s="19"/>
      <c r="V575" s="19"/>
      <c r="W575" s="19"/>
      <c r="X575" s="19"/>
      <c r="Y575" s="19"/>
      <c r="Z575" s="19"/>
      <c r="AA575" s="19"/>
      <c r="AB575" s="19"/>
      <c r="AC575" s="19"/>
      <c r="AD575" s="19"/>
    </row>
    <row r="576" spans="1:30" ht="14.1" hidden="1" customHeight="1" outlineLevel="1" x14ac:dyDescent="0.2">
      <c r="A576" s="21"/>
      <c r="B576" s="19"/>
      <c r="C576" s="165"/>
      <c r="D576" s="57" t="s">
        <v>742</v>
      </c>
      <c r="E576" s="939">
        <v>2</v>
      </c>
      <c r="F576" s="939">
        <v>2</v>
      </c>
      <c r="G576" s="939">
        <v>2</v>
      </c>
      <c r="H576" s="939">
        <v>2</v>
      </c>
      <c r="I576" s="939">
        <v>2</v>
      </c>
      <c r="J576" s="939">
        <v>2</v>
      </c>
      <c r="K576" s="939">
        <v>2</v>
      </c>
      <c r="L576" s="939">
        <v>2</v>
      </c>
      <c r="M576" s="939">
        <v>2</v>
      </c>
      <c r="N576" s="939">
        <v>2</v>
      </c>
      <c r="O576" s="938"/>
      <c r="P576" s="13"/>
      <c r="Q576" s="19"/>
      <c r="R576" s="19"/>
      <c r="S576" s="19"/>
      <c r="T576" s="19"/>
      <c r="U576" s="19"/>
      <c r="V576" s="19"/>
      <c r="W576" s="19"/>
      <c r="X576" s="19"/>
      <c r="Y576" s="19"/>
      <c r="Z576" s="19"/>
      <c r="AA576" s="19"/>
      <c r="AB576" s="19"/>
      <c r="AC576" s="19"/>
      <c r="AD576" s="19"/>
    </row>
    <row r="577" spans="1:30" ht="14.1" hidden="1" customHeight="1" outlineLevel="1" x14ac:dyDescent="0.2">
      <c r="A577" s="21"/>
      <c r="B577" s="19"/>
      <c r="C577" s="165"/>
      <c r="D577" s="54" t="s">
        <v>743</v>
      </c>
      <c r="E577" s="914">
        <f t="shared" ref="E577:N577" si="237">SUM(E576*LocLM)</f>
        <v>16</v>
      </c>
      <c r="F577" s="914">
        <f t="shared" si="237"/>
        <v>18</v>
      </c>
      <c r="G577" s="914">
        <f t="shared" si="237"/>
        <v>18</v>
      </c>
      <c r="H577" s="914">
        <f t="shared" si="237"/>
        <v>18</v>
      </c>
      <c r="I577" s="914">
        <f t="shared" si="237"/>
        <v>18</v>
      </c>
      <c r="J577" s="914">
        <f t="shared" si="237"/>
        <v>18</v>
      </c>
      <c r="K577" s="914">
        <f t="shared" si="237"/>
        <v>18</v>
      </c>
      <c r="L577" s="914">
        <f t="shared" si="237"/>
        <v>18</v>
      </c>
      <c r="M577" s="914">
        <f t="shared" si="237"/>
        <v>18</v>
      </c>
      <c r="N577" s="914">
        <f t="shared" si="237"/>
        <v>18</v>
      </c>
      <c r="O577" s="938"/>
      <c r="P577" s="13"/>
      <c r="Q577" s="19"/>
      <c r="R577" s="19"/>
      <c r="S577" s="19"/>
      <c r="T577" s="19"/>
      <c r="U577" s="19"/>
      <c r="V577" s="19"/>
      <c r="W577" s="19"/>
      <c r="X577" s="19"/>
      <c r="Y577" s="19"/>
      <c r="Z577" s="19"/>
      <c r="AA577" s="19"/>
      <c r="AB577" s="19"/>
      <c r="AC577" s="19"/>
      <c r="AD577" s="19"/>
    </row>
    <row r="578" spans="1:30" ht="14.1" hidden="1" customHeight="1" outlineLevel="1" x14ac:dyDescent="0.2">
      <c r="A578" s="21"/>
      <c r="B578" s="19"/>
      <c r="C578" s="165"/>
      <c r="D578" s="54"/>
      <c r="E578" s="38"/>
      <c r="F578" s="38"/>
      <c r="G578" s="38"/>
      <c r="H578" s="38"/>
      <c r="I578" s="38"/>
      <c r="J578" s="38"/>
      <c r="K578" s="38"/>
      <c r="L578" s="38"/>
      <c r="M578" s="38"/>
      <c r="N578" s="38"/>
      <c r="O578" s="938"/>
      <c r="P578" s="13"/>
      <c r="Q578" s="19"/>
      <c r="R578" s="19"/>
      <c r="S578" s="19"/>
      <c r="T578" s="19"/>
      <c r="U578" s="19"/>
      <c r="V578" s="19"/>
      <c r="W578" s="19"/>
      <c r="X578" s="19"/>
      <c r="Y578" s="19"/>
      <c r="Z578" s="19"/>
      <c r="AA578" s="19"/>
      <c r="AB578" s="19"/>
      <c r="AC578" s="19"/>
      <c r="AD578" s="19"/>
    </row>
    <row r="579" spans="1:30" ht="14.1" hidden="1" customHeight="1" outlineLevel="1" x14ac:dyDescent="0.2">
      <c r="A579" s="21"/>
      <c r="B579" s="19"/>
      <c r="C579" s="165"/>
      <c r="D579" s="57" t="s">
        <v>744</v>
      </c>
      <c r="E579" s="939">
        <v>3</v>
      </c>
      <c r="F579" s="939">
        <v>3</v>
      </c>
      <c r="G579" s="939">
        <v>3</v>
      </c>
      <c r="H579" s="939">
        <v>3</v>
      </c>
      <c r="I579" s="939">
        <v>3</v>
      </c>
      <c r="J579" s="939">
        <v>3</v>
      </c>
      <c r="K579" s="939">
        <v>3</v>
      </c>
      <c r="L579" s="939">
        <v>3</v>
      </c>
      <c r="M579" s="939">
        <v>3</v>
      </c>
      <c r="N579" s="939">
        <v>3</v>
      </c>
      <c r="O579" s="938"/>
      <c r="P579" s="13"/>
      <c r="Q579" s="19"/>
      <c r="R579" s="19"/>
      <c r="S579" s="19"/>
      <c r="T579" s="19"/>
      <c r="U579" s="19"/>
      <c r="V579" s="19"/>
      <c r="W579" s="19"/>
      <c r="X579" s="19"/>
      <c r="Y579" s="19"/>
      <c r="Z579" s="19"/>
      <c r="AA579" s="19"/>
      <c r="AB579" s="19"/>
      <c r="AC579" s="19"/>
      <c r="AD579" s="19"/>
    </row>
    <row r="580" spans="1:30" ht="14.1" hidden="1" customHeight="1" outlineLevel="1" x14ac:dyDescent="0.2">
      <c r="A580" s="21"/>
      <c r="B580" s="19"/>
      <c r="C580" s="165"/>
      <c r="D580" s="54" t="s">
        <v>745</v>
      </c>
      <c r="E580" s="914">
        <f t="shared" ref="E580:N580" si="238">SUM(E579*LocHM)</f>
        <v>3</v>
      </c>
      <c r="F580" s="914">
        <f t="shared" si="238"/>
        <v>3</v>
      </c>
      <c r="G580" s="914">
        <f t="shared" si="238"/>
        <v>3</v>
      </c>
      <c r="H580" s="914">
        <f t="shared" si="238"/>
        <v>3</v>
      </c>
      <c r="I580" s="914">
        <f t="shared" si="238"/>
        <v>3</v>
      </c>
      <c r="J580" s="914">
        <f t="shared" si="238"/>
        <v>3</v>
      </c>
      <c r="K580" s="914">
        <f t="shared" si="238"/>
        <v>3</v>
      </c>
      <c r="L580" s="914">
        <f t="shared" si="238"/>
        <v>3</v>
      </c>
      <c r="M580" s="914">
        <f t="shared" si="238"/>
        <v>3</v>
      </c>
      <c r="N580" s="914">
        <f t="shared" si="238"/>
        <v>3</v>
      </c>
      <c r="O580" s="938"/>
      <c r="P580" s="13"/>
      <c r="Q580" s="19"/>
      <c r="R580" s="19"/>
      <c r="S580" s="19"/>
      <c r="T580" s="19"/>
      <c r="U580" s="19"/>
      <c r="V580" s="19"/>
      <c r="W580" s="19"/>
      <c r="X580" s="19"/>
      <c r="Y580" s="19"/>
      <c r="Z580" s="19"/>
      <c r="AA580" s="19"/>
      <c r="AB580" s="19"/>
      <c r="AC580" s="19"/>
      <c r="AD580" s="19"/>
    </row>
    <row r="581" spans="1:30" ht="14.1" hidden="1" customHeight="1" outlineLevel="1" x14ac:dyDescent="0.2">
      <c r="A581" s="21"/>
      <c r="B581" s="19"/>
      <c r="C581" s="165"/>
      <c r="D581" s="54"/>
      <c r="E581" s="38"/>
      <c r="F581" s="38"/>
      <c r="G581" s="38"/>
      <c r="H581" s="38"/>
      <c r="I581" s="38"/>
      <c r="J581" s="38"/>
      <c r="K581" s="38"/>
      <c r="L581" s="38"/>
      <c r="M581" s="38"/>
      <c r="N581" s="38"/>
      <c r="O581" s="938"/>
      <c r="P581" s="13"/>
      <c r="Q581" s="19"/>
      <c r="R581" s="19"/>
      <c r="S581" s="19"/>
      <c r="T581" s="19"/>
      <c r="U581" s="19"/>
      <c r="V581" s="19"/>
      <c r="W581" s="19"/>
      <c r="X581" s="19"/>
      <c r="Y581" s="19"/>
      <c r="Z581" s="19"/>
      <c r="AA581" s="19"/>
      <c r="AB581" s="19"/>
      <c r="AC581" s="19"/>
      <c r="AD581" s="19"/>
    </row>
    <row r="582" spans="1:30" ht="14.1" hidden="1" customHeight="1" outlineLevel="1" x14ac:dyDescent="0.2">
      <c r="A582" s="21"/>
      <c r="B582" s="19"/>
      <c r="C582" s="165"/>
      <c r="D582" s="57" t="s">
        <v>995</v>
      </c>
      <c r="E582" s="939">
        <v>6</v>
      </c>
      <c r="F582" s="939">
        <v>6</v>
      </c>
      <c r="G582" s="939">
        <v>6</v>
      </c>
      <c r="H582" s="939">
        <v>6</v>
      </c>
      <c r="I582" s="939">
        <v>6</v>
      </c>
      <c r="J582" s="939">
        <v>6</v>
      </c>
      <c r="K582" s="939">
        <v>6</v>
      </c>
      <c r="L582" s="939">
        <v>6</v>
      </c>
      <c r="M582" s="939">
        <v>6</v>
      </c>
      <c r="N582" s="939">
        <v>6</v>
      </c>
      <c r="O582" s="271"/>
      <c r="P582" s="13"/>
      <c r="Q582" s="19"/>
      <c r="R582" s="19"/>
      <c r="S582" s="19"/>
      <c r="T582" s="19"/>
      <c r="U582" s="19"/>
      <c r="V582" s="19"/>
      <c r="W582" s="19"/>
      <c r="X582" s="19"/>
      <c r="Y582" s="19"/>
      <c r="Z582" s="19"/>
      <c r="AA582" s="19"/>
      <c r="AB582" s="19"/>
      <c r="AC582" s="19"/>
      <c r="AD582" s="19"/>
    </row>
    <row r="583" spans="1:30" ht="14.1" hidden="1" customHeight="1" outlineLevel="1" x14ac:dyDescent="0.2">
      <c r="A583" s="21"/>
      <c r="B583" s="19"/>
      <c r="C583" s="165"/>
      <c r="D583" s="54" t="s">
        <v>996</v>
      </c>
      <c r="E583" s="914">
        <f t="shared" ref="E583:N583" si="239">SUM(E582*LocENG)</f>
        <v>6</v>
      </c>
      <c r="F583" s="914">
        <f t="shared" si="239"/>
        <v>6</v>
      </c>
      <c r="G583" s="914">
        <f t="shared" si="239"/>
        <v>6</v>
      </c>
      <c r="H583" s="914">
        <f t="shared" si="239"/>
        <v>6</v>
      </c>
      <c r="I583" s="914">
        <f t="shared" si="239"/>
        <v>6</v>
      </c>
      <c r="J583" s="914">
        <f t="shared" si="239"/>
        <v>6</v>
      </c>
      <c r="K583" s="914">
        <f t="shared" si="239"/>
        <v>6</v>
      </c>
      <c r="L583" s="914">
        <f t="shared" si="239"/>
        <v>6</v>
      </c>
      <c r="M583" s="914">
        <f t="shared" si="239"/>
        <v>6</v>
      </c>
      <c r="N583" s="914">
        <f t="shared" si="239"/>
        <v>6</v>
      </c>
      <c r="O583" s="271"/>
      <c r="P583" s="13"/>
      <c r="Q583" s="19"/>
      <c r="R583" s="19"/>
      <c r="S583" s="19"/>
      <c r="T583" s="19"/>
      <c r="U583" s="19"/>
      <c r="V583" s="19"/>
      <c r="W583" s="19"/>
      <c r="X583" s="19"/>
      <c r="Y583" s="19"/>
      <c r="Z583" s="19"/>
      <c r="AA583" s="19"/>
      <c r="AB583" s="19"/>
      <c r="AC583" s="19"/>
      <c r="AD583" s="19"/>
    </row>
    <row r="584" spans="1:30" ht="14.1" hidden="1" customHeight="1" outlineLevel="1" x14ac:dyDescent="0.2">
      <c r="A584" s="21"/>
      <c r="B584" s="19"/>
      <c r="C584" s="165"/>
      <c r="D584" s="54"/>
      <c r="E584" s="38"/>
      <c r="F584" s="38"/>
      <c r="G584" s="38"/>
      <c r="H584" s="38"/>
      <c r="I584" s="38"/>
      <c r="J584" s="38"/>
      <c r="K584" s="38"/>
      <c r="L584" s="38"/>
      <c r="M584" s="38"/>
      <c r="N584" s="38"/>
      <c r="O584" s="938"/>
      <c r="P584" s="13"/>
      <c r="Q584" s="19"/>
      <c r="R584" s="19"/>
      <c r="S584" s="19"/>
      <c r="T584" s="19"/>
      <c r="U584" s="19"/>
      <c r="V584" s="19"/>
      <c r="W584" s="19"/>
      <c r="X584" s="19"/>
      <c r="Y584" s="19"/>
      <c r="Z584" s="19"/>
      <c r="AA584" s="19"/>
      <c r="AB584" s="19"/>
      <c r="AC584" s="19"/>
      <c r="AD584" s="19"/>
    </row>
    <row r="585" spans="1:30" ht="14.1" hidden="1" customHeight="1" outlineLevel="1" x14ac:dyDescent="0.2">
      <c r="A585" s="21"/>
      <c r="B585" s="19"/>
      <c r="C585" s="165"/>
      <c r="D585" s="57" t="s">
        <v>997</v>
      </c>
      <c r="E585" s="939">
        <v>6</v>
      </c>
      <c r="F585" s="939">
        <v>6</v>
      </c>
      <c r="G585" s="939">
        <v>6</v>
      </c>
      <c r="H585" s="939">
        <v>6</v>
      </c>
      <c r="I585" s="939">
        <v>6</v>
      </c>
      <c r="J585" s="939">
        <v>6</v>
      </c>
      <c r="K585" s="939">
        <v>6</v>
      </c>
      <c r="L585" s="939">
        <v>6</v>
      </c>
      <c r="M585" s="939">
        <v>6</v>
      </c>
      <c r="N585" s="939">
        <v>6</v>
      </c>
      <c r="O585" s="271"/>
      <c r="P585" s="13"/>
      <c r="Q585" s="19"/>
      <c r="R585" s="19"/>
      <c r="S585" s="19"/>
      <c r="T585" s="19"/>
      <c r="U585" s="19"/>
      <c r="V585" s="19"/>
      <c r="W585" s="19"/>
      <c r="X585" s="19"/>
      <c r="Y585" s="19"/>
      <c r="Z585" s="19"/>
      <c r="AA585" s="19"/>
      <c r="AB585" s="19"/>
      <c r="AC585" s="19"/>
      <c r="AD585" s="19"/>
    </row>
    <row r="586" spans="1:30" ht="14.1" hidden="1" customHeight="1" outlineLevel="1" x14ac:dyDescent="0.2">
      <c r="A586" s="21"/>
      <c r="B586" s="19"/>
      <c r="C586" s="165"/>
      <c r="D586" s="54" t="s">
        <v>998</v>
      </c>
      <c r="E586" s="914">
        <f t="shared" ref="E586:N586" si="240">SUM(E585*LocPLG)</f>
        <v>6</v>
      </c>
      <c r="F586" s="914">
        <f t="shared" si="240"/>
        <v>6</v>
      </c>
      <c r="G586" s="914">
        <f t="shared" si="240"/>
        <v>6</v>
      </c>
      <c r="H586" s="914">
        <f t="shared" si="240"/>
        <v>6</v>
      </c>
      <c r="I586" s="914">
        <f t="shared" si="240"/>
        <v>6</v>
      </c>
      <c r="J586" s="914">
        <f t="shared" si="240"/>
        <v>6</v>
      </c>
      <c r="K586" s="914">
        <f t="shared" si="240"/>
        <v>6</v>
      </c>
      <c r="L586" s="914">
        <f t="shared" si="240"/>
        <v>6</v>
      </c>
      <c r="M586" s="914">
        <f t="shared" si="240"/>
        <v>6</v>
      </c>
      <c r="N586" s="914">
        <f t="shared" si="240"/>
        <v>6</v>
      </c>
      <c r="O586" s="271"/>
      <c r="P586" s="13"/>
      <c r="Q586" s="19"/>
      <c r="R586" s="19"/>
      <c r="S586" s="19"/>
      <c r="T586" s="19"/>
      <c r="U586" s="19"/>
      <c r="V586" s="19"/>
      <c r="W586" s="19"/>
      <c r="X586" s="19"/>
      <c r="Y586" s="19"/>
      <c r="Z586" s="19"/>
      <c r="AA586" s="19"/>
      <c r="AB586" s="19"/>
      <c r="AC586" s="19"/>
      <c r="AD586" s="19"/>
    </row>
    <row r="587" spans="1:30" ht="14.1" hidden="1" customHeight="1" outlineLevel="1" x14ac:dyDescent="0.2">
      <c r="A587" s="21"/>
      <c r="B587" s="19"/>
      <c r="C587" s="165"/>
      <c r="D587" s="54"/>
      <c r="E587" s="38"/>
      <c r="F587" s="38"/>
      <c r="G587" s="38"/>
      <c r="H587" s="38"/>
      <c r="I587" s="38"/>
      <c r="J587" s="38"/>
      <c r="K587" s="38"/>
      <c r="L587" s="38"/>
      <c r="M587" s="38"/>
      <c r="N587" s="38"/>
      <c r="O587" s="938"/>
      <c r="P587" s="13"/>
      <c r="Q587" s="19"/>
      <c r="R587" s="19"/>
      <c r="S587" s="19"/>
      <c r="T587" s="19"/>
      <c r="U587" s="19"/>
      <c r="V587" s="19"/>
      <c r="W587" s="19"/>
      <c r="X587" s="19"/>
      <c r="Y587" s="19"/>
      <c r="Z587" s="19"/>
      <c r="AA587" s="19"/>
      <c r="AB587" s="19"/>
      <c r="AC587" s="19"/>
      <c r="AD587" s="19"/>
    </row>
    <row r="588" spans="1:30" ht="14.1" hidden="1" customHeight="1" outlineLevel="1" x14ac:dyDescent="0.2">
      <c r="A588" s="21"/>
      <c r="B588" s="19"/>
      <c r="C588" s="165"/>
      <c r="D588" s="57" t="s">
        <v>665</v>
      </c>
      <c r="E588" s="939">
        <v>3</v>
      </c>
      <c r="F588" s="939">
        <v>3</v>
      </c>
      <c r="G588" s="939">
        <v>3</v>
      </c>
      <c r="H588" s="939">
        <v>3</v>
      </c>
      <c r="I588" s="939">
        <v>3</v>
      </c>
      <c r="J588" s="939">
        <v>3</v>
      </c>
      <c r="K588" s="939">
        <v>3</v>
      </c>
      <c r="L588" s="939">
        <v>3</v>
      </c>
      <c r="M588" s="939">
        <v>3</v>
      </c>
      <c r="N588" s="939">
        <v>3</v>
      </c>
      <c r="O588" s="271"/>
      <c r="P588" s="13"/>
      <c r="Q588" s="19"/>
      <c r="R588" s="19"/>
      <c r="S588" s="19"/>
      <c r="T588" s="19"/>
      <c r="U588" s="19"/>
      <c r="V588" s="19"/>
      <c r="W588" s="19"/>
      <c r="X588" s="19"/>
      <c r="Y588" s="19"/>
      <c r="Z588" s="19"/>
      <c r="AA588" s="19"/>
      <c r="AB588" s="19"/>
      <c r="AC588" s="19"/>
      <c r="AD588" s="19"/>
    </row>
    <row r="589" spans="1:30" ht="14.1" hidden="1" customHeight="1" outlineLevel="1" x14ac:dyDescent="0.2">
      <c r="A589" s="21"/>
      <c r="B589" s="19"/>
      <c r="C589" s="165"/>
      <c r="D589" s="54" t="s">
        <v>746</v>
      </c>
      <c r="E589" s="914">
        <f t="shared" ref="E589:N589" si="241">SUM(E588*LocCRT)</f>
        <v>27</v>
      </c>
      <c r="F589" s="914">
        <f t="shared" si="241"/>
        <v>27</v>
      </c>
      <c r="G589" s="914">
        <f t="shared" si="241"/>
        <v>27</v>
      </c>
      <c r="H589" s="914">
        <f t="shared" si="241"/>
        <v>27</v>
      </c>
      <c r="I589" s="914">
        <f t="shared" si="241"/>
        <v>27</v>
      </c>
      <c r="J589" s="914">
        <f t="shared" si="241"/>
        <v>27</v>
      </c>
      <c r="K589" s="914">
        <f t="shared" si="241"/>
        <v>27</v>
      </c>
      <c r="L589" s="914">
        <f t="shared" si="241"/>
        <v>27</v>
      </c>
      <c r="M589" s="914">
        <f t="shared" si="241"/>
        <v>27</v>
      </c>
      <c r="N589" s="914">
        <f t="shared" si="241"/>
        <v>27</v>
      </c>
      <c r="O589" s="271"/>
      <c r="P589" s="13"/>
      <c r="Q589" s="19"/>
      <c r="R589" s="19"/>
      <c r="S589" s="19"/>
      <c r="T589" s="19"/>
      <c r="U589" s="19"/>
      <c r="V589" s="19"/>
      <c r="W589" s="19"/>
      <c r="X589" s="19"/>
      <c r="Y589" s="19"/>
      <c r="Z589" s="19"/>
      <c r="AA589" s="19"/>
      <c r="AB589" s="19"/>
      <c r="AC589" s="19"/>
      <c r="AD589" s="19"/>
    </row>
    <row r="590" spans="1:30" s="7" customFormat="1" ht="14.1" hidden="1" customHeight="1" outlineLevel="1" x14ac:dyDescent="0.2">
      <c r="A590" s="21"/>
      <c r="B590" s="24"/>
      <c r="C590" s="284"/>
      <c r="D590" s="27"/>
      <c r="E590" s="940"/>
      <c r="F590" s="940"/>
      <c r="G590" s="940"/>
      <c r="H590" s="940"/>
      <c r="I590" s="940"/>
      <c r="J590" s="940"/>
      <c r="K590" s="940"/>
      <c r="L590" s="940"/>
      <c r="M590" s="940"/>
      <c r="N590" s="940"/>
      <c r="O590" s="289"/>
      <c r="P590" s="50"/>
      <c r="Q590" s="24"/>
      <c r="R590" s="24"/>
      <c r="S590" s="24"/>
      <c r="T590" s="24"/>
      <c r="U590" s="24"/>
      <c r="V590" s="24"/>
      <c r="W590" s="24"/>
      <c r="X590" s="24"/>
      <c r="Y590" s="24"/>
      <c r="Z590" s="24"/>
      <c r="AA590" s="24"/>
      <c r="AB590" s="24"/>
      <c r="AC590" s="24"/>
      <c r="AD590" s="24"/>
    </row>
    <row r="591" spans="1:30" s="7" customFormat="1" ht="14.1" hidden="1" customHeight="1" outlineLevel="1" x14ac:dyDescent="0.2">
      <c r="A591" s="21"/>
      <c r="B591" s="24"/>
      <c r="C591" s="165"/>
      <c r="D591" s="57" t="s">
        <v>747</v>
      </c>
      <c r="E591" s="939">
        <v>2</v>
      </c>
      <c r="F591" s="939">
        <v>2</v>
      </c>
      <c r="G591" s="939">
        <v>2</v>
      </c>
      <c r="H591" s="939">
        <v>2</v>
      </c>
      <c r="I591" s="939">
        <v>2</v>
      </c>
      <c r="J591" s="939">
        <v>2</v>
      </c>
      <c r="K591" s="939">
        <v>2</v>
      </c>
      <c r="L591" s="939">
        <v>2</v>
      </c>
      <c r="M591" s="939">
        <v>2</v>
      </c>
      <c r="N591" s="939">
        <v>2</v>
      </c>
      <c r="O591" s="941"/>
      <c r="P591" s="50"/>
      <c r="Q591" s="24"/>
      <c r="R591" s="24"/>
      <c r="S591" s="24"/>
      <c r="T591" s="24"/>
      <c r="U591" s="24"/>
      <c r="V591" s="24"/>
      <c r="W591" s="24"/>
      <c r="X591" s="24"/>
      <c r="Y591" s="24"/>
      <c r="Z591" s="24"/>
      <c r="AA591" s="24"/>
      <c r="AB591" s="24"/>
      <c r="AC591" s="24"/>
      <c r="AD591" s="24"/>
    </row>
    <row r="592" spans="1:30" ht="14.1" hidden="1" customHeight="1" outlineLevel="1" x14ac:dyDescent="0.2">
      <c r="A592" s="21"/>
      <c r="B592" s="19"/>
      <c r="C592" s="165"/>
      <c r="D592" s="54" t="s">
        <v>748</v>
      </c>
      <c r="E592" s="914">
        <f t="shared" ref="E592:N592" si="242">SUM(E591*LocSCL)</f>
        <v>16</v>
      </c>
      <c r="F592" s="914">
        <f t="shared" si="242"/>
        <v>18</v>
      </c>
      <c r="G592" s="914">
        <f t="shared" si="242"/>
        <v>18</v>
      </c>
      <c r="H592" s="914">
        <f t="shared" si="242"/>
        <v>18</v>
      </c>
      <c r="I592" s="914">
        <f t="shared" si="242"/>
        <v>18</v>
      </c>
      <c r="J592" s="914">
        <f t="shared" si="242"/>
        <v>18</v>
      </c>
      <c r="K592" s="914">
        <f t="shared" si="242"/>
        <v>18</v>
      </c>
      <c r="L592" s="914">
        <f t="shared" si="242"/>
        <v>18</v>
      </c>
      <c r="M592" s="914">
        <f t="shared" si="242"/>
        <v>18</v>
      </c>
      <c r="N592" s="914">
        <f t="shared" si="242"/>
        <v>18</v>
      </c>
      <c r="O592" s="938"/>
      <c r="P592" s="13"/>
      <c r="Q592" s="19"/>
      <c r="R592" s="19"/>
      <c r="S592" s="19"/>
      <c r="T592" s="19"/>
      <c r="U592" s="19"/>
      <c r="V592" s="19"/>
      <c r="W592" s="19"/>
      <c r="X592" s="19"/>
      <c r="Y592" s="19"/>
      <c r="Z592" s="19"/>
      <c r="AA592" s="19"/>
      <c r="AB592" s="19"/>
      <c r="AC592" s="19"/>
      <c r="AD592" s="19"/>
    </row>
    <row r="593" spans="1:30" s="7" customFormat="1" ht="14.1" hidden="1" customHeight="1" outlineLevel="1" x14ac:dyDescent="0.2">
      <c r="A593" s="21"/>
      <c r="B593" s="24"/>
      <c r="C593" s="284"/>
      <c r="D593" s="27"/>
      <c r="E593" s="940"/>
      <c r="F593" s="940"/>
      <c r="G593" s="940"/>
      <c r="H593" s="940"/>
      <c r="I593" s="940"/>
      <c r="J593" s="940"/>
      <c r="K593" s="940"/>
      <c r="L593" s="940"/>
      <c r="M593" s="940"/>
      <c r="N593" s="940"/>
      <c r="O593" s="289"/>
      <c r="P593" s="50"/>
      <c r="Q593" s="24"/>
      <c r="R593" s="24"/>
      <c r="S593" s="24"/>
      <c r="T593" s="24"/>
      <c r="U593" s="24"/>
      <c r="V593" s="24"/>
      <c r="W593" s="24"/>
      <c r="X593" s="24"/>
      <c r="Y593" s="24"/>
      <c r="Z593" s="24"/>
      <c r="AA593" s="24"/>
      <c r="AB593" s="24"/>
      <c r="AC593" s="24"/>
      <c r="AD593" s="24"/>
    </row>
    <row r="594" spans="1:30" s="7" customFormat="1" ht="14.1" hidden="1" customHeight="1" outlineLevel="1" x14ac:dyDescent="0.2">
      <c r="A594" s="21"/>
      <c r="B594" s="24"/>
      <c r="C594" s="165"/>
      <c r="D594" s="57" t="s">
        <v>749</v>
      </c>
      <c r="E594" s="939">
        <v>2</v>
      </c>
      <c r="F594" s="939">
        <v>2</v>
      </c>
      <c r="G594" s="939">
        <v>2</v>
      </c>
      <c r="H594" s="939">
        <v>2</v>
      </c>
      <c r="I594" s="939">
        <v>2</v>
      </c>
      <c r="J594" s="939">
        <v>2</v>
      </c>
      <c r="K594" s="939">
        <v>2</v>
      </c>
      <c r="L594" s="939">
        <v>2</v>
      </c>
      <c r="M594" s="939">
        <v>2</v>
      </c>
      <c r="N594" s="939">
        <v>2</v>
      </c>
      <c r="O594" s="941"/>
      <c r="P594" s="50"/>
      <c r="Q594" s="24"/>
      <c r="R594" s="24"/>
      <c r="S594" s="24"/>
      <c r="T594" s="24"/>
      <c r="U594" s="24"/>
      <c r="V594" s="24"/>
      <c r="W594" s="24"/>
      <c r="X594" s="24"/>
      <c r="Y594" s="24"/>
      <c r="Z594" s="24"/>
      <c r="AA594" s="24"/>
      <c r="AB594" s="24"/>
      <c r="AC594" s="24"/>
      <c r="AD594" s="24"/>
    </row>
    <row r="595" spans="1:30" ht="14.1" hidden="1" customHeight="1" outlineLevel="1" x14ac:dyDescent="0.2">
      <c r="A595" s="21"/>
      <c r="B595" s="19"/>
      <c r="C595" s="165"/>
      <c r="D595" s="54" t="s">
        <v>750</v>
      </c>
      <c r="E595" s="914">
        <f t="shared" ref="E595:N595" si="243">SUM(E594*LocQSC)</f>
        <v>2</v>
      </c>
      <c r="F595" s="914">
        <f t="shared" si="243"/>
        <v>2</v>
      </c>
      <c r="G595" s="914">
        <f t="shared" si="243"/>
        <v>2</v>
      </c>
      <c r="H595" s="914">
        <f t="shared" si="243"/>
        <v>2</v>
      </c>
      <c r="I595" s="914">
        <f t="shared" si="243"/>
        <v>2</v>
      </c>
      <c r="J595" s="914">
        <f t="shared" si="243"/>
        <v>2</v>
      </c>
      <c r="K595" s="914">
        <f t="shared" si="243"/>
        <v>2</v>
      </c>
      <c r="L595" s="914">
        <f t="shared" si="243"/>
        <v>2</v>
      </c>
      <c r="M595" s="914">
        <f t="shared" si="243"/>
        <v>2</v>
      </c>
      <c r="N595" s="914">
        <f t="shared" si="243"/>
        <v>2</v>
      </c>
      <c r="O595" s="938"/>
      <c r="P595" s="13"/>
      <c r="Q595" s="19"/>
      <c r="R595" s="19"/>
      <c r="S595" s="19"/>
      <c r="T595" s="19"/>
      <c r="U595" s="19"/>
      <c r="V595" s="19"/>
      <c r="W595" s="19"/>
      <c r="X595" s="19"/>
      <c r="Y595" s="19"/>
      <c r="Z595" s="19"/>
      <c r="AA595" s="19"/>
      <c r="AB595" s="19"/>
      <c r="AC595" s="19"/>
      <c r="AD595" s="19"/>
    </row>
    <row r="596" spans="1:30" s="7" customFormat="1" ht="14.1" hidden="1" customHeight="1" outlineLevel="1" x14ac:dyDescent="0.2">
      <c r="A596" s="21"/>
      <c r="B596" s="24"/>
      <c r="C596" s="284"/>
      <c r="D596" s="27"/>
      <c r="E596" s="940"/>
      <c r="F596" s="940"/>
      <c r="G596" s="940"/>
      <c r="H596" s="940"/>
      <c r="I596" s="940"/>
      <c r="J596" s="940"/>
      <c r="K596" s="940"/>
      <c r="L596" s="940"/>
      <c r="M596" s="940"/>
      <c r="N596" s="940"/>
      <c r="O596" s="289"/>
      <c r="P596" s="50"/>
      <c r="Q596" s="24"/>
      <c r="R596" s="24"/>
      <c r="S596" s="24"/>
      <c r="T596" s="24"/>
      <c r="U596" s="24"/>
      <c r="V596" s="24"/>
      <c r="W596" s="24"/>
      <c r="X596" s="24"/>
      <c r="Y596" s="24"/>
      <c r="Z596" s="24"/>
      <c r="AA596" s="24"/>
      <c r="AB596" s="24"/>
      <c r="AC596" s="24"/>
      <c r="AD596" s="24"/>
    </row>
    <row r="597" spans="1:30" s="7" customFormat="1" ht="14.1" hidden="1" customHeight="1" outlineLevel="1" x14ac:dyDescent="0.2">
      <c r="A597" s="21"/>
      <c r="B597" s="24"/>
      <c r="C597" s="165"/>
      <c r="D597" s="57" t="s">
        <v>751</v>
      </c>
      <c r="E597" s="939">
        <v>2</v>
      </c>
      <c r="F597" s="939">
        <v>2</v>
      </c>
      <c r="G597" s="939">
        <v>2</v>
      </c>
      <c r="H597" s="939">
        <v>2</v>
      </c>
      <c r="I597" s="939">
        <v>2</v>
      </c>
      <c r="J597" s="939">
        <v>2</v>
      </c>
      <c r="K597" s="939">
        <v>2</v>
      </c>
      <c r="L597" s="939">
        <v>2</v>
      </c>
      <c r="M597" s="939">
        <v>2</v>
      </c>
      <c r="N597" s="939">
        <v>2</v>
      </c>
      <c r="O597" s="941"/>
      <c r="P597" s="50"/>
      <c r="Q597" s="24"/>
      <c r="R597" s="24"/>
      <c r="S597" s="24"/>
      <c r="T597" s="24"/>
      <c r="U597" s="24"/>
      <c r="V597" s="24"/>
      <c r="W597" s="24"/>
      <c r="X597" s="24"/>
      <c r="Y597" s="24"/>
      <c r="Z597" s="24"/>
      <c r="AA597" s="24"/>
      <c r="AB597" s="24"/>
      <c r="AC597" s="24"/>
      <c r="AD597" s="24"/>
    </row>
    <row r="598" spans="1:30" ht="14.1" hidden="1" customHeight="1" outlineLevel="1" x14ac:dyDescent="0.2">
      <c r="A598" s="21"/>
      <c r="B598" s="19"/>
      <c r="C598" s="165"/>
      <c r="D598" s="54" t="s">
        <v>752</v>
      </c>
      <c r="E598" s="914">
        <f t="shared" ref="E598:N598" si="244">SUM(E597*LocEM)</f>
        <v>4</v>
      </c>
      <c r="F598" s="914">
        <f t="shared" si="244"/>
        <v>4</v>
      </c>
      <c r="G598" s="914">
        <f t="shared" si="244"/>
        <v>4</v>
      </c>
      <c r="H598" s="914">
        <f t="shared" si="244"/>
        <v>4</v>
      </c>
      <c r="I598" s="914">
        <f t="shared" si="244"/>
        <v>4</v>
      </c>
      <c r="J598" s="914">
        <f t="shared" si="244"/>
        <v>4</v>
      </c>
      <c r="K598" s="914">
        <f t="shared" si="244"/>
        <v>4</v>
      </c>
      <c r="L598" s="914">
        <f t="shared" si="244"/>
        <v>4</v>
      </c>
      <c r="M598" s="914">
        <f t="shared" si="244"/>
        <v>4</v>
      </c>
      <c r="N598" s="914">
        <f t="shared" si="244"/>
        <v>4</v>
      </c>
      <c r="O598" s="938"/>
      <c r="P598" s="13"/>
      <c r="Q598" s="19"/>
      <c r="R598" s="19"/>
      <c r="S598" s="19"/>
      <c r="T598" s="19"/>
      <c r="U598" s="19"/>
      <c r="V598" s="19"/>
      <c r="W598" s="19"/>
      <c r="X598" s="19"/>
      <c r="Y598" s="19"/>
      <c r="Z598" s="19"/>
      <c r="AA598" s="19"/>
      <c r="AB598" s="19"/>
      <c r="AC598" s="19"/>
      <c r="AD598" s="19"/>
    </row>
    <row r="599" spans="1:30" s="7" customFormat="1" ht="14.1" hidden="1" customHeight="1" outlineLevel="1" x14ac:dyDescent="0.2">
      <c r="A599" s="21"/>
      <c r="B599" s="24"/>
      <c r="C599" s="284"/>
      <c r="D599" s="27"/>
      <c r="E599" s="940"/>
      <c r="F599" s="940"/>
      <c r="G599" s="940"/>
      <c r="H599" s="940"/>
      <c r="I599" s="940"/>
      <c r="J599" s="940"/>
      <c r="K599" s="940"/>
      <c r="L599" s="940"/>
      <c r="M599" s="940"/>
      <c r="N599" s="940"/>
      <c r="O599" s="289"/>
      <c r="P599" s="50"/>
      <c r="Q599" s="24"/>
      <c r="R599" s="24"/>
      <c r="S599" s="24"/>
      <c r="T599" s="24"/>
      <c r="U599" s="24"/>
      <c r="V599" s="24"/>
      <c r="W599" s="24"/>
      <c r="X599" s="24"/>
      <c r="Y599" s="24"/>
      <c r="Z599" s="24"/>
      <c r="AA599" s="24"/>
      <c r="AB599" s="24"/>
      <c r="AC599" s="24"/>
      <c r="AD599" s="24"/>
    </row>
    <row r="600" spans="1:30" s="7" customFormat="1" ht="14.1" hidden="1" customHeight="1" outlineLevel="1" x14ac:dyDescent="0.2">
      <c r="A600" s="21"/>
      <c r="B600" s="24"/>
      <c r="C600" s="165"/>
      <c r="D600" s="57" t="s">
        <v>753</v>
      </c>
      <c r="E600" s="939">
        <v>2</v>
      </c>
      <c r="F600" s="939">
        <v>2</v>
      </c>
      <c r="G600" s="939">
        <v>2</v>
      </c>
      <c r="H600" s="939">
        <v>2</v>
      </c>
      <c r="I600" s="939">
        <v>2</v>
      </c>
      <c r="J600" s="939">
        <v>2</v>
      </c>
      <c r="K600" s="939">
        <v>2</v>
      </c>
      <c r="L600" s="939">
        <v>2</v>
      </c>
      <c r="M600" s="939">
        <v>2</v>
      </c>
      <c r="N600" s="939">
        <v>2</v>
      </c>
      <c r="O600" s="941"/>
      <c r="P600" s="50"/>
      <c r="Q600" s="24"/>
      <c r="R600" s="24"/>
      <c r="S600" s="24"/>
      <c r="T600" s="24"/>
      <c r="U600" s="24"/>
      <c r="V600" s="24"/>
      <c r="W600" s="24"/>
      <c r="X600" s="24"/>
      <c r="Y600" s="24"/>
      <c r="Z600" s="24"/>
      <c r="AA600" s="24"/>
      <c r="AB600" s="24"/>
      <c r="AC600" s="24"/>
      <c r="AD600" s="24"/>
    </row>
    <row r="601" spans="1:30" ht="14.1" hidden="1" customHeight="1" outlineLevel="1" x14ac:dyDescent="0.2">
      <c r="A601" s="21"/>
      <c r="B601" s="19"/>
      <c r="C601" s="165"/>
      <c r="D601" s="54" t="s">
        <v>754</v>
      </c>
      <c r="E601" s="914">
        <f t="shared" ref="E601:N601" si="245">SUM(E600*LocCM)</f>
        <v>6</v>
      </c>
      <c r="F601" s="914">
        <f t="shared" si="245"/>
        <v>6</v>
      </c>
      <c r="G601" s="914">
        <f t="shared" si="245"/>
        <v>6</v>
      </c>
      <c r="H601" s="914">
        <f t="shared" si="245"/>
        <v>6</v>
      </c>
      <c r="I601" s="914">
        <f t="shared" si="245"/>
        <v>6</v>
      </c>
      <c r="J601" s="914">
        <f t="shared" si="245"/>
        <v>6</v>
      </c>
      <c r="K601" s="914">
        <f t="shared" si="245"/>
        <v>6</v>
      </c>
      <c r="L601" s="914">
        <f t="shared" si="245"/>
        <v>6</v>
      </c>
      <c r="M601" s="914">
        <f t="shared" si="245"/>
        <v>6</v>
      </c>
      <c r="N601" s="914">
        <f t="shared" si="245"/>
        <v>6</v>
      </c>
      <c r="O601" s="938"/>
      <c r="P601" s="13"/>
      <c r="Q601" s="19"/>
      <c r="R601" s="19"/>
      <c r="S601" s="19"/>
      <c r="T601" s="19"/>
      <c r="U601" s="19"/>
      <c r="V601" s="19"/>
      <c r="W601" s="19"/>
      <c r="X601" s="19"/>
      <c r="Y601" s="19"/>
      <c r="Z601" s="19"/>
      <c r="AA601" s="19"/>
      <c r="AB601" s="19"/>
      <c r="AC601" s="19"/>
      <c r="AD601" s="19"/>
    </row>
    <row r="602" spans="1:30" s="7" customFormat="1" ht="14.1" hidden="1" customHeight="1" outlineLevel="1" x14ac:dyDescent="0.2">
      <c r="A602" s="21"/>
      <c r="B602" s="24"/>
      <c r="C602" s="284"/>
      <c r="D602" s="27"/>
      <c r="E602" s="940"/>
      <c r="F602" s="940"/>
      <c r="G602" s="940"/>
      <c r="H602" s="940"/>
      <c r="I602" s="940"/>
      <c r="J602" s="940"/>
      <c r="K602" s="940"/>
      <c r="L602" s="940"/>
      <c r="M602" s="940"/>
      <c r="N602" s="940"/>
      <c r="O602" s="289"/>
      <c r="P602" s="50"/>
      <c r="Q602" s="24"/>
      <c r="R602" s="24"/>
      <c r="S602" s="24"/>
      <c r="T602" s="24"/>
      <c r="U602" s="24"/>
      <c r="V602" s="24"/>
      <c r="W602" s="24"/>
      <c r="X602" s="24"/>
      <c r="Y602" s="24"/>
      <c r="Z602" s="24"/>
      <c r="AA602" s="24"/>
      <c r="AB602" s="24"/>
      <c r="AC602" s="24"/>
      <c r="AD602" s="24"/>
    </row>
    <row r="603" spans="1:30" s="7" customFormat="1" ht="14.1" hidden="1" customHeight="1" outlineLevel="1" x14ac:dyDescent="0.2">
      <c r="A603" s="21"/>
      <c r="B603" s="24"/>
      <c r="C603" s="165"/>
      <c r="D603" s="57" t="s">
        <v>755</v>
      </c>
      <c r="E603" s="939">
        <v>2</v>
      </c>
      <c r="F603" s="939">
        <v>2</v>
      </c>
      <c r="G603" s="939">
        <v>2</v>
      </c>
      <c r="H603" s="939">
        <v>2</v>
      </c>
      <c r="I603" s="939">
        <v>2</v>
      </c>
      <c r="J603" s="939">
        <v>2</v>
      </c>
      <c r="K603" s="939">
        <v>2</v>
      </c>
      <c r="L603" s="939">
        <v>2</v>
      </c>
      <c r="M603" s="939">
        <v>2</v>
      </c>
      <c r="N603" s="939">
        <v>2</v>
      </c>
      <c r="O603" s="941"/>
      <c r="P603" s="50"/>
      <c r="Q603" s="24"/>
      <c r="R603" s="24"/>
      <c r="S603" s="24"/>
      <c r="T603" s="24"/>
      <c r="U603" s="24"/>
      <c r="V603" s="24"/>
      <c r="W603" s="24"/>
      <c r="X603" s="24"/>
      <c r="Y603" s="24"/>
      <c r="Z603" s="24"/>
      <c r="AA603" s="24"/>
      <c r="AB603" s="24"/>
      <c r="AC603" s="24"/>
      <c r="AD603" s="24"/>
    </row>
    <row r="604" spans="1:30" ht="14.1" hidden="1" customHeight="1" outlineLevel="1" x14ac:dyDescent="0.2">
      <c r="A604" s="21"/>
      <c r="B604" s="19"/>
      <c r="C604" s="165"/>
      <c r="D604" s="54" t="s">
        <v>756</v>
      </c>
      <c r="E604" s="914">
        <f t="shared" ref="E604:N604" si="246">SUM(E603*LocSMCS)</f>
        <v>6</v>
      </c>
      <c r="F604" s="914">
        <f t="shared" si="246"/>
        <v>6</v>
      </c>
      <c r="G604" s="914">
        <f t="shared" si="246"/>
        <v>6</v>
      </c>
      <c r="H604" s="914">
        <f t="shared" si="246"/>
        <v>6</v>
      </c>
      <c r="I604" s="914">
        <f t="shared" si="246"/>
        <v>6</v>
      </c>
      <c r="J604" s="914">
        <f t="shared" si="246"/>
        <v>6</v>
      </c>
      <c r="K604" s="914">
        <f t="shared" si="246"/>
        <v>6</v>
      </c>
      <c r="L604" s="914">
        <f t="shared" si="246"/>
        <v>6</v>
      </c>
      <c r="M604" s="914">
        <f t="shared" si="246"/>
        <v>6</v>
      </c>
      <c r="N604" s="914">
        <f t="shared" si="246"/>
        <v>6</v>
      </c>
      <c r="O604" s="938"/>
      <c r="P604" s="13"/>
      <c r="Q604" s="19"/>
      <c r="R604" s="19"/>
      <c r="S604" s="19"/>
      <c r="T604" s="19"/>
      <c r="U604" s="19"/>
      <c r="V604" s="19"/>
      <c r="W604" s="19"/>
      <c r="X604" s="19"/>
      <c r="Y604" s="19"/>
      <c r="Z604" s="19"/>
      <c r="AA604" s="19"/>
      <c r="AB604" s="19"/>
      <c r="AC604" s="19"/>
      <c r="AD604" s="19"/>
    </row>
    <row r="605" spans="1:30" s="7" customFormat="1" ht="14.1" hidden="1" customHeight="1" outlineLevel="1" x14ac:dyDescent="0.2">
      <c r="A605" s="21"/>
      <c r="B605" s="24"/>
      <c r="C605" s="284"/>
      <c r="D605" s="27"/>
      <c r="E605" s="940"/>
      <c r="F605" s="940"/>
      <c r="G605" s="940"/>
      <c r="H605" s="940"/>
      <c r="I605" s="940"/>
      <c r="J605" s="940"/>
      <c r="K605" s="940"/>
      <c r="L605" s="940"/>
      <c r="M605" s="940"/>
      <c r="N605" s="940"/>
      <c r="O605" s="289"/>
      <c r="P605" s="50"/>
      <c r="Q605" s="24"/>
      <c r="R605" s="24"/>
      <c r="S605" s="24"/>
      <c r="T605" s="24"/>
      <c r="U605" s="24"/>
      <c r="V605" s="24"/>
      <c r="W605" s="24"/>
      <c r="X605" s="24"/>
      <c r="Y605" s="24"/>
      <c r="Z605" s="24"/>
      <c r="AA605" s="24"/>
      <c r="AB605" s="24"/>
      <c r="AC605" s="24"/>
      <c r="AD605" s="24"/>
    </row>
    <row r="606" spans="1:30" s="7" customFormat="1" ht="14.1" hidden="1" customHeight="1" outlineLevel="1" x14ac:dyDescent="0.2">
      <c r="A606" s="21"/>
      <c r="B606" s="24"/>
      <c r="C606" s="165"/>
      <c r="D606" s="57" t="s">
        <v>757</v>
      </c>
      <c r="E606" s="939"/>
      <c r="F606" s="939"/>
      <c r="G606" s="939"/>
      <c r="H606" s="939"/>
      <c r="I606" s="939"/>
      <c r="J606" s="939"/>
      <c r="K606" s="939"/>
      <c r="L606" s="939"/>
      <c r="M606" s="939"/>
      <c r="N606" s="939"/>
      <c r="O606" s="941"/>
      <c r="P606" s="50"/>
      <c r="Q606" s="24"/>
      <c r="R606" s="24"/>
      <c r="S606" s="24"/>
      <c r="T606" s="24"/>
      <c r="U606" s="24"/>
      <c r="V606" s="24"/>
      <c r="W606" s="24"/>
      <c r="X606" s="24"/>
      <c r="Y606" s="24"/>
      <c r="Z606" s="24"/>
      <c r="AA606" s="24"/>
      <c r="AB606" s="24"/>
      <c r="AC606" s="24"/>
      <c r="AD606" s="24"/>
    </row>
    <row r="607" spans="1:30" ht="14.1" hidden="1" customHeight="1" outlineLevel="1" x14ac:dyDescent="0.2">
      <c r="A607" s="21"/>
      <c r="B607" s="19"/>
      <c r="C607" s="165"/>
      <c r="D607" s="54" t="s">
        <v>758</v>
      </c>
      <c r="E607" s="914">
        <f t="shared" ref="E607:N607" si="247">SUM(E606*LocO1)</f>
        <v>0</v>
      </c>
      <c r="F607" s="914">
        <f t="shared" si="247"/>
        <v>0</v>
      </c>
      <c r="G607" s="914">
        <f t="shared" si="247"/>
        <v>0</v>
      </c>
      <c r="H607" s="914">
        <f t="shared" si="247"/>
        <v>0</v>
      </c>
      <c r="I607" s="914">
        <f t="shared" si="247"/>
        <v>0</v>
      </c>
      <c r="J607" s="914">
        <f t="shared" si="247"/>
        <v>0</v>
      </c>
      <c r="K607" s="914">
        <f t="shared" si="247"/>
        <v>0</v>
      </c>
      <c r="L607" s="914">
        <f t="shared" si="247"/>
        <v>0</v>
      </c>
      <c r="M607" s="914">
        <f t="shared" si="247"/>
        <v>0</v>
      </c>
      <c r="N607" s="914">
        <f t="shared" si="247"/>
        <v>0</v>
      </c>
      <c r="O607" s="938"/>
      <c r="P607" s="13"/>
      <c r="Q607" s="19"/>
      <c r="R607" s="19"/>
      <c r="S607" s="19"/>
      <c r="T607" s="19"/>
      <c r="U607" s="19"/>
      <c r="V607" s="19"/>
      <c r="W607" s="19"/>
      <c r="X607" s="19"/>
      <c r="Y607" s="19"/>
      <c r="Z607" s="19"/>
      <c r="AA607" s="19"/>
      <c r="AB607" s="19"/>
      <c r="AC607" s="19"/>
      <c r="AD607" s="19"/>
    </row>
    <row r="608" spans="1:30" s="7" customFormat="1" ht="14.1" hidden="1" customHeight="1" outlineLevel="1" x14ac:dyDescent="0.2">
      <c r="A608" s="21"/>
      <c r="B608" s="24"/>
      <c r="C608" s="284"/>
      <c r="D608" s="27"/>
      <c r="E608" s="940"/>
      <c r="F608" s="940"/>
      <c r="G608" s="940"/>
      <c r="H608" s="940"/>
      <c r="I608" s="940"/>
      <c r="J608" s="940"/>
      <c r="K608" s="940"/>
      <c r="L608" s="940"/>
      <c r="M608" s="940"/>
      <c r="N608" s="940"/>
      <c r="O608" s="289"/>
      <c r="P608" s="50"/>
      <c r="Q608" s="24"/>
      <c r="R608" s="24"/>
      <c r="S608" s="24"/>
      <c r="T608" s="24"/>
      <c r="U608" s="24"/>
      <c r="V608" s="24"/>
      <c r="W608" s="24"/>
      <c r="X608" s="24"/>
      <c r="Y608" s="24"/>
      <c r="Z608" s="24"/>
      <c r="AA608" s="24"/>
      <c r="AB608" s="24"/>
      <c r="AC608" s="24"/>
      <c r="AD608" s="24"/>
    </row>
    <row r="609" spans="1:30" s="7" customFormat="1" ht="14.1" hidden="1" customHeight="1" outlineLevel="1" x14ac:dyDescent="0.2">
      <c r="A609" s="21"/>
      <c r="B609" s="24"/>
      <c r="C609" s="165"/>
      <c r="D609" s="57" t="s">
        <v>759</v>
      </c>
      <c r="E609" s="939"/>
      <c r="F609" s="939"/>
      <c r="G609" s="939"/>
      <c r="H609" s="939"/>
      <c r="I609" s="939"/>
      <c r="J609" s="939"/>
      <c r="K609" s="939"/>
      <c r="L609" s="939"/>
      <c r="M609" s="939"/>
      <c r="N609" s="939"/>
      <c r="O609" s="941"/>
      <c r="P609" s="50"/>
      <c r="Q609" s="24"/>
      <c r="R609" s="24"/>
      <c r="S609" s="24"/>
      <c r="T609" s="24"/>
      <c r="U609" s="24"/>
      <c r="V609" s="24"/>
      <c r="W609" s="24"/>
      <c r="X609" s="24"/>
      <c r="Y609" s="24"/>
      <c r="Z609" s="24"/>
      <c r="AA609" s="24"/>
      <c r="AB609" s="24"/>
      <c r="AC609" s="24"/>
      <c r="AD609" s="24"/>
    </row>
    <row r="610" spans="1:30" ht="14.1" hidden="1" customHeight="1" outlineLevel="1" x14ac:dyDescent="0.2">
      <c r="A610" s="21"/>
      <c r="B610" s="19"/>
      <c r="C610" s="165"/>
      <c r="D610" s="54" t="s">
        <v>760</v>
      </c>
      <c r="E610" s="914">
        <f t="shared" ref="E610:N610" si="248">SUM(E609*LocO2)</f>
        <v>0</v>
      </c>
      <c r="F610" s="914">
        <f t="shared" si="248"/>
        <v>0</v>
      </c>
      <c r="G610" s="914">
        <f t="shared" si="248"/>
        <v>0</v>
      </c>
      <c r="H610" s="914">
        <f t="shared" si="248"/>
        <v>0</v>
      </c>
      <c r="I610" s="914">
        <f t="shared" si="248"/>
        <v>0</v>
      </c>
      <c r="J610" s="914">
        <f t="shared" si="248"/>
        <v>0</v>
      </c>
      <c r="K610" s="914">
        <f t="shared" si="248"/>
        <v>0</v>
      </c>
      <c r="L610" s="914">
        <f t="shared" si="248"/>
        <v>0</v>
      </c>
      <c r="M610" s="914">
        <f t="shared" si="248"/>
        <v>0</v>
      </c>
      <c r="N610" s="914">
        <f t="shared" si="248"/>
        <v>0</v>
      </c>
      <c r="O610" s="938"/>
      <c r="P610" s="13"/>
      <c r="Q610" s="19"/>
      <c r="R610" s="19"/>
      <c r="S610" s="19"/>
      <c r="T610" s="19"/>
      <c r="U610" s="19"/>
      <c r="V610" s="19"/>
      <c r="W610" s="19"/>
      <c r="X610" s="19"/>
      <c r="Y610" s="19"/>
      <c r="Z610" s="19"/>
      <c r="AA610" s="19"/>
      <c r="AB610" s="19"/>
      <c r="AC610" s="19"/>
      <c r="AD610" s="19"/>
    </row>
    <row r="611" spans="1:30" ht="14.1" hidden="1" customHeight="1" outlineLevel="1" x14ac:dyDescent="0.2">
      <c r="A611" s="21"/>
      <c r="B611" s="19"/>
      <c r="C611" s="290"/>
      <c r="D611" s="38"/>
      <c r="E611" s="38"/>
      <c r="F611" s="38"/>
      <c r="G611" s="38"/>
      <c r="H611" s="13"/>
      <c r="I611" s="13"/>
      <c r="J611" s="13"/>
      <c r="K611" s="13"/>
      <c r="L611" s="13"/>
      <c r="M611" s="13"/>
      <c r="N611" s="13"/>
      <c r="O611" s="897"/>
      <c r="P611" s="13"/>
      <c r="Q611" s="19"/>
      <c r="R611" s="19"/>
      <c r="S611" s="19"/>
      <c r="T611" s="19"/>
      <c r="U611" s="19"/>
      <c r="V611" s="19"/>
      <c r="W611" s="19"/>
      <c r="X611" s="19"/>
      <c r="Y611" s="19"/>
      <c r="Z611" s="19"/>
      <c r="AA611" s="19"/>
      <c r="AB611" s="19"/>
      <c r="AC611" s="19"/>
      <c r="AD611" s="19"/>
    </row>
    <row r="612" spans="1:30" ht="14.1" hidden="1" customHeight="1" outlineLevel="1" x14ac:dyDescent="0.2">
      <c r="A612" s="21"/>
      <c r="B612" s="19"/>
      <c r="C612" s="270"/>
      <c r="D612" s="921" t="s">
        <v>131</v>
      </c>
      <c r="E612" s="292">
        <f t="shared" ref="E612:N612" si="249">SUM(E610+E607+E604+E601+E598+E595+E592+E589+E586+E580+E577+E574)*hSystemsFilingCabinetArea_Each</f>
        <v>186</v>
      </c>
      <c r="F612" s="292">
        <f t="shared" si="249"/>
        <v>195</v>
      </c>
      <c r="G612" s="292">
        <f t="shared" si="249"/>
        <v>195</v>
      </c>
      <c r="H612" s="292">
        <f t="shared" si="249"/>
        <v>195</v>
      </c>
      <c r="I612" s="292">
        <f t="shared" si="249"/>
        <v>195</v>
      </c>
      <c r="J612" s="292">
        <f t="shared" si="249"/>
        <v>195</v>
      </c>
      <c r="K612" s="292">
        <f t="shared" si="249"/>
        <v>195</v>
      </c>
      <c r="L612" s="292">
        <f t="shared" si="249"/>
        <v>195</v>
      </c>
      <c r="M612" s="292">
        <f t="shared" si="249"/>
        <v>195</v>
      </c>
      <c r="N612" s="292">
        <f t="shared" si="249"/>
        <v>195</v>
      </c>
      <c r="O612" s="257" t="s">
        <v>763</v>
      </c>
      <c r="P612" s="13"/>
      <c r="Q612" s="19"/>
      <c r="R612" s="19"/>
      <c r="S612" s="19"/>
      <c r="T612" s="19"/>
      <c r="U612" s="19"/>
      <c r="V612" s="19"/>
      <c r="W612" s="19"/>
      <c r="X612" s="19"/>
      <c r="Y612" s="19"/>
      <c r="Z612" s="19"/>
      <c r="AA612" s="19"/>
      <c r="AB612" s="19"/>
      <c r="AC612" s="19"/>
      <c r="AD612" s="19"/>
    </row>
    <row r="613" spans="1:30" s="7" customFormat="1" ht="14.1" hidden="1" customHeight="1" outlineLevel="1" thickBot="1" x14ac:dyDescent="0.25">
      <c r="A613" s="21"/>
      <c r="B613" s="19"/>
      <c r="C613" s="170"/>
      <c r="D613" s="944"/>
      <c r="E613" s="510"/>
      <c r="F613" s="510"/>
      <c r="G613" s="510"/>
      <c r="H613" s="510"/>
      <c r="I613" s="510"/>
      <c r="J613" s="510"/>
      <c r="K613" s="510"/>
      <c r="L613" s="510"/>
      <c r="M613" s="510"/>
      <c r="N613" s="510"/>
      <c r="O613" s="509"/>
      <c r="P613" s="50"/>
      <c r="Q613" s="24"/>
      <c r="R613" s="24"/>
      <c r="S613" s="24"/>
      <c r="T613" s="24"/>
      <c r="U613" s="24"/>
      <c r="V613" s="24"/>
      <c r="W613" s="24"/>
      <c r="X613" s="24"/>
      <c r="Y613" s="24"/>
      <c r="Z613" s="24"/>
      <c r="AA613" s="24"/>
      <c r="AB613" s="24"/>
      <c r="AC613" s="24"/>
      <c r="AD613" s="24"/>
    </row>
    <row r="614" spans="1:30" s="114" customFormat="1" ht="13.5" hidden="1" outlineLevel="1" thickBot="1" x14ac:dyDescent="0.25">
      <c r="A614" s="21"/>
      <c r="B614" s="911"/>
      <c r="C614" s="172"/>
      <c r="D614" s="172"/>
      <c r="E614" s="172"/>
      <c r="F614" s="172"/>
      <c r="G614" s="172"/>
      <c r="H614" s="172"/>
      <c r="I614" s="172"/>
      <c r="J614" s="172"/>
      <c r="K614" s="172"/>
      <c r="L614" s="172"/>
      <c r="M614" s="172"/>
      <c r="N614" s="172"/>
      <c r="O614" s="673"/>
      <c r="P614" s="113"/>
    </row>
    <row r="615" spans="1:30" s="21" customFormat="1" ht="20.25" hidden="1" customHeight="1" outlineLevel="1" x14ac:dyDescent="0.2">
      <c r="B615" s="48"/>
      <c r="C615" s="933" t="str">
        <f>Scenario3&amp;" Filing Cabinet Area Required"</f>
        <v>eSystems (Paperless) Filing Cabinet Area Required</v>
      </c>
      <c r="D615" s="288"/>
      <c r="E615" s="288"/>
      <c r="F615" s="288"/>
      <c r="G615" s="288"/>
      <c r="H615" s="288"/>
      <c r="I615" s="288"/>
      <c r="J615" s="288"/>
      <c r="K615" s="288"/>
      <c r="L615" s="288"/>
      <c r="M615" s="288"/>
      <c r="N615" s="288"/>
      <c r="O615" s="909"/>
      <c r="P615" s="59"/>
      <c r="Q615" s="48"/>
      <c r="R615" s="48"/>
      <c r="S615" s="48"/>
      <c r="T615" s="48"/>
      <c r="U615" s="48"/>
      <c r="V615" s="48"/>
      <c r="W615" s="48"/>
      <c r="X615" s="48"/>
      <c r="Y615" s="48"/>
      <c r="Z615" s="48"/>
      <c r="AA615" s="48"/>
      <c r="AB615" s="48"/>
      <c r="AC615" s="48"/>
      <c r="AD615" s="48"/>
    </row>
    <row r="616" spans="1:30" s="21" customFormat="1" ht="14.1" hidden="1" customHeight="1" outlineLevel="1" x14ac:dyDescent="0.2">
      <c r="B616" s="48"/>
      <c r="C616" s="837"/>
      <c r="D616" s="59"/>
      <c r="E616" s="59"/>
      <c r="F616" s="59"/>
      <c r="G616" s="59"/>
      <c r="H616" s="59"/>
      <c r="I616" s="59"/>
      <c r="J616" s="59"/>
      <c r="K616" s="59"/>
      <c r="L616" s="59"/>
      <c r="M616" s="59"/>
      <c r="N616" s="59"/>
      <c r="O616" s="897"/>
      <c r="P616" s="59"/>
      <c r="Q616" s="48"/>
      <c r="R616" s="48"/>
      <c r="S616" s="48"/>
      <c r="T616" s="48"/>
      <c r="U616" s="48"/>
      <c r="V616" s="48"/>
      <c r="W616" s="48"/>
      <c r="X616" s="48"/>
      <c r="Y616" s="48"/>
      <c r="Z616" s="48"/>
      <c r="AA616" s="48"/>
      <c r="AB616" s="48"/>
      <c r="AC616" s="48"/>
      <c r="AD616" s="48"/>
    </row>
    <row r="617" spans="1:30" ht="14.1" hidden="1" customHeight="1" outlineLevel="1" x14ac:dyDescent="0.2">
      <c r="A617" s="21"/>
      <c r="B617" s="13"/>
      <c r="C617" s="165"/>
      <c r="D617" s="60" t="str">
        <f>"Filing Cabinet Area per "&amp;(OfficeLeaseUnit)</f>
        <v>Filing Cabinet Area per m2</v>
      </c>
      <c r="E617" s="943">
        <v>1.5</v>
      </c>
      <c r="F617" s="943">
        <v>1.5</v>
      </c>
      <c r="G617" s="943">
        <v>1.5</v>
      </c>
      <c r="H617" s="943">
        <v>1.5</v>
      </c>
      <c r="I617" s="943">
        <v>1.5</v>
      </c>
      <c r="J617" s="943">
        <v>1.5</v>
      </c>
      <c r="K617" s="943">
        <v>1.5</v>
      </c>
      <c r="L617" s="943">
        <v>1.5</v>
      </c>
      <c r="M617" s="943">
        <v>1.5</v>
      </c>
      <c r="N617" s="943">
        <v>1.5</v>
      </c>
      <c r="O617" s="257" t="s">
        <v>765</v>
      </c>
      <c r="P617" s="13"/>
      <c r="Q617" s="19"/>
      <c r="R617" s="19"/>
      <c r="S617" s="19"/>
      <c r="T617" s="19"/>
      <c r="U617" s="19"/>
      <c r="V617" s="19"/>
      <c r="W617" s="19"/>
      <c r="X617" s="19"/>
      <c r="Y617" s="19"/>
      <c r="Z617" s="19"/>
      <c r="AA617" s="19"/>
      <c r="AB617" s="19"/>
      <c r="AC617" s="19"/>
      <c r="AD617" s="19"/>
    </row>
    <row r="618" spans="1:30" ht="14.1" hidden="1" customHeight="1" outlineLevel="1" x14ac:dyDescent="0.2">
      <c r="A618" s="21"/>
      <c r="B618" s="19"/>
      <c r="C618" s="165"/>
      <c r="D618" s="833"/>
      <c r="E618" s="917"/>
      <c r="F618" s="917"/>
      <c r="G618" s="917"/>
      <c r="H618" s="13"/>
      <c r="I618" s="13"/>
      <c r="J618" s="13"/>
      <c r="K618" s="13"/>
      <c r="L618" s="13"/>
      <c r="M618" s="13"/>
      <c r="N618" s="13"/>
      <c r="O618" s="938"/>
      <c r="P618" s="13"/>
      <c r="Q618" s="19"/>
      <c r="R618" s="19"/>
      <c r="S618" s="19"/>
      <c r="T618" s="19"/>
      <c r="U618" s="19"/>
      <c r="V618" s="19"/>
      <c r="W618" s="19"/>
      <c r="X618" s="19"/>
      <c r="Y618" s="19"/>
      <c r="Z618" s="19"/>
      <c r="AA618" s="19"/>
      <c r="AB618" s="19"/>
      <c r="AC618" s="19"/>
      <c r="AD618" s="19"/>
    </row>
    <row r="619" spans="1:30" ht="14.1" hidden="1" customHeight="1" outlineLevel="1" x14ac:dyDescent="0.2">
      <c r="A619" s="21"/>
      <c r="B619" s="19"/>
      <c r="C619" s="165"/>
      <c r="D619" s="57" t="s">
        <v>740</v>
      </c>
      <c r="E619" s="939">
        <v>2</v>
      </c>
      <c r="F619" s="939">
        <v>2</v>
      </c>
      <c r="G619" s="939">
        <v>2</v>
      </c>
      <c r="H619" s="939">
        <v>2</v>
      </c>
      <c r="I619" s="939">
        <v>2</v>
      </c>
      <c r="J619" s="939">
        <v>2</v>
      </c>
      <c r="K619" s="939">
        <v>2</v>
      </c>
      <c r="L619" s="939">
        <v>2</v>
      </c>
      <c r="M619" s="939">
        <v>2</v>
      </c>
      <c r="N619" s="939">
        <v>2</v>
      </c>
      <c r="O619" s="938"/>
      <c r="P619" s="13"/>
      <c r="Q619" s="19"/>
      <c r="R619" s="19"/>
      <c r="S619" s="19"/>
      <c r="T619" s="19"/>
      <c r="U619" s="19"/>
      <c r="V619" s="19"/>
      <c r="W619" s="19"/>
      <c r="X619" s="19"/>
      <c r="Y619" s="19"/>
      <c r="Z619" s="19"/>
      <c r="AA619" s="19"/>
      <c r="AB619" s="19"/>
      <c r="AC619" s="19"/>
      <c r="AD619" s="19"/>
    </row>
    <row r="620" spans="1:30" ht="14.1" hidden="1" customHeight="1" outlineLevel="1" x14ac:dyDescent="0.2">
      <c r="A620" s="21"/>
      <c r="B620" s="19"/>
      <c r="C620" s="165"/>
      <c r="D620" s="54" t="s">
        <v>741</v>
      </c>
      <c r="E620" s="914">
        <f t="shared" ref="E620:N620" si="250">SUM(E619*LocTransit)</f>
        <v>38</v>
      </c>
      <c r="F620" s="914">
        <f t="shared" si="250"/>
        <v>40</v>
      </c>
      <c r="G620" s="914">
        <f t="shared" si="250"/>
        <v>40</v>
      </c>
      <c r="H620" s="914">
        <f t="shared" si="250"/>
        <v>40</v>
      </c>
      <c r="I620" s="914">
        <f t="shared" si="250"/>
        <v>40</v>
      </c>
      <c r="J620" s="914">
        <f t="shared" si="250"/>
        <v>40</v>
      </c>
      <c r="K620" s="914">
        <f t="shared" si="250"/>
        <v>40</v>
      </c>
      <c r="L620" s="914">
        <f t="shared" si="250"/>
        <v>40</v>
      </c>
      <c r="M620" s="914">
        <f t="shared" si="250"/>
        <v>40</v>
      </c>
      <c r="N620" s="914">
        <f t="shared" si="250"/>
        <v>40</v>
      </c>
      <c r="O620" s="938"/>
      <c r="P620" s="13"/>
      <c r="Q620" s="19"/>
      <c r="R620" s="19"/>
      <c r="S620" s="19"/>
      <c r="T620" s="19"/>
      <c r="U620" s="19"/>
      <c r="V620" s="19"/>
      <c r="W620" s="19"/>
      <c r="X620" s="19"/>
      <c r="Y620" s="19"/>
      <c r="Z620" s="19"/>
      <c r="AA620" s="19"/>
      <c r="AB620" s="19"/>
      <c r="AC620" s="19"/>
      <c r="AD620" s="19"/>
    </row>
    <row r="621" spans="1:30" ht="14.1" hidden="1" customHeight="1" outlineLevel="1" x14ac:dyDescent="0.2">
      <c r="A621" s="21"/>
      <c r="B621" s="19"/>
      <c r="C621" s="165"/>
      <c r="D621" s="54"/>
      <c r="E621" s="38"/>
      <c r="F621" s="38"/>
      <c r="G621" s="38"/>
      <c r="H621" s="38"/>
      <c r="I621" s="38"/>
      <c r="J621" s="38"/>
      <c r="K621" s="38"/>
      <c r="L621" s="38"/>
      <c r="M621" s="38"/>
      <c r="N621" s="38"/>
      <c r="O621" s="938"/>
      <c r="P621" s="13"/>
      <c r="Q621" s="19"/>
      <c r="R621" s="19"/>
      <c r="S621" s="19"/>
      <c r="T621" s="19"/>
      <c r="U621" s="19"/>
      <c r="V621" s="19"/>
      <c r="W621" s="19"/>
      <c r="X621" s="19"/>
      <c r="Y621" s="19"/>
      <c r="Z621" s="19"/>
      <c r="AA621" s="19"/>
      <c r="AB621" s="19"/>
      <c r="AC621" s="19"/>
      <c r="AD621" s="19"/>
    </row>
    <row r="622" spans="1:30" ht="14.1" hidden="1" customHeight="1" outlineLevel="1" x14ac:dyDescent="0.2">
      <c r="A622" s="21"/>
      <c r="B622" s="19"/>
      <c r="C622" s="165"/>
      <c r="D622" s="57" t="s">
        <v>742</v>
      </c>
      <c r="E622" s="939">
        <v>2</v>
      </c>
      <c r="F622" s="939">
        <v>2</v>
      </c>
      <c r="G622" s="939">
        <v>2</v>
      </c>
      <c r="H622" s="939">
        <v>2</v>
      </c>
      <c r="I622" s="939">
        <v>2</v>
      </c>
      <c r="J622" s="939">
        <v>2</v>
      </c>
      <c r="K622" s="939">
        <v>2</v>
      </c>
      <c r="L622" s="939">
        <v>2</v>
      </c>
      <c r="M622" s="939">
        <v>2</v>
      </c>
      <c r="N622" s="939">
        <v>2</v>
      </c>
      <c r="O622" s="938"/>
      <c r="P622" s="13"/>
      <c r="Q622" s="19"/>
      <c r="R622" s="19"/>
      <c r="S622" s="19"/>
      <c r="T622" s="19"/>
      <c r="U622" s="19"/>
      <c r="V622" s="19"/>
      <c r="W622" s="19"/>
      <c r="X622" s="19"/>
      <c r="Y622" s="19"/>
      <c r="Z622" s="19"/>
      <c r="AA622" s="19"/>
      <c r="AB622" s="19"/>
      <c r="AC622" s="19"/>
      <c r="AD622" s="19"/>
    </row>
    <row r="623" spans="1:30" ht="14.1" hidden="1" customHeight="1" outlineLevel="1" x14ac:dyDescent="0.2">
      <c r="A623" s="21"/>
      <c r="B623" s="19"/>
      <c r="C623" s="165"/>
      <c r="D623" s="54" t="s">
        <v>743</v>
      </c>
      <c r="E623" s="914">
        <f t="shared" ref="E623:N623" si="251">SUM(E622*LocLM)</f>
        <v>16</v>
      </c>
      <c r="F623" s="914">
        <f t="shared" si="251"/>
        <v>18</v>
      </c>
      <c r="G623" s="914">
        <f t="shared" si="251"/>
        <v>18</v>
      </c>
      <c r="H623" s="914">
        <f t="shared" si="251"/>
        <v>18</v>
      </c>
      <c r="I623" s="914">
        <f t="shared" si="251"/>
        <v>18</v>
      </c>
      <c r="J623" s="914">
        <f t="shared" si="251"/>
        <v>18</v>
      </c>
      <c r="K623" s="914">
        <f t="shared" si="251"/>
        <v>18</v>
      </c>
      <c r="L623" s="914">
        <f t="shared" si="251"/>
        <v>18</v>
      </c>
      <c r="M623" s="914">
        <f t="shared" si="251"/>
        <v>18</v>
      </c>
      <c r="N623" s="914">
        <f t="shared" si="251"/>
        <v>18</v>
      </c>
      <c r="O623" s="938"/>
      <c r="P623" s="13"/>
      <c r="Q623" s="19"/>
      <c r="R623" s="19"/>
      <c r="S623" s="19"/>
      <c r="T623" s="19"/>
      <c r="U623" s="19"/>
      <c r="V623" s="19"/>
      <c r="W623" s="19"/>
      <c r="X623" s="19"/>
      <c r="Y623" s="19"/>
      <c r="Z623" s="19"/>
      <c r="AA623" s="19"/>
      <c r="AB623" s="19"/>
      <c r="AC623" s="19"/>
      <c r="AD623" s="19"/>
    </row>
    <row r="624" spans="1:30" ht="14.1" hidden="1" customHeight="1" outlineLevel="1" x14ac:dyDescent="0.2">
      <c r="A624" s="21"/>
      <c r="B624" s="19"/>
      <c r="C624" s="165"/>
      <c r="D624" s="54"/>
      <c r="E624" s="38"/>
      <c r="F624" s="38"/>
      <c r="G624" s="38"/>
      <c r="H624" s="38"/>
      <c r="I624" s="38"/>
      <c r="J624" s="38"/>
      <c r="K624" s="38"/>
      <c r="L624" s="38"/>
      <c r="M624" s="38"/>
      <c r="N624" s="38"/>
      <c r="O624" s="938"/>
      <c r="P624" s="13"/>
      <c r="Q624" s="19"/>
      <c r="R624" s="19"/>
      <c r="S624" s="19"/>
      <c r="T624" s="19"/>
      <c r="U624" s="19"/>
      <c r="V624" s="19"/>
      <c r="W624" s="19"/>
      <c r="X624" s="19"/>
      <c r="Y624" s="19"/>
      <c r="Z624" s="19"/>
      <c r="AA624" s="19"/>
      <c r="AB624" s="19"/>
      <c r="AC624" s="19"/>
      <c r="AD624" s="19"/>
    </row>
    <row r="625" spans="1:30" ht="14.1" hidden="1" customHeight="1" outlineLevel="1" x14ac:dyDescent="0.2">
      <c r="A625" s="21"/>
      <c r="B625" s="19"/>
      <c r="C625" s="165"/>
      <c r="D625" s="57" t="s">
        <v>744</v>
      </c>
      <c r="E625" s="939">
        <v>3</v>
      </c>
      <c r="F625" s="939">
        <v>3</v>
      </c>
      <c r="G625" s="939">
        <v>3</v>
      </c>
      <c r="H625" s="939">
        <v>3</v>
      </c>
      <c r="I625" s="939">
        <v>3</v>
      </c>
      <c r="J625" s="939">
        <v>3</v>
      </c>
      <c r="K625" s="939">
        <v>3</v>
      </c>
      <c r="L625" s="939">
        <v>3</v>
      </c>
      <c r="M625" s="939">
        <v>3</v>
      </c>
      <c r="N625" s="939">
        <v>3</v>
      </c>
      <c r="O625" s="938"/>
      <c r="P625" s="13"/>
      <c r="Q625" s="19"/>
      <c r="R625" s="19"/>
      <c r="S625" s="19"/>
      <c r="T625" s="19"/>
      <c r="U625" s="19"/>
      <c r="V625" s="19"/>
      <c r="W625" s="19"/>
      <c r="X625" s="19"/>
      <c r="Y625" s="19"/>
      <c r="Z625" s="19"/>
      <c r="AA625" s="19"/>
      <c r="AB625" s="19"/>
      <c r="AC625" s="19"/>
      <c r="AD625" s="19"/>
    </row>
    <row r="626" spans="1:30" ht="14.1" hidden="1" customHeight="1" outlineLevel="1" x14ac:dyDescent="0.2">
      <c r="A626" s="21"/>
      <c r="B626" s="19"/>
      <c r="C626" s="165"/>
      <c r="D626" s="54" t="s">
        <v>745</v>
      </c>
      <c r="E626" s="914">
        <f t="shared" ref="E626:N626" si="252">SUM(E625*LocHM)</f>
        <v>3</v>
      </c>
      <c r="F626" s="914">
        <f t="shared" si="252"/>
        <v>3</v>
      </c>
      <c r="G626" s="914">
        <f t="shared" si="252"/>
        <v>3</v>
      </c>
      <c r="H626" s="914">
        <f t="shared" si="252"/>
        <v>3</v>
      </c>
      <c r="I626" s="914">
        <f t="shared" si="252"/>
        <v>3</v>
      </c>
      <c r="J626" s="914">
        <f t="shared" si="252"/>
        <v>3</v>
      </c>
      <c r="K626" s="914">
        <f t="shared" si="252"/>
        <v>3</v>
      </c>
      <c r="L626" s="914">
        <f t="shared" si="252"/>
        <v>3</v>
      </c>
      <c r="M626" s="914">
        <f t="shared" si="252"/>
        <v>3</v>
      </c>
      <c r="N626" s="914">
        <f t="shared" si="252"/>
        <v>3</v>
      </c>
      <c r="O626" s="938"/>
      <c r="P626" s="13"/>
      <c r="Q626" s="19"/>
      <c r="R626" s="19"/>
      <c r="S626" s="19"/>
      <c r="T626" s="19"/>
      <c r="U626" s="19"/>
      <c r="V626" s="19"/>
      <c r="W626" s="19"/>
      <c r="X626" s="19"/>
      <c r="Y626" s="19"/>
      <c r="Z626" s="19"/>
      <c r="AA626" s="19"/>
      <c r="AB626" s="19"/>
      <c r="AC626" s="19"/>
      <c r="AD626" s="19"/>
    </row>
    <row r="627" spans="1:30" ht="14.1" hidden="1" customHeight="1" outlineLevel="1" x14ac:dyDescent="0.2">
      <c r="A627" s="21"/>
      <c r="B627" s="19"/>
      <c r="C627" s="165"/>
      <c r="D627" s="54"/>
      <c r="E627" s="38"/>
      <c r="F627" s="38"/>
      <c r="G627" s="38"/>
      <c r="H627" s="38"/>
      <c r="I627" s="38"/>
      <c r="J627" s="38"/>
      <c r="K627" s="38"/>
      <c r="L627" s="38"/>
      <c r="M627" s="38"/>
      <c r="N627" s="38"/>
      <c r="O627" s="938"/>
      <c r="P627" s="13"/>
      <c r="Q627" s="19"/>
      <c r="R627" s="19"/>
      <c r="S627" s="19"/>
      <c r="T627" s="19"/>
      <c r="U627" s="19"/>
      <c r="V627" s="19"/>
      <c r="W627" s="19"/>
      <c r="X627" s="19"/>
      <c r="Y627" s="19"/>
      <c r="Z627" s="19"/>
      <c r="AA627" s="19"/>
      <c r="AB627" s="19"/>
      <c r="AC627" s="19"/>
      <c r="AD627" s="19"/>
    </row>
    <row r="628" spans="1:30" ht="14.1" hidden="1" customHeight="1" outlineLevel="1" x14ac:dyDescent="0.2">
      <c r="A628" s="21"/>
      <c r="B628" s="19"/>
      <c r="C628" s="165"/>
      <c r="D628" s="57" t="s">
        <v>995</v>
      </c>
      <c r="E628" s="939">
        <v>6</v>
      </c>
      <c r="F628" s="939">
        <v>6</v>
      </c>
      <c r="G628" s="939">
        <v>6</v>
      </c>
      <c r="H628" s="939">
        <v>6</v>
      </c>
      <c r="I628" s="939">
        <v>6</v>
      </c>
      <c r="J628" s="939">
        <v>6</v>
      </c>
      <c r="K628" s="939">
        <v>6</v>
      </c>
      <c r="L628" s="939">
        <v>6</v>
      </c>
      <c r="M628" s="939">
        <v>6</v>
      </c>
      <c r="N628" s="939">
        <v>6</v>
      </c>
      <c r="O628" s="271"/>
      <c r="P628" s="13"/>
      <c r="Q628" s="19"/>
      <c r="R628" s="19"/>
      <c r="S628" s="19"/>
      <c r="T628" s="19"/>
      <c r="U628" s="19"/>
      <c r="V628" s="19"/>
      <c r="W628" s="19"/>
      <c r="X628" s="19"/>
      <c r="Y628" s="19"/>
      <c r="Z628" s="19"/>
      <c r="AA628" s="19"/>
      <c r="AB628" s="19"/>
      <c r="AC628" s="19"/>
      <c r="AD628" s="19"/>
    </row>
    <row r="629" spans="1:30" ht="14.1" hidden="1" customHeight="1" outlineLevel="1" x14ac:dyDescent="0.2">
      <c r="A629" s="21"/>
      <c r="B629" s="19"/>
      <c r="C629" s="165"/>
      <c r="D629" s="54" t="s">
        <v>996</v>
      </c>
      <c r="E629" s="914">
        <f t="shared" ref="E629:N629" si="253">SUM(E628*LocENG)</f>
        <v>6</v>
      </c>
      <c r="F629" s="914">
        <f t="shared" si="253"/>
        <v>6</v>
      </c>
      <c r="G629" s="914">
        <f t="shared" si="253"/>
        <v>6</v>
      </c>
      <c r="H629" s="914">
        <f t="shared" si="253"/>
        <v>6</v>
      </c>
      <c r="I629" s="914">
        <f t="shared" si="253"/>
        <v>6</v>
      </c>
      <c r="J629" s="914">
        <f t="shared" si="253"/>
        <v>6</v>
      </c>
      <c r="K629" s="914">
        <f t="shared" si="253"/>
        <v>6</v>
      </c>
      <c r="L629" s="914">
        <f t="shared" si="253"/>
        <v>6</v>
      </c>
      <c r="M629" s="914">
        <f t="shared" si="253"/>
        <v>6</v>
      </c>
      <c r="N629" s="914">
        <f t="shared" si="253"/>
        <v>6</v>
      </c>
      <c r="O629" s="271"/>
      <c r="P629" s="13"/>
      <c r="Q629" s="19"/>
      <c r="R629" s="19"/>
      <c r="S629" s="19"/>
      <c r="T629" s="19"/>
      <c r="U629" s="19"/>
      <c r="V629" s="19"/>
      <c r="W629" s="19"/>
      <c r="X629" s="19"/>
      <c r="Y629" s="19"/>
      <c r="Z629" s="19"/>
      <c r="AA629" s="19"/>
      <c r="AB629" s="19"/>
      <c r="AC629" s="19"/>
      <c r="AD629" s="19"/>
    </row>
    <row r="630" spans="1:30" ht="14.1" hidden="1" customHeight="1" outlineLevel="1" x14ac:dyDescent="0.2">
      <c r="A630" s="21"/>
      <c r="B630" s="19"/>
      <c r="C630" s="165"/>
      <c r="D630" s="54"/>
      <c r="E630" s="38"/>
      <c r="F630" s="38"/>
      <c r="G630" s="38"/>
      <c r="H630" s="38"/>
      <c r="I630" s="38"/>
      <c r="J630" s="38"/>
      <c r="K630" s="38"/>
      <c r="L630" s="38"/>
      <c r="M630" s="38"/>
      <c r="N630" s="38"/>
      <c r="O630" s="938"/>
      <c r="P630" s="13"/>
      <c r="Q630" s="19"/>
      <c r="R630" s="19"/>
      <c r="S630" s="19"/>
      <c r="T630" s="19"/>
      <c r="U630" s="19"/>
      <c r="V630" s="19"/>
      <c r="W630" s="19"/>
      <c r="X630" s="19"/>
      <c r="Y630" s="19"/>
      <c r="Z630" s="19"/>
      <c r="AA630" s="19"/>
      <c r="AB630" s="19"/>
      <c r="AC630" s="19"/>
      <c r="AD630" s="19"/>
    </row>
    <row r="631" spans="1:30" ht="14.1" hidden="1" customHeight="1" outlineLevel="1" x14ac:dyDescent="0.2">
      <c r="A631" s="21"/>
      <c r="B631" s="19"/>
      <c r="C631" s="165"/>
      <c r="D631" s="57" t="s">
        <v>997</v>
      </c>
      <c r="E631" s="939">
        <v>6</v>
      </c>
      <c r="F631" s="939">
        <v>6</v>
      </c>
      <c r="G631" s="939">
        <v>6</v>
      </c>
      <c r="H631" s="939">
        <v>6</v>
      </c>
      <c r="I631" s="939">
        <v>6</v>
      </c>
      <c r="J631" s="939">
        <v>6</v>
      </c>
      <c r="K631" s="939">
        <v>6</v>
      </c>
      <c r="L631" s="939">
        <v>6</v>
      </c>
      <c r="M631" s="939">
        <v>6</v>
      </c>
      <c r="N631" s="939">
        <v>6</v>
      </c>
      <c r="O631" s="271"/>
      <c r="P631" s="13"/>
      <c r="Q631" s="19"/>
      <c r="R631" s="19"/>
      <c r="S631" s="19"/>
      <c r="T631" s="19"/>
      <c r="U631" s="19"/>
      <c r="V631" s="19"/>
      <c r="W631" s="19"/>
      <c r="X631" s="19"/>
      <c r="Y631" s="19"/>
      <c r="Z631" s="19"/>
      <c r="AA631" s="19"/>
      <c r="AB631" s="19"/>
      <c r="AC631" s="19"/>
      <c r="AD631" s="19"/>
    </row>
    <row r="632" spans="1:30" ht="14.1" hidden="1" customHeight="1" outlineLevel="1" x14ac:dyDescent="0.2">
      <c r="A632" s="21"/>
      <c r="B632" s="19"/>
      <c r="C632" s="165"/>
      <c r="D632" s="54" t="s">
        <v>998</v>
      </c>
      <c r="E632" s="914">
        <f t="shared" ref="E632:N632" si="254">SUM(E631*LocPLG)</f>
        <v>6</v>
      </c>
      <c r="F632" s="914">
        <f t="shared" si="254"/>
        <v>6</v>
      </c>
      <c r="G632" s="914">
        <f t="shared" si="254"/>
        <v>6</v>
      </c>
      <c r="H632" s="914">
        <f t="shared" si="254"/>
        <v>6</v>
      </c>
      <c r="I632" s="914">
        <f t="shared" si="254"/>
        <v>6</v>
      </c>
      <c r="J632" s="914">
        <f t="shared" si="254"/>
        <v>6</v>
      </c>
      <c r="K632" s="914">
        <f t="shared" si="254"/>
        <v>6</v>
      </c>
      <c r="L632" s="914">
        <f t="shared" si="254"/>
        <v>6</v>
      </c>
      <c r="M632" s="914">
        <f t="shared" si="254"/>
        <v>6</v>
      </c>
      <c r="N632" s="914">
        <f t="shared" si="254"/>
        <v>6</v>
      </c>
      <c r="O632" s="271"/>
      <c r="P632" s="13"/>
      <c r="Q632" s="19"/>
      <c r="R632" s="19"/>
      <c r="S632" s="19"/>
      <c r="T632" s="19"/>
      <c r="U632" s="19"/>
      <c r="V632" s="19"/>
      <c r="W632" s="19"/>
      <c r="X632" s="19"/>
      <c r="Y632" s="19"/>
      <c r="Z632" s="19"/>
      <c r="AA632" s="19"/>
      <c r="AB632" s="19"/>
      <c r="AC632" s="19"/>
      <c r="AD632" s="19"/>
    </row>
    <row r="633" spans="1:30" ht="14.1" hidden="1" customHeight="1" outlineLevel="1" x14ac:dyDescent="0.2">
      <c r="A633" s="21"/>
      <c r="B633" s="19"/>
      <c r="C633" s="165"/>
      <c r="D633" s="54"/>
      <c r="E633" s="38"/>
      <c r="F633" s="38"/>
      <c r="G633" s="38"/>
      <c r="H633" s="38"/>
      <c r="I633" s="38"/>
      <c r="J633" s="38"/>
      <c r="K633" s="38"/>
      <c r="L633" s="38"/>
      <c r="M633" s="38"/>
      <c r="N633" s="38"/>
      <c r="O633" s="938"/>
      <c r="P633" s="13"/>
      <c r="Q633" s="19"/>
      <c r="R633" s="19"/>
      <c r="S633" s="19"/>
      <c r="T633" s="19"/>
      <c r="U633" s="19"/>
      <c r="V633" s="19"/>
      <c r="W633" s="19"/>
      <c r="X633" s="19"/>
      <c r="Y633" s="19"/>
      <c r="Z633" s="19"/>
      <c r="AA633" s="19"/>
      <c r="AB633" s="19"/>
      <c r="AC633" s="19"/>
      <c r="AD633" s="19"/>
    </row>
    <row r="634" spans="1:30" s="7" customFormat="1" ht="14.1" hidden="1" customHeight="1" outlineLevel="1" x14ac:dyDescent="0.2">
      <c r="A634" s="21"/>
      <c r="B634" s="24"/>
      <c r="C634" s="165"/>
      <c r="D634" s="57" t="s">
        <v>749</v>
      </c>
      <c r="E634" s="939">
        <v>2</v>
      </c>
      <c r="F634" s="939">
        <v>2</v>
      </c>
      <c r="G634" s="939">
        <v>2</v>
      </c>
      <c r="H634" s="939">
        <v>2</v>
      </c>
      <c r="I634" s="939">
        <v>2</v>
      </c>
      <c r="J634" s="939">
        <v>2</v>
      </c>
      <c r="K634" s="939">
        <v>2</v>
      </c>
      <c r="L634" s="939">
        <v>2</v>
      </c>
      <c r="M634" s="939">
        <v>2</v>
      </c>
      <c r="N634" s="939">
        <v>2</v>
      </c>
      <c r="O634" s="941"/>
      <c r="P634" s="50"/>
      <c r="Q634" s="24"/>
      <c r="R634" s="24"/>
      <c r="S634" s="24"/>
      <c r="T634" s="24"/>
      <c r="U634" s="24"/>
      <c r="V634" s="24"/>
      <c r="W634" s="24"/>
      <c r="X634" s="24"/>
      <c r="Y634" s="24"/>
      <c r="Z634" s="24"/>
      <c r="AA634" s="24"/>
      <c r="AB634" s="24"/>
      <c r="AC634" s="24"/>
      <c r="AD634" s="24"/>
    </row>
    <row r="635" spans="1:30" ht="14.1" hidden="1" customHeight="1" outlineLevel="1" x14ac:dyDescent="0.2">
      <c r="A635" s="21"/>
      <c r="B635" s="19"/>
      <c r="C635" s="165"/>
      <c r="D635" s="54" t="s">
        <v>750</v>
      </c>
      <c r="E635" s="914">
        <f t="shared" ref="E635:N635" si="255">SUM(E634*LocQSC)</f>
        <v>2</v>
      </c>
      <c r="F635" s="914">
        <f t="shared" si="255"/>
        <v>2</v>
      </c>
      <c r="G635" s="914">
        <f t="shared" si="255"/>
        <v>2</v>
      </c>
      <c r="H635" s="914">
        <f t="shared" si="255"/>
        <v>2</v>
      </c>
      <c r="I635" s="914">
        <f t="shared" si="255"/>
        <v>2</v>
      </c>
      <c r="J635" s="914">
        <f t="shared" si="255"/>
        <v>2</v>
      </c>
      <c r="K635" s="914">
        <f t="shared" si="255"/>
        <v>2</v>
      </c>
      <c r="L635" s="914">
        <f t="shared" si="255"/>
        <v>2</v>
      </c>
      <c r="M635" s="914">
        <f t="shared" si="255"/>
        <v>2</v>
      </c>
      <c r="N635" s="914">
        <f t="shared" si="255"/>
        <v>2</v>
      </c>
      <c r="O635" s="938"/>
      <c r="P635" s="13"/>
      <c r="Q635" s="19"/>
      <c r="R635" s="19"/>
      <c r="S635" s="19"/>
      <c r="T635" s="19"/>
      <c r="U635" s="19"/>
      <c r="V635" s="19"/>
      <c r="W635" s="19"/>
      <c r="X635" s="19"/>
      <c r="Y635" s="19"/>
      <c r="Z635" s="19"/>
      <c r="AA635" s="19"/>
      <c r="AB635" s="19"/>
      <c r="AC635" s="19"/>
      <c r="AD635" s="19"/>
    </row>
    <row r="636" spans="1:30" s="7" customFormat="1" ht="14.1" hidden="1" customHeight="1" outlineLevel="1" x14ac:dyDescent="0.2">
      <c r="A636" s="21"/>
      <c r="B636" s="24"/>
      <c r="C636" s="284"/>
      <c r="D636" s="27"/>
      <c r="E636" s="940"/>
      <c r="F636" s="940"/>
      <c r="G636" s="940"/>
      <c r="H636" s="940"/>
      <c r="I636" s="940"/>
      <c r="J636" s="940"/>
      <c r="K636" s="940"/>
      <c r="L636" s="940"/>
      <c r="M636" s="940"/>
      <c r="N636" s="940"/>
      <c r="O636" s="289"/>
      <c r="P636" s="50"/>
      <c r="Q636" s="24"/>
      <c r="R636" s="24"/>
      <c r="S636" s="24"/>
      <c r="T636" s="24"/>
      <c r="U636" s="24"/>
      <c r="V636" s="24"/>
      <c r="W636" s="24"/>
      <c r="X636" s="24"/>
      <c r="Y636" s="24"/>
      <c r="Z636" s="24"/>
      <c r="AA636" s="24"/>
      <c r="AB636" s="24"/>
      <c r="AC636" s="24"/>
      <c r="AD636" s="24"/>
    </row>
    <row r="637" spans="1:30" s="7" customFormat="1" ht="14.1" hidden="1" customHeight="1" outlineLevel="1" x14ac:dyDescent="0.2">
      <c r="A637" s="21"/>
      <c r="B637" s="24"/>
      <c r="C637" s="165"/>
      <c r="D637" s="57" t="s">
        <v>751</v>
      </c>
      <c r="E637" s="939">
        <v>2</v>
      </c>
      <c r="F637" s="939">
        <v>2</v>
      </c>
      <c r="G637" s="939">
        <v>2</v>
      </c>
      <c r="H637" s="939">
        <v>2</v>
      </c>
      <c r="I637" s="939">
        <v>2</v>
      </c>
      <c r="J637" s="939">
        <v>2</v>
      </c>
      <c r="K637" s="939">
        <v>2</v>
      </c>
      <c r="L637" s="939">
        <v>2</v>
      </c>
      <c r="M637" s="939">
        <v>2</v>
      </c>
      <c r="N637" s="939">
        <v>2</v>
      </c>
      <c r="O637" s="941"/>
      <c r="P637" s="50"/>
      <c r="Q637" s="24"/>
      <c r="R637" s="24"/>
      <c r="S637" s="24"/>
      <c r="T637" s="24"/>
      <c r="U637" s="24"/>
      <c r="V637" s="24"/>
      <c r="W637" s="24"/>
      <c r="X637" s="24"/>
      <c r="Y637" s="24"/>
      <c r="Z637" s="24"/>
      <c r="AA637" s="24"/>
      <c r="AB637" s="24"/>
      <c r="AC637" s="24"/>
      <c r="AD637" s="24"/>
    </row>
    <row r="638" spans="1:30" ht="14.1" hidden="1" customHeight="1" outlineLevel="1" x14ac:dyDescent="0.2">
      <c r="A638" s="21"/>
      <c r="B638" s="19"/>
      <c r="C638" s="165"/>
      <c r="D638" s="54" t="s">
        <v>752</v>
      </c>
      <c r="E638" s="914">
        <f t="shared" ref="E638:N638" si="256">SUM(E637*LocEM)</f>
        <v>4</v>
      </c>
      <c r="F638" s="914">
        <f t="shared" si="256"/>
        <v>4</v>
      </c>
      <c r="G638" s="914">
        <f t="shared" si="256"/>
        <v>4</v>
      </c>
      <c r="H638" s="914">
        <f t="shared" si="256"/>
        <v>4</v>
      </c>
      <c r="I638" s="914">
        <f t="shared" si="256"/>
        <v>4</v>
      </c>
      <c r="J638" s="914">
        <f t="shared" si="256"/>
        <v>4</v>
      </c>
      <c r="K638" s="914">
        <f t="shared" si="256"/>
        <v>4</v>
      </c>
      <c r="L638" s="914">
        <f t="shared" si="256"/>
        <v>4</v>
      </c>
      <c r="M638" s="914">
        <f t="shared" si="256"/>
        <v>4</v>
      </c>
      <c r="N638" s="914">
        <f t="shared" si="256"/>
        <v>4</v>
      </c>
      <c r="O638" s="938"/>
      <c r="P638" s="13"/>
      <c r="Q638" s="19"/>
      <c r="R638" s="19"/>
      <c r="S638" s="19"/>
      <c r="T638" s="19"/>
      <c r="U638" s="19"/>
      <c r="V638" s="19"/>
      <c r="W638" s="19"/>
      <c r="X638" s="19"/>
      <c r="Y638" s="19"/>
      <c r="Z638" s="19"/>
      <c r="AA638" s="19"/>
      <c r="AB638" s="19"/>
      <c r="AC638" s="19"/>
      <c r="AD638" s="19"/>
    </row>
    <row r="639" spans="1:30" s="7" customFormat="1" ht="14.1" hidden="1" customHeight="1" outlineLevel="1" x14ac:dyDescent="0.2">
      <c r="A639" s="21"/>
      <c r="B639" s="24"/>
      <c r="C639" s="284"/>
      <c r="D639" s="27"/>
      <c r="E639" s="940"/>
      <c r="F639" s="940"/>
      <c r="G639" s="940"/>
      <c r="H639" s="940"/>
      <c r="I639" s="940"/>
      <c r="J639" s="940"/>
      <c r="K639" s="940"/>
      <c r="L639" s="940"/>
      <c r="M639" s="940"/>
      <c r="N639" s="940"/>
      <c r="O639" s="289"/>
      <c r="P639" s="50"/>
      <c r="Q639" s="24"/>
      <c r="R639" s="24"/>
      <c r="S639" s="24"/>
      <c r="T639" s="24"/>
      <c r="U639" s="24"/>
      <c r="V639" s="24"/>
      <c r="W639" s="24"/>
      <c r="X639" s="24"/>
      <c r="Y639" s="24"/>
      <c r="Z639" s="24"/>
      <c r="AA639" s="24"/>
      <c r="AB639" s="24"/>
      <c r="AC639" s="24"/>
      <c r="AD639" s="24"/>
    </row>
    <row r="640" spans="1:30" s="7" customFormat="1" ht="14.1" hidden="1" customHeight="1" outlineLevel="1" x14ac:dyDescent="0.2">
      <c r="A640" s="21"/>
      <c r="B640" s="24"/>
      <c r="C640" s="165"/>
      <c r="D640" s="57" t="s">
        <v>753</v>
      </c>
      <c r="E640" s="939">
        <v>2</v>
      </c>
      <c r="F640" s="939">
        <v>2</v>
      </c>
      <c r="G640" s="939">
        <v>2</v>
      </c>
      <c r="H640" s="939">
        <v>2</v>
      </c>
      <c r="I640" s="939">
        <v>2</v>
      </c>
      <c r="J640" s="939">
        <v>2</v>
      </c>
      <c r="K640" s="939">
        <v>2</v>
      </c>
      <c r="L640" s="939">
        <v>2</v>
      </c>
      <c r="M640" s="939">
        <v>2</v>
      </c>
      <c r="N640" s="939">
        <v>2</v>
      </c>
      <c r="O640" s="941"/>
      <c r="P640" s="50"/>
      <c r="Q640" s="24"/>
      <c r="R640" s="24"/>
      <c r="S640" s="24"/>
      <c r="T640" s="24"/>
      <c r="U640" s="24"/>
      <c r="V640" s="24"/>
      <c r="W640" s="24"/>
      <c r="X640" s="24"/>
      <c r="Y640" s="24"/>
      <c r="Z640" s="24"/>
      <c r="AA640" s="24"/>
      <c r="AB640" s="24"/>
      <c r="AC640" s="24"/>
      <c r="AD640" s="24"/>
    </row>
    <row r="641" spans="1:32" ht="14.1" hidden="1" customHeight="1" outlineLevel="1" x14ac:dyDescent="0.2">
      <c r="A641" s="21"/>
      <c r="B641" s="19"/>
      <c r="C641" s="165"/>
      <c r="D641" s="54" t="s">
        <v>754</v>
      </c>
      <c r="E641" s="914">
        <f t="shared" ref="E641:N641" si="257">SUM(E640*LocCM)</f>
        <v>6</v>
      </c>
      <c r="F641" s="914">
        <f t="shared" si="257"/>
        <v>6</v>
      </c>
      <c r="G641" s="914">
        <f t="shared" si="257"/>
        <v>6</v>
      </c>
      <c r="H641" s="914">
        <f t="shared" si="257"/>
        <v>6</v>
      </c>
      <c r="I641" s="914">
        <f t="shared" si="257"/>
        <v>6</v>
      </c>
      <c r="J641" s="914">
        <f t="shared" si="257"/>
        <v>6</v>
      </c>
      <c r="K641" s="914">
        <f t="shared" si="257"/>
        <v>6</v>
      </c>
      <c r="L641" s="914">
        <f t="shared" si="257"/>
        <v>6</v>
      </c>
      <c r="M641" s="914">
        <f t="shared" si="257"/>
        <v>6</v>
      </c>
      <c r="N641" s="914">
        <f t="shared" si="257"/>
        <v>6</v>
      </c>
      <c r="O641" s="938"/>
      <c r="P641" s="13"/>
      <c r="Q641" s="19"/>
      <c r="R641" s="19"/>
      <c r="S641" s="19"/>
      <c r="T641" s="19"/>
      <c r="U641" s="19"/>
      <c r="V641" s="19"/>
      <c r="W641" s="19"/>
      <c r="X641" s="19"/>
      <c r="Y641" s="19"/>
      <c r="Z641" s="19"/>
      <c r="AA641" s="19"/>
      <c r="AB641" s="19"/>
      <c r="AC641" s="19"/>
      <c r="AD641" s="19"/>
    </row>
    <row r="642" spans="1:32" s="7" customFormat="1" ht="14.1" hidden="1" customHeight="1" outlineLevel="1" x14ac:dyDescent="0.2">
      <c r="A642" s="21"/>
      <c r="B642" s="24"/>
      <c r="C642" s="284"/>
      <c r="D642" s="27"/>
      <c r="E642" s="940"/>
      <c r="F642" s="940"/>
      <c r="G642" s="940"/>
      <c r="H642" s="940"/>
      <c r="I642" s="940"/>
      <c r="J642" s="940"/>
      <c r="K642" s="940"/>
      <c r="L642" s="940"/>
      <c r="M642" s="940"/>
      <c r="N642" s="940"/>
      <c r="O642" s="289"/>
      <c r="P642" s="50"/>
      <c r="Q642" s="24"/>
      <c r="R642" s="24"/>
      <c r="S642" s="24"/>
      <c r="T642" s="24"/>
      <c r="U642" s="24"/>
      <c r="V642" s="24"/>
      <c r="W642" s="24"/>
      <c r="X642" s="24"/>
      <c r="Y642" s="24"/>
      <c r="Z642" s="24"/>
      <c r="AA642" s="24"/>
      <c r="AB642" s="24"/>
      <c r="AC642" s="24"/>
      <c r="AD642" s="24"/>
    </row>
    <row r="643" spans="1:32" s="7" customFormat="1" ht="14.1" hidden="1" customHeight="1" outlineLevel="1" x14ac:dyDescent="0.2">
      <c r="A643" s="21"/>
      <c r="B643" s="24"/>
      <c r="C643" s="165"/>
      <c r="D643" s="57" t="s">
        <v>755</v>
      </c>
      <c r="E643" s="939">
        <v>2</v>
      </c>
      <c r="F643" s="939">
        <v>2</v>
      </c>
      <c r="G643" s="939">
        <v>2</v>
      </c>
      <c r="H643" s="939">
        <v>2</v>
      </c>
      <c r="I643" s="939">
        <v>2</v>
      </c>
      <c r="J643" s="939">
        <v>2</v>
      </c>
      <c r="K643" s="939">
        <v>2</v>
      </c>
      <c r="L643" s="939">
        <v>2</v>
      </c>
      <c r="M643" s="939">
        <v>2</v>
      </c>
      <c r="N643" s="939">
        <v>2</v>
      </c>
      <c r="O643" s="941"/>
      <c r="P643" s="50"/>
      <c r="Q643" s="24"/>
      <c r="R643" s="24"/>
      <c r="S643" s="24"/>
      <c r="T643" s="24"/>
      <c r="U643" s="24"/>
      <c r="V643" s="24"/>
      <c r="W643" s="24"/>
      <c r="X643" s="24"/>
      <c r="Y643" s="24"/>
      <c r="Z643" s="24"/>
      <c r="AA643" s="24"/>
      <c r="AB643" s="24"/>
      <c r="AC643" s="24"/>
      <c r="AD643" s="24"/>
    </row>
    <row r="644" spans="1:32" ht="14.1" hidden="1" customHeight="1" outlineLevel="1" x14ac:dyDescent="0.2">
      <c r="A644" s="21"/>
      <c r="B644" s="19"/>
      <c r="C644" s="165"/>
      <c r="D644" s="54" t="s">
        <v>756</v>
      </c>
      <c r="E644" s="914">
        <f t="shared" ref="E644:N644" si="258">SUM(E643*LocSMCS)</f>
        <v>6</v>
      </c>
      <c r="F644" s="914">
        <f t="shared" si="258"/>
        <v>6</v>
      </c>
      <c r="G644" s="914">
        <f t="shared" si="258"/>
        <v>6</v>
      </c>
      <c r="H644" s="914">
        <f t="shared" si="258"/>
        <v>6</v>
      </c>
      <c r="I644" s="914">
        <f t="shared" si="258"/>
        <v>6</v>
      </c>
      <c r="J644" s="914">
        <f t="shared" si="258"/>
        <v>6</v>
      </c>
      <c r="K644" s="914">
        <f t="shared" si="258"/>
        <v>6</v>
      </c>
      <c r="L644" s="914">
        <f t="shared" si="258"/>
        <v>6</v>
      </c>
      <c r="M644" s="914">
        <f t="shared" si="258"/>
        <v>6</v>
      </c>
      <c r="N644" s="914">
        <f t="shared" si="258"/>
        <v>6</v>
      </c>
      <c r="O644" s="938"/>
      <c r="P644" s="13"/>
      <c r="Q644" s="19"/>
      <c r="R644" s="19"/>
      <c r="S644" s="19"/>
      <c r="T644" s="19"/>
      <c r="U644" s="19"/>
      <c r="V644" s="19"/>
      <c r="W644" s="19"/>
      <c r="X644" s="19"/>
      <c r="Y644" s="19"/>
      <c r="Z644" s="19"/>
      <c r="AA644" s="19"/>
      <c r="AB644" s="19"/>
      <c r="AC644" s="19"/>
      <c r="AD644" s="19"/>
    </row>
    <row r="645" spans="1:32" s="7" customFormat="1" ht="14.1" hidden="1" customHeight="1" outlineLevel="1" x14ac:dyDescent="0.2">
      <c r="A645" s="21"/>
      <c r="B645" s="24"/>
      <c r="C645" s="284"/>
      <c r="D645" s="27"/>
      <c r="E645" s="940"/>
      <c r="F645" s="940"/>
      <c r="G645" s="940"/>
      <c r="H645" s="940"/>
      <c r="I645" s="940"/>
      <c r="J645" s="940"/>
      <c r="K645" s="940"/>
      <c r="L645" s="940"/>
      <c r="M645" s="940"/>
      <c r="N645" s="940"/>
      <c r="O645" s="289"/>
      <c r="P645" s="50"/>
      <c r="Q645" s="24"/>
      <c r="R645" s="24"/>
      <c r="S645" s="24"/>
      <c r="T645" s="24"/>
      <c r="U645" s="24"/>
      <c r="V645" s="24"/>
      <c r="W645" s="24"/>
      <c r="X645" s="24"/>
      <c r="Y645" s="24"/>
      <c r="Z645" s="24"/>
      <c r="AA645" s="24"/>
      <c r="AB645" s="24"/>
      <c r="AC645" s="24"/>
      <c r="AD645" s="24"/>
    </row>
    <row r="646" spans="1:32" s="7" customFormat="1" ht="14.1" hidden="1" customHeight="1" outlineLevel="1" x14ac:dyDescent="0.2">
      <c r="A646" s="21"/>
      <c r="B646" s="24"/>
      <c r="C646" s="165"/>
      <c r="D646" s="57" t="s">
        <v>757</v>
      </c>
      <c r="E646" s="939"/>
      <c r="F646" s="939"/>
      <c r="G646" s="939"/>
      <c r="H646" s="939"/>
      <c r="I646" s="939"/>
      <c r="J646" s="939"/>
      <c r="K646" s="939"/>
      <c r="L646" s="939"/>
      <c r="M646" s="939"/>
      <c r="N646" s="939"/>
      <c r="O646" s="941"/>
      <c r="P646" s="50"/>
      <c r="Q646" s="24"/>
      <c r="R646" s="24"/>
      <c r="S646" s="24"/>
      <c r="T646" s="24"/>
      <c r="U646" s="24"/>
      <c r="V646" s="24"/>
      <c r="W646" s="24"/>
      <c r="X646" s="24"/>
      <c r="Y646" s="24"/>
      <c r="Z646" s="24"/>
      <c r="AA646" s="24"/>
      <c r="AB646" s="24"/>
      <c r="AC646" s="24"/>
      <c r="AD646" s="24"/>
    </row>
    <row r="647" spans="1:32" ht="14.1" hidden="1" customHeight="1" outlineLevel="1" x14ac:dyDescent="0.2">
      <c r="A647" s="21"/>
      <c r="B647" s="19"/>
      <c r="C647" s="165"/>
      <c r="D647" s="54" t="s">
        <v>758</v>
      </c>
      <c r="E647" s="914">
        <f t="shared" ref="E647:N647" si="259">SUM(E646*LocO1)</f>
        <v>0</v>
      </c>
      <c r="F647" s="914">
        <f t="shared" si="259"/>
        <v>0</v>
      </c>
      <c r="G647" s="914">
        <f t="shared" si="259"/>
        <v>0</v>
      </c>
      <c r="H647" s="914">
        <f t="shared" si="259"/>
        <v>0</v>
      </c>
      <c r="I647" s="914">
        <f t="shared" si="259"/>
        <v>0</v>
      </c>
      <c r="J647" s="914">
        <f t="shared" si="259"/>
        <v>0</v>
      </c>
      <c r="K647" s="914">
        <f t="shared" si="259"/>
        <v>0</v>
      </c>
      <c r="L647" s="914">
        <f t="shared" si="259"/>
        <v>0</v>
      </c>
      <c r="M647" s="914">
        <f t="shared" si="259"/>
        <v>0</v>
      </c>
      <c r="N647" s="914">
        <f t="shared" si="259"/>
        <v>0</v>
      </c>
      <c r="O647" s="938"/>
      <c r="P647" s="13"/>
      <c r="Q647" s="19"/>
      <c r="R647" s="19"/>
      <c r="S647" s="19"/>
      <c r="T647" s="19"/>
      <c r="U647" s="19"/>
      <c r="V647" s="19"/>
      <c r="W647" s="19"/>
      <c r="X647" s="19"/>
      <c r="Y647" s="19"/>
      <c r="Z647" s="19"/>
      <c r="AA647" s="19"/>
      <c r="AB647" s="19"/>
      <c r="AC647" s="19"/>
      <c r="AD647" s="19"/>
    </row>
    <row r="648" spans="1:32" s="7" customFormat="1" ht="14.1" hidden="1" customHeight="1" outlineLevel="1" x14ac:dyDescent="0.2">
      <c r="A648" s="21"/>
      <c r="B648" s="24"/>
      <c r="C648" s="284"/>
      <c r="D648" s="27"/>
      <c r="E648" s="940"/>
      <c r="F648" s="940"/>
      <c r="G648" s="940"/>
      <c r="H648" s="940"/>
      <c r="I648" s="940"/>
      <c r="J648" s="940"/>
      <c r="K648" s="940"/>
      <c r="L648" s="940"/>
      <c r="M648" s="940"/>
      <c r="N648" s="940"/>
      <c r="O648" s="289"/>
      <c r="P648" s="50"/>
      <c r="Q648" s="24"/>
      <c r="R648" s="24"/>
      <c r="S648" s="24"/>
      <c r="T648" s="24"/>
      <c r="U648" s="24"/>
      <c r="V648" s="24"/>
      <c r="W648" s="24"/>
      <c r="X648" s="24"/>
      <c r="Y648" s="24"/>
      <c r="Z648" s="24"/>
      <c r="AA648" s="24"/>
      <c r="AB648" s="24"/>
      <c r="AC648" s="24"/>
      <c r="AD648" s="24"/>
    </row>
    <row r="649" spans="1:32" s="7" customFormat="1" ht="14.1" hidden="1" customHeight="1" outlineLevel="1" x14ac:dyDescent="0.2">
      <c r="A649" s="21"/>
      <c r="B649" s="24"/>
      <c r="C649" s="165"/>
      <c r="D649" s="57" t="s">
        <v>759</v>
      </c>
      <c r="E649" s="939"/>
      <c r="F649" s="939"/>
      <c r="G649" s="939"/>
      <c r="H649" s="939"/>
      <c r="I649" s="939"/>
      <c r="J649" s="939"/>
      <c r="K649" s="939"/>
      <c r="L649" s="939"/>
      <c r="M649" s="939"/>
      <c r="N649" s="939"/>
      <c r="O649" s="941"/>
      <c r="P649" s="50"/>
      <c r="Q649" s="24"/>
      <c r="R649" s="24"/>
      <c r="S649" s="24"/>
      <c r="T649" s="24"/>
      <c r="U649" s="24"/>
      <c r="V649" s="24"/>
      <c r="W649" s="24"/>
      <c r="X649" s="24"/>
      <c r="Y649" s="24"/>
      <c r="Z649" s="24"/>
      <c r="AA649" s="24"/>
      <c r="AB649" s="24"/>
      <c r="AC649" s="24"/>
      <c r="AD649" s="24"/>
    </row>
    <row r="650" spans="1:32" ht="14.1" hidden="1" customHeight="1" outlineLevel="1" x14ac:dyDescent="0.2">
      <c r="A650" s="21"/>
      <c r="B650" s="19"/>
      <c r="C650" s="165"/>
      <c r="D650" s="54" t="s">
        <v>760</v>
      </c>
      <c r="E650" s="914">
        <f t="shared" ref="E650:N650" si="260">SUM(E649*LocO2)</f>
        <v>0</v>
      </c>
      <c r="F650" s="914">
        <f t="shared" si="260"/>
        <v>0</v>
      </c>
      <c r="G650" s="914">
        <f t="shared" si="260"/>
        <v>0</v>
      </c>
      <c r="H650" s="914">
        <f t="shared" si="260"/>
        <v>0</v>
      </c>
      <c r="I650" s="914">
        <f t="shared" si="260"/>
        <v>0</v>
      </c>
      <c r="J650" s="914">
        <f t="shared" si="260"/>
        <v>0</v>
      </c>
      <c r="K650" s="914">
        <f t="shared" si="260"/>
        <v>0</v>
      </c>
      <c r="L650" s="914">
        <f t="shared" si="260"/>
        <v>0</v>
      </c>
      <c r="M650" s="914">
        <f t="shared" si="260"/>
        <v>0</v>
      </c>
      <c r="N650" s="914">
        <f t="shared" si="260"/>
        <v>0</v>
      </c>
      <c r="O650" s="938"/>
      <c r="P650" s="13"/>
      <c r="Q650" s="19"/>
      <c r="R650" s="19"/>
      <c r="S650" s="19"/>
      <c r="T650" s="19"/>
      <c r="U650" s="19"/>
      <c r="V650" s="19"/>
      <c r="W650" s="19"/>
      <c r="X650" s="19"/>
      <c r="Y650" s="19"/>
      <c r="Z650" s="19"/>
      <c r="AA650" s="19"/>
      <c r="AB650" s="19"/>
      <c r="AC650" s="19"/>
      <c r="AD650" s="19"/>
    </row>
    <row r="651" spans="1:32" ht="14.1" hidden="1" customHeight="1" outlineLevel="1" x14ac:dyDescent="0.2">
      <c r="A651" s="21"/>
      <c r="B651" s="19"/>
      <c r="C651" s="290"/>
      <c r="D651" s="38"/>
      <c r="E651" s="38"/>
      <c r="F651" s="38"/>
      <c r="G651" s="38"/>
      <c r="H651" s="13"/>
      <c r="I651" s="13"/>
      <c r="J651" s="13"/>
      <c r="K651" s="13"/>
      <c r="L651" s="13"/>
      <c r="M651" s="13"/>
      <c r="N651" s="13"/>
      <c r="O651" s="897"/>
      <c r="P651" s="13"/>
      <c r="Q651" s="19"/>
      <c r="R651" s="19"/>
      <c r="S651" s="19"/>
      <c r="T651" s="19"/>
      <c r="U651" s="19"/>
      <c r="V651" s="19"/>
      <c r="W651" s="19"/>
      <c r="X651" s="19"/>
      <c r="Y651" s="19"/>
      <c r="Z651" s="19"/>
      <c r="AA651" s="19"/>
      <c r="AB651" s="19"/>
      <c r="AC651" s="19"/>
      <c r="AD651" s="19"/>
    </row>
    <row r="652" spans="1:32" ht="14.1" hidden="1" customHeight="1" outlineLevel="1" x14ac:dyDescent="0.2">
      <c r="A652" s="21"/>
      <c r="B652" s="19"/>
      <c r="C652" s="270"/>
      <c r="D652" s="923" t="s">
        <v>141</v>
      </c>
      <c r="E652" s="292">
        <f t="shared" ref="E652:N652" si="261">SUM(E650+E647+E644+E641+E638+E635+E632+E629+E626+E620+E617+E614)*eSystemsFilingCabinetArea_Each</f>
        <v>108.75</v>
      </c>
      <c r="F652" s="292">
        <f t="shared" si="261"/>
        <v>111.75</v>
      </c>
      <c r="G652" s="292">
        <f t="shared" si="261"/>
        <v>111.75</v>
      </c>
      <c r="H652" s="292">
        <f t="shared" si="261"/>
        <v>111.75</v>
      </c>
      <c r="I652" s="292">
        <f t="shared" si="261"/>
        <v>111.75</v>
      </c>
      <c r="J652" s="292">
        <f t="shared" si="261"/>
        <v>111.75</v>
      </c>
      <c r="K652" s="292">
        <f t="shared" si="261"/>
        <v>111.75</v>
      </c>
      <c r="L652" s="292">
        <f t="shared" si="261"/>
        <v>111.75</v>
      </c>
      <c r="M652" s="292">
        <f t="shared" si="261"/>
        <v>111.75</v>
      </c>
      <c r="N652" s="292">
        <f t="shared" si="261"/>
        <v>111.75</v>
      </c>
      <c r="O652" s="257" t="s">
        <v>766</v>
      </c>
      <c r="P652" s="13"/>
      <c r="Q652" s="19"/>
      <c r="R652" s="19"/>
      <c r="S652" s="19"/>
      <c r="T652" s="19"/>
      <c r="U652" s="19"/>
      <c r="V652" s="19"/>
      <c r="W652" s="19"/>
      <c r="X652" s="19"/>
      <c r="Y652" s="19"/>
      <c r="Z652" s="19"/>
      <c r="AA652" s="19"/>
      <c r="AB652" s="19"/>
      <c r="AC652" s="19"/>
      <c r="AD652" s="19"/>
    </row>
    <row r="653" spans="1:32" s="41" customFormat="1" ht="13.5" hidden="1" outlineLevel="1" thickBot="1" x14ac:dyDescent="0.25">
      <c r="A653" s="21"/>
      <c r="B653" s="19"/>
      <c r="C653" s="170"/>
      <c r="D653" s="278"/>
      <c r="E653" s="278"/>
      <c r="F653" s="278"/>
      <c r="G653" s="278"/>
      <c r="H653" s="278"/>
      <c r="I653" s="278"/>
      <c r="J653" s="278"/>
      <c r="K653" s="278"/>
      <c r="L653" s="278"/>
      <c r="M653" s="278"/>
      <c r="N653" s="278"/>
      <c r="O653" s="643"/>
      <c r="P653" s="38"/>
    </row>
    <row r="654" spans="1:32" s="41" customFormat="1" hidden="1" outlineLevel="1" x14ac:dyDescent="0.2">
      <c r="A654" s="21"/>
      <c r="B654" s="19"/>
      <c r="C654" s="30"/>
      <c r="D654" s="30"/>
      <c r="E654" s="30"/>
      <c r="F654" s="30"/>
      <c r="G654" s="30"/>
      <c r="H654" s="30"/>
      <c r="I654" s="30"/>
      <c r="J654" s="30"/>
      <c r="K654" s="30"/>
      <c r="L654" s="30"/>
      <c r="M654" s="30"/>
      <c r="N654" s="30"/>
      <c r="O654" s="494"/>
      <c r="P654" s="38"/>
    </row>
    <row r="655" spans="1:32" s="122" customFormat="1" ht="15.75" collapsed="1" x14ac:dyDescent="0.2">
      <c r="A655" s="1043">
        <v>12</v>
      </c>
      <c r="B655" s="1039"/>
      <c r="C655" s="1039"/>
      <c r="D655" s="1039"/>
      <c r="E655" s="1039"/>
      <c r="F655" s="1039"/>
      <c r="G655" s="1039"/>
      <c r="H655" s="1039"/>
      <c r="I655" s="1039"/>
      <c r="J655" s="1039"/>
      <c r="K655" s="1039"/>
      <c r="L655" s="1039"/>
      <c r="M655" s="1039"/>
      <c r="N655" s="1039"/>
      <c r="O655" s="1039"/>
      <c r="P655" s="206"/>
      <c r="Q655" s="206"/>
      <c r="R655" s="206"/>
      <c r="S655" s="206"/>
      <c r="T655" s="206"/>
      <c r="U655" s="206"/>
      <c r="V655" s="206"/>
      <c r="W655" s="206"/>
      <c r="X655" s="206"/>
      <c r="Y655" s="206"/>
      <c r="Z655" s="206"/>
      <c r="AA655" s="206"/>
      <c r="AB655" s="206"/>
      <c r="AC655" s="206"/>
      <c r="AD655" s="206"/>
      <c r="AE655" s="206"/>
      <c r="AF655" s="206"/>
    </row>
    <row r="656" spans="1:32" ht="13.5" thickBot="1" x14ac:dyDescent="0.25">
      <c r="P656" s="802"/>
    </row>
    <row r="657" spans="1:30" s="18" customFormat="1" ht="20.100000000000001" customHeight="1" x14ac:dyDescent="0.2">
      <c r="A657" s="1401" t="s">
        <v>4299</v>
      </c>
      <c r="B657" s="267"/>
      <c r="C657" s="968" t="s">
        <v>273</v>
      </c>
      <c r="D657" s="23"/>
      <c r="E657" s="23"/>
      <c r="F657" s="23"/>
      <c r="G657" s="23"/>
      <c r="H657" s="23"/>
      <c r="I657" s="23"/>
      <c r="J657" s="23"/>
      <c r="K657" s="23"/>
      <c r="L657" s="23"/>
      <c r="M657" s="23"/>
      <c r="N657" s="23"/>
      <c r="O657" s="23"/>
      <c r="P657" s="12"/>
      <c r="Q657" s="12"/>
    </row>
    <row r="658" spans="1:30" s="18" customFormat="1" ht="12" customHeight="1" x14ac:dyDescent="0.2">
      <c r="A658" s="1402"/>
      <c r="B658" s="267"/>
      <c r="C658" s="267"/>
      <c r="D658" s="30"/>
      <c r="E658" s="23"/>
      <c r="F658" s="23"/>
      <c r="G658" s="23"/>
      <c r="H658" s="23"/>
      <c r="I658" s="23"/>
      <c r="J658" s="23"/>
      <c r="K658" s="23"/>
      <c r="L658" s="23"/>
      <c r="M658" s="23"/>
      <c r="N658" s="23"/>
      <c r="O658" s="23"/>
      <c r="P658" s="12"/>
      <c r="Q658" s="12"/>
    </row>
    <row r="659" spans="1:30" s="18" customFormat="1" ht="20.25" customHeight="1" x14ac:dyDescent="0.2">
      <c r="A659" s="1403"/>
      <c r="B659" s="267"/>
      <c r="C659" s="267"/>
      <c r="D659" s="30"/>
      <c r="E659" s="23"/>
      <c r="F659" s="23"/>
      <c r="G659" s="23"/>
      <c r="H659" s="23"/>
      <c r="I659" s="23"/>
      <c r="J659" s="23"/>
      <c r="K659" s="23"/>
      <c r="L659" s="23"/>
      <c r="M659" s="23"/>
      <c r="N659" s="23"/>
      <c r="O659" s="23"/>
      <c r="P659" s="12"/>
      <c r="Q659" s="12"/>
    </row>
    <row r="660" spans="1:30" s="7" customFormat="1" x14ac:dyDescent="0.2">
      <c r="A660" s="190"/>
      <c r="B660" s="24"/>
      <c r="C660" s="180"/>
      <c r="D660" s="820"/>
      <c r="E660" s="179"/>
      <c r="F660" s="179"/>
      <c r="G660" s="179"/>
      <c r="H660" s="179"/>
      <c r="I660" s="179"/>
      <c r="J660" s="179"/>
      <c r="K660" s="179"/>
      <c r="L660" s="179"/>
      <c r="M660" s="179"/>
      <c r="N660" s="179"/>
      <c r="O660" s="494"/>
      <c r="P660" s="50"/>
      <c r="Q660" s="24"/>
      <c r="R660" s="24"/>
      <c r="S660" s="24"/>
      <c r="T660" s="24"/>
      <c r="U660" s="24"/>
      <c r="V660" s="24"/>
      <c r="W660" s="24"/>
      <c r="X660" s="24"/>
      <c r="Y660" s="24"/>
      <c r="Z660" s="24"/>
      <c r="AA660" s="24"/>
      <c r="AB660" s="24"/>
      <c r="AC660" s="24"/>
      <c r="AD660" s="24"/>
    </row>
    <row r="661" spans="1:30" s="7" customFormat="1" ht="14.1" hidden="1" customHeight="1" outlineLevel="1" thickBot="1" x14ac:dyDescent="0.25">
      <c r="B661" s="50"/>
      <c r="C661" s="30"/>
      <c r="D661" s="50"/>
      <c r="E661" s="50"/>
      <c r="F661" s="50"/>
      <c r="G661" s="50"/>
      <c r="H661" s="50"/>
      <c r="I661" s="50"/>
      <c r="J661" s="50"/>
      <c r="K661" s="50"/>
      <c r="L661" s="50"/>
      <c r="M661" s="50"/>
      <c r="N661" s="50"/>
      <c r="O661" s="494"/>
      <c r="P661" s="50"/>
      <c r="Q661" s="24"/>
      <c r="R661" s="24"/>
      <c r="S661" s="24"/>
      <c r="T661" s="24"/>
      <c r="U661" s="24"/>
      <c r="V661" s="24"/>
      <c r="W661" s="24"/>
      <c r="X661" s="24"/>
      <c r="Y661" s="24"/>
      <c r="Z661" s="24"/>
      <c r="AA661" s="24"/>
      <c r="AB661" s="24"/>
      <c r="AC661" s="24"/>
      <c r="AD661" s="24"/>
    </row>
    <row r="662" spans="1:30" ht="20.25" hidden="1" customHeight="1" outlineLevel="1" x14ac:dyDescent="0.2">
      <c r="A662" s="1394" t="s">
        <v>4300</v>
      </c>
      <c r="B662" s="13"/>
      <c r="C662" s="912" t="str">
        <f>Scenario1&amp;" Compactus Units Area Required"</f>
        <v>pSystems (Paper) Compactus Units Area Required</v>
      </c>
      <c r="D662" s="239"/>
      <c r="E662" s="239"/>
      <c r="F662" s="239"/>
      <c r="G662" s="239"/>
      <c r="H662" s="239"/>
      <c r="I662" s="239"/>
      <c r="J662" s="239"/>
      <c r="K662" s="239"/>
      <c r="L662" s="239"/>
      <c r="M662" s="239"/>
      <c r="N662" s="239"/>
      <c r="O662" s="813"/>
      <c r="P662" s="13"/>
      <c r="Q662" s="19"/>
      <c r="R662" s="19"/>
      <c r="S662" s="19"/>
      <c r="T662" s="19"/>
      <c r="U662" s="19"/>
      <c r="V662" s="19"/>
      <c r="W662" s="19"/>
      <c r="X662" s="19"/>
      <c r="Y662" s="19"/>
      <c r="Z662" s="19"/>
      <c r="AA662" s="19"/>
      <c r="AB662" s="19"/>
      <c r="AC662" s="19"/>
      <c r="AD662" s="19"/>
    </row>
    <row r="663" spans="1:30" ht="15.6" hidden="1" customHeight="1" outlineLevel="1" x14ac:dyDescent="0.2">
      <c r="A663" s="1395"/>
      <c r="B663" s="13"/>
      <c r="C663" s="946"/>
      <c r="D663" s="13"/>
      <c r="E663" s="13"/>
      <c r="F663" s="13"/>
      <c r="G663" s="13"/>
      <c r="H663" s="13"/>
      <c r="I663" s="13"/>
      <c r="J663" s="13"/>
      <c r="K663" s="13"/>
      <c r="L663" s="13"/>
      <c r="M663" s="13"/>
      <c r="N663" s="13"/>
      <c r="O663" s="897"/>
      <c r="P663" s="13"/>
      <c r="Q663" s="19"/>
      <c r="R663" s="19"/>
      <c r="S663" s="19"/>
      <c r="T663" s="19"/>
      <c r="U663" s="19"/>
      <c r="V663" s="19"/>
      <c r="W663" s="19"/>
      <c r="X663" s="19"/>
      <c r="Y663" s="19"/>
      <c r="Z663" s="19"/>
      <c r="AA663" s="19"/>
      <c r="AB663" s="19"/>
      <c r="AC663" s="19"/>
      <c r="AD663" s="19"/>
    </row>
    <row r="664" spans="1:30" ht="14.1" hidden="1" customHeight="1" outlineLevel="1" x14ac:dyDescent="0.2">
      <c r="A664" s="1395"/>
      <c r="B664" s="13"/>
      <c r="C664" s="165"/>
      <c r="D664" s="37" t="str">
        <f>"Compactus Area Required "&amp;(OfficeLeaseUnit)</f>
        <v>Compactus Area Required m2</v>
      </c>
      <c r="E664" s="936">
        <v>20</v>
      </c>
      <c r="F664" s="937">
        <v>20</v>
      </c>
      <c r="G664" s="937">
        <v>20</v>
      </c>
      <c r="H664" s="937">
        <v>20</v>
      </c>
      <c r="I664" s="937">
        <v>20</v>
      </c>
      <c r="J664" s="937">
        <v>20</v>
      </c>
      <c r="K664" s="937">
        <v>20</v>
      </c>
      <c r="L664" s="937">
        <v>20</v>
      </c>
      <c r="M664" s="937">
        <v>20</v>
      </c>
      <c r="N664" s="937">
        <v>20</v>
      </c>
      <c r="O664" s="257" t="s">
        <v>792</v>
      </c>
      <c r="P664" s="13"/>
      <c r="Q664" s="19"/>
      <c r="R664" s="19"/>
      <c r="S664" s="19"/>
      <c r="T664" s="19"/>
      <c r="U664" s="19"/>
      <c r="V664" s="19"/>
      <c r="W664" s="19"/>
      <c r="X664" s="19"/>
      <c r="Y664" s="19"/>
      <c r="Z664" s="19"/>
      <c r="AA664" s="19"/>
      <c r="AB664" s="19"/>
      <c r="AC664" s="19"/>
      <c r="AD664" s="19"/>
    </row>
    <row r="665" spans="1:30" ht="14.1" hidden="1" customHeight="1" outlineLevel="1" x14ac:dyDescent="0.2">
      <c r="A665" s="1395"/>
      <c r="B665" s="19"/>
      <c r="C665" s="165"/>
      <c r="D665" s="833"/>
      <c r="E665" s="917"/>
      <c r="F665" s="917"/>
      <c r="G665" s="917"/>
      <c r="H665" s="13"/>
      <c r="I665" s="13"/>
      <c r="J665" s="13"/>
      <c r="K665" s="13"/>
      <c r="L665" s="13"/>
      <c r="M665" s="13"/>
      <c r="N665" s="13"/>
      <c r="O665" s="938"/>
      <c r="P665" s="13"/>
      <c r="Q665" s="19"/>
      <c r="R665" s="19"/>
      <c r="S665" s="19"/>
      <c r="T665" s="19"/>
      <c r="U665" s="19"/>
      <c r="V665" s="19"/>
      <c r="W665" s="19"/>
      <c r="X665" s="19"/>
      <c r="Y665" s="19"/>
      <c r="Z665" s="19"/>
      <c r="AA665" s="19"/>
      <c r="AB665" s="19"/>
      <c r="AC665" s="19"/>
      <c r="AD665" s="19"/>
    </row>
    <row r="666" spans="1:30" ht="14.1" hidden="1" customHeight="1" outlineLevel="1" x14ac:dyDescent="0.2">
      <c r="A666" s="1395"/>
      <c r="B666" s="19"/>
      <c r="C666" s="165"/>
      <c r="D666" s="57" t="s">
        <v>771</v>
      </c>
      <c r="E666" s="939">
        <v>0</v>
      </c>
      <c r="F666" s="939">
        <v>0</v>
      </c>
      <c r="G666" s="939">
        <v>0</v>
      </c>
      <c r="H666" s="939">
        <v>0</v>
      </c>
      <c r="I666" s="939">
        <v>0</v>
      </c>
      <c r="J666" s="939">
        <v>0</v>
      </c>
      <c r="K666" s="939">
        <v>0</v>
      </c>
      <c r="L666" s="939">
        <v>0</v>
      </c>
      <c r="M666" s="939">
        <v>0</v>
      </c>
      <c r="N666" s="939">
        <v>0</v>
      </c>
      <c r="O666" s="938"/>
      <c r="P666" s="13"/>
      <c r="Q666" s="19"/>
      <c r="R666" s="19"/>
      <c r="S666" s="19"/>
      <c r="T666" s="19"/>
      <c r="U666" s="19"/>
      <c r="V666" s="19"/>
      <c r="W666" s="19"/>
      <c r="X666" s="19"/>
      <c r="Y666" s="19"/>
      <c r="Z666" s="19"/>
      <c r="AA666" s="19"/>
      <c r="AB666" s="19"/>
      <c r="AC666" s="19"/>
      <c r="AD666" s="19"/>
    </row>
    <row r="667" spans="1:30" ht="14.1" hidden="1" customHeight="1" outlineLevel="1" x14ac:dyDescent="0.2">
      <c r="A667" s="1395"/>
      <c r="B667" s="19"/>
      <c r="C667" s="165"/>
      <c r="D667" s="54" t="s">
        <v>772</v>
      </c>
      <c r="E667" s="914">
        <f t="shared" ref="E667:N667" si="262">SUM(E666*LocTransit)</f>
        <v>0</v>
      </c>
      <c r="F667" s="914">
        <f t="shared" si="262"/>
        <v>0</v>
      </c>
      <c r="G667" s="914">
        <f t="shared" si="262"/>
        <v>0</v>
      </c>
      <c r="H667" s="914">
        <f t="shared" si="262"/>
        <v>0</v>
      </c>
      <c r="I667" s="914">
        <f t="shared" si="262"/>
        <v>0</v>
      </c>
      <c r="J667" s="914">
        <f t="shared" si="262"/>
        <v>0</v>
      </c>
      <c r="K667" s="914">
        <f t="shared" si="262"/>
        <v>0</v>
      </c>
      <c r="L667" s="914">
        <f t="shared" si="262"/>
        <v>0</v>
      </c>
      <c r="M667" s="914">
        <f t="shared" si="262"/>
        <v>0</v>
      </c>
      <c r="N667" s="914">
        <f t="shared" si="262"/>
        <v>0</v>
      </c>
      <c r="O667" s="938"/>
      <c r="P667" s="13"/>
      <c r="Q667" s="19"/>
      <c r="R667" s="19"/>
      <c r="S667" s="19"/>
      <c r="T667" s="19"/>
      <c r="U667" s="19"/>
      <c r="V667" s="19"/>
      <c r="W667" s="19"/>
      <c r="X667" s="19"/>
      <c r="Y667" s="19"/>
      <c r="Z667" s="19"/>
      <c r="AA667" s="19"/>
      <c r="AB667" s="19"/>
      <c r="AC667" s="19"/>
      <c r="AD667" s="19"/>
    </row>
    <row r="668" spans="1:30" ht="14.1" hidden="1" customHeight="1" outlineLevel="1" x14ac:dyDescent="0.2">
      <c r="A668" s="1395"/>
      <c r="B668" s="19"/>
      <c r="C668" s="165"/>
      <c r="D668" s="54"/>
      <c r="E668" s="38"/>
      <c r="F668" s="38"/>
      <c r="G668" s="38"/>
      <c r="H668" s="38"/>
      <c r="I668" s="38"/>
      <c r="J668" s="38"/>
      <c r="K668" s="38"/>
      <c r="L668" s="38"/>
      <c r="M668" s="38"/>
      <c r="N668" s="38"/>
      <c r="O668" s="938"/>
      <c r="P668" s="13"/>
      <c r="Q668" s="19"/>
      <c r="R668" s="19"/>
      <c r="S668" s="19"/>
      <c r="T668" s="19"/>
      <c r="U668" s="19"/>
      <c r="V668" s="19"/>
      <c r="W668" s="19"/>
      <c r="X668" s="19"/>
      <c r="Y668" s="19"/>
      <c r="Z668" s="19"/>
      <c r="AA668" s="19"/>
      <c r="AB668" s="19"/>
      <c r="AC668" s="19"/>
      <c r="AD668" s="19"/>
    </row>
    <row r="669" spans="1:30" ht="14.1" hidden="1" customHeight="1" outlineLevel="1" x14ac:dyDescent="0.2">
      <c r="A669" s="1395"/>
      <c r="B669" s="19"/>
      <c r="C669" s="165"/>
      <c r="D669" s="57" t="s">
        <v>773</v>
      </c>
      <c r="E669" s="939">
        <v>1</v>
      </c>
      <c r="F669" s="939">
        <v>1</v>
      </c>
      <c r="G669" s="939">
        <v>1</v>
      </c>
      <c r="H669" s="939">
        <v>1</v>
      </c>
      <c r="I669" s="939">
        <v>1</v>
      </c>
      <c r="J669" s="939">
        <v>1</v>
      </c>
      <c r="K669" s="939">
        <v>1</v>
      </c>
      <c r="L669" s="939">
        <v>1</v>
      </c>
      <c r="M669" s="939">
        <v>1</v>
      </c>
      <c r="N669" s="939">
        <v>1</v>
      </c>
      <c r="O669" s="938"/>
      <c r="P669" s="13"/>
      <c r="Q669" s="19"/>
      <c r="R669" s="19"/>
      <c r="S669" s="19"/>
      <c r="T669" s="19"/>
      <c r="U669" s="19"/>
      <c r="V669" s="19"/>
      <c r="W669" s="19"/>
      <c r="X669" s="19"/>
      <c r="Y669" s="19"/>
      <c r="Z669" s="19"/>
      <c r="AA669" s="19"/>
      <c r="AB669" s="19"/>
      <c r="AC669" s="19"/>
      <c r="AD669" s="19"/>
    </row>
    <row r="670" spans="1:30" ht="14.1" hidden="1" customHeight="1" outlineLevel="1" x14ac:dyDescent="0.2">
      <c r="A670" s="1395"/>
      <c r="B670" s="19"/>
      <c r="C670" s="165"/>
      <c r="D670" s="54" t="s">
        <v>774</v>
      </c>
      <c r="E670" s="914">
        <f t="shared" ref="E670:N670" si="263">SUM(E669*LocLM)</f>
        <v>8</v>
      </c>
      <c r="F670" s="914">
        <f t="shared" si="263"/>
        <v>9</v>
      </c>
      <c r="G670" s="914">
        <f t="shared" si="263"/>
        <v>9</v>
      </c>
      <c r="H670" s="914">
        <f t="shared" si="263"/>
        <v>9</v>
      </c>
      <c r="I670" s="914">
        <f t="shared" si="263"/>
        <v>9</v>
      </c>
      <c r="J670" s="914">
        <f t="shared" si="263"/>
        <v>9</v>
      </c>
      <c r="K670" s="914">
        <f t="shared" si="263"/>
        <v>9</v>
      </c>
      <c r="L670" s="914">
        <f t="shared" si="263"/>
        <v>9</v>
      </c>
      <c r="M670" s="914">
        <f t="shared" si="263"/>
        <v>9</v>
      </c>
      <c r="N670" s="914">
        <f t="shared" si="263"/>
        <v>9</v>
      </c>
      <c r="O670" s="938"/>
      <c r="P670" s="13"/>
      <c r="Q670" s="19"/>
      <c r="R670" s="19"/>
      <c r="S670" s="19"/>
      <c r="T670" s="19"/>
      <c r="U670" s="19"/>
      <c r="V670" s="19"/>
      <c r="W670" s="19"/>
      <c r="X670" s="19"/>
      <c r="Y670" s="19"/>
      <c r="Z670" s="19"/>
      <c r="AA670" s="19"/>
      <c r="AB670" s="19"/>
      <c r="AC670" s="19"/>
      <c r="AD670" s="19"/>
    </row>
    <row r="671" spans="1:30" ht="14.1" hidden="1" customHeight="1" outlineLevel="1" x14ac:dyDescent="0.2">
      <c r="A671" s="1395"/>
      <c r="B671" s="19"/>
      <c r="C671" s="165"/>
      <c r="D671" s="54"/>
      <c r="E671" s="38"/>
      <c r="F671" s="38"/>
      <c r="G671" s="38"/>
      <c r="H671" s="38"/>
      <c r="I671" s="38"/>
      <c r="J671" s="38"/>
      <c r="K671" s="38"/>
      <c r="L671" s="38"/>
      <c r="M671" s="38"/>
      <c r="N671" s="38"/>
      <c r="O671" s="938"/>
      <c r="P671" s="13"/>
      <c r="Q671" s="19"/>
      <c r="R671" s="19"/>
      <c r="S671" s="19"/>
      <c r="T671" s="19"/>
      <c r="U671" s="19"/>
      <c r="V671" s="19"/>
      <c r="W671" s="19"/>
      <c r="X671" s="19"/>
      <c r="Y671" s="19"/>
      <c r="Z671" s="19"/>
      <c r="AA671" s="19"/>
      <c r="AB671" s="19"/>
      <c r="AC671" s="19"/>
      <c r="AD671" s="19"/>
    </row>
    <row r="672" spans="1:30" ht="14.1" hidden="1" customHeight="1" outlineLevel="1" x14ac:dyDescent="0.2">
      <c r="A672" s="1395"/>
      <c r="B672" s="19"/>
      <c r="C672" s="165"/>
      <c r="D672" s="57" t="s">
        <v>775</v>
      </c>
      <c r="E672" s="939">
        <v>1</v>
      </c>
      <c r="F672" s="939">
        <v>1</v>
      </c>
      <c r="G672" s="939">
        <v>1</v>
      </c>
      <c r="H672" s="939">
        <v>1</v>
      </c>
      <c r="I672" s="939">
        <v>1</v>
      </c>
      <c r="J672" s="939">
        <v>1</v>
      </c>
      <c r="K672" s="939">
        <v>1</v>
      </c>
      <c r="L672" s="939">
        <v>1</v>
      </c>
      <c r="M672" s="939">
        <v>1</v>
      </c>
      <c r="N672" s="939">
        <v>1</v>
      </c>
      <c r="O672" s="938"/>
      <c r="P672" s="13"/>
      <c r="Q672" s="19"/>
      <c r="R672" s="19"/>
      <c r="S672" s="19"/>
      <c r="T672" s="19"/>
      <c r="U672" s="19"/>
      <c r="V672" s="19"/>
      <c r="W672" s="19"/>
      <c r="X672" s="19"/>
      <c r="Y672" s="19"/>
      <c r="Z672" s="19"/>
      <c r="AA672" s="19"/>
      <c r="AB672" s="19"/>
      <c r="AC672" s="19"/>
      <c r="AD672" s="19"/>
    </row>
    <row r="673" spans="1:30" ht="14.1" hidden="1" customHeight="1" outlineLevel="1" x14ac:dyDescent="0.2">
      <c r="A673" s="1395"/>
      <c r="B673" s="19"/>
      <c r="C673" s="165"/>
      <c r="D673" s="54" t="s">
        <v>776</v>
      </c>
      <c r="E673" s="914">
        <f t="shared" ref="E673:N673" si="264">SUM(E672*LocHM)</f>
        <v>1</v>
      </c>
      <c r="F673" s="914">
        <f t="shared" si="264"/>
        <v>1</v>
      </c>
      <c r="G673" s="914">
        <f t="shared" si="264"/>
        <v>1</v>
      </c>
      <c r="H673" s="914">
        <f t="shared" si="264"/>
        <v>1</v>
      </c>
      <c r="I673" s="914">
        <f t="shared" si="264"/>
        <v>1</v>
      </c>
      <c r="J673" s="914">
        <f t="shared" si="264"/>
        <v>1</v>
      </c>
      <c r="K673" s="914">
        <f t="shared" si="264"/>
        <v>1</v>
      </c>
      <c r="L673" s="914">
        <f t="shared" si="264"/>
        <v>1</v>
      </c>
      <c r="M673" s="914">
        <f t="shared" si="264"/>
        <v>1</v>
      </c>
      <c r="N673" s="914">
        <f t="shared" si="264"/>
        <v>1</v>
      </c>
      <c r="O673" s="938"/>
      <c r="P673" s="13"/>
      <c r="Q673" s="19"/>
      <c r="R673" s="19"/>
      <c r="S673" s="19"/>
      <c r="T673" s="19"/>
      <c r="U673" s="19"/>
      <c r="V673" s="19"/>
      <c r="W673" s="19"/>
      <c r="X673" s="19"/>
      <c r="Y673" s="19"/>
      <c r="Z673" s="19"/>
      <c r="AA673" s="19"/>
      <c r="AB673" s="19"/>
      <c r="AC673" s="19"/>
      <c r="AD673" s="19"/>
    </row>
    <row r="674" spans="1:30" ht="14.1" hidden="1" customHeight="1" outlineLevel="1" x14ac:dyDescent="0.2">
      <c r="A674" s="1395"/>
      <c r="B674" s="19"/>
      <c r="C674" s="165"/>
      <c r="D674" s="54"/>
      <c r="E674" s="38"/>
      <c r="F674" s="38"/>
      <c r="G674" s="38"/>
      <c r="H674" s="38"/>
      <c r="I674" s="38"/>
      <c r="J674" s="38"/>
      <c r="K674" s="38"/>
      <c r="L674" s="38"/>
      <c r="M674" s="38"/>
      <c r="N674" s="38"/>
      <c r="O674" s="938"/>
      <c r="P674" s="13"/>
      <c r="Q674" s="19"/>
      <c r="R674" s="19"/>
      <c r="S674" s="19"/>
      <c r="T674" s="19"/>
      <c r="U674" s="19"/>
      <c r="V674" s="19"/>
      <c r="W674" s="19"/>
      <c r="X674" s="19"/>
      <c r="Y674" s="19"/>
      <c r="Z674" s="19"/>
      <c r="AA674" s="19"/>
      <c r="AB674" s="19"/>
      <c r="AC674" s="19"/>
      <c r="AD674" s="19"/>
    </row>
    <row r="675" spans="1:30" ht="14.1" hidden="1" customHeight="1" outlineLevel="1" x14ac:dyDescent="0.2">
      <c r="A675" s="1395"/>
      <c r="B675" s="19"/>
      <c r="C675" s="165"/>
      <c r="D675" s="57" t="s">
        <v>999</v>
      </c>
      <c r="E675" s="939">
        <v>1</v>
      </c>
      <c r="F675" s="939">
        <v>1</v>
      </c>
      <c r="G675" s="939">
        <v>1</v>
      </c>
      <c r="H675" s="939">
        <v>1</v>
      </c>
      <c r="I675" s="939">
        <v>1</v>
      </c>
      <c r="J675" s="939">
        <v>1</v>
      </c>
      <c r="K675" s="939">
        <v>1</v>
      </c>
      <c r="L675" s="939">
        <v>1</v>
      </c>
      <c r="M675" s="939">
        <v>1</v>
      </c>
      <c r="N675" s="939">
        <v>1</v>
      </c>
      <c r="O675" s="271"/>
      <c r="P675" s="13"/>
      <c r="Q675" s="19"/>
      <c r="R675" s="19"/>
      <c r="S675" s="19"/>
      <c r="T675" s="19"/>
      <c r="U675" s="19"/>
      <c r="V675" s="19"/>
      <c r="W675" s="19"/>
      <c r="X675" s="19"/>
      <c r="Y675" s="19"/>
      <c r="Z675" s="19"/>
      <c r="AA675" s="19"/>
      <c r="AB675" s="19"/>
      <c r="AC675" s="19"/>
      <c r="AD675" s="19"/>
    </row>
    <row r="676" spans="1:30" ht="14.1" hidden="1" customHeight="1" outlineLevel="1" x14ac:dyDescent="0.2">
      <c r="A676" s="1395"/>
      <c r="B676" s="19"/>
      <c r="C676" s="165"/>
      <c r="D676" s="54" t="s">
        <v>1000</v>
      </c>
      <c r="E676" s="914">
        <f t="shared" ref="E676:N676" si="265">SUM(E675*LocENG)</f>
        <v>1</v>
      </c>
      <c r="F676" s="914">
        <f t="shared" si="265"/>
        <v>1</v>
      </c>
      <c r="G676" s="914">
        <f t="shared" si="265"/>
        <v>1</v>
      </c>
      <c r="H676" s="914">
        <f t="shared" si="265"/>
        <v>1</v>
      </c>
      <c r="I676" s="914">
        <f t="shared" si="265"/>
        <v>1</v>
      </c>
      <c r="J676" s="914">
        <f t="shared" si="265"/>
        <v>1</v>
      </c>
      <c r="K676" s="914">
        <f t="shared" si="265"/>
        <v>1</v>
      </c>
      <c r="L676" s="914">
        <f t="shared" si="265"/>
        <v>1</v>
      </c>
      <c r="M676" s="914">
        <f t="shared" si="265"/>
        <v>1</v>
      </c>
      <c r="N676" s="914">
        <f t="shared" si="265"/>
        <v>1</v>
      </c>
      <c r="O676" s="271"/>
      <c r="P676" s="13"/>
      <c r="Q676" s="19"/>
      <c r="R676" s="19"/>
      <c r="S676" s="19"/>
      <c r="T676" s="19"/>
      <c r="U676" s="19"/>
      <c r="V676" s="19"/>
      <c r="W676" s="19"/>
      <c r="X676" s="19"/>
      <c r="Y676" s="19"/>
      <c r="Z676" s="19"/>
      <c r="AA676" s="19"/>
      <c r="AB676" s="19"/>
      <c r="AC676" s="19"/>
      <c r="AD676" s="19"/>
    </row>
    <row r="677" spans="1:30" ht="14.1" hidden="1" customHeight="1" outlineLevel="1" x14ac:dyDescent="0.2">
      <c r="A677" s="1395"/>
      <c r="B677" s="19"/>
      <c r="C677" s="165"/>
      <c r="D677" s="54"/>
      <c r="E677" s="38"/>
      <c r="F677" s="38"/>
      <c r="G677" s="38"/>
      <c r="H677" s="38"/>
      <c r="I677" s="38"/>
      <c r="J677" s="38"/>
      <c r="K677" s="38"/>
      <c r="L677" s="38"/>
      <c r="M677" s="38"/>
      <c r="N677" s="38"/>
      <c r="O677" s="938"/>
      <c r="P677" s="13"/>
      <c r="Q677" s="19"/>
      <c r="R677" s="19"/>
      <c r="S677" s="19"/>
      <c r="T677" s="19"/>
      <c r="U677" s="19"/>
      <c r="V677" s="19"/>
      <c r="W677" s="19"/>
      <c r="X677" s="19"/>
      <c r="Y677" s="19"/>
      <c r="Z677" s="19"/>
      <c r="AA677" s="19"/>
      <c r="AB677" s="19"/>
      <c r="AC677" s="19"/>
      <c r="AD677" s="19"/>
    </row>
    <row r="678" spans="1:30" ht="14.1" hidden="1" customHeight="1" outlineLevel="1" x14ac:dyDescent="0.2">
      <c r="A678" s="1395"/>
      <c r="B678" s="19"/>
      <c r="C678" s="165"/>
      <c r="D678" s="57" t="s">
        <v>1001</v>
      </c>
      <c r="E678" s="939">
        <v>1</v>
      </c>
      <c r="F678" s="939">
        <v>1</v>
      </c>
      <c r="G678" s="939">
        <v>1</v>
      </c>
      <c r="H678" s="939">
        <v>1</v>
      </c>
      <c r="I678" s="939">
        <v>1</v>
      </c>
      <c r="J678" s="939">
        <v>1</v>
      </c>
      <c r="K678" s="939">
        <v>1</v>
      </c>
      <c r="L678" s="939">
        <v>1</v>
      </c>
      <c r="M678" s="939">
        <v>1</v>
      </c>
      <c r="N678" s="939">
        <v>1</v>
      </c>
      <c r="O678" s="271"/>
      <c r="P678" s="13"/>
      <c r="Q678" s="19"/>
      <c r="R678" s="19"/>
      <c r="S678" s="19"/>
      <c r="T678" s="19"/>
      <c r="U678" s="19"/>
      <c r="V678" s="19"/>
      <c r="W678" s="19"/>
      <c r="X678" s="19"/>
      <c r="Y678" s="19"/>
      <c r="Z678" s="19"/>
      <c r="AA678" s="19"/>
      <c r="AB678" s="19"/>
      <c r="AC678" s="19"/>
      <c r="AD678" s="19"/>
    </row>
    <row r="679" spans="1:30" ht="14.1" hidden="1" customHeight="1" outlineLevel="1" x14ac:dyDescent="0.2">
      <c r="A679" s="1395"/>
      <c r="B679" s="19"/>
      <c r="C679" s="165"/>
      <c r="D679" s="54" t="s">
        <v>1002</v>
      </c>
      <c r="E679" s="914">
        <f t="shared" ref="E679:N679" si="266">SUM(E678*LocPLG)</f>
        <v>1</v>
      </c>
      <c r="F679" s="914">
        <f t="shared" si="266"/>
        <v>1</v>
      </c>
      <c r="G679" s="914">
        <f t="shared" si="266"/>
        <v>1</v>
      </c>
      <c r="H679" s="914">
        <f t="shared" si="266"/>
        <v>1</v>
      </c>
      <c r="I679" s="914">
        <f t="shared" si="266"/>
        <v>1</v>
      </c>
      <c r="J679" s="914">
        <f t="shared" si="266"/>
        <v>1</v>
      </c>
      <c r="K679" s="914">
        <f t="shared" si="266"/>
        <v>1</v>
      </c>
      <c r="L679" s="914">
        <f t="shared" si="266"/>
        <v>1</v>
      </c>
      <c r="M679" s="914">
        <f t="shared" si="266"/>
        <v>1</v>
      </c>
      <c r="N679" s="914">
        <f t="shared" si="266"/>
        <v>1</v>
      </c>
      <c r="O679" s="271"/>
      <c r="P679" s="13"/>
      <c r="Q679" s="19"/>
      <c r="R679" s="19"/>
      <c r="S679" s="19"/>
      <c r="T679" s="19"/>
      <c r="U679" s="19"/>
      <c r="V679" s="19"/>
      <c r="W679" s="19"/>
      <c r="X679" s="19"/>
      <c r="Y679" s="19"/>
      <c r="Z679" s="19"/>
      <c r="AA679" s="19"/>
      <c r="AB679" s="19"/>
      <c r="AC679" s="19"/>
      <c r="AD679" s="19"/>
    </row>
    <row r="680" spans="1:30" ht="14.1" hidden="1" customHeight="1" outlineLevel="1" x14ac:dyDescent="0.2">
      <c r="A680" s="1395"/>
      <c r="B680" s="19"/>
      <c r="C680" s="165"/>
      <c r="D680" s="54"/>
      <c r="E680" s="38"/>
      <c r="F680" s="38"/>
      <c r="G680" s="38"/>
      <c r="H680" s="38"/>
      <c r="I680" s="38"/>
      <c r="J680" s="38"/>
      <c r="K680" s="38"/>
      <c r="L680" s="38"/>
      <c r="M680" s="38"/>
      <c r="N680" s="38"/>
      <c r="O680" s="938"/>
      <c r="P680" s="13"/>
      <c r="Q680" s="19"/>
      <c r="R680" s="19"/>
      <c r="S680" s="19"/>
      <c r="T680" s="19"/>
      <c r="U680" s="19"/>
      <c r="V680" s="19"/>
      <c r="W680" s="19"/>
      <c r="X680" s="19"/>
      <c r="Y680" s="19"/>
      <c r="Z680" s="19"/>
      <c r="AA680" s="19"/>
      <c r="AB680" s="19"/>
      <c r="AC680" s="19"/>
      <c r="AD680" s="19"/>
    </row>
    <row r="681" spans="1:30" ht="14.1" hidden="1" customHeight="1" outlineLevel="1" x14ac:dyDescent="0.2">
      <c r="A681" s="1395"/>
      <c r="B681" s="19"/>
      <c r="C681" s="165"/>
      <c r="D681" s="57" t="s">
        <v>665</v>
      </c>
      <c r="E681" s="939">
        <v>1</v>
      </c>
      <c r="F681" s="939">
        <v>1</v>
      </c>
      <c r="G681" s="939">
        <v>1</v>
      </c>
      <c r="H681" s="939">
        <v>1</v>
      </c>
      <c r="I681" s="939">
        <v>1</v>
      </c>
      <c r="J681" s="939">
        <v>1</v>
      </c>
      <c r="K681" s="939">
        <v>1</v>
      </c>
      <c r="L681" s="939">
        <v>1</v>
      </c>
      <c r="M681" s="939">
        <v>1</v>
      </c>
      <c r="N681" s="939">
        <v>1</v>
      </c>
      <c r="O681" s="271"/>
      <c r="P681" s="13"/>
      <c r="Q681" s="19"/>
      <c r="R681" s="19"/>
      <c r="S681" s="19"/>
      <c r="T681" s="19"/>
      <c r="U681" s="19"/>
      <c r="V681" s="19"/>
      <c r="W681" s="19"/>
      <c r="X681" s="19"/>
      <c r="Y681" s="19"/>
      <c r="Z681" s="19"/>
      <c r="AA681" s="19"/>
      <c r="AB681" s="19"/>
      <c r="AC681" s="19"/>
      <c r="AD681" s="19"/>
    </row>
    <row r="682" spans="1:30" ht="14.1" hidden="1" customHeight="1" outlineLevel="1" x14ac:dyDescent="0.2">
      <c r="A682" s="1395"/>
      <c r="B682" s="19"/>
      <c r="C682" s="165"/>
      <c r="D682" s="54" t="s">
        <v>777</v>
      </c>
      <c r="E682" s="914">
        <f t="shared" ref="E682:N682" si="267">SUM(E681*LocCRT)</f>
        <v>9</v>
      </c>
      <c r="F682" s="914">
        <f t="shared" si="267"/>
        <v>9</v>
      </c>
      <c r="G682" s="914">
        <f t="shared" si="267"/>
        <v>9</v>
      </c>
      <c r="H682" s="914">
        <f t="shared" si="267"/>
        <v>9</v>
      </c>
      <c r="I682" s="914">
        <f t="shared" si="267"/>
        <v>9</v>
      </c>
      <c r="J682" s="914">
        <f t="shared" si="267"/>
        <v>9</v>
      </c>
      <c r="K682" s="914">
        <f t="shared" si="267"/>
        <v>9</v>
      </c>
      <c r="L682" s="914">
        <f t="shared" si="267"/>
        <v>9</v>
      </c>
      <c r="M682" s="914">
        <f t="shared" si="267"/>
        <v>9</v>
      </c>
      <c r="N682" s="914">
        <f t="shared" si="267"/>
        <v>9</v>
      </c>
      <c r="O682" s="271"/>
      <c r="P682" s="13"/>
      <c r="Q682" s="19"/>
      <c r="R682" s="19"/>
      <c r="S682" s="19"/>
      <c r="T682" s="19"/>
      <c r="U682" s="19"/>
      <c r="V682" s="19"/>
      <c r="W682" s="19"/>
      <c r="X682" s="19"/>
      <c r="Y682" s="19"/>
      <c r="Z682" s="19"/>
      <c r="AA682" s="19"/>
      <c r="AB682" s="19"/>
      <c r="AC682" s="19"/>
      <c r="AD682" s="19"/>
    </row>
    <row r="683" spans="1:30" s="7" customFormat="1" ht="14.1" hidden="1" customHeight="1" outlineLevel="1" x14ac:dyDescent="0.2">
      <c r="A683" s="1395"/>
      <c r="B683" s="24"/>
      <c r="C683" s="284"/>
      <c r="D683" s="27"/>
      <c r="E683" s="940"/>
      <c r="F683" s="940"/>
      <c r="G683" s="940"/>
      <c r="H683" s="940"/>
      <c r="I683" s="940"/>
      <c r="J683" s="940"/>
      <c r="K683" s="940"/>
      <c r="L683" s="940"/>
      <c r="M683" s="940"/>
      <c r="N683" s="940"/>
      <c r="O683" s="289"/>
      <c r="P683" s="50"/>
      <c r="Q683" s="24"/>
      <c r="R683" s="24"/>
      <c r="S683" s="24"/>
      <c r="T683" s="24"/>
      <c r="U683" s="24"/>
      <c r="V683" s="24"/>
      <c r="W683" s="24"/>
      <c r="X683" s="24"/>
      <c r="Y683" s="24"/>
      <c r="Z683" s="24"/>
      <c r="AA683" s="24"/>
      <c r="AB683" s="24"/>
      <c r="AC683" s="24"/>
      <c r="AD683" s="24"/>
    </row>
    <row r="684" spans="1:30" s="7" customFormat="1" ht="14.1" hidden="1" customHeight="1" outlineLevel="1" x14ac:dyDescent="0.2">
      <c r="A684" s="1395"/>
      <c r="B684" s="24"/>
      <c r="C684" s="165"/>
      <c r="D684" s="57" t="s">
        <v>778</v>
      </c>
      <c r="E684" s="939">
        <v>1</v>
      </c>
      <c r="F684" s="939">
        <v>1</v>
      </c>
      <c r="G684" s="939">
        <v>1</v>
      </c>
      <c r="H684" s="939">
        <v>1</v>
      </c>
      <c r="I684" s="939">
        <v>1</v>
      </c>
      <c r="J684" s="939">
        <v>1</v>
      </c>
      <c r="K684" s="939">
        <v>1</v>
      </c>
      <c r="L684" s="939">
        <v>1</v>
      </c>
      <c r="M684" s="939">
        <v>1</v>
      </c>
      <c r="N684" s="939">
        <v>1</v>
      </c>
      <c r="O684" s="941"/>
      <c r="P684" s="50"/>
      <c r="Q684" s="24"/>
      <c r="R684" s="24"/>
      <c r="S684" s="24"/>
      <c r="T684" s="24"/>
      <c r="U684" s="24"/>
      <c r="V684" s="24"/>
      <c r="W684" s="24"/>
      <c r="X684" s="24"/>
      <c r="Y684" s="24"/>
      <c r="Z684" s="24"/>
      <c r="AA684" s="24"/>
      <c r="AB684" s="24"/>
      <c r="AC684" s="24"/>
      <c r="AD684" s="24"/>
    </row>
    <row r="685" spans="1:30" ht="14.1" hidden="1" customHeight="1" outlineLevel="1" x14ac:dyDescent="0.2">
      <c r="A685" s="1395"/>
      <c r="B685" s="19"/>
      <c r="C685" s="165"/>
      <c r="D685" s="54" t="s">
        <v>779</v>
      </c>
      <c r="E685" s="914">
        <f t="shared" ref="E685:N685" si="268">SUM(E684*LocSCL)</f>
        <v>8</v>
      </c>
      <c r="F685" s="914">
        <f t="shared" si="268"/>
        <v>9</v>
      </c>
      <c r="G685" s="914">
        <f t="shared" si="268"/>
        <v>9</v>
      </c>
      <c r="H685" s="914">
        <f t="shared" si="268"/>
        <v>9</v>
      </c>
      <c r="I685" s="914">
        <f t="shared" si="268"/>
        <v>9</v>
      </c>
      <c r="J685" s="914">
        <f t="shared" si="268"/>
        <v>9</v>
      </c>
      <c r="K685" s="914">
        <f t="shared" si="268"/>
        <v>9</v>
      </c>
      <c r="L685" s="914">
        <f t="shared" si="268"/>
        <v>9</v>
      </c>
      <c r="M685" s="914">
        <f t="shared" si="268"/>
        <v>9</v>
      </c>
      <c r="N685" s="914">
        <f t="shared" si="268"/>
        <v>9</v>
      </c>
      <c r="O685" s="938"/>
      <c r="P685" s="13"/>
      <c r="Q685" s="19"/>
      <c r="R685" s="19"/>
      <c r="S685" s="19"/>
      <c r="T685" s="19"/>
      <c r="U685" s="19"/>
      <c r="V685" s="19"/>
      <c r="W685" s="19"/>
      <c r="X685" s="19"/>
      <c r="Y685" s="19"/>
      <c r="Z685" s="19"/>
      <c r="AA685" s="19"/>
      <c r="AB685" s="19"/>
      <c r="AC685" s="19"/>
      <c r="AD685" s="19"/>
    </row>
    <row r="686" spans="1:30" s="7" customFormat="1" ht="14.1" hidden="1" customHeight="1" outlineLevel="1" x14ac:dyDescent="0.2">
      <c r="A686" s="1395"/>
      <c r="B686" s="24"/>
      <c r="C686" s="284"/>
      <c r="D686" s="27"/>
      <c r="E686" s="940"/>
      <c r="F686" s="940"/>
      <c r="G686" s="940"/>
      <c r="H686" s="940"/>
      <c r="I686" s="940"/>
      <c r="J686" s="940"/>
      <c r="K686" s="940"/>
      <c r="L686" s="940"/>
      <c r="M686" s="940"/>
      <c r="N686" s="940"/>
      <c r="O686" s="289"/>
      <c r="P686" s="50"/>
      <c r="Q686" s="24"/>
      <c r="R686" s="24"/>
      <c r="S686" s="24"/>
      <c r="T686" s="24"/>
      <c r="U686" s="24"/>
      <c r="V686" s="24"/>
      <c r="W686" s="24"/>
      <c r="X686" s="24"/>
      <c r="Y686" s="24"/>
      <c r="Z686" s="24"/>
      <c r="AA686" s="24"/>
      <c r="AB686" s="24"/>
      <c r="AC686" s="24"/>
      <c r="AD686" s="24"/>
    </row>
    <row r="687" spans="1:30" s="7" customFormat="1" ht="14.1" hidden="1" customHeight="1" outlineLevel="1" x14ac:dyDescent="0.2">
      <c r="A687" s="1395"/>
      <c r="B687" s="24"/>
      <c r="C687" s="165"/>
      <c r="D687" s="57" t="s">
        <v>780</v>
      </c>
      <c r="E687" s="939">
        <v>1</v>
      </c>
      <c r="F687" s="939">
        <v>1</v>
      </c>
      <c r="G687" s="939">
        <v>1</v>
      </c>
      <c r="H687" s="939">
        <v>1</v>
      </c>
      <c r="I687" s="939">
        <v>1</v>
      </c>
      <c r="J687" s="939">
        <v>1</v>
      </c>
      <c r="K687" s="939">
        <v>1</v>
      </c>
      <c r="L687" s="939">
        <v>1</v>
      </c>
      <c r="M687" s="939">
        <v>1</v>
      </c>
      <c r="N687" s="939">
        <v>1</v>
      </c>
      <c r="O687" s="941"/>
      <c r="P687" s="50"/>
      <c r="Q687" s="24"/>
      <c r="R687" s="24"/>
      <c r="S687" s="24"/>
      <c r="T687" s="24"/>
      <c r="U687" s="24"/>
      <c r="V687" s="24"/>
      <c r="W687" s="24"/>
      <c r="X687" s="24"/>
      <c r="Y687" s="24"/>
      <c r="Z687" s="24"/>
      <c r="AA687" s="24"/>
      <c r="AB687" s="24"/>
      <c r="AC687" s="24"/>
      <c r="AD687" s="24"/>
    </row>
    <row r="688" spans="1:30" ht="14.1" hidden="1" customHeight="1" outlineLevel="1" x14ac:dyDescent="0.2">
      <c r="A688" s="1395"/>
      <c r="B688" s="19"/>
      <c r="C688" s="165"/>
      <c r="D688" s="54" t="s">
        <v>781</v>
      </c>
      <c r="E688" s="914">
        <f t="shared" ref="E688:N688" si="269">SUM(E687*LocQSC)</f>
        <v>1</v>
      </c>
      <c r="F688" s="914">
        <f t="shared" si="269"/>
        <v>1</v>
      </c>
      <c r="G688" s="914">
        <f t="shared" si="269"/>
        <v>1</v>
      </c>
      <c r="H688" s="914">
        <f t="shared" si="269"/>
        <v>1</v>
      </c>
      <c r="I688" s="914">
        <f t="shared" si="269"/>
        <v>1</v>
      </c>
      <c r="J688" s="914">
        <f t="shared" si="269"/>
        <v>1</v>
      </c>
      <c r="K688" s="914">
        <f t="shared" si="269"/>
        <v>1</v>
      </c>
      <c r="L688" s="914">
        <f t="shared" si="269"/>
        <v>1</v>
      </c>
      <c r="M688" s="914">
        <f t="shared" si="269"/>
        <v>1</v>
      </c>
      <c r="N688" s="914">
        <f t="shared" si="269"/>
        <v>1</v>
      </c>
      <c r="O688" s="938"/>
      <c r="P688" s="13"/>
      <c r="Q688" s="19"/>
      <c r="R688" s="19"/>
      <c r="S688" s="19"/>
      <c r="T688" s="19"/>
      <c r="U688" s="19"/>
      <c r="V688" s="19"/>
      <c r="W688" s="19"/>
      <c r="X688" s="19"/>
      <c r="Y688" s="19"/>
      <c r="Z688" s="19"/>
      <c r="AA688" s="19"/>
      <c r="AB688" s="19"/>
      <c r="AC688" s="19"/>
      <c r="AD688" s="19"/>
    </row>
    <row r="689" spans="1:30" s="7" customFormat="1" ht="14.1" hidden="1" customHeight="1" outlineLevel="1" x14ac:dyDescent="0.2">
      <c r="A689" s="1395"/>
      <c r="B689" s="24"/>
      <c r="C689" s="284"/>
      <c r="D689" s="27"/>
      <c r="E689" s="940"/>
      <c r="F689" s="940"/>
      <c r="G689" s="940"/>
      <c r="H689" s="940"/>
      <c r="I689" s="940"/>
      <c r="J689" s="940"/>
      <c r="K689" s="940"/>
      <c r="L689" s="940"/>
      <c r="M689" s="940"/>
      <c r="N689" s="940"/>
      <c r="O689" s="289"/>
      <c r="P689" s="50"/>
      <c r="Q689" s="24"/>
      <c r="R689" s="24"/>
      <c r="S689" s="24"/>
      <c r="T689" s="24"/>
      <c r="U689" s="24"/>
      <c r="V689" s="24"/>
      <c r="W689" s="24"/>
      <c r="X689" s="24"/>
      <c r="Y689" s="24"/>
      <c r="Z689" s="24"/>
      <c r="AA689" s="24"/>
      <c r="AB689" s="24"/>
      <c r="AC689" s="24"/>
      <c r="AD689" s="24"/>
    </row>
    <row r="690" spans="1:30" s="7" customFormat="1" ht="14.1" hidden="1" customHeight="1" outlineLevel="1" x14ac:dyDescent="0.2">
      <c r="A690" s="1395"/>
      <c r="B690" s="24"/>
      <c r="C690" s="165"/>
      <c r="D690" s="57" t="s">
        <v>782</v>
      </c>
      <c r="E690" s="939">
        <v>1</v>
      </c>
      <c r="F690" s="939">
        <v>1</v>
      </c>
      <c r="G690" s="939">
        <v>1</v>
      </c>
      <c r="H690" s="939">
        <v>1</v>
      </c>
      <c r="I690" s="939">
        <v>1</v>
      </c>
      <c r="J690" s="939">
        <v>1</v>
      </c>
      <c r="K690" s="939">
        <v>1</v>
      </c>
      <c r="L690" s="939">
        <v>1</v>
      </c>
      <c r="M690" s="939">
        <v>1</v>
      </c>
      <c r="N690" s="939">
        <v>1</v>
      </c>
      <c r="O690" s="941"/>
      <c r="P690" s="50"/>
      <c r="Q690" s="24"/>
      <c r="R690" s="24"/>
      <c r="S690" s="24"/>
      <c r="T690" s="24"/>
      <c r="U690" s="24"/>
      <c r="V690" s="24"/>
      <c r="W690" s="24"/>
      <c r="X690" s="24"/>
      <c r="Y690" s="24"/>
      <c r="Z690" s="24"/>
      <c r="AA690" s="24"/>
      <c r="AB690" s="24"/>
      <c r="AC690" s="24"/>
      <c r="AD690" s="24"/>
    </row>
    <row r="691" spans="1:30" ht="14.1" hidden="1" customHeight="1" outlineLevel="1" x14ac:dyDescent="0.2">
      <c r="A691" s="1395"/>
      <c r="B691" s="19"/>
      <c r="C691" s="165"/>
      <c r="D691" s="54" t="s">
        <v>783</v>
      </c>
      <c r="E691" s="914">
        <f t="shared" ref="E691:N691" si="270">SUM(E690*LocEM)</f>
        <v>2</v>
      </c>
      <c r="F691" s="914">
        <f t="shared" si="270"/>
        <v>2</v>
      </c>
      <c r="G691" s="914">
        <f t="shared" si="270"/>
        <v>2</v>
      </c>
      <c r="H691" s="914">
        <f t="shared" si="270"/>
        <v>2</v>
      </c>
      <c r="I691" s="914">
        <f t="shared" si="270"/>
        <v>2</v>
      </c>
      <c r="J691" s="914">
        <f t="shared" si="270"/>
        <v>2</v>
      </c>
      <c r="K691" s="914">
        <f t="shared" si="270"/>
        <v>2</v>
      </c>
      <c r="L691" s="914">
        <f t="shared" si="270"/>
        <v>2</v>
      </c>
      <c r="M691" s="914">
        <f t="shared" si="270"/>
        <v>2</v>
      </c>
      <c r="N691" s="914">
        <f t="shared" si="270"/>
        <v>2</v>
      </c>
      <c r="O691" s="938"/>
      <c r="P691" s="13"/>
      <c r="Q691" s="19"/>
      <c r="R691" s="19"/>
      <c r="S691" s="19"/>
      <c r="T691" s="19"/>
      <c r="U691" s="19"/>
      <c r="V691" s="19"/>
      <c r="W691" s="19"/>
      <c r="X691" s="19"/>
      <c r="Y691" s="19"/>
      <c r="Z691" s="19"/>
      <c r="AA691" s="19"/>
      <c r="AB691" s="19"/>
      <c r="AC691" s="19"/>
      <c r="AD691" s="19"/>
    </row>
    <row r="692" spans="1:30" s="7" customFormat="1" ht="14.1" hidden="1" customHeight="1" outlineLevel="1" x14ac:dyDescent="0.2">
      <c r="A692" s="1395"/>
      <c r="B692" s="24"/>
      <c r="C692" s="284"/>
      <c r="D692" s="27"/>
      <c r="E692" s="940"/>
      <c r="F692" s="940"/>
      <c r="G692" s="940"/>
      <c r="H692" s="940"/>
      <c r="I692" s="940"/>
      <c r="J692" s="940"/>
      <c r="K692" s="940"/>
      <c r="L692" s="940"/>
      <c r="M692" s="940"/>
      <c r="N692" s="940"/>
      <c r="O692" s="289"/>
      <c r="P692" s="50"/>
      <c r="Q692" s="24"/>
      <c r="R692" s="24"/>
      <c r="S692" s="24"/>
      <c r="T692" s="24"/>
      <c r="U692" s="24"/>
      <c r="V692" s="24"/>
      <c r="W692" s="24"/>
      <c r="X692" s="24"/>
      <c r="Y692" s="24"/>
      <c r="Z692" s="24"/>
      <c r="AA692" s="24"/>
      <c r="AB692" s="24"/>
      <c r="AC692" s="24"/>
      <c r="AD692" s="24"/>
    </row>
    <row r="693" spans="1:30" s="7" customFormat="1" ht="14.1" hidden="1" customHeight="1" outlineLevel="1" x14ac:dyDescent="0.2">
      <c r="A693" s="1395"/>
      <c r="B693" s="24"/>
      <c r="C693" s="165"/>
      <c r="D693" s="57" t="s">
        <v>784</v>
      </c>
      <c r="E693" s="939">
        <v>1</v>
      </c>
      <c r="F693" s="939">
        <v>1</v>
      </c>
      <c r="G693" s="939">
        <v>1</v>
      </c>
      <c r="H693" s="939">
        <v>1</v>
      </c>
      <c r="I693" s="939">
        <v>1</v>
      </c>
      <c r="J693" s="939">
        <v>1</v>
      </c>
      <c r="K693" s="939">
        <v>1</v>
      </c>
      <c r="L693" s="939">
        <v>1</v>
      </c>
      <c r="M693" s="939">
        <v>1</v>
      </c>
      <c r="N693" s="939">
        <v>1</v>
      </c>
      <c r="O693" s="941"/>
      <c r="P693" s="50"/>
      <c r="Q693" s="24"/>
      <c r="R693" s="24"/>
      <c r="S693" s="24"/>
      <c r="T693" s="24"/>
      <c r="U693" s="24"/>
      <c r="V693" s="24"/>
      <c r="W693" s="24"/>
      <c r="X693" s="24"/>
      <c r="Y693" s="24"/>
      <c r="Z693" s="24"/>
      <c r="AA693" s="24"/>
      <c r="AB693" s="24"/>
      <c r="AC693" s="24"/>
      <c r="AD693" s="24"/>
    </row>
    <row r="694" spans="1:30" ht="14.1" hidden="1" customHeight="1" outlineLevel="1" x14ac:dyDescent="0.2">
      <c r="A694" s="1395"/>
      <c r="B694" s="19"/>
      <c r="C694" s="165"/>
      <c r="D694" s="54" t="s">
        <v>785</v>
      </c>
      <c r="E694" s="914">
        <f t="shared" ref="E694:N694" si="271">SUM(E693*LocCM)</f>
        <v>3</v>
      </c>
      <c r="F694" s="914">
        <f t="shared" si="271"/>
        <v>3</v>
      </c>
      <c r="G694" s="914">
        <f t="shared" si="271"/>
        <v>3</v>
      </c>
      <c r="H694" s="914">
        <f t="shared" si="271"/>
        <v>3</v>
      </c>
      <c r="I694" s="914">
        <f t="shared" si="271"/>
        <v>3</v>
      </c>
      <c r="J694" s="914">
        <f t="shared" si="271"/>
        <v>3</v>
      </c>
      <c r="K694" s="914">
        <f t="shared" si="271"/>
        <v>3</v>
      </c>
      <c r="L694" s="914">
        <f t="shared" si="271"/>
        <v>3</v>
      </c>
      <c r="M694" s="914">
        <f t="shared" si="271"/>
        <v>3</v>
      </c>
      <c r="N694" s="914">
        <f t="shared" si="271"/>
        <v>3</v>
      </c>
      <c r="O694" s="938"/>
      <c r="P694" s="13"/>
      <c r="Q694" s="19"/>
      <c r="R694" s="19"/>
      <c r="S694" s="19"/>
      <c r="T694" s="19"/>
      <c r="U694" s="19"/>
      <c r="V694" s="19"/>
      <c r="W694" s="19"/>
      <c r="X694" s="19"/>
      <c r="Y694" s="19"/>
      <c r="Z694" s="19"/>
      <c r="AA694" s="19"/>
      <c r="AB694" s="19"/>
      <c r="AC694" s="19"/>
      <c r="AD694" s="19"/>
    </row>
    <row r="695" spans="1:30" s="7" customFormat="1" ht="14.1" hidden="1" customHeight="1" outlineLevel="1" x14ac:dyDescent="0.2">
      <c r="A695" s="1395"/>
      <c r="B695" s="24"/>
      <c r="C695" s="284"/>
      <c r="D695" s="27"/>
      <c r="E695" s="940"/>
      <c r="F695" s="940"/>
      <c r="G695" s="940"/>
      <c r="H695" s="940"/>
      <c r="I695" s="940"/>
      <c r="J695" s="940"/>
      <c r="K695" s="940"/>
      <c r="L695" s="940"/>
      <c r="M695" s="940"/>
      <c r="N695" s="940"/>
      <c r="O695" s="289"/>
      <c r="P695" s="50"/>
      <c r="Q695" s="24"/>
      <c r="R695" s="24"/>
      <c r="S695" s="24"/>
      <c r="T695" s="24"/>
      <c r="U695" s="24"/>
      <c r="V695" s="24"/>
      <c r="W695" s="24"/>
      <c r="X695" s="24"/>
      <c r="Y695" s="24"/>
      <c r="Z695" s="24"/>
      <c r="AA695" s="24"/>
      <c r="AB695" s="24"/>
      <c r="AC695" s="24"/>
      <c r="AD695" s="24"/>
    </row>
    <row r="696" spans="1:30" s="7" customFormat="1" ht="14.1" hidden="1" customHeight="1" outlineLevel="1" x14ac:dyDescent="0.2">
      <c r="A696" s="1395"/>
      <c r="B696" s="24"/>
      <c r="C696" s="165"/>
      <c r="D696" s="57" t="s">
        <v>786</v>
      </c>
      <c r="E696" s="939">
        <v>1</v>
      </c>
      <c r="F696" s="939">
        <v>1</v>
      </c>
      <c r="G696" s="939">
        <v>1</v>
      </c>
      <c r="H696" s="939">
        <v>1</v>
      </c>
      <c r="I696" s="939">
        <v>1</v>
      </c>
      <c r="J696" s="939">
        <v>1</v>
      </c>
      <c r="K696" s="939">
        <v>1</v>
      </c>
      <c r="L696" s="939">
        <v>1</v>
      </c>
      <c r="M696" s="939">
        <v>1</v>
      </c>
      <c r="N696" s="939">
        <v>1</v>
      </c>
      <c r="O696" s="941"/>
      <c r="P696" s="50"/>
      <c r="Q696" s="24"/>
      <c r="R696" s="24"/>
      <c r="S696" s="24"/>
      <c r="T696" s="24"/>
      <c r="U696" s="24"/>
      <c r="V696" s="24"/>
      <c r="W696" s="24"/>
      <c r="X696" s="24"/>
      <c r="Y696" s="24"/>
      <c r="Z696" s="24"/>
      <c r="AA696" s="24"/>
      <c r="AB696" s="24"/>
      <c r="AC696" s="24"/>
      <c r="AD696" s="24"/>
    </row>
    <row r="697" spans="1:30" ht="14.1" hidden="1" customHeight="1" outlineLevel="1" x14ac:dyDescent="0.2">
      <c r="A697" s="1395"/>
      <c r="B697" s="19"/>
      <c r="C697" s="165"/>
      <c r="D697" s="54" t="s">
        <v>787</v>
      </c>
      <c r="E697" s="914">
        <f t="shared" ref="E697:N697" si="272">SUM(E696*LocSMCS)</f>
        <v>3</v>
      </c>
      <c r="F697" s="914">
        <f t="shared" si="272"/>
        <v>3</v>
      </c>
      <c r="G697" s="914">
        <f t="shared" si="272"/>
        <v>3</v>
      </c>
      <c r="H697" s="914">
        <f t="shared" si="272"/>
        <v>3</v>
      </c>
      <c r="I697" s="914">
        <f t="shared" si="272"/>
        <v>3</v>
      </c>
      <c r="J697" s="914">
        <f t="shared" si="272"/>
        <v>3</v>
      </c>
      <c r="K697" s="914">
        <f t="shared" si="272"/>
        <v>3</v>
      </c>
      <c r="L697" s="914">
        <f t="shared" si="272"/>
        <v>3</v>
      </c>
      <c r="M697" s="914">
        <f t="shared" si="272"/>
        <v>3</v>
      </c>
      <c r="N697" s="914">
        <f t="shared" si="272"/>
        <v>3</v>
      </c>
      <c r="O697" s="938"/>
      <c r="P697" s="13"/>
      <c r="Q697" s="19"/>
      <c r="R697" s="19"/>
      <c r="S697" s="19"/>
      <c r="T697" s="19"/>
      <c r="U697" s="19"/>
      <c r="V697" s="19"/>
      <c r="W697" s="19"/>
      <c r="X697" s="19"/>
      <c r="Y697" s="19"/>
      <c r="Z697" s="19"/>
      <c r="AA697" s="19"/>
      <c r="AB697" s="19"/>
      <c r="AC697" s="19"/>
      <c r="AD697" s="19"/>
    </row>
    <row r="698" spans="1:30" s="7" customFormat="1" ht="14.1" hidden="1" customHeight="1" outlineLevel="1" x14ac:dyDescent="0.2">
      <c r="A698" s="1395"/>
      <c r="B698" s="24"/>
      <c r="C698" s="284"/>
      <c r="D698" s="27"/>
      <c r="E698" s="940"/>
      <c r="F698" s="940"/>
      <c r="G698" s="940"/>
      <c r="H698" s="940"/>
      <c r="I698" s="940"/>
      <c r="J698" s="940"/>
      <c r="K698" s="940"/>
      <c r="L698" s="940"/>
      <c r="M698" s="940"/>
      <c r="N698" s="940"/>
      <c r="O698" s="289"/>
      <c r="P698" s="50"/>
      <c r="Q698" s="24"/>
      <c r="R698" s="24"/>
      <c r="S698" s="24"/>
      <c r="T698" s="24"/>
      <c r="U698" s="24"/>
      <c r="V698" s="24"/>
      <c r="W698" s="24"/>
      <c r="X698" s="24"/>
      <c r="Y698" s="24"/>
      <c r="Z698" s="24"/>
      <c r="AA698" s="24"/>
      <c r="AB698" s="24"/>
      <c r="AC698" s="24"/>
      <c r="AD698" s="24"/>
    </row>
    <row r="699" spans="1:30" s="7" customFormat="1" ht="14.1" hidden="1" customHeight="1" outlineLevel="1" x14ac:dyDescent="0.2">
      <c r="A699" s="1395"/>
      <c r="B699" s="24"/>
      <c r="C699" s="165"/>
      <c r="D699" s="57" t="s">
        <v>788</v>
      </c>
      <c r="E699" s="939"/>
      <c r="F699" s="939"/>
      <c r="G699" s="939"/>
      <c r="H699" s="939"/>
      <c r="I699" s="939"/>
      <c r="J699" s="939"/>
      <c r="K699" s="939"/>
      <c r="L699" s="939"/>
      <c r="M699" s="939"/>
      <c r="N699" s="939"/>
      <c r="O699" s="941"/>
      <c r="P699" s="50"/>
      <c r="Q699" s="24"/>
      <c r="R699" s="24"/>
      <c r="S699" s="24"/>
      <c r="T699" s="24"/>
      <c r="U699" s="24"/>
      <c r="V699" s="24"/>
      <c r="W699" s="24"/>
      <c r="X699" s="24"/>
      <c r="Y699" s="24"/>
      <c r="Z699" s="24"/>
      <c r="AA699" s="24"/>
      <c r="AB699" s="24"/>
      <c r="AC699" s="24"/>
      <c r="AD699" s="24"/>
    </row>
    <row r="700" spans="1:30" ht="14.1" hidden="1" customHeight="1" outlineLevel="1" x14ac:dyDescent="0.2">
      <c r="A700" s="1395"/>
      <c r="B700" s="19"/>
      <c r="C700" s="165"/>
      <c r="D700" s="54" t="s">
        <v>789</v>
      </c>
      <c r="E700" s="914">
        <f t="shared" ref="E700:N700" si="273">SUM(E699*LocO1)</f>
        <v>0</v>
      </c>
      <c r="F700" s="914">
        <f t="shared" si="273"/>
        <v>0</v>
      </c>
      <c r="G700" s="914">
        <f t="shared" si="273"/>
        <v>0</v>
      </c>
      <c r="H700" s="914">
        <f t="shared" si="273"/>
        <v>0</v>
      </c>
      <c r="I700" s="914">
        <f t="shared" si="273"/>
        <v>0</v>
      </c>
      <c r="J700" s="914">
        <f t="shared" si="273"/>
        <v>0</v>
      </c>
      <c r="K700" s="914">
        <f t="shared" si="273"/>
        <v>0</v>
      </c>
      <c r="L700" s="914">
        <f t="shared" si="273"/>
        <v>0</v>
      </c>
      <c r="M700" s="914">
        <f t="shared" si="273"/>
        <v>0</v>
      </c>
      <c r="N700" s="914">
        <f t="shared" si="273"/>
        <v>0</v>
      </c>
      <c r="O700" s="938"/>
      <c r="P700" s="13"/>
      <c r="Q700" s="19"/>
      <c r="R700" s="19"/>
      <c r="S700" s="19"/>
      <c r="T700" s="19"/>
      <c r="U700" s="19"/>
      <c r="V700" s="19"/>
      <c r="W700" s="19"/>
      <c r="X700" s="19"/>
      <c r="Y700" s="19"/>
      <c r="Z700" s="19"/>
      <c r="AA700" s="19"/>
      <c r="AB700" s="19"/>
      <c r="AC700" s="19"/>
      <c r="AD700" s="19"/>
    </row>
    <row r="701" spans="1:30" s="7" customFormat="1" ht="14.1" hidden="1" customHeight="1" outlineLevel="1" x14ac:dyDescent="0.2">
      <c r="A701" s="1395"/>
      <c r="B701" s="24"/>
      <c r="C701" s="284"/>
      <c r="D701" s="27"/>
      <c r="E701" s="940"/>
      <c r="F701" s="940"/>
      <c r="G701" s="940"/>
      <c r="H701" s="940"/>
      <c r="I701" s="940"/>
      <c r="J701" s="940"/>
      <c r="K701" s="940"/>
      <c r="L701" s="940"/>
      <c r="M701" s="940"/>
      <c r="N701" s="940"/>
      <c r="O701" s="289"/>
      <c r="P701" s="50"/>
      <c r="Q701" s="24"/>
      <c r="R701" s="24"/>
      <c r="S701" s="24"/>
      <c r="T701" s="24"/>
      <c r="U701" s="24"/>
      <c r="V701" s="24"/>
      <c r="W701" s="24"/>
      <c r="X701" s="24"/>
      <c r="Y701" s="24"/>
      <c r="Z701" s="24"/>
      <c r="AA701" s="24"/>
      <c r="AB701" s="24"/>
      <c r="AC701" s="24"/>
      <c r="AD701" s="24"/>
    </row>
    <row r="702" spans="1:30" s="7" customFormat="1" ht="14.1" hidden="1" customHeight="1" outlineLevel="1" x14ac:dyDescent="0.2">
      <c r="A702" s="1395"/>
      <c r="B702" s="24"/>
      <c r="C702" s="165"/>
      <c r="D702" s="57" t="s">
        <v>790</v>
      </c>
      <c r="E702" s="939"/>
      <c r="F702" s="939"/>
      <c r="G702" s="939"/>
      <c r="H702" s="939"/>
      <c r="I702" s="939"/>
      <c r="J702" s="939"/>
      <c r="K702" s="939"/>
      <c r="L702" s="939"/>
      <c r="M702" s="939"/>
      <c r="N702" s="939"/>
      <c r="O702" s="941"/>
      <c r="P702" s="50"/>
      <c r="Q702" s="24"/>
      <c r="R702" s="24"/>
      <c r="S702" s="24"/>
      <c r="T702" s="24"/>
      <c r="U702" s="24"/>
      <c r="V702" s="24"/>
      <c r="W702" s="24"/>
      <c r="X702" s="24"/>
      <c r="Y702" s="24"/>
      <c r="Z702" s="24"/>
      <c r="AA702" s="24"/>
      <c r="AB702" s="24"/>
      <c r="AC702" s="24"/>
      <c r="AD702" s="24"/>
    </row>
    <row r="703" spans="1:30" ht="14.1" hidden="1" customHeight="1" outlineLevel="1" x14ac:dyDescent="0.2">
      <c r="A703" s="1395"/>
      <c r="B703" s="19"/>
      <c r="C703" s="165"/>
      <c r="D703" s="54" t="s">
        <v>791</v>
      </c>
      <c r="E703" s="914">
        <f t="shared" ref="E703:N703" si="274">SUM(E702*LocO2)</f>
        <v>0</v>
      </c>
      <c r="F703" s="914">
        <f t="shared" si="274"/>
        <v>0</v>
      </c>
      <c r="G703" s="914">
        <f t="shared" si="274"/>
        <v>0</v>
      </c>
      <c r="H703" s="914">
        <f t="shared" si="274"/>
        <v>0</v>
      </c>
      <c r="I703" s="914">
        <f t="shared" si="274"/>
        <v>0</v>
      </c>
      <c r="J703" s="914">
        <f t="shared" si="274"/>
        <v>0</v>
      </c>
      <c r="K703" s="914">
        <f t="shared" si="274"/>
        <v>0</v>
      </c>
      <c r="L703" s="914">
        <f t="shared" si="274"/>
        <v>0</v>
      </c>
      <c r="M703" s="914">
        <f t="shared" si="274"/>
        <v>0</v>
      </c>
      <c r="N703" s="914">
        <f t="shared" si="274"/>
        <v>0</v>
      </c>
      <c r="O703" s="938"/>
      <c r="P703" s="13"/>
      <c r="Q703" s="19"/>
      <c r="R703" s="19"/>
      <c r="S703" s="19"/>
      <c r="T703" s="19"/>
      <c r="U703" s="19"/>
      <c r="V703" s="19"/>
      <c r="W703" s="19"/>
      <c r="X703" s="19"/>
      <c r="Y703" s="19"/>
      <c r="Z703" s="19"/>
      <c r="AA703" s="19"/>
      <c r="AB703" s="19"/>
      <c r="AC703" s="19"/>
      <c r="AD703" s="19"/>
    </row>
    <row r="704" spans="1:30" ht="14.1" hidden="1" customHeight="1" outlineLevel="1" x14ac:dyDescent="0.2">
      <c r="A704" s="1395"/>
      <c r="B704" s="19"/>
      <c r="C704" s="290"/>
      <c r="D704" s="38"/>
      <c r="E704" s="38"/>
      <c r="F704" s="38"/>
      <c r="G704" s="38"/>
      <c r="H704" s="13"/>
      <c r="I704" s="13"/>
      <c r="J704" s="13"/>
      <c r="K704" s="13"/>
      <c r="L704" s="13"/>
      <c r="M704" s="13"/>
      <c r="N704" s="13"/>
      <c r="O704" s="897"/>
      <c r="P704" s="13"/>
      <c r="Q704" s="19"/>
      <c r="R704" s="19"/>
      <c r="S704" s="19"/>
      <c r="T704" s="19"/>
      <c r="U704" s="19"/>
      <c r="V704" s="19"/>
      <c r="W704" s="19"/>
      <c r="X704" s="19"/>
      <c r="Y704" s="19"/>
      <c r="Z704" s="19"/>
      <c r="AA704" s="19"/>
      <c r="AB704" s="19"/>
      <c r="AC704" s="19"/>
      <c r="AD704" s="19"/>
    </row>
    <row r="705" spans="1:30" ht="14.1" hidden="1" customHeight="1" outlineLevel="1" x14ac:dyDescent="0.2">
      <c r="A705" s="1396"/>
      <c r="B705" s="19"/>
      <c r="C705" s="270"/>
      <c r="D705" s="833" t="s">
        <v>142</v>
      </c>
      <c r="E705" s="292">
        <f t="shared" ref="E705:N705" si="275">SUM(E703+E700+E697+E694+E691+E688+E685+E682+E679+E673+E670+E667)*pSystemsCompactusArea_Each</f>
        <v>720</v>
      </c>
      <c r="F705" s="292">
        <f t="shared" si="275"/>
        <v>760</v>
      </c>
      <c r="G705" s="292">
        <f t="shared" si="275"/>
        <v>760</v>
      </c>
      <c r="H705" s="292">
        <f t="shared" si="275"/>
        <v>760</v>
      </c>
      <c r="I705" s="292">
        <f t="shared" si="275"/>
        <v>760</v>
      </c>
      <c r="J705" s="292">
        <f t="shared" si="275"/>
        <v>760</v>
      </c>
      <c r="K705" s="292">
        <f t="shared" si="275"/>
        <v>760</v>
      </c>
      <c r="L705" s="292">
        <f t="shared" si="275"/>
        <v>760</v>
      </c>
      <c r="M705" s="292">
        <f t="shared" si="275"/>
        <v>760</v>
      </c>
      <c r="N705" s="292">
        <f t="shared" si="275"/>
        <v>760</v>
      </c>
      <c r="O705" s="257" t="s">
        <v>768</v>
      </c>
      <c r="P705" s="13"/>
      <c r="Q705" s="19"/>
      <c r="R705" s="19"/>
      <c r="S705" s="19"/>
      <c r="T705" s="19"/>
      <c r="U705" s="19"/>
      <c r="V705" s="19"/>
      <c r="W705" s="19"/>
      <c r="X705" s="19"/>
      <c r="Y705" s="19"/>
      <c r="Z705" s="19"/>
      <c r="AA705" s="19"/>
      <c r="AB705" s="19"/>
      <c r="AC705" s="19"/>
      <c r="AD705" s="19"/>
    </row>
    <row r="706" spans="1:30" ht="14.1" hidden="1" customHeight="1" outlineLevel="1" thickBot="1" x14ac:dyDescent="0.25">
      <c r="A706" s="114"/>
      <c r="B706" s="50"/>
      <c r="C706" s="298"/>
      <c r="D706" s="511"/>
      <c r="E706" s="512"/>
      <c r="F706" s="512"/>
      <c r="G706" s="512"/>
      <c r="H706" s="512"/>
      <c r="I706" s="512"/>
      <c r="J706" s="512"/>
      <c r="K706" s="512"/>
      <c r="L706" s="512"/>
      <c r="M706" s="512"/>
      <c r="N706" s="512"/>
      <c r="O706" s="810"/>
      <c r="P706" s="13"/>
      <c r="Q706" s="19"/>
      <c r="R706" s="19"/>
      <c r="S706" s="19"/>
      <c r="T706" s="19"/>
      <c r="U706" s="19"/>
      <c r="V706" s="19"/>
      <c r="W706" s="19"/>
      <c r="X706" s="19"/>
      <c r="Y706" s="19"/>
      <c r="Z706" s="19"/>
      <c r="AA706" s="19"/>
      <c r="AB706" s="19"/>
      <c r="AC706" s="19"/>
      <c r="AD706" s="19"/>
    </row>
    <row r="707" spans="1:30" s="7" customFormat="1" ht="14.1" hidden="1" customHeight="1" outlineLevel="1" thickBot="1" x14ac:dyDescent="0.25">
      <c r="A707" s="114"/>
      <c r="B707" s="50"/>
      <c r="C707" s="30"/>
      <c r="D707" s="50"/>
      <c r="E707" s="50"/>
      <c r="F707" s="50"/>
      <c r="G707" s="50"/>
      <c r="H707" s="50"/>
      <c r="I707" s="50"/>
      <c r="J707" s="50"/>
      <c r="K707" s="50"/>
      <c r="L707" s="50"/>
      <c r="M707" s="50"/>
      <c r="N707" s="50"/>
      <c r="P707" s="50"/>
      <c r="Q707" s="24"/>
      <c r="R707" s="24"/>
      <c r="S707" s="24"/>
      <c r="T707" s="24"/>
      <c r="U707" s="24"/>
      <c r="V707" s="24"/>
      <c r="W707" s="24"/>
      <c r="X707" s="24"/>
      <c r="Y707" s="24"/>
      <c r="Z707" s="24"/>
      <c r="AA707" s="24"/>
      <c r="AB707" s="24"/>
      <c r="AC707" s="24"/>
      <c r="AD707" s="24"/>
    </row>
    <row r="708" spans="1:30" hidden="1" outlineLevel="1" x14ac:dyDescent="0.2">
      <c r="A708" s="990"/>
      <c r="B708" s="13"/>
      <c r="C708" s="920" t="str">
        <f>Scenario2&amp;" Compactus Unit Area Required"</f>
        <v>hSystems (Hybrid) Compactus Unit Area Required</v>
      </c>
      <c r="D708" s="293"/>
      <c r="E708" s="239"/>
      <c r="F708" s="239"/>
      <c r="G708" s="239"/>
      <c r="H708" s="239"/>
      <c r="I708" s="239"/>
      <c r="J708" s="239"/>
      <c r="K708" s="239"/>
      <c r="L708" s="239"/>
      <c r="M708" s="239"/>
      <c r="N708" s="239"/>
      <c r="O708" s="245"/>
      <c r="P708" s="13"/>
      <c r="Q708" s="19"/>
      <c r="R708" s="19"/>
      <c r="S708" s="19"/>
      <c r="T708" s="19"/>
      <c r="U708" s="19"/>
      <c r="V708" s="19"/>
      <c r="W708" s="19"/>
      <c r="X708" s="19"/>
      <c r="Y708" s="19"/>
      <c r="Z708" s="19"/>
      <c r="AA708" s="19"/>
      <c r="AB708" s="19"/>
      <c r="AC708" s="19"/>
      <c r="AD708" s="19"/>
    </row>
    <row r="709" spans="1:30" ht="15.6" hidden="1" customHeight="1" outlineLevel="1" x14ac:dyDescent="0.2">
      <c r="A709" s="990"/>
      <c r="B709" s="13"/>
      <c r="C709" s="946"/>
      <c r="D709" s="13"/>
      <c r="E709" s="13"/>
      <c r="F709" s="13"/>
      <c r="G709" s="13"/>
      <c r="H709" s="13"/>
      <c r="I709" s="13"/>
      <c r="J709" s="13"/>
      <c r="K709" s="13"/>
      <c r="L709" s="13"/>
      <c r="M709" s="13"/>
      <c r="N709" s="13"/>
      <c r="O709" s="897"/>
      <c r="P709" s="13"/>
      <c r="Q709" s="19"/>
      <c r="R709" s="19"/>
      <c r="S709" s="19"/>
      <c r="T709" s="19"/>
      <c r="U709" s="19"/>
      <c r="V709" s="19"/>
      <c r="W709" s="19"/>
      <c r="X709" s="19"/>
      <c r="Y709" s="19"/>
      <c r="Z709" s="19"/>
      <c r="AA709" s="19"/>
      <c r="AB709" s="19"/>
      <c r="AC709" s="19"/>
      <c r="AD709" s="19"/>
    </row>
    <row r="710" spans="1:30" ht="14.1" hidden="1" customHeight="1" outlineLevel="1" x14ac:dyDescent="0.2">
      <c r="A710" s="990"/>
      <c r="B710" s="13"/>
      <c r="C710" s="165"/>
      <c r="D710" s="37" t="str">
        <f>"Compactus Area Required "&amp;(OfficeLeaseUnit)</f>
        <v>Compactus Area Required m2</v>
      </c>
      <c r="E710" s="519">
        <v>20</v>
      </c>
      <c r="F710" s="936">
        <v>20</v>
      </c>
      <c r="G710" s="937">
        <v>20</v>
      </c>
      <c r="H710" s="937">
        <v>20</v>
      </c>
      <c r="I710" s="937">
        <v>20</v>
      </c>
      <c r="J710" s="937">
        <v>20</v>
      </c>
      <c r="K710" s="937">
        <v>20</v>
      </c>
      <c r="L710" s="937">
        <v>20</v>
      </c>
      <c r="M710" s="937">
        <v>20</v>
      </c>
      <c r="N710" s="937">
        <v>20</v>
      </c>
      <c r="O710" s="257" t="s">
        <v>770</v>
      </c>
      <c r="P710" s="13"/>
      <c r="Q710" s="19"/>
      <c r="R710" s="19"/>
      <c r="S710" s="19"/>
      <c r="T710" s="19"/>
      <c r="U710" s="19"/>
      <c r="V710" s="19"/>
      <c r="W710" s="19"/>
      <c r="X710" s="19"/>
      <c r="Y710" s="19"/>
      <c r="Z710" s="19"/>
      <c r="AA710" s="19"/>
      <c r="AB710" s="19"/>
      <c r="AC710" s="19"/>
      <c r="AD710" s="19"/>
    </row>
    <row r="711" spans="1:30" ht="14.1" hidden="1" customHeight="1" outlineLevel="1" x14ac:dyDescent="0.2">
      <c r="A711" s="990"/>
      <c r="B711" s="19"/>
      <c r="C711" s="165"/>
      <c r="D711" s="833"/>
      <c r="E711" s="917"/>
      <c r="F711" s="917"/>
      <c r="G711" s="917"/>
      <c r="H711" s="13"/>
      <c r="I711" s="13"/>
      <c r="J711" s="13"/>
      <c r="K711" s="13"/>
      <c r="L711" s="13"/>
      <c r="M711" s="13"/>
      <c r="N711" s="13"/>
      <c r="O711" s="938"/>
      <c r="P711" s="13"/>
      <c r="Q711" s="19"/>
      <c r="R711" s="19"/>
      <c r="S711" s="19"/>
      <c r="T711" s="19"/>
      <c r="U711" s="19"/>
      <c r="V711" s="19"/>
      <c r="W711" s="19"/>
      <c r="X711" s="19"/>
      <c r="Y711" s="19"/>
      <c r="Z711" s="19"/>
      <c r="AA711" s="19"/>
      <c r="AB711" s="19"/>
      <c r="AC711" s="19"/>
      <c r="AD711" s="19"/>
    </row>
    <row r="712" spans="1:30" ht="14.1" hidden="1" customHeight="1" outlineLevel="1" x14ac:dyDescent="0.2">
      <c r="A712" s="990"/>
      <c r="B712" s="19"/>
      <c r="C712" s="165"/>
      <c r="D712" s="57" t="s">
        <v>771</v>
      </c>
      <c r="E712" s="939">
        <v>0</v>
      </c>
      <c r="F712" s="939">
        <v>0</v>
      </c>
      <c r="G712" s="939">
        <v>0</v>
      </c>
      <c r="H712" s="939">
        <v>0</v>
      </c>
      <c r="I712" s="939">
        <v>0</v>
      </c>
      <c r="J712" s="939">
        <v>0</v>
      </c>
      <c r="K712" s="939">
        <v>0</v>
      </c>
      <c r="L712" s="939">
        <v>0</v>
      </c>
      <c r="M712" s="939">
        <v>0</v>
      </c>
      <c r="N712" s="939">
        <v>0</v>
      </c>
      <c r="O712" s="938"/>
      <c r="P712" s="13"/>
      <c r="Q712" s="19"/>
      <c r="R712" s="19"/>
      <c r="S712" s="19"/>
      <c r="T712" s="19"/>
      <c r="U712" s="19"/>
      <c r="V712" s="19"/>
      <c r="W712" s="19"/>
      <c r="X712" s="19"/>
      <c r="Y712" s="19"/>
      <c r="Z712" s="19"/>
      <c r="AA712" s="19"/>
      <c r="AB712" s="19"/>
      <c r="AC712" s="19"/>
      <c r="AD712" s="19"/>
    </row>
    <row r="713" spans="1:30" ht="14.1" hidden="1" customHeight="1" outlineLevel="1" x14ac:dyDescent="0.2">
      <c r="A713" s="990"/>
      <c r="B713" s="19"/>
      <c r="C713" s="165"/>
      <c r="D713" s="54" t="s">
        <v>772</v>
      </c>
      <c r="E713" s="914">
        <f t="shared" ref="E713:N713" si="276">SUM(E712*LocTransit)</f>
        <v>0</v>
      </c>
      <c r="F713" s="914">
        <f t="shared" si="276"/>
        <v>0</v>
      </c>
      <c r="G713" s="914">
        <f t="shared" si="276"/>
        <v>0</v>
      </c>
      <c r="H713" s="914">
        <f t="shared" si="276"/>
        <v>0</v>
      </c>
      <c r="I713" s="914">
        <f t="shared" si="276"/>
        <v>0</v>
      </c>
      <c r="J713" s="914">
        <f t="shared" si="276"/>
        <v>0</v>
      </c>
      <c r="K713" s="914">
        <f t="shared" si="276"/>
        <v>0</v>
      </c>
      <c r="L713" s="914">
        <f t="shared" si="276"/>
        <v>0</v>
      </c>
      <c r="M713" s="914">
        <f t="shared" si="276"/>
        <v>0</v>
      </c>
      <c r="N713" s="914">
        <f t="shared" si="276"/>
        <v>0</v>
      </c>
      <c r="O713" s="938"/>
      <c r="P713" s="13"/>
      <c r="Q713" s="19"/>
      <c r="R713" s="19"/>
      <c r="S713" s="19"/>
      <c r="T713" s="19"/>
      <c r="U713" s="19"/>
      <c r="V713" s="19"/>
      <c r="W713" s="19"/>
      <c r="X713" s="19"/>
      <c r="Y713" s="19"/>
      <c r="Z713" s="19"/>
      <c r="AA713" s="19"/>
      <c r="AB713" s="19"/>
      <c r="AC713" s="19"/>
      <c r="AD713" s="19"/>
    </row>
    <row r="714" spans="1:30" ht="14.1" hidden="1" customHeight="1" outlineLevel="1" x14ac:dyDescent="0.2">
      <c r="A714" s="990"/>
      <c r="B714" s="19"/>
      <c r="C714" s="165"/>
      <c r="D714" s="54"/>
      <c r="E714" s="38"/>
      <c r="F714" s="38"/>
      <c r="G714" s="38"/>
      <c r="H714" s="38"/>
      <c r="I714" s="38"/>
      <c r="J714" s="38"/>
      <c r="K714" s="38"/>
      <c r="L714" s="38"/>
      <c r="M714" s="38"/>
      <c r="N714" s="38"/>
      <c r="O714" s="938"/>
      <c r="P714" s="13"/>
      <c r="Q714" s="19"/>
      <c r="R714" s="19"/>
      <c r="S714" s="19"/>
      <c r="T714" s="19"/>
      <c r="U714" s="19"/>
      <c r="V714" s="19"/>
      <c r="W714" s="19"/>
      <c r="X714" s="19"/>
      <c r="Y714" s="19"/>
      <c r="Z714" s="19"/>
      <c r="AA714" s="19"/>
      <c r="AB714" s="19"/>
      <c r="AC714" s="19"/>
      <c r="AD714" s="19"/>
    </row>
    <row r="715" spans="1:30" ht="14.1" hidden="1" customHeight="1" outlineLevel="1" x14ac:dyDescent="0.2">
      <c r="A715" s="990"/>
      <c r="B715" s="19"/>
      <c r="C715" s="165"/>
      <c r="D715" s="57" t="s">
        <v>773</v>
      </c>
      <c r="E715" s="939">
        <v>1</v>
      </c>
      <c r="F715" s="939">
        <v>1</v>
      </c>
      <c r="G715" s="939">
        <v>1</v>
      </c>
      <c r="H715" s="939">
        <v>1</v>
      </c>
      <c r="I715" s="939">
        <v>1</v>
      </c>
      <c r="J715" s="939">
        <v>1</v>
      </c>
      <c r="K715" s="939">
        <v>1</v>
      </c>
      <c r="L715" s="939">
        <v>1</v>
      </c>
      <c r="M715" s="939">
        <v>1</v>
      </c>
      <c r="N715" s="939">
        <v>1</v>
      </c>
      <c r="O715" s="938"/>
      <c r="P715" s="13"/>
      <c r="Q715" s="19"/>
      <c r="R715" s="19"/>
      <c r="S715" s="19"/>
      <c r="T715" s="19"/>
      <c r="U715" s="19"/>
      <c r="V715" s="19"/>
      <c r="W715" s="19"/>
      <c r="X715" s="19"/>
      <c r="Y715" s="19"/>
      <c r="Z715" s="19"/>
      <c r="AA715" s="19"/>
      <c r="AB715" s="19"/>
      <c r="AC715" s="19"/>
      <c r="AD715" s="19"/>
    </row>
    <row r="716" spans="1:30" ht="14.1" hidden="1" customHeight="1" outlineLevel="1" x14ac:dyDescent="0.2">
      <c r="A716" s="990"/>
      <c r="B716" s="19"/>
      <c r="C716" s="165"/>
      <c r="D716" s="54" t="s">
        <v>774</v>
      </c>
      <c r="E716" s="914">
        <f t="shared" ref="E716:N716" si="277">SUM(E715*LocLM)</f>
        <v>8</v>
      </c>
      <c r="F716" s="914">
        <f t="shared" si="277"/>
        <v>9</v>
      </c>
      <c r="G716" s="914">
        <f t="shared" si="277"/>
        <v>9</v>
      </c>
      <c r="H716" s="914">
        <f t="shared" si="277"/>
        <v>9</v>
      </c>
      <c r="I716" s="914">
        <f t="shared" si="277"/>
        <v>9</v>
      </c>
      <c r="J716" s="914">
        <f t="shared" si="277"/>
        <v>9</v>
      </c>
      <c r="K716" s="914">
        <f t="shared" si="277"/>
        <v>9</v>
      </c>
      <c r="L716" s="914">
        <f t="shared" si="277"/>
        <v>9</v>
      </c>
      <c r="M716" s="914">
        <f t="shared" si="277"/>
        <v>9</v>
      </c>
      <c r="N716" s="914">
        <f t="shared" si="277"/>
        <v>9</v>
      </c>
      <c r="O716" s="938"/>
      <c r="P716" s="13"/>
      <c r="Q716" s="19"/>
      <c r="R716" s="19"/>
      <c r="S716" s="19"/>
      <c r="T716" s="19"/>
      <c r="U716" s="19"/>
      <c r="V716" s="19"/>
      <c r="W716" s="19"/>
      <c r="X716" s="19"/>
      <c r="Y716" s="19"/>
      <c r="Z716" s="19"/>
      <c r="AA716" s="19"/>
      <c r="AB716" s="19"/>
      <c r="AC716" s="19"/>
      <c r="AD716" s="19"/>
    </row>
    <row r="717" spans="1:30" ht="14.1" hidden="1" customHeight="1" outlineLevel="1" x14ac:dyDescent="0.2">
      <c r="A717" s="990"/>
      <c r="B717" s="19"/>
      <c r="C717" s="165"/>
      <c r="D717" s="54"/>
      <c r="E717" s="38"/>
      <c r="F717" s="38"/>
      <c r="G717" s="38"/>
      <c r="H717" s="38"/>
      <c r="I717" s="38"/>
      <c r="J717" s="38"/>
      <c r="K717" s="38"/>
      <c r="L717" s="38"/>
      <c r="M717" s="38"/>
      <c r="N717" s="38"/>
      <c r="O717" s="938"/>
      <c r="P717" s="13"/>
      <c r="Q717" s="19"/>
      <c r="R717" s="19"/>
      <c r="S717" s="19"/>
      <c r="T717" s="19"/>
      <c r="U717" s="19"/>
      <c r="V717" s="19"/>
      <c r="W717" s="19"/>
      <c r="X717" s="19"/>
      <c r="Y717" s="19"/>
      <c r="Z717" s="19"/>
      <c r="AA717" s="19"/>
      <c r="AB717" s="19"/>
      <c r="AC717" s="19"/>
      <c r="AD717" s="19"/>
    </row>
    <row r="718" spans="1:30" ht="14.1" hidden="1" customHeight="1" outlineLevel="1" x14ac:dyDescent="0.2">
      <c r="A718" s="990"/>
      <c r="B718" s="19"/>
      <c r="C718" s="165"/>
      <c r="D718" s="57" t="s">
        <v>775</v>
      </c>
      <c r="E718" s="939">
        <v>1</v>
      </c>
      <c r="F718" s="939">
        <v>1</v>
      </c>
      <c r="G718" s="939">
        <v>1</v>
      </c>
      <c r="H718" s="939">
        <v>1</v>
      </c>
      <c r="I718" s="939">
        <v>1</v>
      </c>
      <c r="J718" s="939">
        <v>1</v>
      </c>
      <c r="K718" s="939">
        <v>1</v>
      </c>
      <c r="L718" s="939">
        <v>1</v>
      </c>
      <c r="M718" s="939">
        <v>1</v>
      </c>
      <c r="N718" s="939">
        <v>1</v>
      </c>
      <c r="O718" s="938"/>
      <c r="P718" s="13"/>
      <c r="Q718" s="19"/>
      <c r="R718" s="19"/>
      <c r="S718" s="19"/>
      <c r="T718" s="19"/>
      <c r="U718" s="19"/>
      <c r="V718" s="19"/>
      <c r="W718" s="19"/>
      <c r="X718" s="19"/>
      <c r="Y718" s="19"/>
      <c r="Z718" s="19"/>
      <c r="AA718" s="19"/>
      <c r="AB718" s="19"/>
      <c r="AC718" s="19"/>
      <c r="AD718" s="19"/>
    </row>
    <row r="719" spans="1:30" ht="14.1" hidden="1" customHeight="1" outlineLevel="1" x14ac:dyDescent="0.2">
      <c r="A719" s="990"/>
      <c r="B719" s="19"/>
      <c r="C719" s="165"/>
      <c r="D719" s="54" t="s">
        <v>776</v>
      </c>
      <c r="E719" s="914">
        <f t="shared" ref="E719:N719" si="278">SUM(E718*LocHM)</f>
        <v>1</v>
      </c>
      <c r="F719" s="914">
        <f t="shared" si="278"/>
        <v>1</v>
      </c>
      <c r="G719" s="914">
        <f t="shared" si="278"/>
        <v>1</v>
      </c>
      <c r="H719" s="914">
        <f t="shared" si="278"/>
        <v>1</v>
      </c>
      <c r="I719" s="914">
        <f t="shared" si="278"/>
        <v>1</v>
      </c>
      <c r="J719" s="914">
        <f t="shared" si="278"/>
        <v>1</v>
      </c>
      <c r="K719" s="914">
        <f t="shared" si="278"/>
        <v>1</v>
      </c>
      <c r="L719" s="914">
        <f t="shared" si="278"/>
        <v>1</v>
      </c>
      <c r="M719" s="914">
        <f t="shared" si="278"/>
        <v>1</v>
      </c>
      <c r="N719" s="914">
        <f t="shared" si="278"/>
        <v>1</v>
      </c>
      <c r="O719" s="938"/>
      <c r="P719" s="13"/>
      <c r="Q719" s="19"/>
      <c r="R719" s="19"/>
      <c r="S719" s="19"/>
      <c r="T719" s="19"/>
      <c r="U719" s="19"/>
      <c r="V719" s="19"/>
      <c r="W719" s="19"/>
      <c r="X719" s="19"/>
      <c r="Y719" s="19"/>
      <c r="Z719" s="19"/>
      <c r="AA719" s="19"/>
      <c r="AB719" s="19"/>
      <c r="AC719" s="19"/>
      <c r="AD719" s="19"/>
    </row>
    <row r="720" spans="1:30" ht="14.1" hidden="1" customHeight="1" outlineLevel="1" x14ac:dyDescent="0.2">
      <c r="A720" s="990"/>
      <c r="B720" s="19"/>
      <c r="C720" s="165"/>
      <c r="D720" s="54"/>
      <c r="E720" s="38"/>
      <c r="F720" s="38"/>
      <c r="G720" s="38"/>
      <c r="H720" s="38"/>
      <c r="I720" s="38"/>
      <c r="J720" s="38"/>
      <c r="K720" s="38"/>
      <c r="L720" s="38"/>
      <c r="M720" s="38"/>
      <c r="N720" s="38"/>
      <c r="O720" s="938"/>
      <c r="P720" s="13"/>
      <c r="Q720" s="19"/>
      <c r="R720" s="19"/>
      <c r="S720" s="19"/>
      <c r="T720" s="19"/>
      <c r="U720" s="19"/>
      <c r="V720" s="19"/>
      <c r="W720" s="19"/>
      <c r="X720" s="19"/>
      <c r="Y720" s="19"/>
      <c r="Z720" s="19"/>
      <c r="AA720" s="19"/>
      <c r="AB720" s="19"/>
      <c r="AC720" s="19"/>
      <c r="AD720" s="19"/>
    </row>
    <row r="721" spans="1:30" ht="14.1" hidden="1" customHeight="1" outlineLevel="1" x14ac:dyDescent="0.2">
      <c r="A721" s="990"/>
      <c r="B721" s="19"/>
      <c r="C721" s="165"/>
      <c r="D721" s="57" t="s">
        <v>999</v>
      </c>
      <c r="E721" s="939">
        <v>1</v>
      </c>
      <c r="F721" s="939">
        <v>1</v>
      </c>
      <c r="G721" s="939">
        <v>1</v>
      </c>
      <c r="H721" s="939">
        <v>1</v>
      </c>
      <c r="I721" s="939">
        <v>1</v>
      </c>
      <c r="J721" s="939">
        <v>1</v>
      </c>
      <c r="K721" s="939">
        <v>1</v>
      </c>
      <c r="L721" s="939">
        <v>1</v>
      </c>
      <c r="M721" s="939">
        <v>1</v>
      </c>
      <c r="N721" s="939">
        <v>1</v>
      </c>
      <c r="O721" s="271"/>
      <c r="P721" s="13"/>
      <c r="Q721" s="19"/>
      <c r="R721" s="19"/>
      <c r="S721" s="19"/>
      <c r="T721" s="19"/>
      <c r="U721" s="19"/>
      <c r="V721" s="19"/>
      <c r="W721" s="19"/>
      <c r="X721" s="19"/>
      <c r="Y721" s="19"/>
      <c r="Z721" s="19"/>
      <c r="AA721" s="19"/>
      <c r="AB721" s="19"/>
      <c r="AC721" s="19"/>
      <c r="AD721" s="19"/>
    </row>
    <row r="722" spans="1:30" ht="14.1" hidden="1" customHeight="1" outlineLevel="1" x14ac:dyDescent="0.2">
      <c r="A722" s="990"/>
      <c r="B722" s="19"/>
      <c r="C722" s="165"/>
      <c r="D722" s="54" t="s">
        <v>1000</v>
      </c>
      <c r="E722" s="914">
        <f t="shared" ref="E722:N722" si="279">SUM(E721*LocENG)</f>
        <v>1</v>
      </c>
      <c r="F722" s="914">
        <f t="shared" si="279"/>
        <v>1</v>
      </c>
      <c r="G722" s="914">
        <f t="shared" si="279"/>
        <v>1</v>
      </c>
      <c r="H722" s="914">
        <f t="shared" si="279"/>
        <v>1</v>
      </c>
      <c r="I722" s="914">
        <f t="shared" si="279"/>
        <v>1</v>
      </c>
      <c r="J722" s="914">
        <f t="shared" si="279"/>
        <v>1</v>
      </c>
      <c r="K722" s="914">
        <f t="shared" si="279"/>
        <v>1</v>
      </c>
      <c r="L722" s="914">
        <f t="shared" si="279"/>
        <v>1</v>
      </c>
      <c r="M722" s="914">
        <f t="shared" si="279"/>
        <v>1</v>
      </c>
      <c r="N722" s="914">
        <f t="shared" si="279"/>
        <v>1</v>
      </c>
      <c r="O722" s="271"/>
      <c r="P722" s="13"/>
      <c r="Q722" s="19"/>
      <c r="R722" s="19"/>
      <c r="S722" s="19"/>
      <c r="T722" s="19"/>
      <c r="U722" s="19"/>
      <c r="V722" s="19"/>
      <c r="W722" s="19"/>
      <c r="X722" s="19"/>
      <c r="Y722" s="19"/>
      <c r="Z722" s="19"/>
      <c r="AA722" s="19"/>
      <c r="AB722" s="19"/>
      <c r="AC722" s="19"/>
      <c r="AD722" s="19"/>
    </row>
    <row r="723" spans="1:30" ht="14.1" hidden="1" customHeight="1" outlineLevel="1" x14ac:dyDescent="0.2">
      <c r="A723" s="990"/>
      <c r="B723" s="19"/>
      <c r="C723" s="165"/>
      <c r="D723" s="54"/>
      <c r="E723" s="38"/>
      <c r="F723" s="38"/>
      <c r="G723" s="38"/>
      <c r="H723" s="38"/>
      <c r="I723" s="38"/>
      <c r="J723" s="38"/>
      <c r="K723" s="38"/>
      <c r="L723" s="38"/>
      <c r="M723" s="38"/>
      <c r="N723" s="38"/>
      <c r="O723" s="938"/>
      <c r="P723" s="13"/>
      <c r="Q723" s="19"/>
      <c r="R723" s="19"/>
      <c r="S723" s="19"/>
      <c r="T723" s="19"/>
      <c r="U723" s="19"/>
      <c r="V723" s="19"/>
      <c r="W723" s="19"/>
      <c r="X723" s="19"/>
      <c r="Y723" s="19"/>
      <c r="Z723" s="19"/>
      <c r="AA723" s="19"/>
      <c r="AB723" s="19"/>
      <c r="AC723" s="19"/>
      <c r="AD723" s="19"/>
    </row>
    <row r="724" spans="1:30" ht="14.1" hidden="1" customHeight="1" outlineLevel="1" x14ac:dyDescent="0.2">
      <c r="A724" s="990"/>
      <c r="B724" s="19"/>
      <c r="C724" s="165"/>
      <c r="D724" s="57" t="s">
        <v>1001</v>
      </c>
      <c r="E724" s="939">
        <v>1</v>
      </c>
      <c r="F724" s="939">
        <v>1</v>
      </c>
      <c r="G724" s="939">
        <v>1</v>
      </c>
      <c r="H724" s="939">
        <v>1</v>
      </c>
      <c r="I724" s="939">
        <v>1</v>
      </c>
      <c r="J724" s="939">
        <v>1</v>
      </c>
      <c r="K724" s="939">
        <v>1</v>
      </c>
      <c r="L724" s="939">
        <v>1</v>
      </c>
      <c r="M724" s="939">
        <v>1</v>
      </c>
      <c r="N724" s="939">
        <v>1</v>
      </c>
      <c r="O724" s="271"/>
      <c r="P724" s="13"/>
      <c r="Q724" s="19"/>
      <c r="R724" s="19"/>
      <c r="S724" s="19"/>
      <c r="T724" s="19"/>
      <c r="U724" s="19"/>
      <c r="V724" s="19"/>
      <c r="W724" s="19"/>
      <c r="X724" s="19"/>
      <c r="Y724" s="19"/>
      <c r="Z724" s="19"/>
      <c r="AA724" s="19"/>
      <c r="AB724" s="19"/>
      <c r="AC724" s="19"/>
      <c r="AD724" s="19"/>
    </row>
    <row r="725" spans="1:30" ht="14.1" hidden="1" customHeight="1" outlineLevel="1" x14ac:dyDescent="0.2">
      <c r="A725" s="990"/>
      <c r="B725" s="19"/>
      <c r="C725" s="165"/>
      <c r="D725" s="54" t="s">
        <v>1002</v>
      </c>
      <c r="E725" s="914">
        <f t="shared" ref="E725:N725" si="280">SUM(E724*LocPLG)</f>
        <v>1</v>
      </c>
      <c r="F725" s="914">
        <f t="shared" si="280"/>
        <v>1</v>
      </c>
      <c r="G725" s="914">
        <f t="shared" si="280"/>
        <v>1</v>
      </c>
      <c r="H725" s="914">
        <f t="shared" si="280"/>
        <v>1</v>
      </c>
      <c r="I725" s="914">
        <f t="shared" si="280"/>
        <v>1</v>
      </c>
      <c r="J725" s="914">
        <f t="shared" si="280"/>
        <v>1</v>
      </c>
      <c r="K725" s="914">
        <f t="shared" si="280"/>
        <v>1</v>
      </c>
      <c r="L725" s="914">
        <f t="shared" si="280"/>
        <v>1</v>
      </c>
      <c r="M725" s="914">
        <f t="shared" si="280"/>
        <v>1</v>
      </c>
      <c r="N725" s="914">
        <f t="shared" si="280"/>
        <v>1</v>
      </c>
      <c r="O725" s="271"/>
      <c r="P725" s="13"/>
      <c r="Q725" s="19"/>
      <c r="R725" s="19"/>
      <c r="S725" s="19"/>
      <c r="T725" s="19"/>
      <c r="U725" s="19"/>
      <c r="V725" s="19"/>
      <c r="W725" s="19"/>
      <c r="X725" s="19"/>
      <c r="Y725" s="19"/>
      <c r="Z725" s="19"/>
      <c r="AA725" s="19"/>
      <c r="AB725" s="19"/>
      <c r="AC725" s="19"/>
      <c r="AD725" s="19"/>
    </row>
    <row r="726" spans="1:30" ht="14.1" hidden="1" customHeight="1" outlineLevel="1" x14ac:dyDescent="0.2">
      <c r="A726" s="990"/>
      <c r="B726" s="19"/>
      <c r="C726" s="165"/>
      <c r="D726" s="54"/>
      <c r="E726" s="38"/>
      <c r="F726" s="38"/>
      <c r="G726" s="38"/>
      <c r="H726" s="38"/>
      <c r="I726" s="38"/>
      <c r="J726" s="38"/>
      <c r="K726" s="38"/>
      <c r="L726" s="38"/>
      <c r="M726" s="38"/>
      <c r="N726" s="38"/>
      <c r="O726" s="938"/>
      <c r="P726" s="13"/>
      <c r="Q726" s="19"/>
      <c r="R726" s="19"/>
      <c r="S726" s="19"/>
      <c r="T726" s="19"/>
      <c r="U726" s="19"/>
      <c r="V726" s="19"/>
      <c r="W726" s="19"/>
      <c r="X726" s="19"/>
      <c r="Y726" s="19"/>
      <c r="Z726" s="19"/>
      <c r="AA726" s="19"/>
      <c r="AB726" s="19"/>
      <c r="AC726" s="19"/>
      <c r="AD726" s="19"/>
    </row>
    <row r="727" spans="1:30" ht="14.1" hidden="1" customHeight="1" outlineLevel="1" x14ac:dyDescent="0.2">
      <c r="A727" s="990"/>
      <c r="B727" s="19"/>
      <c r="C727" s="165"/>
      <c r="D727" s="57" t="s">
        <v>665</v>
      </c>
      <c r="E727" s="939">
        <v>1</v>
      </c>
      <c r="F727" s="939">
        <v>1</v>
      </c>
      <c r="G727" s="939">
        <v>1</v>
      </c>
      <c r="H727" s="939">
        <v>1</v>
      </c>
      <c r="I727" s="939">
        <v>1</v>
      </c>
      <c r="J727" s="939">
        <v>1</v>
      </c>
      <c r="K727" s="939">
        <v>1</v>
      </c>
      <c r="L727" s="939">
        <v>1</v>
      </c>
      <c r="M727" s="939">
        <v>1</v>
      </c>
      <c r="N727" s="939">
        <v>1</v>
      </c>
      <c r="O727" s="271"/>
      <c r="P727" s="13"/>
      <c r="Q727" s="19"/>
      <c r="R727" s="19"/>
      <c r="S727" s="19"/>
      <c r="T727" s="19"/>
      <c r="U727" s="19"/>
      <c r="V727" s="19"/>
      <c r="W727" s="19"/>
      <c r="X727" s="19"/>
      <c r="Y727" s="19"/>
      <c r="Z727" s="19"/>
      <c r="AA727" s="19"/>
      <c r="AB727" s="19"/>
      <c r="AC727" s="19"/>
      <c r="AD727" s="19"/>
    </row>
    <row r="728" spans="1:30" ht="14.1" hidden="1" customHeight="1" outlineLevel="1" x14ac:dyDescent="0.2">
      <c r="A728" s="990"/>
      <c r="B728" s="19"/>
      <c r="C728" s="165"/>
      <c r="D728" s="54" t="s">
        <v>777</v>
      </c>
      <c r="E728" s="914">
        <f t="shared" ref="E728:N728" si="281">SUM(E727*LocCRT)</f>
        <v>9</v>
      </c>
      <c r="F728" s="914">
        <f t="shared" si="281"/>
        <v>9</v>
      </c>
      <c r="G728" s="914">
        <f t="shared" si="281"/>
        <v>9</v>
      </c>
      <c r="H728" s="914">
        <f t="shared" si="281"/>
        <v>9</v>
      </c>
      <c r="I728" s="914">
        <f t="shared" si="281"/>
        <v>9</v>
      </c>
      <c r="J728" s="914">
        <f t="shared" si="281"/>
        <v>9</v>
      </c>
      <c r="K728" s="914">
        <f t="shared" si="281"/>
        <v>9</v>
      </c>
      <c r="L728" s="914">
        <f t="shared" si="281"/>
        <v>9</v>
      </c>
      <c r="M728" s="914">
        <f t="shared" si="281"/>
        <v>9</v>
      </c>
      <c r="N728" s="914">
        <f t="shared" si="281"/>
        <v>9</v>
      </c>
      <c r="O728" s="271"/>
      <c r="P728" s="13"/>
      <c r="Q728" s="19"/>
      <c r="R728" s="19"/>
      <c r="S728" s="19"/>
      <c r="T728" s="19"/>
      <c r="U728" s="19"/>
      <c r="V728" s="19"/>
      <c r="W728" s="19"/>
      <c r="X728" s="19"/>
      <c r="Y728" s="19"/>
      <c r="Z728" s="19"/>
      <c r="AA728" s="19"/>
      <c r="AB728" s="19"/>
      <c r="AC728" s="19"/>
      <c r="AD728" s="19"/>
    </row>
    <row r="729" spans="1:30" s="7" customFormat="1" ht="14.1" hidden="1" customHeight="1" outlineLevel="1" x14ac:dyDescent="0.2">
      <c r="A729" s="990"/>
      <c r="B729" s="24"/>
      <c r="C729" s="284"/>
      <c r="D729" s="27"/>
      <c r="E729" s="940"/>
      <c r="F729" s="940"/>
      <c r="G729" s="940"/>
      <c r="H729" s="940"/>
      <c r="I729" s="940"/>
      <c r="J729" s="940"/>
      <c r="K729" s="940"/>
      <c r="L729" s="940"/>
      <c r="M729" s="940"/>
      <c r="N729" s="940"/>
      <c r="O729" s="289"/>
      <c r="P729" s="50"/>
      <c r="Q729" s="24"/>
      <c r="R729" s="24"/>
      <c r="S729" s="24"/>
      <c r="T729" s="24"/>
      <c r="U729" s="24"/>
      <c r="V729" s="24"/>
      <c r="W729" s="24"/>
      <c r="X729" s="24"/>
      <c r="Y729" s="24"/>
      <c r="Z729" s="24"/>
      <c r="AA729" s="24"/>
      <c r="AB729" s="24"/>
      <c r="AC729" s="24"/>
      <c r="AD729" s="24"/>
    </row>
    <row r="730" spans="1:30" s="7" customFormat="1" ht="14.1" hidden="1" customHeight="1" outlineLevel="1" x14ac:dyDescent="0.2">
      <c r="A730" s="990"/>
      <c r="B730" s="24"/>
      <c r="C730" s="165"/>
      <c r="D730" s="57" t="s">
        <v>778</v>
      </c>
      <c r="E730" s="939">
        <v>1</v>
      </c>
      <c r="F730" s="939">
        <v>1</v>
      </c>
      <c r="G730" s="939">
        <v>1</v>
      </c>
      <c r="H730" s="939">
        <v>1</v>
      </c>
      <c r="I730" s="939">
        <v>1</v>
      </c>
      <c r="J730" s="939">
        <v>1</v>
      </c>
      <c r="K730" s="939">
        <v>1</v>
      </c>
      <c r="L730" s="939">
        <v>1</v>
      </c>
      <c r="M730" s="939">
        <v>1</v>
      </c>
      <c r="N730" s="939">
        <v>1</v>
      </c>
      <c r="O730" s="941"/>
      <c r="P730" s="50"/>
      <c r="Q730" s="24"/>
      <c r="R730" s="24"/>
      <c r="S730" s="24"/>
      <c r="T730" s="24"/>
      <c r="U730" s="24"/>
      <c r="V730" s="24"/>
      <c r="W730" s="24"/>
      <c r="X730" s="24"/>
      <c r="Y730" s="24"/>
      <c r="Z730" s="24"/>
      <c r="AA730" s="24"/>
      <c r="AB730" s="24"/>
      <c r="AC730" s="24"/>
      <c r="AD730" s="24"/>
    </row>
    <row r="731" spans="1:30" ht="14.1" hidden="1" customHeight="1" outlineLevel="1" x14ac:dyDescent="0.2">
      <c r="A731" s="990"/>
      <c r="B731" s="19"/>
      <c r="C731" s="165"/>
      <c r="D731" s="54" t="s">
        <v>779</v>
      </c>
      <c r="E731" s="914">
        <f t="shared" ref="E731:N731" si="282">SUM(E730*LocSCL)</f>
        <v>8</v>
      </c>
      <c r="F731" s="914">
        <f t="shared" si="282"/>
        <v>9</v>
      </c>
      <c r="G731" s="914">
        <f t="shared" si="282"/>
        <v>9</v>
      </c>
      <c r="H731" s="914">
        <f t="shared" si="282"/>
        <v>9</v>
      </c>
      <c r="I731" s="914">
        <f t="shared" si="282"/>
        <v>9</v>
      </c>
      <c r="J731" s="914">
        <f t="shared" si="282"/>
        <v>9</v>
      </c>
      <c r="K731" s="914">
        <f t="shared" si="282"/>
        <v>9</v>
      </c>
      <c r="L731" s="914">
        <f t="shared" si="282"/>
        <v>9</v>
      </c>
      <c r="M731" s="914">
        <f t="shared" si="282"/>
        <v>9</v>
      </c>
      <c r="N731" s="914">
        <f t="shared" si="282"/>
        <v>9</v>
      </c>
      <c r="O731" s="938"/>
      <c r="P731" s="13"/>
      <c r="Q731" s="19"/>
      <c r="R731" s="19"/>
      <c r="S731" s="19"/>
      <c r="T731" s="19"/>
      <c r="U731" s="19"/>
      <c r="V731" s="19"/>
      <c r="W731" s="19"/>
      <c r="X731" s="19"/>
      <c r="Y731" s="19"/>
      <c r="Z731" s="19"/>
      <c r="AA731" s="19"/>
      <c r="AB731" s="19"/>
      <c r="AC731" s="19"/>
      <c r="AD731" s="19"/>
    </row>
    <row r="732" spans="1:30" s="7" customFormat="1" ht="14.1" hidden="1" customHeight="1" outlineLevel="1" x14ac:dyDescent="0.2">
      <c r="A732" s="990"/>
      <c r="B732" s="24"/>
      <c r="C732" s="284"/>
      <c r="D732" s="27"/>
      <c r="E732" s="940"/>
      <c r="F732" s="940"/>
      <c r="G732" s="940"/>
      <c r="H732" s="940"/>
      <c r="I732" s="940"/>
      <c r="J732" s="940"/>
      <c r="K732" s="940"/>
      <c r="L732" s="940"/>
      <c r="M732" s="940"/>
      <c r="N732" s="940"/>
      <c r="O732" s="289"/>
      <c r="P732" s="50"/>
      <c r="Q732" s="24"/>
      <c r="R732" s="24"/>
      <c r="S732" s="24"/>
      <c r="T732" s="24"/>
      <c r="U732" s="24"/>
      <c r="V732" s="24"/>
      <c r="W732" s="24"/>
      <c r="X732" s="24"/>
      <c r="Y732" s="24"/>
      <c r="Z732" s="24"/>
      <c r="AA732" s="24"/>
      <c r="AB732" s="24"/>
      <c r="AC732" s="24"/>
      <c r="AD732" s="24"/>
    </row>
    <row r="733" spans="1:30" s="7" customFormat="1" ht="14.1" hidden="1" customHeight="1" outlineLevel="1" x14ac:dyDescent="0.2">
      <c r="A733" s="990"/>
      <c r="B733" s="24"/>
      <c r="C733" s="165"/>
      <c r="D733" s="57" t="s">
        <v>780</v>
      </c>
      <c r="E733" s="939">
        <v>1</v>
      </c>
      <c r="F733" s="939">
        <v>1</v>
      </c>
      <c r="G733" s="939">
        <v>1</v>
      </c>
      <c r="H733" s="939">
        <v>1</v>
      </c>
      <c r="I733" s="939">
        <v>1</v>
      </c>
      <c r="J733" s="939">
        <v>1</v>
      </c>
      <c r="K733" s="939">
        <v>1</v>
      </c>
      <c r="L733" s="939">
        <v>1</v>
      </c>
      <c r="M733" s="939">
        <v>1</v>
      </c>
      <c r="N733" s="939">
        <v>1</v>
      </c>
      <c r="O733" s="941"/>
      <c r="P733" s="50"/>
      <c r="Q733" s="24"/>
      <c r="R733" s="24"/>
      <c r="S733" s="24"/>
      <c r="T733" s="24"/>
      <c r="U733" s="24"/>
      <c r="V733" s="24"/>
      <c r="W733" s="24"/>
      <c r="X733" s="24"/>
      <c r="Y733" s="24"/>
      <c r="Z733" s="24"/>
      <c r="AA733" s="24"/>
      <c r="AB733" s="24"/>
      <c r="AC733" s="24"/>
      <c r="AD733" s="24"/>
    </row>
    <row r="734" spans="1:30" ht="14.1" hidden="1" customHeight="1" outlineLevel="1" x14ac:dyDescent="0.2">
      <c r="A734" s="990"/>
      <c r="B734" s="19"/>
      <c r="C734" s="165"/>
      <c r="D734" s="54" t="s">
        <v>781</v>
      </c>
      <c r="E734" s="914">
        <f t="shared" ref="E734:N734" si="283">SUM(E733*LocQSC)</f>
        <v>1</v>
      </c>
      <c r="F734" s="914">
        <f t="shared" si="283"/>
        <v>1</v>
      </c>
      <c r="G734" s="914">
        <f t="shared" si="283"/>
        <v>1</v>
      </c>
      <c r="H734" s="914">
        <f t="shared" si="283"/>
        <v>1</v>
      </c>
      <c r="I734" s="914">
        <f t="shared" si="283"/>
        <v>1</v>
      </c>
      <c r="J734" s="914">
        <f t="shared" si="283"/>
        <v>1</v>
      </c>
      <c r="K734" s="914">
        <f t="shared" si="283"/>
        <v>1</v>
      </c>
      <c r="L734" s="914">
        <f t="shared" si="283"/>
        <v>1</v>
      </c>
      <c r="M734" s="914">
        <f t="shared" si="283"/>
        <v>1</v>
      </c>
      <c r="N734" s="914">
        <f t="shared" si="283"/>
        <v>1</v>
      </c>
      <c r="O734" s="938"/>
      <c r="P734" s="13"/>
      <c r="Q734" s="19"/>
      <c r="R734" s="19"/>
      <c r="S734" s="19"/>
      <c r="T734" s="19"/>
      <c r="U734" s="19"/>
      <c r="V734" s="19"/>
      <c r="W734" s="19"/>
      <c r="X734" s="19"/>
      <c r="Y734" s="19"/>
      <c r="Z734" s="19"/>
      <c r="AA734" s="19"/>
      <c r="AB734" s="19"/>
      <c r="AC734" s="19"/>
      <c r="AD734" s="19"/>
    </row>
    <row r="735" spans="1:30" s="7" customFormat="1" ht="14.1" hidden="1" customHeight="1" outlineLevel="1" x14ac:dyDescent="0.2">
      <c r="A735" s="990"/>
      <c r="B735" s="24"/>
      <c r="C735" s="284"/>
      <c r="D735" s="27"/>
      <c r="E735" s="940"/>
      <c r="F735" s="940"/>
      <c r="G735" s="940"/>
      <c r="H735" s="940"/>
      <c r="I735" s="940"/>
      <c r="J735" s="940"/>
      <c r="K735" s="940"/>
      <c r="L735" s="940"/>
      <c r="M735" s="940"/>
      <c r="N735" s="940"/>
      <c r="O735" s="289"/>
      <c r="P735" s="50"/>
      <c r="Q735" s="24"/>
      <c r="R735" s="24"/>
      <c r="S735" s="24"/>
      <c r="T735" s="24"/>
      <c r="U735" s="24"/>
      <c r="V735" s="24"/>
      <c r="W735" s="24"/>
      <c r="X735" s="24"/>
      <c r="Y735" s="24"/>
      <c r="Z735" s="24"/>
      <c r="AA735" s="24"/>
      <c r="AB735" s="24"/>
      <c r="AC735" s="24"/>
      <c r="AD735" s="24"/>
    </row>
    <row r="736" spans="1:30" s="7" customFormat="1" ht="14.1" hidden="1" customHeight="1" outlineLevel="1" x14ac:dyDescent="0.2">
      <c r="A736" s="990"/>
      <c r="B736" s="24"/>
      <c r="C736" s="165"/>
      <c r="D736" s="57" t="s">
        <v>782</v>
      </c>
      <c r="E736" s="939">
        <v>1</v>
      </c>
      <c r="F736" s="939">
        <v>1</v>
      </c>
      <c r="G736" s="939">
        <v>1</v>
      </c>
      <c r="H736" s="939">
        <v>1</v>
      </c>
      <c r="I736" s="939">
        <v>1</v>
      </c>
      <c r="J736" s="939">
        <v>1</v>
      </c>
      <c r="K736" s="939">
        <v>1</v>
      </c>
      <c r="L736" s="939">
        <v>1</v>
      </c>
      <c r="M736" s="939">
        <v>1</v>
      </c>
      <c r="N736" s="939">
        <v>1</v>
      </c>
      <c r="O736" s="941"/>
      <c r="P736" s="50"/>
      <c r="Q736" s="24"/>
      <c r="R736" s="24"/>
      <c r="S736" s="24"/>
      <c r="T736" s="24"/>
      <c r="U736" s="24"/>
      <c r="V736" s="24"/>
      <c r="W736" s="24"/>
      <c r="X736" s="24"/>
      <c r="Y736" s="24"/>
      <c r="Z736" s="24"/>
      <c r="AA736" s="24"/>
      <c r="AB736" s="24"/>
      <c r="AC736" s="24"/>
      <c r="AD736" s="24"/>
    </row>
    <row r="737" spans="1:30" ht="14.1" hidden="1" customHeight="1" outlineLevel="1" x14ac:dyDescent="0.2">
      <c r="A737" s="990"/>
      <c r="B737" s="19"/>
      <c r="C737" s="165"/>
      <c r="D737" s="54" t="s">
        <v>783</v>
      </c>
      <c r="E737" s="914">
        <f t="shared" ref="E737:N737" si="284">SUM(E736*LocEM)</f>
        <v>2</v>
      </c>
      <c r="F737" s="914">
        <f t="shared" si="284"/>
        <v>2</v>
      </c>
      <c r="G737" s="914">
        <f t="shared" si="284"/>
        <v>2</v>
      </c>
      <c r="H737" s="914">
        <f t="shared" si="284"/>
        <v>2</v>
      </c>
      <c r="I737" s="914">
        <f t="shared" si="284"/>
        <v>2</v>
      </c>
      <c r="J737" s="914">
        <f t="shared" si="284"/>
        <v>2</v>
      </c>
      <c r="K737" s="914">
        <f t="shared" si="284"/>
        <v>2</v>
      </c>
      <c r="L737" s="914">
        <f t="shared" si="284"/>
        <v>2</v>
      </c>
      <c r="M737" s="914">
        <f t="shared" si="284"/>
        <v>2</v>
      </c>
      <c r="N737" s="914">
        <f t="shared" si="284"/>
        <v>2</v>
      </c>
      <c r="O737" s="938"/>
      <c r="P737" s="13"/>
      <c r="Q737" s="19"/>
      <c r="R737" s="19"/>
      <c r="S737" s="19"/>
      <c r="T737" s="19"/>
      <c r="U737" s="19"/>
      <c r="V737" s="19"/>
      <c r="W737" s="19"/>
      <c r="X737" s="19"/>
      <c r="Y737" s="19"/>
      <c r="Z737" s="19"/>
      <c r="AA737" s="19"/>
      <c r="AB737" s="19"/>
      <c r="AC737" s="19"/>
      <c r="AD737" s="19"/>
    </row>
    <row r="738" spans="1:30" s="7" customFormat="1" ht="14.1" hidden="1" customHeight="1" outlineLevel="1" x14ac:dyDescent="0.2">
      <c r="A738" s="990"/>
      <c r="B738" s="24"/>
      <c r="C738" s="284"/>
      <c r="D738" s="27"/>
      <c r="E738" s="940"/>
      <c r="F738" s="940"/>
      <c r="G738" s="940"/>
      <c r="H738" s="940"/>
      <c r="I738" s="940"/>
      <c r="J738" s="940"/>
      <c r="K738" s="940"/>
      <c r="L738" s="940"/>
      <c r="M738" s="940"/>
      <c r="N738" s="940"/>
      <c r="O738" s="289"/>
      <c r="P738" s="50"/>
      <c r="Q738" s="24"/>
      <c r="R738" s="24"/>
      <c r="S738" s="24"/>
      <c r="T738" s="24"/>
      <c r="U738" s="24"/>
      <c r="V738" s="24"/>
      <c r="W738" s="24"/>
      <c r="X738" s="24"/>
      <c r="Y738" s="24"/>
      <c r="Z738" s="24"/>
      <c r="AA738" s="24"/>
      <c r="AB738" s="24"/>
      <c r="AC738" s="24"/>
      <c r="AD738" s="24"/>
    </row>
    <row r="739" spans="1:30" s="7" customFormat="1" ht="14.1" hidden="1" customHeight="1" outlineLevel="1" x14ac:dyDescent="0.2">
      <c r="A739" s="990"/>
      <c r="B739" s="24"/>
      <c r="C739" s="165"/>
      <c r="D739" s="57" t="s">
        <v>784</v>
      </c>
      <c r="E739" s="939">
        <v>1</v>
      </c>
      <c r="F739" s="939">
        <v>1</v>
      </c>
      <c r="G739" s="939">
        <v>1</v>
      </c>
      <c r="H739" s="939">
        <v>1</v>
      </c>
      <c r="I739" s="939">
        <v>1</v>
      </c>
      <c r="J739" s="939">
        <v>1</v>
      </c>
      <c r="K739" s="939">
        <v>1</v>
      </c>
      <c r="L739" s="939">
        <v>1</v>
      </c>
      <c r="M739" s="939">
        <v>1</v>
      </c>
      <c r="N739" s="939">
        <v>1</v>
      </c>
      <c r="O739" s="941"/>
      <c r="P739" s="50"/>
      <c r="Q739" s="24"/>
      <c r="R739" s="24"/>
      <c r="S739" s="24"/>
      <c r="T739" s="24"/>
      <c r="U739" s="24"/>
      <c r="V739" s="24"/>
      <c r="W739" s="24"/>
      <c r="X739" s="24"/>
      <c r="Y739" s="24"/>
      <c r="Z739" s="24"/>
      <c r="AA739" s="24"/>
      <c r="AB739" s="24"/>
      <c r="AC739" s="24"/>
      <c r="AD739" s="24"/>
    </row>
    <row r="740" spans="1:30" ht="14.1" hidden="1" customHeight="1" outlineLevel="1" x14ac:dyDescent="0.2">
      <c r="A740" s="990"/>
      <c r="B740" s="19"/>
      <c r="C740" s="165"/>
      <c r="D740" s="54" t="s">
        <v>785</v>
      </c>
      <c r="E740" s="914">
        <f t="shared" ref="E740:N740" si="285">SUM(E739*LocCM)</f>
        <v>3</v>
      </c>
      <c r="F740" s="914">
        <f t="shared" si="285"/>
        <v>3</v>
      </c>
      <c r="G740" s="914">
        <f t="shared" si="285"/>
        <v>3</v>
      </c>
      <c r="H740" s="914">
        <f t="shared" si="285"/>
        <v>3</v>
      </c>
      <c r="I740" s="914">
        <f t="shared" si="285"/>
        <v>3</v>
      </c>
      <c r="J740" s="914">
        <f t="shared" si="285"/>
        <v>3</v>
      </c>
      <c r="K740" s="914">
        <f t="shared" si="285"/>
        <v>3</v>
      </c>
      <c r="L740" s="914">
        <f t="shared" si="285"/>
        <v>3</v>
      </c>
      <c r="M740" s="914">
        <f t="shared" si="285"/>
        <v>3</v>
      </c>
      <c r="N740" s="914">
        <f t="shared" si="285"/>
        <v>3</v>
      </c>
      <c r="O740" s="938"/>
      <c r="P740" s="13"/>
      <c r="Q740" s="19"/>
      <c r="R740" s="19"/>
      <c r="S740" s="19"/>
      <c r="T740" s="19"/>
      <c r="U740" s="19"/>
      <c r="V740" s="19"/>
      <c r="W740" s="19"/>
      <c r="X740" s="19"/>
      <c r="Y740" s="19"/>
      <c r="Z740" s="19"/>
      <c r="AA740" s="19"/>
      <c r="AB740" s="19"/>
      <c r="AC740" s="19"/>
      <c r="AD740" s="19"/>
    </row>
    <row r="741" spans="1:30" s="7" customFormat="1" ht="14.1" hidden="1" customHeight="1" outlineLevel="1" x14ac:dyDescent="0.2">
      <c r="A741" s="990"/>
      <c r="B741" s="24"/>
      <c r="C741" s="284"/>
      <c r="D741" s="27"/>
      <c r="E741" s="940"/>
      <c r="F741" s="940"/>
      <c r="G741" s="940"/>
      <c r="H741" s="940"/>
      <c r="I741" s="940"/>
      <c r="J741" s="940"/>
      <c r="K741" s="940"/>
      <c r="L741" s="940"/>
      <c r="M741" s="940"/>
      <c r="N741" s="940"/>
      <c r="O741" s="289"/>
      <c r="P741" s="50"/>
      <c r="Q741" s="24"/>
      <c r="R741" s="24"/>
      <c r="S741" s="24"/>
      <c r="T741" s="24"/>
      <c r="U741" s="24"/>
      <c r="V741" s="24"/>
      <c r="W741" s="24"/>
      <c r="X741" s="24"/>
      <c r="Y741" s="24"/>
      <c r="Z741" s="24"/>
      <c r="AA741" s="24"/>
      <c r="AB741" s="24"/>
      <c r="AC741" s="24"/>
      <c r="AD741" s="24"/>
    </row>
    <row r="742" spans="1:30" s="7" customFormat="1" ht="14.1" hidden="1" customHeight="1" outlineLevel="1" x14ac:dyDescent="0.2">
      <c r="A742" s="990"/>
      <c r="B742" s="24"/>
      <c r="C742" s="165"/>
      <c r="D742" s="57" t="s">
        <v>786</v>
      </c>
      <c r="E742" s="939">
        <v>1</v>
      </c>
      <c r="F742" s="939">
        <v>1</v>
      </c>
      <c r="G742" s="939">
        <v>1</v>
      </c>
      <c r="H742" s="939">
        <v>1</v>
      </c>
      <c r="I742" s="939">
        <v>1</v>
      </c>
      <c r="J742" s="939">
        <v>1</v>
      </c>
      <c r="K742" s="939">
        <v>1</v>
      </c>
      <c r="L742" s="939">
        <v>1</v>
      </c>
      <c r="M742" s="939">
        <v>1</v>
      </c>
      <c r="N742" s="939">
        <v>1</v>
      </c>
      <c r="O742" s="941"/>
      <c r="P742" s="50"/>
      <c r="Q742" s="24"/>
      <c r="R742" s="24"/>
      <c r="S742" s="24"/>
      <c r="T742" s="24"/>
      <c r="U742" s="24"/>
      <c r="V742" s="24"/>
      <c r="W742" s="24"/>
      <c r="X742" s="24"/>
      <c r="Y742" s="24"/>
      <c r="Z742" s="24"/>
      <c r="AA742" s="24"/>
      <c r="AB742" s="24"/>
      <c r="AC742" s="24"/>
      <c r="AD742" s="24"/>
    </row>
    <row r="743" spans="1:30" ht="14.1" hidden="1" customHeight="1" outlineLevel="1" x14ac:dyDescent="0.2">
      <c r="A743" s="990"/>
      <c r="B743" s="19"/>
      <c r="C743" s="165"/>
      <c r="D743" s="54" t="s">
        <v>787</v>
      </c>
      <c r="E743" s="914">
        <f t="shared" ref="E743:N743" si="286">SUM(E742*LocSMCS)</f>
        <v>3</v>
      </c>
      <c r="F743" s="914">
        <f t="shared" si="286"/>
        <v>3</v>
      </c>
      <c r="G743" s="914">
        <f t="shared" si="286"/>
        <v>3</v>
      </c>
      <c r="H743" s="914">
        <f t="shared" si="286"/>
        <v>3</v>
      </c>
      <c r="I743" s="914">
        <f t="shared" si="286"/>
        <v>3</v>
      </c>
      <c r="J743" s="914">
        <f t="shared" si="286"/>
        <v>3</v>
      </c>
      <c r="K743" s="914">
        <f t="shared" si="286"/>
        <v>3</v>
      </c>
      <c r="L743" s="914">
        <f t="shared" si="286"/>
        <v>3</v>
      </c>
      <c r="M743" s="914">
        <f t="shared" si="286"/>
        <v>3</v>
      </c>
      <c r="N743" s="914">
        <f t="shared" si="286"/>
        <v>3</v>
      </c>
      <c r="O743" s="938"/>
      <c r="P743" s="13"/>
      <c r="Q743" s="19"/>
      <c r="R743" s="19"/>
      <c r="S743" s="19"/>
      <c r="T743" s="19"/>
      <c r="U743" s="19"/>
      <c r="V743" s="19"/>
      <c r="W743" s="19"/>
      <c r="X743" s="19"/>
      <c r="Y743" s="19"/>
      <c r="Z743" s="19"/>
      <c r="AA743" s="19"/>
      <c r="AB743" s="19"/>
      <c r="AC743" s="19"/>
      <c r="AD743" s="19"/>
    </row>
    <row r="744" spans="1:30" s="7" customFormat="1" ht="14.1" hidden="1" customHeight="1" outlineLevel="1" x14ac:dyDescent="0.2">
      <c r="A744" s="990"/>
      <c r="B744" s="24"/>
      <c r="C744" s="284"/>
      <c r="D744" s="27"/>
      <c r="E744" s="940"/>
      <c r="F744" s="940"/>
      <c r="G744" s="940"/>
      <c r="H744" s="940"/>
      <c r="I744" s="940"/>
      <c r="J744" s="940"/>
      <c r="K744" s="940"/>
      <c r="L744" s="940"/>
      <c r="M744" s="940"/>
      <c r="N744" s="940"/>
      <c r="O744" s="289"/>
      <c r="P744" s="50"/>
      <c r="Q744" s="24"/>
      <c r="R744" s="24"/>
      <c r="S744" s="24"/>
      <c r="T744" s="24"/>
      <c r="U744" s="24"/>
      <c r="V744" s="24"/>
      <c r="W744" s="24"/>
      <c r="X744" s="24"/>
      <c r="Y744" s="24"/>
      <c r="Z744" s="24"/>
      <c r="AA744" s="24"/>
      <c r="AB744" s="24"/>
      <c r="AC744" s="24"/>
      <c r="AD744" s="24"/>
    </row>
    <row r="745" spans="1:30" s="7" customFormat="1" ht="14.1" hidden="1" customHeight="1" outlineLevel="1" x14ac:dyDescent="0.2">
      <c r="A745" s="990"/>
      <c r="B745" s="24"/>
      <c r="C745" s="165"/>
      <c r="D745" s="57" t="s">
        <v>788</v>
      </c>
      <c r="E745" s="939"/>
      <c r="F745" s="939"/>
      <c r="G745" s="939"/>
      <c r="H745" s="939"/>
      <c r="I745" s="939"/>
      <c r="J745" s="939"/>
      <c r="K745" s="939"/>
      <c r="L745" s="939"/>
      <c r="M745" s="939"/>
      <c r="N745" s="939"/>
      <c r="O745" s="941"/>
      <c r="P745" s="50"/>
      <c r="Q745" s="24"/>
      <c r="R745" s="24"/>
      <c r="S745" s="24"/>
      <c r="T745" s="24"/>
      <c r="U745" s="24"/>
      <c r="V745" s="24"/>
      <c r="W745" s="24"/>
      <c r="X745" s="24"/>
      <c r="Y745" s="24"/>
      <c r="Z745" s="24"/>
      <c r="AA745" s="24"/>
      <c r="AB745" s="24"/>
      <c r="AC745" s="24"/>
      <c r="AD745" s="24"/>
    </row>
    <row r="746" spans="1:30" ht="14.1" hidden="1" customHeight="1" outlineLevel="1" x14ac:dyDescent="0.2">
      <c r="A746" s="990"/>
      <c r="B746" s="19"/>
      <c r="C746" s="165"/>
      <c r="D746" s="54" t="s">
        <v>789</v>
      </c>
      <c r="E746" s="914">
        <f t="shared" ref="E746:N746" si="287">SUM(E745*LocO1)</f>
        <v>0</v>
      </c>
      <c r="F746" s="914">
        <f t="shared" si="287"/>
        <v>0</v>
      </c>
      <c r="G746" s="914">
        <f t="shared" si="287"/>
        <v>0</v>
      </c>
      <c r="H746" s="914">
        <f t="shared" si="287"/>
        <v>0</v>
      </c>
      <c r="I746" s="914">
        <f t="shared" si="287"/>
        <v>0</v>
      </c>
      <c r="J746" s="914">
        <f t="shared" si="287"/>
        <v>0</v>
      </c>
      <c r="K746" s="914">
        <f t="shared" si="287"/>
        <v>0</v>
      </c>
      <c r="L746" s="914">
        <f t="shared" si="287"/>
        <v>0</v>
      </c>
      <c r="M746" s="914">
        <f t="shared" si="287"/>
        <v>0</v>
      </c>
      <c r="N746" s="914">
        <f t="shared" si="287"/>
        <v>0</v>
      </c>
      <c r="O746" s="938"/>
      <c r="P746" s="13"/>
      <c r="Q746" s="19"/>
      <c r="R746" s="19"/>
      <c r="S746" s="19"/>
      <c r="T746" s="19"/>
      <c r="U746" s="19"/>
      <c r="V746" s="19"/>
      <c r="W746" s="19"/>
      <c r="X746" s="19"/>
      <c r="Y746" s="19"/>
      <c r="Z746" s="19"/>
      <c r="AA746" s="19"/>
      <c r="AB746" s="19"/>
      <c r="AC746" s="19"/>
      <c r="AD746" s="19"/>
    </row>
    <row r="747" spans="1:30" s="7" customFormat="1" ht="14.1" hidden="1" customHeight="1" outlineLevel="1" x14ac:dyDescent="0.2">
      <c r="A747" s="990"/>
      <c r="B747" s="24"/>
      <c r="C747" s="284"/>
      <c r="D747" s="27"/>
      <c r="E747" s="940"/>
      <c r="F747" s="940"/>
      <c r="G747" s="940"/>
      <c r="H747" s="940"/>
      <c r="I747" s="940"/>
      <c r="J747" s="940"/>
      <c r="K747" s="940"/>
      <c r="L747" s="940"/>
      <c r="M747" s="940"/>
      <c r="N747" s="940"/>
      <c r="O747" s="289"/>
      <c r="P747" s="50"/>
      <c r="Q747" s="24"/>
      <c r="R747" s="24"/>
      <c r="S747" s="24"/>
      <c r="T747" s="24"/>
      <c r="U747" s="24"/>
      <c r="V747" s="24"/>
      <c r="W747" s="24"/>
      <c r="X747" s="24"/>
      <c r="Y747" s="24"/>
      <c r="Z747" s="24"/>
      <c r="AA747" s="24"/>
      <c r="AB747" s="24"/>
      <c r="AC747" s="24"/>
      <c r="AD747" s="24"/>
    </row>
    <row r="748" spans="1:30" s="7" customFormat="1" ht="14.1" hidden="1" customHeight="1" outlineLevel="1" x14ac:dyDescent="0.2">
      <c r="A748" s="990"/>
      <c r="B748" s="24"/>
      <c r="C748" s="165"/>
      <c r="D748" s="57" t="s">
        <v>790</v>
      </c>
      <c r="E748" s="939"/>
      <c r="F748" s="939"/>
      <c r="G748" s="939"/>
      <c r="H748" s="939"/>
      <c r="I748" s="939"/>
      <c r="J748" s="939"/>
      <c r="K748" s="939"/>
      <c r="L748" s="939"/>
      <c r="M748" s="939"/>
      <c r="N748" s="939"/>
      <c r="O748" s="941"/>
      <c r="P748" s="50"/>
      <c r="Q748" s="24"/>
      <c r="R748" s="24"/>
      <c r="S748" s="24"/>
      <c r="T748" s="24"/>
      <c r="U748" s="24"/>
      <c r="V748" s="24"/>
      <c r="W748" s="24"/>
      <c r="X748" s="24"/>
      <c r="Y748" s="24"/>
      <c r="Z748" s="24"/>
      <c r="AA748" s="24"/>
      <c r="AB748" s="24"/>
      <c r="AC748" s="24"/>
      <c r="AD748" s="24"/>
    </row>
    <row r="749" spans="1:30" ht="14.1" hidden="1" customHeight="1" outlineLevel="1" x14ac:dyDescent="0.2">
      <c r="A749" s="990"/>
      <c r="B749" s="19"/>
      <c r="C749" s="165"/>
      <c r="D749" s="54" t="s">
        <v>791</v>
      </c>
      <c r="E749" s="914">
        <f t="shared" ref="E749:N749" si="288">SUM(E748*LocO2)</f>
        <v>0</v>
      </c>
      <c r="F749" s="914">
        <f t="shared" si="288"/>
        <v>0</v>
      </c>
      <c r="G749" s="914">
        <f t="shared" si="288"/>
        <v>0</v>
      </c>
      <c r="H749" s="914">
        <f t="shared" si="288"/>
        <v>0</v>
      </c>
      <c r="I749" s="914">
        <f t="shared" si="288"/>
        <v>0</v>
      </c>
      <c r="J749" s="914">
        <f t="shared" si="288"/>
        <v>0</v>
      </c>
      <c r="K749" s="914">
        <f t="shared" si="288"/>
        <v>0</v>
      </c>
      <c r="L749" s="914">
        <f t="shared" si="288"/>
        <v>0</v>
      </c>
      <c r="M749" s="914">
        <f t="shared" si="288"/>
        <v>0</v>
      </c>
      <c r="N749" s="914">
        <f t="shared" si="288"/>
        <v>0</v>
      </c>
      <c r="O749" s="938"/>
      <c r="P749" s="13"/>
      <c r="Q749" s="19"/>
      <c r="R749" s="19"/>
      <c r="S749" s="19"/>
      <c r="T749" s="19"/>
      <c r="U749" s="19"/>
      <c r="V749" s="19"/>
      <c r="W749" s="19"/>
      <c r="X749" s="19"/>
      <c r="Y749" s="19"/>
      <c r="Z749" s="19"/>
      <c r="AA749" s="19"/>
      <c r="AB749" s="19"/>
      <c r="AC749" s="19"/>
      <c r="AD749" s="19"/>
    </row>
    <row r="750" spans="1:30" ht="14.1" hidden="1" customHeight="1" outlineLevel="1" x14ac:dyDescent="0.2">
      <c r="A750" s="990"/>
      <c r="B750" s="19"/>
      <c r="C750" s="290"/>
      <c r="D750" s="38"/>
      <c r="E750" s="38"/>
      <c r="F750" s="38"/>
      <c r="G750" s="38"/>
      <c r="H750" s="13"/>
      <c r="I750" s="13"/>
      <c r="J750" s="13"/>
      <c r="K750" s="13"/>
      <c r="L750" s="13"/>
      <c r="M750" s="13"/>
      <c r="N750" s="13"/>
      <c r="O750" s="897"/>
      <c r="P750" s="13"/>
      <c r="Q750" s="19"/>
      <c r="R750" s="19"/>
      <c r="S750" s="19"/>
      <c r="T750" s="19"/>
      <c r="U750" s="19"/>
      <c r="V750" s="19"/>
      <c r="W750" s="19"/>
      <c r="X750" s="19"/>
      <c r="Y750" s="19"/>
      <c r="Z750" s="19"/>
      <c r="AA750" s="19"/>
      <c r="AB750" s="19"/>
      <c r="AC750" s="19"/>
      <c r="AD750" s="19"/>
    </row>
    <row r="751" spans="1:30" ht="14.1" hidden="1" customHeight="1" outlineLevel="1" x14ac:dyDescent="0.2">
      <c r="A751" s="990"/>
      <c r="B751" s="19"/>
      <c r="C751" s="270"/>
      <c r="D751" s="921" t="s">
        <v>143</v>
      </c>
      <c r="E751" s="292">
        <f t="shared" ref="E751:N751" si="289">SUM(E749+E746+E743+E740+E737+E734+E731+E728+E725+E719+E716+E713)*hSystemsCompactusArea_Each</f>
        <v>720</v>
      </c>
      <c r="F751" s="292">
        <f t="shared" si="289"/>
        <v>760</v>
      </c>
      <c r="G751" s="292">
        <f t="shared" si="289"/>
        <v>760</v>
      </c>
      <c r="H751" s="292">
        <f t="shared" si="289"/>
        <v>760</v>
      </c>
      <c r="I751" s="292">
        <f t="shared" si="289"/>
        <v>760</v>
      </c>
      <c r="J751" s="292">
        <f t="shared" si="289"/>
        <v>760</v>
      </c>
      <c r="K751" s="292">
        <f t="shared" si="289"/>
        <v>760</v>
      </c>
      <c r="L751" s="292">
        <f t="shared" si="289"/>
        <v>760</v>
      </c>
      <c r="M751" s="292">
        <f t="shared" si="289"/>
        <v>760</v>
      </c>
      <c r="N751" s="292">
        <f t="shared" si="289"/>
        <v>760</v>
      </c>
      <c r="O751" s="257" t="s">
        <v>769</v>
      </c>
      <c r="P751" s="13"/>
      <c r="Q751" s="19"/>
      <c r="R751" s="19"/>
      <c r="S751" s="19"/>
      <c r="T751" s="19"/>
      <c r="U751" s="19"/>
      <c r="V751" s="19"/>
      <c r="W751" s="19"/>
      <c r="X751" s="19"/>
      <c r="Y751" s="19"/>
      <c r="Z751" s="19"/>
      <c r="AA751" s="19"/>
      <c r="AB751" s="19"/>
      <c r="AC751" s="19"/>
      <c r="AD751" s="19"/>
    </row>
    <row r="752" spans="1:30" ht="14.1" hidden="1" customHeight="1" outlineLevel="1" thickBot="1" x14ac:dyDescent="0.25">
      <c r="A752" s="990"/>
      <c r="B752" s="19"/>
      <c r="C752" s="298"/>
      <c r="D752" s="511"/>
      <c r="E752" s="512"/>
      <c r="F752" s="512"/>
      <c r="G752" s="512"/>
      <c r="H752" s="512"/>
      <c r="I752" s="512"/>
      <c r="J752" s="512"/>
      <c r="K752" s="512"/>
      <c r="L752" s="512"/>
      <c r="M752" s="512"/>
      <c r="N752" s="512"/>
      <c r="O752" s="810"/>
      <c r="P752" s="13"/>
      <c r="Q752" s="19"/>
      <c r="R752" s="19"/>
      <c r="S752" s="19"/>
      <c r="T752" s="19"/>
      <c r="U752" s="19"/>
      <c r="V752" s="19"/>
      <c r="W752" s="19"/>
      <c r="X752" s="19"/>
      <c r="Y752" s="19"/>
      <c r="Z752" s="19"/>
      <c r="AA752" s="19"/>
      <c r="AB752" s="19"/>
      <c r="AC752" s="19"/>
      <c r="AD752" s="19"/>
    </row>
    <row r="753" spans="1:30" s="41" customFormat="1" ht="13.5" hidden="1" outlineLevel="1" thickBot="1" x14ac:dyDescent="0.25">
      <c r="A753" s="114"/>
      <c r="B753" s="924"/>
      <c r="C753" s="30"/>
      <c r="D753" s="30"/>
      <c r="E753" s="30"/>
      <c r="F753" s="30"/>
      <c r="G753" s="30"/>
      <c r="H753" s="30"/>
      <c r="I753" s="30"/>
      <c r="J753" s="30"/>
      <c r="K753" s="30"/>
      <c r="L753" s="30"/>
      <c r="M753" s="30"/>
      <c r="N753" s="30"/>
      <c r="O753" s="494"/>
      <c r="P753" s="38"/>
    </row>
    <row r="754" spans="1:30" hidden="1" outlineLevel="1" x14ac:dyDescent="0.2">
      <c r="A754" s="990"/>
      <c r="B754" s="13"/>
      <c r="C754" s="933" t="str">
        <f>Scenario3&amp;" Compactus Unit Area Required"</f>
        <v>eSystems (Paperless) Compactus Unit Area Required</v>
      </c>
      <c r="D754" s="239"/>
      <c r="E754" s="239"/>
      <c r="F754" s="239"/>
      <c r="G754" s="239"/>
      <c r="H754" s="239"/>
      <c r="I754" s="239"/>
      <c r="J754" s="239"/>
      <c r="K754" s="239"/>
      <c r="L754" s="239"/>
      <c r="M754" s="239"/>
      <c r="N754" s="239"/>
      <c r="O754" s="245"/>
      <c r="P754" s="13"/>
      <c r="Q754" s="19"/>
      <c r="R754" s="19"/>
      <c r="S754" s="19"/>
      <c r="T754" s="19"/>
      <c r="U754" s="19"/>
      <c r="V754" s="19"/>
      <c r="W754" s="19"/>
      <c r="X754" s="19"/>
      <c r="Y754" s="19"/>
      <c r="Z754" s="19"/>
      <c r="AA754" s="19"/>
      <c r="AB754" s="19"/>
      <c r="AC754" s="19"/>
      <c r="AD754" s="19"/>
    </row>
    <row r="755" spans="1:30" ht="15.6" hidden="1" customHeight="1" outlineLevel="1" x14ac:dyDescent="0.2">
      <c r="A755" s="990"/>
      <c r="B755" s="13"/>
      <c r="C755" s="946"/>
      <c r="D755" s="13"/>
      <c r="E755" s="13"/>
      <c r="F755" s="13"/>
      <c r="G755" s="13"/>
      <c r="H755" s="13"/>
      <c r="I755" s="13"/>
      <c r="J755" s="13"/>
      <c r="K755" s="13"/>
      <c r="L755" s="13"/>
      <c r="M755" s="13"/>
      <c r="N755" s="13"/>
      <c r="O755" s="897"/>
      <c r="P755" s="13"/>
      <c r="Q755" s="19"/>
      <c r="R755" s="19"/>
      <c r="S755" s="19"/>
      <c r="T755" s="19"/>
      <c r="U755" s="19"/>
      <c r="V755" s="19"/>
      <c r="W755" s="19"/>
      <c r="X755" s="19"/>
      <c r="Y755" s="19"/>
      <c r="Z755" s="19"/>
      <c r="AA755" s="19"/>
      <c r="AB755" s="19"/>
      <c r="AC755" s="19"/>
      <c r="AD755" s="19"/>
    </row>
    <row r="756" spans="1:30" ht="14.1" hidden="1" customHeight="1" outlineLevel="1" x14ac:dyDescent="0.2">
      <c r="A756" s="990"/>
      <c r="B756" s="13"/>
      <c r="C756" s="165"/>
      <c r="D756" s="37" t="str">
        <f>"Compactus Area Required "&amp;(OfficeLeaseUnit)</f>
        <v>Compactus Area Required m2</v>
      </c>
      <c r="E756" s="519">
        <v>20</v>
      </c>
      <c r="F756" s="936">
        <v>20</v>
      </c>
      <c r="G756" s="937">
        <v>20</v>
      </c>
      <c r="H756" s="937">
        <v>20</v>
      </c>
      <c r="I756" s="937">
        <v>20</v>
      </c>
      <c r="J756" s="937">
        <v>20</v>
      </c>
      <c r="K756" s="937">
        <v>20</v>
      </c>
      <c r="L756" s="937">
        <v>20</v>
      </c>
      <c r="M756" s="937">
        <v>20</v>
      </c>
      <c r="N756" s="937">
        <v>20</v>
      </c>
      <c r="O756" s="257" t="s">
        <v>793</v>
      </c>
      <c r="P756" s="13"/>
      <c r="Q756" s="19"/>
      <c r="R756" s="19"/>
      <c r="S756" s="19"/>
      <c r="T756" s="19"/>
      <c r="U756" s="19"/>
      <c r="V756" s="19"/>
      <c r="W756" s="19"/>
      <c r="X756" s="19"/>
      <c r="Y756" s="19"/>
      <c r="Z756" s="19"/>
      <c r="AA756" s="19"/>
      <c r="AB756" s="19"/>
      <c r="AC756" s="19"/>
      <c r="AD756" s="19"/>
    </row>
    <row r="757" spans="1:30" ht="14.1" hidden="1" customHeight="1" outlineLevel="1" x14ac:dyDescent="0.2">
      <c r="A757" s="990"/>
      <c r="B757" s="19"/>
      <c r="C757" s="165"/>
      <c r="D757" s="833"/>
      <c r="E757" s="917"/>
      <c r="F757" s="917"/>
      <c r="G757" s="917"/>
      <c r="H757" s="13"/>
      <c r="I757" s="13"/>
      <c r="J757" s="13"/>
      <c r="K757" s="13"/>
      <c r="L757" s="13"/>
      <c r="M757" s="13"/>
      <c r="N757" s="13"/>
      <c r="O757" s="938"/>
      <c r="P757" s="13"/>
      <c r="Q757" s="19"/>
      <c r="R757" s="19"/>
      <c r="S757" s="19"/>
      <c r="T757" s="19"/>
      <c r="U757" s="19"/>
      <c r="V757" s="19"/>
      <c r="W757" s="19"/>
      <c r="X757" s="19"/>
      <c r="Y757" s="19"/>
      <c r="Z757" s="19"/>
      <c r="AA757" s="19"/>
      <c r="AB757" s="19"/>
      <c r="AC757" s="19"/>
      <c r="AD757" s="19"/>
    </row>
    <row r="758" spans="1:30" ht="14.1" hidden="1" customHeight="1" outlineLevel="1" x14ac:dyDescent="0.2">
      <c r="A758" s="990"/>
      <c r="B758" s="19"/>
      <c r="C758" s="165"/>
      <c r="D758" s="57" t="s">
        <v>771</v>
      </c>
      <c r="E758" s="939">
        <v>0</v>
      </c>
      <c r="F758" s="939">
        <v>0</v>
      </c>
      <c r="G758" s="939">
        <v>0</v>
      </c>
      <c r="H758" s="939">
        <v>0</v>
      </c>
      <c r="I758" s="939">
        <v>0</v>
      </c>
      <c r="J758" s="939">
        <v>0</v>
      </c>
      <c r="K758" s="939">
        <v>0</v>
      </c>
      <c r="L758" s="939">
        <v>0</v>
      </c>
      <c r="M758" s="939">
        <v>0</v>
      </c>
      <c r="N758" s="939">
        <v>0</v>
      </c>
      <c r="O758" s="938"/>
      <c r="P758" s="13"/>
      <c r="Q758" s="19"/>
      <c r="R758" s="19"/>
      <c r="S758" s="19"/>
      <c r="T758" s="19"/>
      <c r="U758" s="19"/>
      <c r="V758" s="19"/>
      <c r="W758" s="19"/>
      <c r="X758" s="19"/>
      <c r="Y758" s="19"/>
      <c r="Z758" s="19"/>
      <c r="AA758" s="19"/>
      <c r="AB758" s="19"/>
      <c r="AC758" s="19"/>
      <c r="AD758" s="19"/>
    </row>
    <row r="759" spans="1:30" ht="14.1" hidden="1" customHeight="1" outlineLevel="1" x14ac:dyDescent="0.2">
      <c r="A759" s="990"/>
      <c r="B759" s="19"/>
      <c r="C759" s="165"/>
      <c r="D759" s="54" t="s">
        <v>772</v>
      </c>
      <c r="E759" s="914">
        <f t="shared" ref="E759:N759" si="290">SUM(E758*LocTransit)</f>
        <v>0</v>
      </c>
      <c r="F759" s="914">
        <f t="shared" si="290"/>
        <v>0</v>
      </c>
      <c r="G759" s="914">
        <f t="shared" si="290"/>
        <v>0</v>
      </c>
      <c r="H759" s="914">
        <f t="shared" si="290"/>
        <v>0</v>
      </c>
      <c r="I759" s="914">
        <f t="shared" si="290"/>
        <v>0</v>
      </c>
      <c r="J759" s="914">
        <f t="shared" si="290"/>
        <v>0</v>
      </c>
      <c r="K759" s="914">
        <f t="shared" si="290"/>
        <v>0</v>
      </c>
      <c r="L759" s="914">
        <f t="shared" si="290"/>
        <v>0</v>
      </c>
      <c r="M759" s="914">
        <f t="shared" si="290"/>
        <v>0</v>
      </c>
      <c r="N759" s="914">
        <f t="shared" si="290"/>
        <v>0</v>
      </c>
      <c r="O759" s="938"/>
      <c r="P759" s="13"/>
      <c r="Q759" s="19"/>
      <c r="R759" s="19"/>
      <c r="S759" s="19"/>
      <c r="T759" s="19"/>
      <c r="U759" s="19"/>
      <c r="V759" s="19"/>
      <c r="W759" s="19"/>
      <c r="X759" s="19"/>
      <c r="Y759" s="19"/>
      <c r="Z759" s="19"/>
      <c r="AA759" s="19"/>
      <c r="AB759" s="19"/>
      <c r="AC759" s="19"/>
      <c r="AD759" s="19"/>
    </row>
    <row r="760" spans="1:30" ht="14.1" hidden="1" customHeight="1" outlineLevel="1" x14ac:dyDescent="0.2">
      <c r="A760" s="990"/>
      <c r="B760" s="19"/>
      <c r="C760" s="165"/>
      <c r="D760" s="54"/>
      <c r="E760" s="38"/>
      <c r="F760" s="38"/>
      <c r="G760" s="38"/>
      <c r="H760" s="38"/>
      <c r="I760" s="38"/>
      <c r="J760" s="38"/>
      <c r="K760" s="38"/>
      <c r="L760" s="38"/>
      <c r="M760" s="38"/>
      <c r="N760" s="38"/>
      <c r="O760" s="938"/>
      <c r="P760" s="13"/>
      <c r="Q760" s="19"/>
      <c r="R760" s="19"/>
      <c r="S760" s="19"/>
      <c r="T760" s="19"/>
      <c r="U760" s="19"/>
      <c r="V760" s="19"/>
      <c r="W760" s="19"/>
      <c r="X760" s="19"/>
      <c r="Y760" s="19"/>
      <c r="Z760" s="19"/>
      <c r="AA760" s="19"/>
      <c r="AB760" s="19"/>
      <c r="AC760" s="19"/>
      <c r="AD760" s="19"/>
    </row>
    <row r="761" spans="1:30" ht="14.1" hidden="1" customHeight="1" outlineLevel="1" x14ac:dyDescent="0.2">
      <c r="A761" s="990"/>
      <c r="B761" s="19"/>
      <c r="C761" s="165"/>
      <c r="D761" s="57" t="s">
        <v>773</v>
      </c>
      <c r="E761" s="939">
        <v>0</v>
      </c>
      <c r="F761" s="939">
        <v>0</v>
      </c>
      <c r="G761" s="939">
        <v>0</v>
      </c>
      <c r="H761" s="939">
        <v>0</v>
      </c>
      <c r="I761" s="939">
        <v>0</v>
      </c>
      <c r="J761" s="939">
        <v>0</v>
      </c>
      <c r="K761" s="939">
        <v>0</v>
      </c>
      <c r="L761" s="939">
        <v>0</v>
      </c>
      <c r="M761" s="939">
        <v>0</v>
      </c>
      <c r="N761" s="939">
        <v>0</v>
      </c>
      <c r="O761" s="938"/>
      <c r="P761" s="13"/>
      <c r="Q761" s="19"/>
      <c r="R761" s="19"/>
      <c r="S761" s="19"/>
      <c r="T761" s="19"/>
      <c r="U761" s="19"/>
      <c r="V761" s="19"/>
      <c r="W761" s="19"/>
      <c r="X761" s="19"/>
      <c r="Y761" s="19"/>
      <c r="Z761" s="19"/>
      <c r="AA761" s="19"/>
      <c r="AB761" s="19"/>
      <c r="AC761" s="19"/>
      <c r="AD761" s="19"/>
    </row>
    <row r="762" spans="1:30" ht="14.1" hidden="1" customHeight="1" outlineLevel="1" x14ac:dyDescent="0.2">
      <c r="A762" s="990"/>
      <c r="B762" s="19"/>
      <c r="C762" s="165"/>
      <c r="D762" s="54" t="s">
        <v>774</v>
      </c>
      <c r="E762" s="914">
        <f t="shared" ref="E762:N762" si="291">SUM(E761*LocLM)</f>
        <v>0</v>
      </c>
      <c r="F762" s="914">
        <f t="shared" si="291"/>
        <v>0</v>
      </c>
      <c r="G762" s="914">
        <f t="shared" si="291"/>
        <v>0</v>
      </c>
      <c r="H762" s="914">
        <f t="shared" si="291"/>
        <v>0</v>
      </c>
      <c r="I762" s="914">
        <f t="shared" si="291"/>
        <v>0</v>
      </c>
      <c r="J762" s="914">
        <f t="shared" si="291"/>
        <v>0</v>
      </c>
      <c r="K762" s="914">
        <f t="shared" si="291"/>
        <v>0</v>
      </c>
      <c r="L762" s="914">
        <f t="shared" si="291"/>
        <v>0</v>
      </c>
      <c r="M762" s="914">
        <f t="shared" si="291"/>
        <v>0</v>
      </c>
      <c r="N762" s="914">
        <f t="shared" si="291"/>
        <v>0</v>
      </c>
      <c r="O762" s="938"/>
      <c r="P762" s="13"/>
      <c r="Q762" s="19"/>
      <c r="R762" s="19"/>
      <c r="S762" s="19"/>
      <c r="T762" s="19"/>
      <c r="U762" s="19"/>
      <c r="V762" s="19"/>
      <c r="W762" s="19"/>
      <c r="X762" s="19"/>
      <c r="Y762" s="19"/>
      <c r="Z762" s="19"/>
      <c r="AA762" s="19"/>
      <c r="AB762" s="19"/>
      <c r="AC762" s="19"/>
      <c r="AD762" s="19"/>
    </row>
    <row r="763" spans="1:30" ht="14.1" hidden="1" customHeight="1" outlineLevel="1" x14ac:dyDescent="0.2">
      <c r="A763" s="990"/>
      <c r="B763" s="19"/>
      <c r="C763" s="165"/>
      <c r="D763" s="54"/>
      <c r="E763" s="38"/>
      <c r="F763" s="38"/>
      <c r="G763" s="38"/>
      <c r="H763" s="38"/>
      <c r="I763" s="38"/>
      <c r="J763" s="38"/>
      <c r="K763" s="38"/>
      <c r="L763" s="38"/>
      <c r="M763" s="38"/>
      <c r="N763" s="38"/>
      <c r="O763" s="938"/>
      <c r="P763" s="13"/>
      <c r="Q763" s="19"/>
      <c r="R763" s="19"/>
      <c r="S763" s="19"/>
      <c r="T763" s="19"/>
      <c r="U763" s="19"/>
      <c r="V763" s="19"/>
      <c r="W763" s="19"/>
      <c r="X763" s="19"/>
      <c r="Y763" s="19"/>
      <c r="Z763" s="19"/>
      <c r="AA763" s="19"/>
      <c r="AB763" s="19"/>
      <c r="AC763" s="19"/>
      <c r="AD763" s="19"/>
    </row>
    <row r="764" spans="1:30" ht="14.1" hidden="1" customHeight="1" outlineLevel="1" x14ac:dyDescent="0.2">
      <c r="A764" s="990"/>
      <c r="B764" s="19"/>
      <c r="C764" s="165"/>
      <c r="D764" s="57" t="s">
        <v>775</v>
      </c>
      <c r="E764" s="939">
        <v>0</v>
      </c>
      <c r="F764" s="939">
        <v>0</v>
      </c>
      <c r="G764" s="939">
        <v>0</v>
      </c>
      <c r="H764" s="939">
        <v>0</v>
      </c>
      <c r="I764" s="939">
        <v>0</v>
      </c>
      <c r="J764" s="939">
        <v>0</v>
      </c>
      <c r="K764" s="939">
        <v>0</v>
      </c>
      <c r="L764" s="939">
        <v>0</v>
      </c>
      <c r="M764" s="939">
        <v>0</v>
      </c>
      <c r="N764" s="939">
        <v>0</v>
      </c>
      <c r="O764" s="938"/>
      <c r="P764" s="13"/>
      <c r="Q764" s="19"/>
      <c r="R764" s="19"/>
      <c r="S764" s="19"/>
      <c r="T764" s="19"/>
      <c r="U764" s="19"/>
      <c r="V764" s="19"/>
      <c r="W764" s="19"/>
      <c r="X764" s="19"/>
      <c r="Y764" s="19"/>
      <c r="Z764" s="19"/>
      <c r="AA764" s="19"/>
      <c r="AB764" s="19"/>
      <c r="AC764" s="19"/>
      <c r="AD764" s="19"/>
    </row>
    <row r="765" spans="1:30" ht="14.1" hidden="1" customHeight="1" outlineLevel="1" x14ac:dyDescent="0.2">
      <c r="A765" s="990"/>
      <c r="B765" s="19"/>
      <c r="C765" s="165"/>
      <c r="D765" s="54" t="s">
        <v>776</v>
      </c>
      <c r="E765" s="914">
        <f t="shared" ref="E765:N765" si="292">SUM(E764*LocHM)</f>
        <v>0</v>
      </c>
      <c r="F765" s="914">
        <f t="shared" si="292"/>
        <v>0</v>
      </c>
      <c r="G765" s="914">
        <f t="shared" si="292"/>
        <v>0</v>
      </c>
      <c r="H765" s="914">
        <f t="shared" si="292"/>
        <v>0</v>
      </c>
      <c r="I765" s="914">
        <f t="shared" si="292"/>
        <v>0</v>
      </c>
      <c r="J765" s="914">
        <f t="shared" si="292"/>
        <v>0</v>
      </c>
      <c r="K765" s="914">
        <f t="shared" si="292"/>
        <v>0</v>
      </c>
      <c r="L765" s="914">
        <f t="shared" si="292"/>
        <v>0</v>
      </c>
      <c r="M765" s="914">
        <f t="shared" si="292"/>
        <v>0</v>
      </c>
      <c r="N765" s="914">
        <f t="shared" si="292"/>
        <v>0</v>
      </c>
      <c r="O765" s="938"/>
      <c r="P765" s="13"/>
      <c r="Q765" s="19"/>
      <c r="R765" s="19"/>
      <c r="S765" s="19"/>
      <c r="T765" s="19"/>
      <c r="U765" s="19"/>
      <c r="V765" s="19"/>
      <c r="W765" s="19"/>
      <c r="X765" s="19"/>
      <c r="Y765" s="19"/>
      <c r="Z765" s="19"/>
      <c r="AA765" s="19"/>
      <c r="AB765" s="19"/>
      <c r="AC765" s="19"/>
      <c r="AD765" s="19"/>
    </row>
    <row r="766" spans="1:30" ht="14.1" hidden="1" customHeight="1" outlineLevel="1" x14ac:dyDescent="0.2">
      <c r="A766" s="990"/>
      <c r="B766" s="19"/>
      <c r="C766" s="165"/>
      <c r="D766" s="54"/>
      <c r="E766" s="38"/>
      <c r="F766" s="38"/>
      <c r="G766" s="38"/>
      <c r="H766" s="38"/>
      <c r="I766" s="38"/>
      <c r="J766" s="38"/>
      <c r="K766" s="38"/>
      <c r="L766" s="38"/>
      <c r="M766" s="38"/>
      <c r="N766" s="38"/>
      <c r="O766" s="938"/>
      <c r="P766" s="13"/>
      <c r="Q766" s="19"/>
      <c r="R766" s="19"/>
      <c r="S766" s="19"/>
      <c r="T766" s="19"/>
      <c r="U766" s="19"/>
      <c r="V766" s="19"/>
      <c r="W766" s="19"/>
      <c r="X766" s="19"/>
      <c r="Y766" s="19"/>
      <c r="Z766" s="19"/>
      <c r="AA766" s="19"/>
      <c r="AB766" s="19"/>
      <c r="AC766" s="19"/>
      <c r="AD766" s="19"/>
    </row>
    <row r="767" spans="1:30" ht="14.1" hidden="1" customHeight="1" outlineLevel="1" x14ac:dyDescent="0.2">
      <c r="A767" s="990"/>
      <c r="B767" s="19"/>
      <c r="C767" s="165"/>
      <c r="D767" s="57" t="s">
        <v>999</v>
      </c>
      <c r="E767" s="939">
        <v>1</v>
      </c>
      <c r="F767" s="939">
        <v>1</v>
      </c>
      <c r="G767" s="939">
        <v>1</v>
      </c>
      <c r="H767" s="939">
        <v>1</v>
      </c>
      <c r="I767" s="939">
        <v>1</v>
      </c>
      <c r="J767" s="939">
        <v>1</v>
      </c>
      <c r="K767" s="939">
        <v>1</v>
      </c>
      <c r="L767" s="939">
        <v>1</v>
      </c>
      <c r="M767" s="939">
        <v>1</v>
      </c>
      <c r="N767" s="939">
        <v>1</v>
      </c>
      <c r="O767" s="271"/>
      <c r="P767" s="13"/>
      <c r="Q767" s="19"/>
      <c r="R767" s="19"/>
      <c r="S767" s="19"/>
      <c r="T767" s="19"/>
      <c r="U767" s="19"/>
      <c r="V767" s="19"/>
      <c r="W767" s="19"/>
      <c r="X767" s="19"/>
      <c r="Y767" s="19"/>
      <c r="Z767" s="19"/>
      <c r="AA767" s="19"/>
      <c r="AB767" s="19"/>
      <c r="AC767" s="19"/>
      <c r="AD767" s="19"/>
    </row>
    <row r="768" spans="1:30" ht="14.1" hidden="1" customHeight="1" outlineLevel="1" x14ac:dyDescent="0.2">
      <c r="A768" s="990"/>
      <c r="B768" s="19"/>
      <c r="C768" s="165"/>
      <c r="D768" s="54" t="s">
        <v>1000</v>
      </c>
      <c r="E768" s="914">
        <f t="shared" ref="E768:N768" si="293">SUM(E767*LocENG)</f>
        <v>1</v>
      </c>
      <c r="F768" s="914">
        <f t="shared" si="293"/>
        <v>1</v>
      </c>
      <c r="G768" s="914">
        <f t="shared" si="293"/>
        <v>1</v>
      </c>
      <c r="H768" s="914">
        <f t="shared" si="293"/>
        <v>1</v>
      </c>
      <c r="I768" s="914">
        <f t="shared" si="293"/>
        <v>1</v>
      </c>
      <c r="J768" s="914">
        <f t="shared" si="293"/>
        <v>1</v>
      </c>
      <c r="K768" s="914">
        <f t="shared" si="293"/>
        <v>1</v>
      </c>
      <c r="L768" s="914">
        <f t="shared" si="293"/>
        <v>1</v>
      </c>
      <c r="M768" s="914">
        <f t="shared" si="293"/>
        <v>1</v>
      </c>
      <c r="N768" s="914">
        <f t="shared" si="293"/>
        <v>1</v>
      </c>
      <c r="O768" s="271"/>
      <c r="P768" s="13"/>
      <c r="Q768" s="19"/>
      <c r="R768" s="19"/>
      <c r="S768" s="19"/>
      <c r="T768" s="19"/>
      <c r="U768" s="19"/>
      <c r="V768" s="19"/>
      <c r="W768" s="19"/>
      <c r="X768" s="19"/>
      <c r="Y768" s="19"/>
      <c r="Z768" s="19"/>
      <c r="AA768" s="19"/>
      <c r="AB768" s="19"/>
      <c r="AC768" s="19"/>
      <c r="AD768" s="19"/>
    </row>
    <row r="769" spans="1:30" ht="14.1" hidden="1" customHeight="1" outlineLevel="1" x14ac:dyDescent="0.2">
      <c r="A769" s="990"/>
      <c r="B769" s="19"/>
      <c r="C769" s="165"/>
      <c r="D769" s="54"/>
      <c r="E769" s="38"/>
      <c r="F769" s="38"/>
      <c r="G769" s="38"/>
      <c r="H769" s="38"/>
      <c r="I769" s="38"/>
      <c r="J769" s="38"/>
      <c r="K769" s="38"/>
      <c r="L769" s="38"/>
      <c r="M769" s="38"/>
      <c r="N769" s="38"/>
      <c r="O769" s="938"/>
      <c r="P769" s="13"/>
      <c r="Q769" s="19"/>
      <c r="R769" s="19"/>
      <c r="S769" s="19"/>
      <c r="T769" s="19"/>
      <c r="U769" s="19"/>
      <c r="V769" s="19"/>
      <c r="W769" s="19"/>
      <c r="X769" s="19"/>
      <c r="Y769" s="19"/>
      <c r="Z769" s="19"/>
      <c r="AA769" s="19"/>
      <c r="AB769" s="19"/>
      <c r="AC769" s="19"/>
      <c r="AD769" s="19"/>
    </row>
    <row r="770" spans="1:30" ht="14.1" hidden="1" customHeight="1" outlineLevel="1" x14ac:dyDescent="0.2">
      <c r="A770" s="990"/>
      <c r="B770" s="19"/>
      <c r="C770" s="165"/>
      <c r="D770" s="57" t="s">
        <v>1001</v>
      </c>
      <c r="E770" s="939">
        <v>1</v>
      </c>
      <c r="F770" s="939">
        <v>1</v>
      </c>
      <c r="G770" s="939">
        <v>1</v>
      </c>
      <c r="H770" s="939">
        <v>1</v>
      </c>
      <c r="I770" s="939">
        <v>1</v>
      </c>
      <c r="J770" s="939">
        <v>1</v>
      </c>
      <c r="K770" s="939">
        <v>1</v>
      </c>
      <c r="L770" s="939">
        <v>1</v>
      </c>
      <c r="M770" s="939">
        <v>1</v>
      </c>
      <c r="N770" s="939">
        <v>1</v>
      </c>
      <c r="O770" s="271"/>
      <c r="P770" s="13"/>
      <c r="Q770" s="19"/>
      <c r="R770" s="19"/>
      <c r="S770" s="19"/>
      <c r="T770" s="19"/>
      <c r="U770" s="19"/>
      <c r="V770" s="19"/>
      <c r="W770" s="19"/>
      <c r="X770" s="19"/>
      <c r="Y770" s="19"/>
      <c r="Z770" s="19"/>
      <c r="AA770" s="19"/>
      <c r="AB770" s="19"/>
      <c r="AC770" s="19"/>
      <c r="AD770" s="19"/>
    </row>
    <row r="771" spans="1:30" ht="14.1" hidden="1" customHeight="1" outlineLevel="1" x14ac:dyDescent="0.2">
      <c r="A771" s="990"/>
      <c r="B771" s="19"/>
      <c r="C771" s="165"/>
      <c r="D771" s="54" t="s">
        <v>1002</v>
      </c>
      <c r="E771" s="914">
        <f t="shared" ref="E771:N771" si="294">SUM(E770*LocPLG)</f>
        <v>1</v>
      </c>
      <c r="F771" s="914">
        <f t="shared" si="294"/>
        <v>1</v>
      </c>
      <c r="G771" s="914">
        <f t="shared" si="294"/>
        <v>1</v>
      </c>
      <c r="H771" s="914">
        <f t="shared" si="294"/>
        <v>1</v>
      </c>
      <c r="I771" s="914">
        <f t="shared" si="294"/>
        <v>1</v>
      </c>
      <c r="J771" s="914">
        <f t="shared" si="294"/>
        <v>1</v>
      </c>
      <c r="K771" s="914">
        <f t="shared" si="294"/>
        <v>1</v>
      </c>
      <c r="L771" s="914">
        <f t="shared" si="294"/>
        <v>1</v>
      </c>
      <c r="M771" s="914">
        <f t="shared" si="294"/>
        <v>1</v>
      </c>
      <c r="N771" s="914">
        <f t="shared" si="294"/>
        <v>1</v>
      </c>
      <c r="O771" s="271"/>
      <c r="P771" s="13"/>
      <c r="Q771" s="19"/>
      <c r="R771" s="19"/>
      <c r="S771" s="19"/>
      <c r="T771" s="19"/>
      <c r="U771" s="19"/>
      <c r="V771" s="19"/>
      <c r="W771" s="19"/>
      <c r="X771" s="19"/>
      <c r="Y771" s="19"/>
      <c r="Z771" s="19"/>
      <c r="AA771" s="19"/>
      <c r="AB771" s="19"/>
      <c r="AC771" s="19"/>
      <c r="AD771" s="19"/>
    </row>
    <row r="772" spans="1:30" ht="14.1" hidden="1" customHeight="1" outlineLevel="1" x14ac:dyDescent="0.2">
      <c r="A772" s="990"/>
      <c r="B772" s="19"/>
      <c r="C772" s="165"/>
      <c r="D772" s="54"/>
      <c r="E772" s="38"/>
      <c r="F772" s="38"/>
      <c r="G772" s="38"/>
      <c r="H772" s="38"/>
      <c r="I772" s="38"/>
      <c r="J772" s="38"/>
      <c r="K772" s="38"/>
      <c r="L772" s="38"/>
      <c r="M772" s="38"/>
      <c r="N772" s="38"/>
      <c r="O772" s="938"/>
      <c r="P772" s="13"/>
      <c r="Q772" s="19"/>
      <c r="R772" s="19"/>
      <c r="S772" s="19"/>
      <c r="T772" s="19"/>
      <c r="U772" s="19"/>
      <c r="V772" s="19"/>
      <c r="W772" s="19"/>
      <c r="X772" s="19"/>
      <c r="Y772" s="19"/>
      <c r="Z772" s="19"/>
      <c r="AA772" s="19"/>
      <c r="AB772" s="19"/>
      <c r="AC772" s="19"/>
      <c r="AD772" s="19"/>
    </row>
    <row r="773" spans="1:30" ht="14.1" hidden="1" customHeight="1" outlineLevel="1" x14ac:dyDescent="0.2">
      <c r="A773" s="990"/>
      <c r="B773" s="19"/>
      <c r="C773" s="165"/>
      <c r="D773" s="57" t="s">
        <v>665</v>
      </c>
      <c r="E773" s="939">
        <v>0</v>
      </c>
      <c r="F773" s="939">
        <v>0</v>
      </c>
      <c r="G773" s="939">
        <v>0</v>
      </c>
      <c r="H773" s="939">
        <v>0</v>
      </c>
      <c r="I773" s="939">
        <v>0</v>
      </c>
      <c r="J773" s="939">
        <v>0</v>
      </c>
      <c r="K773" s="939">
        <v>0</v>
      </c>
      <c r="L773" s="939">
        <v>0</v>
      </c>
      <c r="M773" s="939">
        <v>0</v>
      </c>
      <c r="N773" s="939">
        <v>0</v>
      </c>
      <c r="O773" s="271"/>
      <c r="P773" s="13"/>
      <c r="Q773" s="19"/>
      <c r="R773" s="19"/>
      <c r="S773" s="19"/>
      <c r="T773" s="19"/>
      <c r="U773" s="19"/>
      <c r="V773" s="19"/>
      <c r="W773" s="19"/>
      <c r="X773" s="19"/>
      <c r="Y773" s="19"/>
      <c r="Z773" s="19"/>
      <c r="AA773" s="19"/>
      <c r="AB773" s="19"/>
      <c r="AC773" s="19"/>
      <c r="AD773" s="19"/>
    </row>
    <row r="774" spans="1:30" ht="14.1" hidden="1" customHeight="1" outlineLevel="1" x14ac:dyDescent="0.2">
      <c r="A774" s="990"/>
      <c r="B774" s="19"/>
      <c r="C774" s="165"/>
      <c r="D774" s="54" t="s">
        <v>777</v>
      </c>
      <c r="E774" s="914">
        <f t="shared" ref="E774:N774" si="295">SUM(E773*LocCRT)</f>
        <v>0</v>
      </c>
      <c r="F774" s="914">
        <f t="shared" si="295"/>
        <v>0</v>
      </c>
      <c r="G774" s="914">
        <f t="shared" si="295"/>
        <v>0</v>
      </c>
      <c r="H774" s="914">
        <f t="shared" si="295"/>
        <v>0</v>
      </c>
      <c r="I774" s="914">
        <f t="shared" si="295"/>
        <v>0</v>
      </c>
      <c r="J774" s="914">
        <f t="shared" si="295"/>
        <v>0</v>
      </c>
      <c r="K774" s="914">
        <f t="shared" si="295"/>
        <v>0</v>
      </c>
      <c r="L774" s="914">
        <f t="shared" si="295"/>
        <v>0</v>
      </c>
      <c r="M774" s="914">
        <f t="shared" si="295"/>
        <v>0</v>
      </c>
      <c r="N774" s="914">
        <f t="shared" si="295"/>
        <v>0</v>
      </c>
      <c r="O774" s="271"/>
      <c r="P774" s="13"/>
      <c r="Q774" s="19"/>
      <c r="R774" s="19"/>
      <c r="S774" s="19"/>
      <c r="T774" s="19"/>
      <c r="U774" s="19"/>
      <c r="V774" s="19"/>
      <c r="W774" s="19"/>
      <c r="X774" s="19"/>
      <c r="Y774" s="19"/>
      <c r="Z774" s="19"/>
      <c r="AA774" s="19"/>
      <c r="AB774" s="19"/>
      <c r="AC774" s="19"/>
      <c r="AD774" s="19"/>
    </row>
    <row r="775" spans="1:30" s="7" customFormat="1" ht="14.1" hidden="1" customHeight="1" outlineLevel="1" x14ac:dyDescent="0.2">
      <c r="A775" s="990"/>
      <c r="B775" s="24"/>
      <c r="C775" s="284"/>
      <c r="D775" s="27"/>
      <c r="E775" s="940"/>
      <c r="F775" s="940"/>
      <c r="G775" s="940"/>
      <c r="H775" s="940"/>
      <c r="I775" s="940"/>
      <c r="J775" s="940"/>
      <c r="K775" s="940"/>
      <c r="L775" s="940"/>
      <c r="M775" s="940"/>
      <c r="N775" s="940"/>
      <c r="O775" s="289"/>
      <c r="P775" s="50"/>
      <c r="Q775" s="24"/>
      <c r="R775" s="24"/>
      <c r="S775" s="24"/>
      <c r="T775" s="24"/>
      <c r="U775" s="24"/>
      <c r="V775" s="24"/>
      <c r="W775" s="24"/>
      <c r="X775" s="24"/>
      <c r="Y775" s="24"/>
      <c r="Z775" s="24"/>
      <c r="AA775" s="24"/>
      <c r="AB775" s="24"/>
      <c r="AC775" s="24"/>
      <c r="AD775" s="24"/>
    </row>
    <row r="776" spans="1:30" s="7" customFormat="1" ht="14.1" hidden="1" customHeight="1" outlineLevel="1" x14ac:dyDescent="0.2">
      <c r="A776" s="990"/>
      <c r="B776" s="24"/>
      <c r="C776" s="165"/>
      <c r="D776" s="57" t="s">
        <v>778</v>
      </c>
      <c r="E776" s="939">
        <v>0</v>
      </c>
      <c r="F776" s="939">
        <v>0</v>
      </c>
      <c r="G776" s="939">
        <v>0</v>
      </c>
      <c r="H776" s="939">
        <v>0</v>
      </c>
      <c r="I776" s="939">
        <v>0</v>
      </c>
      <c r="J776" s="939">
        <v>0</v>
      </c>
      <c r="K776" s="939">
        <v>0</v>
      </c>
      <c r="L776" s="939">
        <v>0</v>
      </c>
      <c r="M776" s="939">
        <v>0</v>
      </c>
      <c r="N776" s="939">
        <v>0</v>
      </c>
      <c r="O776" s="941"/>
      <c r="P776" s="50"/>
      <c r="Q776" s="24"/>
      <c r="R776" s="24"/>
      <c r="S776" s="24"/>
      <c r="T776" s="24"/>
      <c r="U776" s="24"/>
      <c r="V776" s="24"/>
      <c r="W776" s="24"/>
      <c r="X776" s="24"/>
      <c r="Y776" s="24"/>
      <c r="Z776" s="24"/>
      <c r="AA776" s="24"/>
      <c r="AB776" s="24"/>
      <c r="AC776" s="24"/>
      <c r="AD776" s="24"/>
    </row>
    <row r="777" spans="1:30" ht="14.1" hidden="1" customHeight="1" outlineLevel="1" x14ac:dyDescent="0.2">
      <c r="A777" s="990"/>
      <c r="B777" s="19"/>
      <c r="C777" s="165"/>
      <c r="D777" s="54" t="s">
        <v>779</v>
      </c>
      <c r="E777" s="914">
        <f t="shared" ref="E777:N777" si="296">SUM(E776*LocSCL)</f>
        <v>0</v>
      </c>
      <c r="F777" s="914">
        <f t="shared" si="296"/>
        <v>0</v>
      </c>
      <c r="G777" s="914">
        <f t="shared" si="296"/>
        <v>0</v>
      </c>
      <c r="H777" s="914">
        <f t="shared" si="296"/>
        <v>0</v>
      </c>
      <c r="I777" s="914">
        <f t="shared" si="296"/>
        <v>0</v>
      </c>
      <c r="J777" s="914">
        <f t="shared" si="296"/>
        <v>0</v>
      </c>
      <c r="K777" s="914">
        <f t="shared" si="296"/>
        <v>0</v>
      </c>
      <c r="L777" s="914">
        <f t="shared" si="296"/>
        <v>0</v>
      </c>
      <c r="M777" s="914">
        <f t="shared" si="296"/>
        <v>0</v>
      </c>
      <c r="N777" s="914">
        <f t="shared" si="296"/>
        <v>0</v>
      </c>
      <c r="O777" s="938"/>
      <c r="P777" s="13"/>
      <c r="Q777" s="19"/>
      <c r="R777" s="19"/>
      <c r="S777" s="19"/>
      <c r="T777" s="19"/>
      <c r="U777" s="19"/>
      <c r="V777" s="19"/>
      <c r="W777" s="19"/>
      <c r="X777" s="19"/>
      <c r="Y777" s="19"/>
      <c r="Z777" s="19"/>
      <c r="AA777" s="19"/>
      <c r="AB777" s="19"/>
      <c r="AC777" s="19"/>
      <c r="AD777" s="19"/>
    </row>
    <row r="778" spans="1:30" s="7" customFormat="1" ht="14.1" hidden="1" customHeight="1" outlineLevel="1" x14ac:dyDescent="0.2">
      <c r="A778" s="990"/>
      <c r="B778" s="24"/>
      <c r="C778" s="284"/>
      <c r="D778" s="27"/>
      <c r="E778" s="940"/>
      <c r="F778" s="940"/>
      <c r="G778" s="940"/>
      <c r="H778" s="940"/>
      <c r="I778" s="940"/>
      <c r="J778" s="940"/>
      <c r="K778" s="940"/>
      <c r="L778" s="940"/>
      <c r="M778" s="940"/>
      <c r="N778" s="940"/>
      <c r="O778" s="289"/>
      <c r="P778" s="50"/>
      <c r="Q778" s="24"/>
      <c r="R778" s="24"/>
      <c r="S778" s="24"/>
      <c r="T778" s="24"/>
      <c r="U778" s="24"/>
      <c r="V778" s="24"/>
      <c r="W778" s="24"/>
      <c r="X778" s="24"/>
      <c r="Y778" s="24"/>
      <c r="Z778" s="24"/>
      <c r="AA778" s="24"/>
      <c r="AB778" s="24"/>
      <c r="AC778" s="24"/>
      <c r="AD778" s="24"/>
    </row>
    <row r="779" spans="1:30" s="7" customFormat="1" ht="14.1" hidden="1" customHeight="1" outlineLevel="1" x14ac:dyDescent="0.2">
      <c r="A779" s="990"/>
      <c r="B779" s="24"/>
      <c r="C779" s="165"/>
      <c r="D779" s="57" t="s">
        <v>780</v>
      </c>
      <c r="E779" s="939">
        <v>0</v>
      </c>
      <c r="F779" s="939">
        <v>0</v>
      </c>
      <c r="G779" s="939">
        <v>1</v>
      </c>
      <c r="H779" s="939">
        <v>1</v>
      </c>
      <c r="I779" s="939">
        <v>1</v>
      </c>
      <c r="J779" s="939">
        <v>1</v>
      </c>
      <c r="K779" s="939">
        <v>1</v>
      </c>
      <c r="L779" s="939">
        <v>1</v>
      </c>
      <c r="M779" s="939">
        <v>1</v>
      </c>
      <c r="N779" s="939">
        <v>1</v>
      </c>
      <c r="O779" s="941"/>
      <c r="P779" s="50"/>
      <c r="Q779" s="24"/>
      <c r="R779" s="24"/>
      <c r="S779" s="24"/>
      <c r="T779" s="24"/>
      <c r="U779" s="24"/>
      <c r="V779" s="24"/>
      <c r="W779" s="24"/>
      <c r="X779" s="24"/>
      <c r="Y779" s="24"/>
      <c r="Z779" s="24"/>
      <c r="AA779" s="24"/>
      <c r="AB779" s="24"/>
      <c r="AC779" s="24"/>
      <c r="AD779" s="24"/>
    </row>
    <row r="780" spans="1:30" ht="14.1" hidden="1" customHeight="1" outlineLevel="1" x14ac:dyDescent="0.2">
      <c r="A780" s="990"/>
      <c r="B780" s="19"/>
      <c r="C780" s="165"/>
      <c r="D780" s="54" t="s">
        <v>781</v>
      </c>
      <c r="E780" s="914">
        <f t="shared" ref="E780:N780" si="297">SUM(E779*LocQSC)</f>
        <v>0</v>
      </c>
      <c r="F780" s="914">
        <f t="shared" si="297"/>
        <v>0</v>
      </c>
      <c r="G780" s="914">
        <f t="shared" si="297"/>
        <v>1</v>
      </c>
      <c r="H780" s="914">
        <f t="shared" si="297"/>
        <v>1</v>
      </c>
      <c r="I780" s="914">
        <f t="shared" si="297"/>
        <v>1</v>
      </c>
      <c r="J780" s="914">
        <f t="shared" si="297"/>
        <v>1</v>
      </c>
      <c r="K780" s="914">
        <f t="shared" si="297"/>
        <v>1</v>
      </c>
      <c r="L780" s="914">
        <f t="shared" si="297"/>
        <v>1</v>
      </c>
      <c r="M780" s="914">
        <f t="shared" si="297"/>
        <v>1</v>
      </c>
      <c r="N780" s="914">
        <f t="shared" si="297"/>
        <v>1</v>
      </c>
      <c r="O780" s="938"/>
      <c r="P780" s="13"/>
      <c r="Q780" s="19"/>
      <c r="R780" s="19"/>
      <c r="S780" s="19"/>
      <c r="T780" s="19"/>
      <c r="U780" s="19"/>
      <c r="V780" s="19"/>
      <c r="W780" s="19"/>
      <c r="X780" s="19"/>
      <c r="Y780" s="19"/>
      <c r="Z780" s="19"/>
      <c r="AA780" s="19"/>
      <c r="AB780" s="19"/>
      <c r="AC780" s="19"/>
      <c r="AD780" s="19"/>
    </row>
    <row r="781" spans="1:30" s="7" customFormat="1" ht="14.1" hidden="1" customHeight="1" outlineLevel="1" x14ac:dyDescent="0.2">
      <c r="A781" s="990"/>
      <c r="B781" s="24"/>
      <c r="C781" s="284"/>
      <c r="D781" s="27"/>
      <c r="E781" s="940"/>
      <c r="F781" s="940"/>
      <c r="G781" s="940"/>
      <c r="H781" s="940"/>
      <c r="I781" s="940"/>
      <c r="J781" s="940"/>
      <c r="K781" s="940"/>
      <c r="L781" s="940"/>
      <c r="M781" s="940"/>
      <c r="N781" s="940"/>
      <c r="O781" s="289"/>
      <c r="P781" s="50"/>
      <c r="Q781" s="24"/>
      <c r="R781" s="24"/>
      <c r="S781" s="24"/>
      <c r="T781" s="24"/>
      <c r="U781" s="24"/>
      <c r="V781" s="24"/>
      <c r="W781" s="24"/>
      <c r="X781" s="24"/>
      <c r="Y781" s="24"/>
      <c r="Z781" s="24"/>
      <c r="AA781" s="24"/>
      <c r="AB781" s="24"/>
      <c r="AC781" s="24"/>
      <c r="AD781" s="24"/>
    </row>
    <row r="782" spans="1:30" s="7" customFormat="1" ht="14.1" hidden="1" customHeight="1" outlineLevel="1" x14ac:dyDescent="0.2">
      <c r="A782" s="990"/>
      <c r="B782" s="24"/>
      <c r="C782" s="165"/>
      <c r="D782" s="57" t="s">
        <v>782</v>
      </c>
      <c r="E782" s="939">
        <v>0</v>
      </c>
      <c r="F782" s="939">
        <v>0</v>
      </c>
      <c r="G782" s="939">
        <v>0</v>
      </c>
      <c r="H782" s="939">
        <v>0</v>
      </c>
      <c r="I782" s="939">
        <v>0</v>
      </c>
      <c r="J782" s="939">
        <v>0</v>
      </c>
      <c r="K782" s="939">
        <v>0</v>
      </c>
      <c r="L782" s="939">
        <v>0</v>
      </c>
      <c r="M782" s="939">
        <v>0</v>
      </c>
      <c r="N782" s="939">
        <v>0</v>
      </c>
      <c r="O782" s="941"/>
      <c r="P782" s="50"/>
      <c r="Q782" s="24"/>
      <c r="R782" s="24"/>
      <c r="S782" s="24"/>
      <c r="T782" s="24"/>
      <c r="U782" s="24"/>
      <c r="V782" s="24"/>
      <c r="W782" s="24"/>
      <c r="X782" s="24"/>
      <c r="Y782" s="24"/>
      <c r="Z782" s="24"/>
      <c r="AA782" s="24"/>
      <c r="AB782" s="24"/>
      <c r="AC782" s="24"/>
      <c r="AD782" s="24"/>
    </row>
    <row r="783" spans="1:30" ht="14.1" hidden="1" customHeight="1" outlineLevel="1" x14ac:dyDescent="0.2">
      <c r="A783" s="990"/>
      <c r="B783" s="19"/>
      <c r="C783" s="165"/>
      <c r="D783" s="54" t="s">
        <v>783</v>
      </c>
      <c r="E783" s="914">
        <f t="shared" ref="E783:N783" si="298">SUM(E782*LocEM)</f>
        <v>0</v>
      </c>
      <c r="F783" s="914">
        <f t="shared" si="298"/>
        <v>0</v>
      </c>
      <c r="G783" s="914">
        <f t="shared" si="298"/>
        <v>0</v>
      </c>
      <c r="H783" s="914">
        <f t="shared" si="298"/>
        <v>0</v>
      </c>
      <c r="I783" s="914">
        <f t="shared" si="298"/>
        <v>0</v>
      </c>
      <c r="J783" s="914">
        <f t="shared" si="298"/>
        <v>0</v>
      </c>
      <c r="K783" s="914">
        <f t="shared" si="298"/>
        <v>0</v>
      </c>
      <c r="L783" s="914">
        <f t="shared" si="298"/>
        <v>0</v>
      </c>
      <c r="M783" s="914">
        <f t="shared" si="298"/>
        <v>0</v>
      </c>
      <c r="N783" s="914">
        <f t="shared" si="298"/>
        <v>0</v>
      </c>
      <c r="O783" s="938"/>
      <c r="P783" s="13"/>
      <c r="Q783" s="19"/>
      <c r="R783" s="19"/>
      <c r="S783" s="19"/>
      <c r="T783" s="19"/>
      <c r="U783" s="19"/>
      <c r="V783" s="19"/>
      <c r="W783" s="19"/>
      <c r="X783" s="19"/>
      <c r="Y783" s="19"/>
      <c r="Z783" s="19"/>
      <c r="AA783" s="19"/>
      <c r="AB783" s="19"/>
      <c r="AC783" s="19"/>
      <c r="AD783" s="19"/>
    </row>
    <row r="784" spans="1:30" s="7" customFormat="1" ht="14.1" hidden="1" customHeight="1" outlineLevel="1" x14ac:dyDescent="0.2">
      <c r="A784" s="990"/>
      <c r="B784" s="24"/>
      <c r="C784" s="284"/>
      <c r="D784" s="27"/>
      <c r="E784" s="940"/>
      <c r="F784" s="940"/>
      <c r="G784" s="940"/>
      <c r="H784" s="940"/>
      <c r="I784" s="940"/>
      <c r="J784" s="940"/>
      <c r="K784" s="940"/>
      <c r="L784" s="940"/>
      <c r="M784" s="940"/>
      <c r="N784" s="940"/>
      <c r="O784" s="289"/>
      <c r="P784" s="50"/>
      <c r="Q784" s="24"/>
      <c r="R784" s="24"/>
      <c r="S784" s="24"/>
      <c r="T784" s="24"/>
      <c r="U784" s="24"/>
      <c r="V784" s="24"/>
      <c r="W784" s="24"/>
      <c r="X784" s="24"/>
      <c r="Y784" s="24"/>
      <c r="Z784" s="24"/>
      <c r="AA784" s="24"/>
      <c r="AB784" s="24"/>
      <c r="AC784" s="24"/>
      <c r="AD784" s="24"/>
    </row>
    <row r="785" spans="1:32" s="7" customFormat="1" ht="14.1" hidden="1" customHeight="1" outlineLevel="1" x14ac:dyDescent="0.2">
      <c r="A785" s="990"/>
      <c r="B785" s="24"/>
      <c r="C785" s="165"/>
      <c r="D785" s="57" t="s">
        <v>784</v>
      </c>
      <c r="E785" s="939">
        <v>0</v>
      </c>
      <c r="F785" s="939">
        <v>0</v>
      </c>
      <c r="G785" s="939">
        <v>0</v>
      </c>
      <c r="H785" s="939">
        <v>0</v>
      </c>
      <c r="I785" s="939">
        <v>0</v>
      </c>
      <c r="J785" s="939">
        <v>0</v>
      </c>
      <c r="K785" s="939">
        <v>0</v>
      </c>
      <c r="L785" s="939">
        <v>0</v>
      </c>
      <c r="M785" s="939">
        <v>0</v>
      </c>
      <c r="N785" s="939">
        <v>0</v>
      </c>
      <c r="O785" s="941"/>
      <c r="P785" s="50"/>
      <c r="Q785" s="24"/>
      <c r="R785" s="24"/>
      <c r="S785" s="24"/>
      <c r="T785" s="24"/>
      <c r="U785" s="24"/>
      <c r="V785" s="24"/>
      <c r="W785" s="24"/>
      <c r="X785" s="24"/>
      <c r="Y785" s="24"/>
      <c r="Z785" s="24"/>
      <c r="AA785" s="24"/>
      <c r="AB785" s="24"/>
      <c r="AC785" s="24"/>
      <c r="AD785" s="24"/>
    </row>
    <row r="786" spans="1:32" ht="14.1" hidden="1" customHeight="1" outlineLevel="1" x14ac:dyDescent="0.2">
      <c r="A786" s="990"/>
      <c r="B786" s="19"/>
      <c r="C786" s="165"/>
      <c r="D786" s="54" t="s">
        <v>785</v>
      </c>
      <c r="E786" s="914">
        <f t="shared" ref="E786:N786" si="299">SUM(E785*LocCM)</f>
        <v>0</v>
      </c>
      <c r="F786" s="914">
        <f t="shared" si="299"/>
        <v>0</v>
      </c>
      <c r="G786" s="914">
        <f t="shared" si="299"/>
        <v>0</v>
      </c>
      <c r="H786" s="914">
        <f t="shared" si="299"/>
        <v>0</v>
      </c>
      <c r="I786" s="914">
        <f t="shared" si="299"/>
        <v>0</v>
      </c>
      <c r="J786" s="914">
        <f t="shared" si="299"/>
        <v>0</v>
      </c>
      <c r="K786" s="914">
        <f t="shared" si="299"/>
        <v>0</v>
      </c>
      <c r="L786" s="914">
        <f t="shared" si="299"/>
        <v>0</v>
      </c>
      <c r="M786" s="914">
        <f t="shared" si="299"/>
        <v>0</v>
      </c>
      <c r="N786" s="914">
        <f t="shared" si="299"/>
        <v>0</v>
      </c>
      <c r="O786" s="938"/>
      <c r="P786" s="13"/>
      <c r="Q786" s="19"/>
      <c r="R786" s="19"/>
      <c r="S786" s="19"/>
      <c r="T786" s="19"/>
      <c r="U786" s="19"/>
      <c r="V786" s="19"/>
      <c r="W786" s="19"/>
      <c r="X786" s="19"/>
      <c r="Y786" s="19"/>
      <c r="Z786" s="19"/>
      <c r="AA786" s="19"/>
      <c r="AB786" s="19"/>
      <c r="AC786" s="19"/>
      <c r="AD786" s="19"/>
    </row>
    <row r="787" spans="1:32" s="7" customFormat="1" ht="14.1" hidden="1" customHeight="1" outlineLevel="1" x14ac:dyDescent="0.2">
      <c r="A787" s="990"/>
      <c r="B787" s="24"/>
      <c r="C787" s="284"/>
      <c r="D787" s="27"/>
      <c r="E787" s="940"/>
      <c r="F787" s="940"/>
      <c r="G787" s="940"/>
      <c r="H787" s="940"/>
      <c r="I787" s="940"/>
      <c r="J787" s="940"/>
      <c r="K787" s="940"/>
      <c r="L787" s="940"/>
      <c r="M787" s="940"/>
      <c r="N787" s="940"/>
      <c r="O787" s="289"/>
      <c r="P787" s="50"/>
      <c r="Q787" s="24"/>
      <c r="R787" s="24"/>
      <c r="S787" s="24"/>
      <c r="T787" s="24"/>
      <c r="U787" s="24"/>
      <c r="V787" s="24"/>
      <c r="W787" s="24"/>
      <c r="X787" s="24"/>
      <c r="Y787" s="24"/>
      <c r="Z787" s="24"/>
      <c r="AA787" s="24"/>
      <c r="AB787" s="24"/>
      <c r="AC787" s="24"/>
      <c r="AD787" s="24"/>
    </row>
    <row r="788" spans="1:32" s="7" customFormat="1" ht="14.1" hidden="1" customHeight="1" outlineLevel="1" x14ac:dyDescent="0.2">
      <c r="A788" s="990"/>
      <c r="B788" s="24"/>
      <c r="C788" s="165"/>
      <c r="D788" s="57" t="s">
        <v>786</v>
      </c>
      <c r="E788" s="939">
        <v>0</v>
      </c>
      <c r="F788" s="939">
        <v>0</v>
      </c>
      <c r="G788" s="939">
        <v>0</v>
      </c>
      <c r="H788" s="939">
        <v>0</v>
      </c>
      <c r="I788" s="939">
        <v>0</v>
      </c>
      <c r="J788" s="939">
        <v>0</v>
      </c>
      <c r="K788" s="939">
        <v>0</v>
      </c>
      <c r="L788" s="939">
        <v>0</v>
      </c>
      <c r="M788" s="939">
        <v>0</v>
      </c>
      <c r="N788" s="939">
        <v>0</v>
      </c>
      <c r="O788" s="941"/>
      <c r="P788" s="50"/>
      <c r="Q788" s="24"/>
      <c r="R788" s="24"/>
      <c r="S788" s="24"/>
      <c r="T788" s="24"/>
      <c r="U788" s="24"/>
      <c r="V788" s="24"/>
      <c r="W788" s="24"/>
      <c r="X788" s="24"/>
      <c r="Y788" s="24"/>
      <c r="Z788" s="24"/>
      <c r="AA788" s="24"/>
      <c r="AB788" s="24"/>
      <c r="AC788" s="24"/>
      <c r="AD788" s="24"/>
    </row>
    <row r="789" spans="1:32" ht="14.1" hidden="1" customHeight="1" outlineLevel="1" x14ac:dyDescent="0.2">
      <c r="A789" s="990"/>
      <c r="B789" s="19"/>
      <c r="C789" s="165"/>
      <c r="D789" s="54" t="s">
        <v>787</v>
      </c>
      <c r="E789" s="914">
        <f t="shared" ref="E789:N789" si="300">SUM(E788*LocSMCS)</f>
        <v>0</v>
      </c>
      <c r="F789" s="914">
        <f t="shared" si="300"/>
        <v>0</v>
      </c>
      <c r="G789" s="914">
        <f t="shared" si="300"/>
        <v>0</v>
      </c>
      <c r="H789" s="914">
        <f t="shared" si="300"/>
        <v>0</v>
      </c>
      <c r="I789" s="914">
        <f t="shared" si="300"/>
        <v>0</v>
      </c>
      <c r="J789" s="914">
        <f t="shared" si="300"/>
        <v>0</v>
      </c>
      <c r="K789" s="914">
        <f t="shared" si="300"/>
        <v>0</v>
      </c>
      <c r="L789" s="914">
        <f t="shared" si="300"/>
        <v>0</v>
      </c>
      <c r="M789" s="914">
        <f t="shared" si="300"/>
        <v>0</v>
      </c>
      <c r="N789" s="914">
        <f t="shared" si="300"/>
        <v>0</v>
      </c>
      <c r="O789" s="938"/>
      <c r="P789" s="13"/>
      <c r="Q789" s="19"/>
      <c r="R789" s="19"/>
      <c r="S789" s="19"/>
      <c r="T789" s="19"/>
      <c r="U789" s="19"/>
      <c r="V789" s="19"/>
      <c r="W789" s="19"/>
      <c r="X789" s="19"/>
      <c r="Y789" s="19"/>
      <c r="Z789" s="19"/>
      <c r="AA789" s="19"/>
      <c r="AB789" s="19"/>
      <c r="AC789" s="19"/>
      <c r="AD789" s="19"/>
    </row>
    <row r="790" spans="1:32" s="7" customFormat="1" ht="14.1" hidden="1" customHeight="1" outlineLevel="1" x14ac:dyDescent="0.2">
      <c r="A790" s="990"/>
      <c r="B790" s="24"/>
      <c r="C790" s="284"/>
      <c r="D790" s="27"/>
      <c r="E790" s="940"/>
      <c r="F790" s="940"/>
      <c r="G790" s="940"/>
      <c r="H790" s="940"/>
      <c r="I790" s="940"/>
      <c r="J790" s="940"/>
      <c r="K790" s="940"/>
      <c r="L790" s="940"/>
      <c r="M790" s="940"/>
      <c r="N790" s="940"/>
      <c r="O790" s="289"/>
      <c r="P790" s="50"/>
      <c r="Q790" s="24"/>
      <c r="R790" s="24"/>
      <c r="S790" s="24"/>
      <c r="T790" s="24"/>
      <c r="U790" s="24"/>
      <c r="V790" s="24"/>
      <c r="W790" s="24"/>
      <c r="X790" s="24"/>
      <c r="Y790" s="24"/>
      <c r="Z790" s="24"/>
      <c r="AA790" s="24"/>
      <c r="AB790" s="24"/>
      <c r="AC790" s="24"/>
      <c r="AD790" s="24"/>
    </row>
    <row r="791" spans="1:32" s="7" customFormat="1" ht="14.1" hidden="1" customHeight="1" outlineLevel="1" x14ac:dyDescent="0.2">
      <c r="A791" s="990"/>
      <c r="B791" s="24"/>
      <c r="C791" s="165"/>
      <c r="D791" s="57" t="s">
        <v>788</v>
      </c>
      <c r="E791" s="939"/>
      <c r="F791" s="939"/>
      <c r="G791" s="939"/>
      <c r="H791" s="939"/>
      <c r="I791" s="939"/>
      <c r="J791" s="939"/>
      <c r="K791" s="939"/>
      <c r="L791" s="939"/>
      <c r="M791" s="939"/>
      <c r="N791" s="939"/>
      <c r="O791" s="941"/>
      <c r="P791" s="50"/>
      <c r="Q791" s="24"/>
      <c r="R791" s="24"/>
      <c r="S791" s="24"/>
      <c r="T791" s="24"/>
      <c r="U791" s="24"/>
      <c r="V791" s="24"/>
      <c r="W791" s="24"/>
      <c r="X791" s="24"/>
      <c r="Y791" s="24"/>
      <c r="Z791" s="24"/>
      <c r="AA791" s="24"/>
      <c r="AB791" s="24"/>
      <c r="AC791" s="24"/>
      <c r="AD791" s="24"/>
    </row>
    <row r="792" spans="1:32" ht="14.1" hidden="1" customHeight="1" outlineLevel="1" x14ac:dyDescent="0.2">
      <c r="A792" s="990"/>
      <c r="B792" s="19"/>
      <c r="C792" s="165"/>
      <c r="D792" s="54" t="s">
        <v>789</v>
      </c>
      <c r="E792" s="914">
        <f t="shared" ref="E792:N792" si="301">SUM(E791*LocO1)</f>
        <v>0</v>
      </c>
      <c r="F792" s="914">
        <f t="shared" si="301"/>
        <v>0</v>
      </c>
      <c r="G792" s="914">
        <f t="shared" si="301"/>
        <v>0</v>
      </c>
      <c r="H792" s="914">
        <f t="shared" si="301"/>
        <v>0</v>
      </c>
      <c r="I792" s="914">
        <f t="shared" si="301"/>
        <v>0</v>
      </c>
      <c r="J792" s="914">
        <f t="shared" si="301"/>
        <v>0</v>
      </c>
      <c r="K792" s="914">
        <f t="shared" si="301"/>
        <v>0</v>
      </c>
      <c r="L792" s="914">
        <f t="shared" si="301"/>
        <v>0</v>
      </c>
      <c r="M792" s="914">
        <f t="shared" si="301"/>
        <v>0</v>
      </c>
      <c r="N792" s="914">
        <f t="shared" si="301"/>
        <v>0</v>
      </c>
      <c r="O792" s="938"/>
      <c r="P792" s="13"/>
      <c r="Q792" s="19"/>
      <c r="R792" s="19"/>
      <c r="S792" s="19"/>
      <c r="T792" s="19"/>
      <c r="U792" s="19"/>
      <c r="V792" s="19"/>
      <c r="W792" s="19"/>
      <c r="X792" s="19"/>
      <c r="Y792" s="19"/>
      <c r="Z792" s="19"/>
      <c r="AA792" s="19"/>
      <c r="AB792" s="19"/>
      <c r="AC792" s="19"/>
      <c r="AD792" s="19"/>
    </row>
    <row r="793" spans="1:32" s="7" customFormat="1" ht="14.1" hidden="1" customHeight="1" outlineLevel="1" x14ac:dyDescent="0.2">
      <c r="A793" s="990"/>
      <c r="B793" s="24"/>
      <c r="C793" s="284"/>
      <c r="D793" s="27"/>
      <c r="E793" s="940"/>
      <c r="F793" s="940"/>
      <c r="G793" s="940"/>
      <c r="H793" s="940"/>
      <c r="I793" s="940"/>
      <c r="J793" s="940"/>
      <c r="K793" s="940"/>
      <c r="L793" s="940"/>
      <c r="M793" s="940"/>
      <c r="N793" s="940"/>
      <c r="O793" s="289"/>
      <c r="P793" s="50"/>
      <c r="Q793" s="24"/>
      <c r="R793" s="24"/>
      <c r="S793" s="24"/>
      <c r="T793" s="24"/>
      <c r="U793" s="24"/>
      <c r="V793" s="24"/>
      <c r="W793" s="24"/>
      <c r="X793" s="24"/>
      <c r="Y793" s="24"/>
      <c r="Z793" s="24"/>
      <c r="AA793" s="24"/>
      <c r="AB793" s="24"/>
      <c r="AC793" s="24"/>
      <c r="AD793" s="24"/>
    </row>
    <row r="794" spans="1:32" s="7" customFormat="1" ht="14.1" hidden="1" customHeight="1" outlineLevel="1" x14ac:dyDescent="0.2">
      <c r="A794" s="990"/>
      <c r="B794" s="24"/>
      <c r="C794" s="165"/>
      <c r="D794" s="57" t="s">
        <v>790</v>
      </c>
      <c r="E794" s="939"/>
      <c r="F794" s="939"/>
      <c r="G794" s="939"/>
      <c r="H794" s="939"/>
      <c r="I794" s="939"/>
      <c r="J794" s="939"/>
      <c r="K794" s="939"/>
      <c r="L794" s="939"/>
      <c r="M794" s="939"/>
      <c r="N794" s="939"/>
      <c r="O794" s="941"/>
      <c r="P794" s="50"/>
      <c r="Q794" s="24"/>
      <c r="R794" s="24"/>
      <c r="S794" s="24"/>
      <c r="T794" s="24"/>
      <c r="U794" s="24"/>
      <c r="V794" s="24"/>
      <c r="W794" s="24"/>
      <c r="X794" s="24"/>
      <c r="Y794" s="24"/>
      <c r="Z794" s="24"/>
      <c r="AA794" s="24"/>
      <c r="AB794" s="24"/>
      <c r="AC794" s="24"/>
      <c r="AD794" s="24"/>
    </row>
    <row r="795" spans="1:32" ht="14.1" hidden="1" customHeight="1" outlineLevel="1" x14ac:dyDescent="0.2">
      <c r="A795" s="990"/>
      <c r="B795" s="19"/>
      <c r="C795" s="165"/>
      <c r="D795" s="54" t="s">
        <v>791</v>
      </c>
      <c r="E795" s="914">
        <f t="shared" ref="E795:N795" si="302">SUM(E794*LocO2)</f>
        <v>0</v>
      </c>
      <c r="F795" s="914">
        <f t="shared" si="302"/>
        <v>0</v>
      </c>
      <c r="G795" s="914">
        <f t="shared" si="302"/>
        <v>0</v>
      </c>
      <c r="H795" s="914">
        <f t="shared" si="302"/>
        <v>0</v>
      </c>
      <c r="I795" s="914">
        <f t="shared" si="302"/>
        <v>0</v>
      </c>
      <c r="J795" s="914">
        <f t="shared" si="302"/>
        <v>0</v>
      </c>
      <c r="K795" s="914">
        <f t="shared" si="302"/>
        <v>0</v>
      </c>
      <c r="L795" s="914">
        <f t="shared" si="302"/>
        <v>0</v>
      </c>
      <c r="M795" s="914">
        <f t="shared" si="302"/>
        <v>0</v>
      </c>
      <c r="N795" s="914">
        <f t="shared" si="302"/>
        <v>0</v>
      </c>
      <c r="O795" s="938"/>
      <c r="P795" s="13"/>
      <c r="Q795" s="19"/>
      <c r="R795" s="19"/>
      <c r="S795" s="19"/>
      <c r="T795" s="19"/>
      <c r="U795" s="19"/>
      <c r="V795" s="19"/>
      <c r="W795" s="19"/>
      <c r="X795" s="19"/>
      <c r="Y795" s="19"/>
      <c r="Z795" s="19"/>
      <c r="AA795" s="19"/>
      <c r="AB795" s="19"/>
      <c r="AC795" s="19"/>
      <c r="AD795" s="19"/>
    </row>
    <row r="796" spans="1:32" ht="14.1" hidden="1" customHeight="1" outlineLevel="1" x14ac:dyDescent="0.2">
      <c r="A796" s="990"/>
      <c r="B796" s="19"/>
      <c r="C796" s="290"/>
      <c r="D796" s="38"/>
      <c r="E796" s="38"/>
      <c r="F796" s="38"/>
      <c r="G796" s="38"/>
      <c r="H796" s="13"/>
      <c r="I796" s="13"/>
      <c r="J796" s="13"/>
      <c r="K796" s="13"/>
      <c r="L796" s="13"/>
      <c r="M796" s="13"/>
      <c r="N796" s="13"/>
      <c r="O796" s="897"/>
      <c r="P796" s="13"/>
      <c r="Q796" s="19"/>
      <c r="R796" s="19"/>
      <c r="S796" s="19"/>
      <c r="T796" s="19"/>
      <c r="U796" s="19"/>
      <c r="V796" s="19"/>
      <c r="W796" s="19"/>
      <c r="X796" s="19"/>
      <c r="Y796" s="19"/>
      <c r="Z796" s="19"/>
      <c r="AA796" s="19"/>
      <c r="AB796" s="19"/>
      <c r="AC796" s="19"/>
      <c r="AD796" s="19"/>
    </row>
    <row r="797" spans="1:32" ht="14.1" hidden="1" customHeight="1" outlineLevel="1" x14ac:dyDescent="0.2">
      <c r="A797" s="990"/>
      <c r="B797" s="19"/>
      <c r="C797" s="270"/>
      <c r="D797" s="923" t="s">
        <v>144</v>
      </c>
      <c r="E797" s="292">
        <f t="shared" ref="E797:N797" si="303">SUM(E795+E792+E789+E786+E783+E780+E777+E774+E771+E765+E762+E759)*eSystemsCompactusArea_Each</f>
        <v>20</v>
      </c>
      <c r="F797" s="292">
        <f t="shared" si="303"/>
        <v>20</v>
      </c>
      <c r="G797" s="292">
        <f t="shared" si="303"/>
        <v>40</v>
      </c>
      <c r="H797" s="292">
        <f t="shared" si="303"/>
        <v>40</v>
      </c>
      <c r="I797" s="292">
        <f t="shared" si="303"/>
        <v>40</v>
      </c>
      <c r="J797" s="292">
        <f t="shared" si="303"/>
        <v>40</v>
      </c>
      <c r="K797" s="292">
        <f t="shared" si="303"/>
        <v>40</v>
      </c>
      <c r="L797" s="292">
        <f t="shared" si="303"/>
        <v>40</v>
      </c>
      <c r="M797" s="292">
        <f t="shared" si="303"/>
        <v>40</v>
      </c>
      <c r="N797" s="292">
        <f t="shared" si="303"/>
        <v>40</v>
      </c>
      <c r="O797" s="257" t="s">
        <v>767</v>
      </c>
      <c r="P797" s="13"/>
      <c r="Q797" s="19"/>
      <c r="R797" s="19"/>
      <c r="S797" s="19"/>
      <c r="T797" s="19"/>
      <c r="U797" s="19"/>
      <c r="V797" s="19"/>
      <c r="W797" s="19"/>
      <c r="X797" s="19"/>
      <c r="Y797" s="19"/>
      <c r="Z797" s="19"/>
      <c r="AA797" s="19"/>
      <c r="AB797" s="19"/>
      <c r="AC797" s="19"/>
      <c r="AD797" s="19"/>
    </row>
    <row r="798" spans="1:32" ht="14.1" hidden="1" customHeight="1" outlineLevel="1" thickBot="1" x14ac:dyDescent="0.25">
      <c r="A798" s="990"/>
      <c r="B798" s="19"/>
      <c r="C798" s="298"/>
      <c r="D798" s="511"/>
      <c r="E798" s="512"/>
      <c r="F798" s="512"/>
      <c r="G798" s="512"/>
      <c r="H798" s="512"/>
      <c r="I798" s="512"/>
      <c r="J798" s="512"/>
      <c r="K798" s="512"/>
      <c r="L798" s="512"/>
      <c r="M798" s="512"/>
      <c r="N798" s="512"/>
      <c r="O798" s="810"/>
      <c r="P798" s="13"/>
      <c r="Q798" s="19"/>
      <c r="R798" s="19"/>
      <c r="S798" s="19"/>
      <c r="T798" s="19"/>
      <c r="U798" s="19"/>
      <c r="V798" s="19"/>
      <c r="W798" s="19"/>
      <c r="X798" s="19"/>
      <c r="Y798" s="19"/>
      <c r="Z798" s="19"/>
      <c r="AA798" s="19"/>
      <c r="AB798" s="19"/>
      <c r="AC798" s="19"/>
      <c r="AD798" s="19"/>
    </row>
    <row r="799" spans="1:32" ht="14.1" hidden="1" customHeight="1" outlineLevel="1" x14ac:dyDescent="0.2">
      <c r="A799" s="113"/>
      <c r="B799" s="113"/>
      <c r="C799" s="13"/>
      <c r="D799" s="38"/>
      <c r="E799" s="13"/>
      <c r="F799" s="13"/>
      <c r="G799" s="13"/>
      <c r="H799" s="13"/>
      <c r="I799" s="13"/>
      <c r="J799" s="13"/>
      <c r="K799" s="13"/>
      <c r="L799" s="13"/>
      <c r="M799" s="13"/>
      <c r="N799" s="13"/>
      <c r="O799" s="494"/>
      <c r="P799" s="13"/>
      <c r="Q799" s="19"/>
      <c r="R799" s="19"/>
      <c r="S799" s="19"/>
      <c r="T799" s="19"/>
      <c r="U799" s="19"/>
      <c r="V799" s="19"/>
      <c r="W799" s="19"/>
      <c r="X799" s="19"/>
      <c r="Y799" s="19"/>
      <c r="Z799" s="19"/>
      <c r="AA799" s="19"/>
      <c r="AB799" s="19"/>
      <c r="AC799" s="19"/>
      <c r="AD799" s="19"/>
    </row>
    <row r="800" spans="1:32" s="122" customFormat="1" ht="15.75" collapsed="1" x14ac:dyDescent="0.2">
      <c r="A800" s="1043">
        <v>13</v>
      </c>
      <c r="B800" s="1039"/>
      <c r="C800" s="1039"/>
      <c r="D800" s="1039"/>
      <c r="E800" s="1039"/>
      <c r="F800" s="1039"/>
      <c r="G800" s="1039"/>
      <c r="H800" s="1039"/>
      <c r="I800" s="1039"/>
      <c r="J800" s="1039"/>
      <c r="K800" s="1039"/>
      <c r="L800" s="1039"/>
      <c r="M800" s="1039"/>
      <c r="N800" s="1039"/>
      <c r="O800" s="1039"/>
      <c r="P800" s="206"/>
      <c r="Q800" s="206"/>
      <c r="R800" s="206"/>
      <c r="S800" s="206"/>
      <c r="T800" s="206"/>
      <c r="U800" s="206"/>
      <c r="V800" s="206"/>
      <c r="W800" s="206"/>
      <c r="X800" s="206"/>
      <c r="Y800" s="206"/>
      <c r="Z800" s="206"/>
      <c r="AA800" s="206"/>
      <c r="AB800" s="206"/>
      <c r="AC800" s="206"/>
      <c r="AD800" s="206"/>
      <c r="AE800" s="206"/>
      <c r="AF800" s="206"/>
    </row>
    <row r="801" spans="1:30" ht="13.5" thickBot="1" x14ac:dyDescent="0.25">
      <c r="P801" s="802"/>
    </row>
    <row r="802" spans="1:30" s="18" customFormat="1" ht="20.100000000000001" customHeight="1" x14ac:dyDescent="0.2">
      <c r="A802" s="1397" t="s">
        <v>4302</v>
      </c>
      <c r="B802" s="267"/>
      <c r="C802" s="968" t="s">
        <v>4301</v>
      </c>
      <c r="D802" s="23"/>
      <c r="E802" s="23"/>
      <c r="F802" s="23"/>
      <c r="G802" s="23"/>
      <c r="H802" s="23"/>
      <c r="I802" s="23"/>
      <c r="J802" s="23"/>
      <c r="K802" s="23"/>
      <c r="L802" s="23"/>
      <c r="M802" s="23"/>
      <c r="N802" s="23"/>
      <c r="O802" s="23"/>
      <c r="P802" s="12"/>
      <c r="Q802" s="12"/>
    </row>
    <row r="803" spans="1:30" s="18" customFormat="1" ht="12" customHeight="1" x14ac:dyDescent="0.2">
      <c r="A803" s="1398"/>
      <c r="B803" s="267"/>
      <c r="C803" s="267"/>
      <c r="D803" s="30"/>
      <c r="E803" s="23"/>
      <c r="F803" s="23"/>
      <c r="G803" s="23"/>
      <c r="H803" s="23"/>
      <c r="I803" s="23"/>
      <c r="J803" s="23"/>
      <c r="K803" s="23"/>
      <c r="L803" s="23"/>
      <c r="M803" s="23"/>
      <c r="N803" s="23"/>
      <c r="O803" s="23"/>
      <c r="P803" s="12"/>
      <c r="Q803" s="12"/>
    </row>
    <row r="804" spans="1:30" s="18" customFormat="1" ht="20.25" customHeight="1" x14ac:dyDescent="0.2">
      <c r="A804" s="1399"/>
      <c r="B804" s="267"/>
      <c r="C804" s="267"/>
      <c r="D804" s="30"/>
      <c r="E804" s="23"/>
      <c r="F804" s="23"/>
      <c r="G804" s="23"/>
      <c r="H804" s="23"/>
      <c r="I804" s="23"/>
      <c r="J804" s="23"/>
      <c r="K804" s="23"/>
      <c r="L804" s="23"/>
      <c r="M804" s="23"/>
      <c r="N804" s="23"/>
      <c r="O804" s="23"/>
      <c r="P804" s="12"/>
      <c r="Q804" s="12"/>
    </row>
    <row r="805" spans="1:30" ht="14.1" customHeight="1" x14ac:dyDescent="0.2">
      <c r="A805" s="113"/>
      <c r="B805" s="113"/>
      <c r="C805" s="13"/>
      <c r="D805" s="38"/>
      <c r="E805" s="13"/>
      <c r="F805" s="13"/>
      <c r="G805" s="13"/>
      <c r="H805" s="13"/>
      <c r="I805" s="13"/>
      <c r="J805" s="13"/>
      <c r="K805" s="13"/>
      <c r="L805" s="13"/>
      <c r="M805" s="13"/>
      <c r="N805" s="13"/>
      <c r="O805" s="494"/>
      <c r="P805" s="13"/>
      <c r="Q805" s="19"/>
      <c r="R805" s="19"/>
      <c r="S805" s="19"/>
      <c r="T805" s="19"/>
      <c r="U805" s="19"/>
      <c r="V805" s="19"/>
      <c r="W805" s="19"/>
      <c r="X805" s="19"/>
      <c r="Y805" s="19"/>
      <c r="Z805" s="19"/>
      <c r="AA805" s="19"/>
      <c r="AB805" s="19"/>
      <c r="AC805" s="19"/>
      <c r="AD805" s="19"/>
    </row>
    <row r="806" spans="1:30" s="41" customFormat="1" ht="13.5" hidden="1" outlineLevel="1" thickBot="1" x14ac:dyDescent="0.25">
      <c r="A806" s="113"/>
      <c r="B806" s="924"/>
      <c r="C806" s="30"/>
      <c r="D806" s="30"/>
      <c r="E806" s="30"/>
      <c r="F806" s="30"/>
      <c r="G806" s="30"/>
      <c r="H806" s="30"/>
      <c r="I806" s="30"/>
      <c r="J806" s="30"/>
      <c r="K806" s="30"/>
      <c r="L806" s="30"/>
      <c r="M806" s="30"/>
      <c r="N806" s="30"/>
      <c r="O806" s="494"/>
      <c r="P806" s="38"/>
    </row>
    <row r="807" spans="1:30" s="41" customFormat="1" ht="20.100000000000001" hidden="1" customHeight="1" outlineLevel="1" x14ac:dyDescent="0.2">
      <c r="A807" s="1397" t="s">
        <v>4303</v>
      </c>
      <c r="B807" s="924"/>
      <c r="C807" s="968" t="s">
        <v>4304</v>
      </c>
      <c r="D807" s="804"/>
      <c r="E807" s="804"/>
      <c r="F807" s="804"/>
      <c r="G807" s="804"/>
      <c r="H807" s="804"/>
      <c r="I807" s="804"/>
      <c r="J807" s="804"/>
      <c r="K807" s="804"/>
      <c r="L807" s="804"/>
      <c r="M807" s="804"/>
      <c r="N807" s="804"/>
      <c r="O807" s="909"/>
      <c r="P807" s="38"/>
    </row>
    <row r="808" spans="1:30" s="41" customFormat="1" hidden="1" outlineLevel="1" x14ac:dyDescent="0.2">
      <c r="A808" s="1398"/>
      <c r="B808" s="924"/>
      <c r="C808" s="256"/>
      <c r="D808" s="947" t="s">
        <v>147</v>
      </c>
      <c r="E808" s="948">
        <f t="shared" ref="E808:N808" si="304">SUM(pSystemsPrintRoomArea_Total+pSystemsFilingCabinetArea_Total+pSystemsCompactusArea_Total)</f>
        <v>1650</v>
      </c>
      <c r="F808" s="948">
        <f t="shared" si="304"/>
        <v>1735</v>
      </c>
      <c r="G808" s="948">
        <f t="shared" si="304"/>
        <v>1735</v>
      </c>
      <c r="H808" s="948">
        <f t="shared" si="304"/>
        <v>1735</v>
      </c>
      <c r="I808" s="948">
        <f t="shared" si="304"/>
        <v>1735</v>
      </c>
      <c r="J808" s="948">
        <f t="shared" si="304"/>
        <v>1735</v>
      </c>
      <c r="K808" s="948">
        <f t="shared" si="304"/>
        <v>1735</v>
      </c>
      <c r="L808" s="948">
        <f t="shared" si="304"/>
        <v>1735</v>
      </c>
      <c r="M808" s="948">
        <f t="shared" si="304"/>
        <v>1735</v>
      </c>
      <c r="N808" s="948">
        <f t="shared" si="304"/>
        <v>1735</v>
      </c>
      <c r="O808" s="257" t="s">
        <v>794</v>
      </c>
      <c r="P808" s="38"/>
    </row>
    <row r="809" spans="1:30" s="41" customFormat="1" hidden="1" outlineLevel="1" x14ac:dyDescent="0.2">
      <c r="A809" s="1398"/>
      <c r="B809" s="924"/>
      <c r="C809" s="256"/>
      <c r="D809" s="921" t="s">
        <v>146</v>
      </c>
      <c r="E809" s="948">
        <f t="shared" ref="E809:N809" si="305">SUM(hSystemsPrintRoomArea_Total+hSystemsFilingCabinetArea_Total+hSystemsCompactusArea_Total)</f>
        <v>1464</v>
      </c>
      <c r="F809" s="948">
        <f t="shared" si="305"/>
        <v>1540</v>
      </c>
      <c r="G809" s="948">
        <f t="shared" si="305"/>
        <v>1540</v>
      </c>
      <c r="H809" s="948">
        <f t="shared" si="305"/>
        <v>1540</v>
      </c>
      <c r="I809" s="948">
        <f t="shared" si="305"/>
        <v>1540</v>
      </c>
      <c r="J809" s="948">
        <f t="shared" si="305"/>
        <v>1540</v>
      </c>
      <c r="K809" s="948">
        <f t="shared" si="305"/>
        <v>1540</v>
      </c>
      <c r="L809" s="948">
        <f t="shared" si="305"/>
        <v>1540</v>
      </c>
      <c r="M809" s="948">
        <f t="shared" si="305"/>
        <v>1540</v>
      </c>
      <c r="N809" s="948">
        <f t="shared" si="305"/>
        <v>1540</v>
      </c>
      <c r="O809" s="257" t="s">
        <v>795</v>
      </c>
      <c r="P809" s="38"/>
    </row>
    <row r="810" spans="1:30" s="41" customFormat="1" hidden="1" outlineLevel="1" x14ac:dyDescent="0.2">
      <c r="A810" s="1398"/>
      <c r="B810" s="924"/>
      <c r="C810" s="256"/>
      <c r="D810" s="923" t="s">
        <v>145</v>
      </c>
      <c r="E810" s="948">
        <f t="shared" ref="E810:N810" si="306">SUM(eSystemsPrintRoomArea_Total+eSystemsFilingCabinetArea_Total+eSystemsCompactusArea_Total)</f>
        <v>500.75</v>
      </c>
      <c r="F810" s="948">
        <f t="shared" si="306"/>
        <v>521.75</v>
      </c>
      <c r="G810" s="948">
        <f t="shared" si="306"/>
        <v>541.75</v>
      </c>
      <c r="H810" s="948">
        <f t="shared" si="306"/>
        <v>541.75</v>
      </c>
      <c r="I810" s="948">
        <f t="shared" si="306"/>
        <v>541.75</v>
      </c>
      <c r="J810" s="948">
        <f t="shared" si="306"/>
        <v>541.75</v>
      </c>
      <c r="K810" s="948">
        <f t="shared" si="306"/>
        <v>541.75</v>
      </c>
      <c r="L810" s="948">
        <f t="shared" si="306"/>
        <v>541.75</v>
      </c>
      <c r="M810" s="948">
        <f t="shared" si="306"/>
        <v>541.75</v>
      </c>
      <c r="N810" s="948">
        <f t="shared" si="306"/>
        <v>541.75</v>
      </c>
      <c r="O810" s="257" t="s">
        <v>796</v>
      </c>
      <c r="P810" s="38"/>
    </row>
    <row r="811" spans="1:30" s="41" customFormat="1" ht="13.5" hidden="1" outlineLevel="1" thickBot="1" x14ac:dyDescent="0.25">
      <c r="A811" s="1399"/>
      <c r="B811" s="113"/>
      <c r="C811" s="170"/>
      <c r="D811" s="278"/>
      <c r="E811" s="278"/>
      <c r="F811" s="278"/>
      <c r="G811" s="278"/>
      <c r="H811" s="278"/>
      <c r="I811" s="278"/>
      <c r="J811" s="278"/>
      <c r="K811" s="278"/>
      <c r="L811" s="278"/>
      <c r="M811" s="278"/>
      <c r="N811" s="278"/>
      <c r="O811" s="643"/>
      <c r="P811" s="38"/>
    </row>
    <row r="812" spans="1:30" s="116" customFormat="1" ht="14.1" hidden="1" customHeight="1" outlineLevel="1" thickBot="1" x14ac:dyDescent="0.25">
      <c r="A812" s="114"/>
      <c r="B812" s="113"/>
      <c r="C812" s="117"/>
      <c r="D812" s="113"/>
      <c r="E812" s="113"/>
      <c r="F812" s="113"/>
      <c r="G812" s="113"/>
      <c r="H812" s="113"/>
      <c r="I812" s="113"/>
      <c r="J812" s="113"/>
      <c r="K812" s="113"/>
      <c r="L812" s="113"/>
      <c r="M812" s="113"/>
      <c r="N812" s="113"/>
      <c r="O812" s="673"/>
      <c r="P812" s="113"/>
      <c r="Q812" s="114"/>
      <c r="R812" s="114"/>
      <c r="S812" s="114"/>
      <c r="T812" s="114"/>
      <c r="U812" s="114"/>
      <c r="V812" s="114"/>
      <c r="W812" s="114"/>
      <c r="X812" s="114"/>
      <c r="Y812" s="114"/>
      <c r="Z812" s="114"/>
      <c r="AA812" s="114"/>
      <c r="AB812" s="114"/>
      <c r="AC812" s="114"/>
      <c r="AD812" s="114"/>
    </row>
    <row r="813" spans="1:30" s="183" customFormat="1" ht="23.25" hidden="1" customHeight="1" outlineLevel="1" x14ac:dyDescent="0.2">
      <c r="A813" s="1397" t="s">
        <v>4305</v>
      </c>
      <c r="B813" s="181"/>
      <c r="C813" s="968" t="s">
        <v>186</v>
      </c>
      <c r="D813" s="970"/>
      <c r="E813" s="971"/>
      <c r="F813" s="971"/>
      <c r="G813" s="971"/>
      <c r="H813" s="971"/>
      <c r="I813" s="971"/>
      <c r="J813" s="971"/>
      <c r="K813" s="971"/>
      <c r="L813" s="971"/>
      <c r="M813" s="971"/>
      <c r="N813" s="971"/>
      <c r="O813" s="972"/>
      <c r="P813" s="181"/>
      <c r="Q813" s="182"/>
      <c r="R813" s="182"/>
      <c r="S813" s="182"/>
      <c r="T813" s="182"/>
      <c r="U813" s="182"/>
      <c r="V813" s="182"/>
      <c r="W813" s="182"/>
      <c r="X813" s="182"/>
      <c r="Y813" s="182"/>
      <c r="Z813" s="182"/>
      <c r="AA813" s="182"/>
      <c r="AB813" s="182"/>
      <c r="AC813" s="182"/>
      <c r="AD813" s="182"/>
    </row>
    <row r="814" spans="1:30" s="114" customFormat="1" hidden="1" outlineLevel="1" x14ac:dyDescent="0.2">
      <c r="A814" s="1398"/>
      <c r="B814" s="911"/>
      <c r="C814" s="514"/>
      <c r="D814" s="294"/>
      <c r="E814" s="969">
        <f>OfficeLeaseRate</f>
        <v>150</v>
      </c>
      <c r="F814" s="969">
        <f>OfficeLeaseRate*(1+Inflation)</f>
        <v>153</v>
      </c>
      <c r="G814" s="969">
        <f>OfficeLeaseRate*(1+Inflation)^2</f>
        <v>156.06</v>
      </c>
      <c r="H814" s="969">
        <f>OfficeLeaseRate*(1+Inflation)^3</f>
        <v>159.18119999999999</v>
      </c>
      <c r="I814" s="969">
        <f>OfficeLeaseRate*(1+Inflation)^4</f>
        <v>162.364824</v>
      </c>
      <c r="J814" s="969">
        <f>OfficeLeaseRate*(1+Inflation)^5</f>
        <v>165.61212048000002</v>
      </c>
      <c r="K814" s="969">
        <f>OfficeLeaseRate*(1+Inflation)^6</f>
        <v>168.92436288960002</v>
      </c>
      <c r="L814" s="969">
        <f>OfficeLeaseRate*(1+Inflation)^7</f>
        <v>172.30285014739198</v>
      </c>
      <c r="M814" s="969">
        <f>OfficeLeaseRate*(1+Inflation)^8</f>
        <v>175.74890715033982</v>
      </c>
      <c r="N814" s="969">
        <f>OfficeLeaseRate*(1+Inflation)^9</f>
        <v>179.26388529334662</v>
      </c>
      <c r="O814" s="257" t="s">
        <v>797</v>
      </c>
      <c r="P814" s="113"/>
    </row>
    <row r="815" spans="1:30" s="114" customFormat="1" ht="13.5" hidden="1" outlineLevel="1" thickBot="1" x14ac:dyDescent="0.25">
      <c r="A815" s="1399"/>
      <c r="B815" s="113"/>
      <c r="C815" s="295"/>
      <c r="D815" s="973"/>
      <c r="E815" s="532"/>
      <c r="F815" s="532"/>
      <c r="G815" s="532"/>
      <c r="H815" s="532"/>
      <c r="I815" s="532"/>
      <c r="J815" s="532"/>
      <c r="K815" s="532"/>
      <c r="L815" s="532"/>
      <c r="M815" s="532"/>
      <c r="N815" s="532"/>
      <c r="O815" s="961"/>
      <c r="P815" s="113"/>
    </row>
    <row r="816" spans="1:30" s="116" customFormat="1" ht="14.1" hidden="1" customHeight="1" outlineLevel="1" thickBot="1" x14ac:dyDescent="0.25">
      <c r="A816" s="114"/>
      <c r="B816" s="113"/>
      <c r="C816" s="117"/>
      <c r="D816" s="113"/>
      <c r="E816" s="113"/>
      <c r="F816" s="113"/>
      <c r="G816" s="113"/>
      <c r="H816" s="113"/>
      <c r="I816" s="113"/>
      <c r="J816" s="113"/>
      <c r="K816" s="113"/>
      <c r="L816" s="113"/>
      <c r="M816" s="113"/>
      <c r="N816" s="113"/>
      <c r="O816" s="673"/>
      <c r="P816" s="113"/>
      <c r="Q816" s="114"/>
      <c r="R816" s="114"/>
      <c r="S816" s="114"/>
      <c r="T816" s="114"/>
      <c r="U816" s="114"/>
      <c r="V816" s="114"/>
      <c r="W816" s="114"/>
      <c r="X816" s="114"/>
      <c r="Y816" s="114"/>
      <c r="Z816" s="114"/>
      <c r="AA816" s="114"/>
      <c r="AB816" s="114"/>
      <c r="AC816" s="114"/>
      <c r="AD816" s="114"/>
    </row>
    <row r="817" spans="1:32" s="116" customFormat="1" ht="20.100000000000001" hidden="1" customHeight="1" outlineLevel="1" x14ac:dyDescent="0.2">
      <c r="A817" s="1397" t="s">
        <v>4142</v>
      </c>
      <c r="C817" s="967" t="s">
        <v>148</v>
      </c>
      <c r="D817" s="269"/>
      <c r="E817" s="269"/>
      <c r="F817" s="269"/>
      <c r="G817" s="269"/>
      <c r="H817" s="269"/>
      <c r="I817" s="269"/>
      <c r="J817" s="269"/>
      <c r="K817" s="269"/>
      <c r="L817" s="269"/>
      <c r="M817" s="269"/>
      <c r="N817" s="269"/>
      <c r="O817" s="925"/>
      <c r="P817" s="113"/>
      <c r="Q817" s="114"/>
      <c r="R817" s="114"/>
      <c r="S817" s="114"/>
      <c r="T817" s="114"/>
      <c r="U817" s="114"/>
      <c r="V817" s="114"/>
      <c r="W817" s="114"/>
      <c r="X817" s="114"/>
      <c r="Y817" s="114"/>
      <c r="Z817" s="114"/>
      <c r="AA817" s="114"/>
      <c r="AB817" s="114"/>
      <c r="AC817" s="114"/>
      <c r="AD817" s="114"/>
    </row>
    <row r="818" spans="1:32" s="116" customFormat="1" ht="14.1" hidden="1" customHeight="1" outlineLevel="1" x14ac:dyDescent="0.2">
      <c r="A818" s="1398"/>
      <c r="B818" s="113"/>
      <c r="C818" s="296"/>
      <c r="D818" s="947" t="s">
        <v>149</v>
      </c>
      <c r="E818" s="308">
        <f t="shared" ref="E818:N818" si="307">SUM(E814*E808)</f>
        <v>247500</v>
      </c>
      <c r="F818" s="308">
        <f t="shared" si="307"/>
        <v>265455</v>
      </c>
      <c r="G818" s="308">
        <f t="shared" si="307"/>
        <v>270764.09999999998</v>
      </c>
      <c r="H818" s="308">
        <f t="shared" si="307"/>
        <v>276179.38199999998</v>
      </c>
      <c r="I818" s="308">
        <f t="shared" si="307"/>
        <v>281702.96964000002</v>
      </c>
      <c r="J818" s="308">
        <f t="shared" si="307"/>
        <v>287337.02903280006</v>
      </c>
      <c r="K818" s="308">
        <f t="shared" si="307"/>
        <v>293083.76961345604</v>
      </c>
      <c r="L818" s="308">
        <f t="shared" si="307"/>
        <v>298945.44500572508</v>
      </c>
      <c r="M818" s="308">
        <f t="shared" si="307"/>
        <v>304924.35390583961</v>
      </c>
      <c r="N818" s="308">
        <f t="shared" si="307"/>
        <v>311022.84098395635</v>
      </c>
      <c r="O818" s="257" t="s">
        <v>798</v>
      </c>
      <c r="P818" s="113"/>
      <c r="Q818" s="114"/>
      <c r="R818" s="114"/>
      <c r="S818" s="114"/>
      <c r="T818" s="114"/>
      <c r="U818" s="114"/>
      <c r="V818" s="114"/>
      <c r="W818" s="114"/>
      <c r="X818" s="114"/>
      <c r="Y818" s="114"/>
      <c r="Z818" s="114"/>
      <c r="AA818" s="114"/>
      <c r="AB818" s="114"/>
      <c r="AC818" s="114"/>
      <c r="AD818" s="114"/>
    </row>
    <row r="819" spans="1:32" s="116" customFormat="1" ht="14.1" hidden="1" customHeight="1" outlineLevel="1" x14ac:dyDescent="0.2">
      <c r="A819" s="1398"/>
      <c r="B819" s="113"/>
      <c r="C819" s="296"/>
      <c r="D819" s="921" t="s">
        <v>150</v>
      </c>
      <c r="E819" s="308">
        <f t="shared" ref="E819:N819" si="308">SUM(E814*E809)</f>
        <v>219600</v>
      </c>
      <c r="F819" s="308">
        <f t="shared" si="308"/>
        <v>235620</v>
      </c>
      <c r="G819" s="308">
        <f t="shared" si="308"/>
        <v>240332.4</v>
      </c>
      <c r="H819" s="308">
        <f t="shared" si="308"/>
        <v>245139.04799999998</v>
      </c>
      <c r="I819" s="308">
        <f t="shared" si="308"/>
        <v>250041.82895999998</v>
      </c>
      <c r="J819" s="308">
        <f t="shared" si="308"/>
        <v>255042.66553920001</v>
      </c>
      <c r="K819" s="308">
        <f t="shared" si="308"/>
        <v>260143.51884998402</v>
      </c>
      <c r="L819" s="308">
        <f t="shared" si="308"/>
        <v>265346.38922698365</v>
      </c>
      <c r="M819" s="308">
        <f t="shared" si="308"/>
        <v>270653.31701152329</v>
      </c>
      <c r="N819" s="308">
        <f t="shared" si="308"/>
        <v>276066.38335175382</v>
      </c>
      <c r="O819" s="257" t="s">
        <v>799</v>
      </c>
      <c r="P819" s="113"/>
      <c r="Q819" s="114"/>
      <c r="R819" s="114"/>
      <c r="S819" s="114"/>
      <c r="T819" s="114"/>
      <c r="U819" s="114"/>
      <c r="V819" s="114"/>
      <c r="W819" s="114"/>
      <c r="X819" s="114"/>
      <c r="Y819" s="114"/>
      <c r="Z819" s="114"/>
      <c r="AA819" s="114"/>
      <c r="AB819" s="114"/>
      <c r="AC819" s="114"/>
      <c r="AD819" s="114"/>
    </row>
    <row r="820" spans="1:32" s="116" customFormat="1" ht="14.1" hidden="1" customHeight="1" outlineLevel="1" x14ac:dyDescent="0.2">
      <c r="A820" s="1398"/>
      <c r="B820" s="113"/>
      <c r="C820" s="296"/>
      <c r="D820" s="923" t="s">
        <v>151</v>
      </c>
      <c r="E820" s="308">
        <f t="shared" ref="E820:N820" si="309">SUM(E814*E810)</f>
        <v>75112.5</v>
      </c>
      <c r="F820" s="308">
        <f t="shared" si="309"/>
        <v>79827.75</v>
      </c>
      <c r="G820" s="308">
        <f t="shared" si="309"/>
        <v>84545.505000000005</v>
      </c>
      <c r="H820" s="308">
        <f t="shared" si="309"/>
        <v>86236.415099999998</v>
      </c>
      <c r="I820" s="308">
        <f t="shared" si="309"/>
        <v>87961.143402000002</v>
      </c>
      <c r="J820" s="308">
        <f t="shared" si="309"/>
        <v>89720.366270040002</v>
      </c>
      <c r="K820" s="308">
        <f t="shared" si="309"/>
        <v>91514.773595440813</v>
      </c>
      <c r="L820" s="308">
        <f t="shared" si="309"/>
        <v>93345.069067349599</v>
      </c>
      <c r="M820" s="308">
        <f t="shared" si="309"/>
        <v>95211.970448696593</v>
      </c>
      <c r="N820" s="308">
        <f t="shared" si="309"/>
        <v>97116.209857670532</v>
      </c>
      <c r="O820" s="257" t="s">
        <v>800</v>
      </c>
      <c r="P820" s="113"/>
      <c r="Q820" s="114"/>
      <c r="R820" s="114"/>
      <c r="S820" s="114"/>
      <c r="T820" s="114"/>
      <c r="U820" s="114"/>
      <c r="V820" s="114"/>
      <c r="W820" s="114"/>
      <c r="X820" s="114"/>
      <c r="Y820" s="114"/>
      <c r="Z820" s="114"/>
      <c r="AA820" s="114"/>
      <c r="AB820" s="114"/>
      <c r="AC820" s="114"/>
      <c r="AD820" s="114"/>
    </row>
    <row r="821" spans="1:32" s="114" customFormat="1" ht="13.5" hidden="1" outlineLevel="1" thickBot="1" x14ac:dyDescent="0.25">
      <c r="A821" s="1399"/>
      <c r="B821" s="113"/>
      <c r="C821" s="250"/>
      <c r="D821" s="251"/>
      <c r="E821" s="251"/>
      <c r="F821" s="251"/>
      <c r="G821" s="251"/>
      <c r="H821" s="251"/>
      <c r="I821" s="251"/>
      <c r="J821" s="251"/>
      <c r="K821" s="251"/>
      <c r="L821" s="251"/>
      <c r="M821" s="251"/>
      <c r="N821" s="251"/>
      <c r="O821" s="900"/>
      <c r="P821" s="113"/>
    </row>
    <row r="822" spans="1:32" s="114" customFormat="1" hidden="1" outlineLevel="1" x14ac:dyDescent="0.2">
      <c r="A822" s="113"/>
      <c r="B822" s="113"/>
      <c r="C822" s="172"/>
      <c r="D822" s="172"/>
      <c r="E822" s="172"/>
      <c r="F822" s="172"/>
      <c r="G822" s="172"/>
      <c r="H822" s="172"/>
      <c r="I822" s="172"/>
      <c r="J822" s="172"/>
      <c r="K822" s="172"/>
      <c r="L822" s="172"/>
      <c r="M822" s="172"/>
      <c r="N822" s="172"/>
      <c r="O822" s="673"/>
      <c r="P822" s="113"/>
    </row>
    <row r="823" spans="1:32" s="122" customFormat="1" ht="15.75" collapsed="1" x14ac:dyDescent="0.2">
      <c r="A823" s="1043">
        <v>14</v>
      </c>
      <c r="B823" s="1039"/>
      <c r="C823" s="1039"/>
      <c r="D823" s="1039"/>
      <c r="E823" s="1039"/>
      <c r="F823" s="1039"/>
      <c r="G823" s="1039"/>
      <c r="H823" s="1039"/>
      <c r="I823" s="1039"/>
      <c r="J823" s="1039"/>
      <c r="K823" s="1039"/>
      <c r="L823" s="1039"/>
      <c r="M823" s="1039"/>
      <c r="N823" s="1039"/>
      <c r="O823" s="1039"/>
      <c r="P823" s="206"/>
      <c r="Q823" s="206"/>
      <c r="R823" s="206"/>
      <c r="S823" s="206"/>
      <c r="T823" s="206"/>
      <c r="U823" s="206"/>
      <c r="V823" s="206"/>
      <c r="W823" s="206"/>
      <c r="X823" s="206"/>
      <c r="Y823" s="206"/>
      <c r="Z823" s="206"/>
      <c r="AA823" s="206"/>
      <c r="AB823" s="206"/>
      <c r="AC823" s="206"/>
      <c r="AD823" s="206"/>
      <c r="AE823" s="206"/>
      <c r="AF823" s="206"/>
    </row>
    <row r="824" spans="1:32" s="114" customFormat="1" x14ac:dyDescent="0.2">
      <c r="A824" s="113"/>
      <c r="B824" s="113"/>
      <c r="C824" s="172"/>
      <c r="D824" s="172"/>
      <c r="E824" s="172"/>
      <c r="F824" s="172"/>
      <c r="G824" s="172"/>
      <c r="H824" s="172"/>
      <c r="I824" s="172"/>
      <c r="J824" s="172"/>
      <c r="K824" s="172"/>
      <c r="L824" s="172"/>
      <c r="M824" s="172"/>
      <c r="N824" s="172"/>
      <c r="O824" s="673"/>
      <c r="P824" s="113"/>
    </row>
    <row r="825" spans="1:32" s="206" customFormat="1" ht="30" x14ac:dyDescent="0.2">
      <c r="A825" s="1397" t="s">
        <v>4307</v>
      </c>
      <c r="C825" s="1107" t="s">
        <v>4306</v>
      </c>
      <c r="D825" s="223"/>
      <c r="E825" s="223"/>
      <c r="F825" s="223"/>
      <c r="G825" s="223"/>
      <c r="H825" s="223"/>
      <c r="I825" s="223"/>
      <c r="J825" s="223"/>
      <c r="K825" s="223"/>
      <c r="L825" s="223"/>
      <c r="M825" s="223"/>
      <c r="N825" s="223"/>
      <c r="O825" s="224"/>
      <c r="P825" s="210"/>
    </row>
    <row r="826" spans="1:32" s="203" customFormat="1" x14ac:dyDescent="0.2">
      <c r="A826" s="1398"/>
      <c r="B826" s="211"/>
      <c r="C826" s="211"/>
      <c r="D826" s="214"/>
      <c r="E826" s="210"/>
      <c r="F826" s="210"/>
      <c r="G826" s="210"/>
      <c r="H826" s="210"/>
      <c r="I826" s="210"/>
      <c r="J826" s="210"/>
      <c r="K826" s="210"/>
      <c r="L826" s="210"/>
      <c r="M826" s="210"/>
      <c r="N826" s="210"/>
      <c r="O826" s="209"/>
      <c r="P826" s="204"/>
    </row>
    <row r="827" spans="1:32" s="85" customFormat="1" ht="12.75" customHeight="1" x14ac:dyDescent="0.2">
      <c r="A827" s="1399"/>
      <c r="E827" s="62"/>
      <c r="F827" s="62"/>
      <c r="G827" s="62"/>
      <c r="H827" s="62"/>
      <c r="I827" s="62"/>
      <c r="J827" s="62"/>
      <c r="K827" s="62"/>
      <c r="L827" s="62"/>
      <c r="M827" s="62"/>
      <c r="N827" s="62"/>
      <c r="O827" s="134"/>
      <c r="P827" s="134"/>
      <c r="Q827" s="134"/>
      <c r="R827" s="134"/>
      <c r="S827" s="134"/>
      <c r="T827" s="134"/>
      <c r="U827" s="134"/>
      <c r="V827" s="134"/>
      <c r="W827" s="134"/>
      <c r="X827" s="134"/>
      <c r="Y827" s="134"/>
      <c r="Z827" s="134"/>
      <c r="AA827" s="134"/>
      <c r="AB827" s="134"/>
      <c r="AC827" s="134"/>
      <c r="AD827" s="134"/>
      <c r="AE827" s="134"/>
      <c r="AF827" s="134"/>
    </row>
    <row r="828" spans="1:32" s="85" customFormat="1" ht="12.75" customHeight="1" x14ac:dyDescent="0.2">
      <c r="E828" s="62"/>
      <c r="F828" s="62"/>
      <c r="G828" s="62"/>
      <c r="H828" s="62"/>
      <c r="I828" s="62"/>
      <c r="J828" s="62"/>
      <c r="K828" s="62"/>
      <c r="L828" s="62"/>
      <c r="M828" s="62"/>
      <c r="N828" s="62"/>
      <c r="O828" s="134"/>
      <c r="P828" s="134"/>
      <c r="Q828" s="134"/>
      <c r="R828" s="134"/>
      <c r="S828" s="134"/>
      <c r="T828" s="134"/>
      <c r="U828" s="134"/>
      <c r="V828" s="134"/>
      <c r="W828" s="134"/>
      <c r="X828" s="134"/>
      <c r="Y828" s="134"/>
      <c r="Z828" s="134"/>
      <c r="AA828" s="134"/>
      <c r="AB828" s="134"/>
      <c r="AC828" s="134"/>
      <c r="AD828" s="134"/>
      <c r="AE828" s="134"/>
      <c r="AF828" s="134"/>
    </row>
    <row r="829" spans="1:32" s="85" customFormat="1" ht="14.25" hidden="1" customHeight="1" outlineLevel="1" x14ac:dyDescent="0.2">
      <c r="E829" s="62"/>
      <c r="F829" s="62"/>
      <c r="G829" s="62"/>
      <c r="H829" s="62"/>
      <c r="I829" s="62"/>
      <c r="J829" s="62"/>
      <c r="K829" s="62"/>
      <c r="L829" s="62"/>
      <c r="M829" s="62"/>
      <c r="N829" s="62"/>
      <c r="O829" s="134"/>
      <c r="P829" s="134"/>
      <c r="Q829" s="134"/>
      <c r="R829" s="134"/>
      <c r="S829" s="134"/>
      <c r="T829" s="134"/>
      <c r="U829" s="134"/>
      <c r="V829" s="134"/>
      <c r="W829" s="134"/>
      <c r="X829" s="134"/>
      <c r="Y829" s="134"/>
      <c r="Z829" s="134"/>
      <c r="AA829" s="134"/>
      <c r="AB829" s="134"/>
      <c r="AC829" s="134"/>
      <c r="AD829" s="134"/>
      <c r="AE829" s="134"/>
      <c r="AF829" s="134"/>
    </row>
    <row r="830" spans="1:32" s="85" customFormat="1" ht="14.25" hidden="1" customHeight="1" outlineLevel="1" x14ac:dyDescent="0.2">
      <c r="A830" s="113"/>
      <c r="E830" s="62"/>
      <c r="F830" s="62"/>
      <c r="G830" s="62"/>
      <c r="H830" s="62"/>
      <c r="I830" s="62"/>
      <c r="J830" s="62"/>
      <c r="K830" s="62"/>
      <c r="L830" s="62"/>
      <c r="M830" s="62"/>
      <c r="N830" s="62"/>
      <c r="O830" s="134"/>
      <c r="P830" s="134"/>
      <c r="Q830" s="134"/>
      <c r="R830" s="134"/>
      <c r="S830" s="134"/>
      <c r="T830" s="134"/>
      <c r="U830" s="134"/>
      <c r="V830" s="134"/>
      <c r="W830" s="134"/>
      <c r="X830" s="134"/>
      <c r="Y830" s="134"/>
      <c r="Z830" s="134"/>
      <c r="AA830" s="134"/>
      <c r="AB830" s="134"/>
      <c r="AC830" s="134"/>
      <c r="AD830" s="134"/>
      <c r="AE830" s="134"/>
      <c r="AF830" s="134"/>
    </row>
    <row r="831" spans="1:32" s="85" customFormat="1" ht="14.25" hidden="1" customHeight="1" outlineLevel="1" x14ac:dyDescent="0.2">
      <c r="A831" s="113"/>
      <c r="E831" s="62"/>
      <c r="F831" s="62"/>
      <c r="G831" s="62"/>
      <c r="H831" s="62"/>
      <c r="I831" s="62"/>
      <c r="J831" s="62"/>
      <c r="K831" s="62"/>
      <c r="L831" s="62"/>
      <c r="M831" s="62"/>
      <c r="N831" s="62"/>
      <c r="O831" s="134"/>
      <c r="P831" s="134"/>
      <c r="Q831" s="134"/>
      <c r="R831" s="134"/>
      <c r="S831" s="134"/>
      <c r="T831" s="134"/>
      <c r="U831" s="134"/>
      <c r="V831" s="134"/>
      <c r="W831" s="134"/>
      <c r="X831" s="134"/>
      <c r="Y831" s="134"/>
      <c r="Z831" s="134"/>
      <c r="AA831" s="134"/>
      <c r="AB831" s="134"/>
      <c r="AC831" s="134"/>
      <c r="AD831" s="134"/>
      <c r="AE831" s="134"/>
      <c r="AF831" s="134"/>
    </row>
    <row r="832" spans="1:32" s="121" customFormat="1" ht="12.75" hidden="1" customHeight="1" outlineLevel="1" thickBot="1" x14ac:dyDescent="0.35">
      <c r="A832" s="113"/>
      <c r="B832" s="346"/>
      <c r="C832" s="347"/>
      <c r="D832" s="737"/>
      <c r="E832" s="129"/>
      <c r="F832" s="129"/>
      <c r="G832" s="129"/>
      <c r="H832" s="129"/>
      <c r="I832" s="129"/>
      <c r="J832" s="129"/>
      <c r="K832" s="129"/>
      <c r="L832" s="129"/>
      <c r="M832" s="129"/>
      <c r="N832" s="129"/>
      <c r="O832" s="348"/>
      <c r="P832" s="348"/>
      <c r="Q832" s="348"/>
      <c r="R832" s="348"/>
      <c r="S832" s="348"/>
      <c r="T832" s="348"/>
      <c r="U832" s="348"/>
      <c r="V832" s="348"/>
      <c r="W832" s="348"/>
      <c r="X832" s="348"/>
      <c r="Y832" s="348"/>
      <c r="Z832" s="348"/>
      <c r="AA832" s="348"/>
      <c r="AB832" s="348"/>
      <c r="AC832" s="348"/>
      <c r="AD832" s="348"/>
      <c r="AE832" s="348"/>
      <c r="AF832" s="348"/>
    </row>
    <row r="833" spans="1:30" s="7" customFormat="1" ht="12.75" hidden="1" customHeight="1" outlineLevel="1" x14ac:dyDescent="0.2">
      <c r="A833" s="1394" t="s">
        <v>4308</v>
      </c>
      <c r="B833" s="800"/>
      <c r="C833" s="299"/>
      <c r="D833" s="949" t="str">
        <f>Scenario1&amp;" Records Related Costs"</f>
        <v>pSystems (Paper) Records Related Costs</v>
      </c>
      <c r="E833" s="286"/>
      <c r="F833" s="286"/>
      <c r="G833" s="286"/>
      <c r="H833" s="286"/>
      <c r="I833" s="286"/>
      <c r="J833" s="286"/>
      <c r="K833" s="286"/>
      <c r="L833" s="286"/>
      <c r="M833" s="286"/>
      <c r="N833" s="286"/>
      <c r="O833" s="280"/>
      <c r="P833" s="50"/>
      <c r="Q833" s="24"/>
      <c r="R833" s="24"/>
      <c r="S833" s="24"/>
      <c r="T833" s="24"/>
      <c r="U833" s="24"/>
      <c r="V833" s="24"/>
      <c r="W833" s="24"/>
      <c r="X833" s="24"/>
      <c r="Y833" s="24"/>
      <c r="Z833" s="24"/>
      <c r="AA833" s="24"/>
      <c r="AB833" s="24"/>
      <c r="AC833" s="24"/>
      <c r="AD833" s="24"/>
    </row>
    <row r="834" spans="1:30" ht="12.75" hidden="1" customHeight="1" outlineLevel="1" x14ac:dyDescent="0.2">
      <c r="A834" s="1395"/>
      <c r="B834" s="19"/>
      <c r="C834" s="167"/>
      <c r="D834" s="57" t="s">
        <v>77</v>
      </c>
      <c r="E834" s="301">
        <f t="shared" ref="E834:N834" si="310">SUM(-1*E34)</f>
        <v>-2360221.71</v>
      </c>
      <c r="F834" s="301">
        <f t="shared" si="310"/>
        <v>-2404742.5198285715</v>
      </c>
      <c r="G834" s="301">
        <f t="shared" si="310"/>
        <v>-2450810.1154020005</v>
      </c>
      <c r="H834" s="301">
        <f t="shared" si="310"/>
        <v>-2504944.9649173133</v>
      </c>
      <c r="I834" s="301">
        <f t="shared" si="310"/>
        <v>-2556641.7257099967</v>
      </c>
      <c r="J834" s="301">
        <f t="shared" si="310"/>
        <v>-2609425.2877313965</v>
      </c>
      <c r="K834" s="301">
        <f t="shared" si="310"/>
        <v>-2663314.8636972602</v>
      </c>
      <c r="L834" s="301">
        <f t="shared" si="310"/>
        <v>-2718330.8082359345</v>
      </c>
      <c r="M834" s="301">
        <f t="shared" si="310"/>
        <v>-2774494.4369125557</v>
      </c>
      <c r="N834" s="301">
        <f t="shared" si="310"/>
        <v>-2831827.9055690872</v>
      </c>
      <c r="O834" s="257" t="s">
        <v>171</v>
      </c>
      <c r="P834" s="13"/>
      <c r="Q834" s="19"/>
      <c r="R834" s="19"/>
      <c r="S834" s="19"/>
      <c r="T834" s="19"/>
      <c r="U834" s="19"/>
      <c r="V834" s="19"/>
      <c r="W834" s="19"/>
      <c r="X834" s="19"/>
      <c r="Y834" s="19"/>
      <c r="Z834" s="19"/>
      <c r="AA834" s="19"/>
      <c r="AB834" s="19"/>
      <c r="AC834" s="19"/>
      <c r="AD834" s="19"/>
    </row>
    <row r="835" spans="1:30" s="7" customFormat="1" hidden="1" outlineLevel="1" x14ac:dyDescent="0.2">
      <c r="A835" s="1395"/>
      <c r="B835" s="19"/>
      <c r="C835" s="302"/>
      <c r="D835" s="57" t="s">
        <v>54</v>
      </c>
      <c r="E835" s="301">
        <f t="shared" ref="E835:N835" si="311">-E51</f>
        <v>-214565.61000000002</v>
      </c>
      <c r="F835" s="301">
        <f t="shared" si="311"/>
        <v>-218612.95634805196</v>
      </c>
      <c r="G835" s="301">
        <f t="shared" si="311"/>
        <v>-222800.91958200003</v>
      </c>
      <c r="H835" s="301">
        <f t="shared" si="311"/>
        <v>-227722.26953793757</v>
      </c>
      <c r="I835" s="301">
        <f t="shared" si="311"/>
        <v>-232421.97506454517</v>
      </c>
      <c r="J835" s="301">
        <f t="shared" si="311"/>
        <v>-237220.48070285426</v>
      </c>
      <c r="K835" s="301">
        <f t="shared" si="311"/>
        <v>-242119.53306338729</v>
      </c>
      <c r="L835" s="301">
        <f t="shared" si="311"/>
        <v>-247120.98256690311</v>
      </c>
      <c r="M835" s="301">
        <f t="shared" si="311"/>
        <v>-252226.76699205051</v>
      </c>
      <c r="N835" s="301">
        <f t="shared" si="311"/>
        <v>-257438.90050628071</v>
      </c>
      <c r="O835" s="257" t="s">
        <v>172</v>
      </c>
      <c r="P835" s="50"/>
      <c r="Q835" s="24"/>
      <c r="R835" s="24"/>
      <c r="S835" s="24"/>
      <c r="T835" s="24"/>
      <c r="U835" s="24"/>
      <c r="V835" s="24"/>
      <c r="W835" s="24"/>
      <c r="X835" s="24"/>
      <c r="Y835" s="24"/>
      <c r="Z835" s="24"/>
      <c r="AA835" s="24"/>
      <c r="AB835" s="24"/>
      <c r="AC835" s="24"/>
      <c r="AD835" s="24"/>
    </row>
    <row r="836" spans="1:30" ht="12.75" hidden="1" customHeight="1" outlineLevel="1" x14ac:dyDescent="0.2">
      <c r="A836" s="1395"/>
      <c r="B836" s="19"/>
      <c r="C836" s="167"/>
      <c r="D836" s="533" t="s">
        <v>866</v>
      </c>
      <c r="E836" s="301">
        <f t="shared" ref="E836:N836" si="312">-pSystemsBookCostpa_total</f>
        <v>-547056</v>
      </c>
      <c r="F836" s="301">
        <f t="shared" si="312"/>
        <v>-557997.12</v>
      </c>
      <c r="G836" s="301">
        <f t="shared" si="312"/>
        <v>-569157.06239999994</v>
      </c>
      <c r="H836" s="301">
        <f t="shared" si="312"/>
        <v>-580540.20364800002</v>
      </c>
      <c r="I836" s="301">
        <f t="shared" si="312"/>
        <v>-592151.00772095995</v>
      </c>
      <c r="J836" s="301">
        <f t="shared" si="312"/>
        <v>-603994.02787537919</v>
      </c>
      <c r="K836" s="301">
        <f t="shared" si="312"/>
        <v>-616073.90843288694</v>
      </c>
      <c r="L836" s="301">
        <f t="shared" si="312"/>
        <v>-628395.38660154445</v>
      </c>
      <c r="M836" s="301">
        <f t="shared" si="312"/>
        <v>-640963.29433357529</v>
      </c>
      <c r="N836" s="301">
        <f t="shared" si="312"/>
        <v>-653782.5602202469</v>
      </c>
      <c r="O836" s="257" t="s">
        <v>867</v>
      </c>
      <c r="P836" s="13"/>
      <c r="Q836" s="19"/>
      <c r="R836" s="19"/>
      <c r="S836" s="19"/>
      <c r="T836" s="19"/>
      <c r="U836" s="19"/>
      <c r="V836" s="19"/>
      <c r="W836" s="19"/>
      <c r="X836" s="19"/>
      <c r="Y836" s="19"/>
      <c r="Z836" s="19"/>
      <c r="AA836" s="19"/>
      <c r="AB836" s="19"/>
      <c r="AC836" s="19"/>
      <c r="AD836" s="19"/>
    </row>
    <row r="837" spans="1:30" ht="12.75" hidden="1" customHeight="1" outlineLevel="1" x14ac:dyDescent="0.2">
      <c r="A837" s="1395"/>
      <c r="B837" s="19"/>
      <c r="C837" s="167"/>
      <c r="D837" s="57" t="s">
        <v>170</v>
      </c>
      <c r="E837" s="301">
        <f t="shared" ref="E837:N837" si="313">-E363</f>
        <v>-1074425.8329</v>
      </c>
      <c r="F837" s="301">
        <f t="shared" si="313"/>
        <v>-1096251.356541974</v>
      </c>
      <c r="G837" s="301">
        <f t="shared" si="313"/>
        <v>-1117275.1767559801</v>
      </c>
      <c r="H837" s="301">
        <f t="shared" si="313"/>
        <v>-1141896.1516405146</v>
      </c>
      <c r="I837" s="301">
        <f t="shared" si="313"/>
        <v>-1165444.3967376258</v>
      </c>
      <c r="J837" s="301">
        <f t="shared" si="313"/>
        <v>-1189487.1080823971</v>
      </c>
      <c r="K837" s="301">
        <f t="shared" si="313"/>
        <v>-1214033.0532743125</v>
      </c>
      <c r="L837" s="301">
        <f t="shared" si="313"/>
        <v>-1239091.5120783921</v>
      </c>
      <c r="M837" s="301">
        <f t="shared" si="313"/>
        <v>-1264672.1960638876</v>
      </c>
      <c r="N837" s="301">
        <f t="shared" si="313"/>
        <v>-1290785.1950579283</v>
      </c>
      <c r="O837" s="257" t="s">
        <v>173</v>
      </c>
      <c r="P837" s="13"/>
      <c r="Q837" s="19"/>
      <c r="R837" s="19"/>
      <c r="S837" s="19"/>
      <c r="T837" s="19"/>
      <c r="U837" s="19"/>
      <c r="V837" s="19"/>
      <c r="W837" s="19"/>
      <c r="X837" s="19"/>
      <c r="Y837" s="19"/>
      <c r="Z837" s="19"/>
      <c r="AA837" s="19"/>
      <c r="AB837" s="19"/>
      <c r="AC837" s="19"/>
      <c r="AD837" s="19"/>
    </row>
    <row r="838" spans="1:30" ht="12.75" hidden="1" customHeight="1" outlineLevel="1" x14ac:dyDescent="0.2">
      <c r="A838" s="1395"/>
      <c r="B838" s="19"/>
      <c r="C838" s="167"/>
      <c r="D838" s="57" t="s">
        <v>57</v>
      </c>
      <c r="E838" s="81">
        <f t="shared" ref="E838:N838" si="314">-E818</f>
        <v>-247500</v>
      </c>
      <c r="F838" s="81">
        <f t="shared" si="314"/>
        <v>-265455</v>
      </c>
      <c r="G838" s="81">
        <f t="shared" si="314"/>
        <v>-270764.09999999998</v>
      </c>
      <c r="H838" s="81">
        <f t="shared" si="314"/>
        <v>-276179.38199999998</v>
      </c>
      <c r="I838" s="81">
        <f t="shared" si="314"/>
        <v>-281702.96964000002</v>
      </c>
      <c r="J838" s="81">
        <f t="shared" si="314"/>
        <v>-287337.02903280006</v>
      </c>
      <c r="K838" s="81">
        <f t="shared" si="314"/>
        <v>-293083.76961345604</v>
      </c>
      <c r="L838" s="81">
        <f t="shared" si="314"/>
        <v>-298945.44500572508</v>
      </c>
      <c r="M838" s="81">
        <f t="shared" si="314"/>
        <v>-304924.35390583961</v>
      </c>
      <c r="N838" s="81">
        <f t="shared" si="314"/>
        <v>-311022.84098395635</v>
      </c>
      <c r="O838" s="257" t="s">
        <v>174</v>
      </c>
      <c r="P838" s="13"/>
      <c r="Q838" s="19"/>
      <c r="R838" s="19"/>
      <c r="S838" s="19"/>
      <c r="T838" s="19"/>
      <c r="U838" s="19"/>
      <c r="V838" s="19"/>
      <c r="W838" s="19"/>
      <c r="X838" s="19"/>
      <c r="Y838" s="19"/>
      <c r="Z838" s="19"/>
      <c r="AA838" s="19"/>
      <c r="AB838" s="19"/>
      <c r="AC838" s="19"/>
      <c r="AD838" s="19"/>
    </row>
    <row r="839" spans="1:30" hidden="1" outlineLevel="1" x14ac:dyDescent="0.2">
      <c r="A839" s="1395"/>
      <c r="B839" s="19"/>
      <c r="C839" s="167"/>
      <c r="D839" s="54" t="s">
        <v>4074</v>
      </c>
      <c r="E839" s="950">
        <f t="shared" ref="E839:N839" si="315">SUM(E834:E838)</f>
        <v>-4443769.1529000001</v>
      </c>
      <c r="F839" s="950">
        <f t="shared" si="315"/>
        <v>-4543058.9527185969</v>
      </c>
      <c r="G839" s="950">
        <f t="shared" si="315"/>
        <v>-4630807.3741399795</v>
      </c>
      <c r="H839" s="950">
        <f t="shared" si="315"/>
        <v>-4731282.9717437653</v>
      </c>
      <c r="I839" s="950">
        <f t="shared" si="315"/>
        <v>-4828362.074873127</v>
      </c>
      <c r="J839" s="950">
        <f t="shared" si="315"/>
        <v>-4927463.9334248276</v>
      </c>
      <c r="K839" s="950">
        <f t="shared" si="315"/>
        <v>-5028625.1280813031</v>
      </c>
      <c r="L839" s="950">
        <f t="shared" si="315"/>
        <v>-5131884.1344884988</v>
      </c>
      <c r="M839" s="950">
        <f t="shared" si="315"/>
        <v>-5237281.0482079089</v>
      </c>
      <c r="N839" s="950">
        <f t="shared" si="315"/>
        <v>-5344857.4023374999</v>
      </c>
      <c r="O839" s="257" t="s">
        <v>175</v>
      </c>
      <c r="P839" s="13"/>
      <c r="Q839" s="19"/>
      <c r="R839" s="19"/>
      <c r="S839" s="19"/>
      <c r="T839" s="19"/>
      <c r="U839" s="19"/>
      <c r="V839" s="19"/>
      <c r="W839" s="19"/>
      <c r="X839" s="19"/>
      <c r="Y839" s="19"/>
      <c r="Z839" s="19"/>
      <c r="AA839" s="19"/>
      <c r="AB839" s="19"/>
      <c r="AC839" s="19"/>
      <c r="AD839" s="19"/>
    </row>
    <row r="840" spans="1:30" s="41" customFormat="1" ht="13.5" hidden="1" customHeight="1" outlineLevel="1" thickBot="1" x14ac:dyDescent="0.25">
      <c r="A840" s="1395"/>
      <c r="B840" s="3"/>
      <c r="C840" s="170"/>
      <c r="D840" s="278"/>
      <c r="E840" s="278"/>
      <c r="F840" s="278"/>
      <c r="G840" s="278"/>
      <c r="H840" s="278"/>
      <c r="I840" s="278"/>
      <c r="J840" s="278"/>
      <c r="K840" s="278"/>
      <c r="L840" s="278"/>
      <c r="M840" s="278"/>
      <c r="N840" s="278"/>
      <c r="O840" s="643"/>
      <c r="P840" s="38"/>
      <c r="Q840" s="38"/>
      <c r="R840" s="38"/>
      <c r="S840" s="38"/>
      <c r="T840" s="38"/>
      <c r="U840" s="38"/>
      <c r="V840" s="38"/>
      <c r="W840" s="38"/>
      <c r="X840" s="38"/>
      <c r="Y840" s="38"/>
      <c r="Z840" s="38"/>
      <c r="AA840" s="38"/>
      <c r="AB840" s="38"/>
      <c r="AC840" s="38"/>
      <c r="AD840" s="38"/>
    </row>
    <row r="841" spans="1:30" s="41" customFormat="1" ht="13.5" hidden="1" customHeight="1" outlineLevel="1" thickBot="1" x14ac:dyDescent="0.25">
      <c r="A841" s="1395"/>
      <c r="B841" s="3"/>
      <c r="C841" s="30"/>
      <c r="D841" s="30"/>
      <c r="E841" s="30"/>
      <c r="F841" s="30"/>
      <c r="G841" s="30"/>
      <c r="H841" s="30"/>
      <c r="I841" s="30"/>
      <c r="J841" s="30"/>
      <c r="K841" s="30"/>
      <c r="L841" s="30"/>
      <c r="M841" s="30"/>
      <c r="N841" s="30"/>
      <c r="O841" s="494"/>
      <c r="P841" s="38"/>
      <c r="Q841" s="38"/>
      <c r="R841" s="38"/>
      <c r="S841" s="38"/>
      <c r="T841" s="38"/>
      <c r="U841" s="38"/>
      <c r="V841" s="38"/>
      <c r="W841" s="38"/>
      <c r="X841" s="38"/>
      <c r="Y841" s="38"/>
      <c r="Z841" s="38"/>
      <c r="AA841" s="38"/>
      <c r="AB841" s="38"/>
      <c r="AC841" s="38"/>
      <c r="AD841" s="38"/>
    </row>
    <row r="842" spans="1:30" s="124" customFormat="1" hidden="1" outlineLevel="1" x14ac:dyDescent="0.2">
      <c r="A842" s="1395"/>
      <c r="B842" s="3"/>
      <c r="C842" s="303"/>
      <c r="D842" s="951" t="str">
        <f>Scenario2&amp;" Records Related Costs"</f>
        <v>hSystems (Hybrid) Records Related Costs</v>
      </c>
      <c r="E842" s="305"/>
      <c r="F842" s="305"/>
      <c r="G842" s="305"/>
      <c r="H842" s="305"/>
      <c r="I842" s="305"/>
      <c r="J842" s="305"/>
      <c r="K842" s="305"/>
      <c r="L842" s="305"/>
      <c r="M842" s="305"/>
      <c r="N842" s="305"/>
      <c r="O842" s="306"/>
      <c r="P842" s="801"/>
      <c r="Q842" s="125"/>
    </row>
    <row r="843" spans="1:30" ht="12.75" hidden="1" customHeight="1" outlineLevel="1" x14ac:dyDescent="0.2">
      <c r="A843" s="1395"/>
      <c r="C843" s="167"/>
      <c r="D843" s="57" t="s">
        <v>77</v>
      </c>
      <c r="E843" s="301">
        <f t="shared" ref="E843:N843" si="316">-1*E35</f>
        <v>-2360221.71</v>
      </c>
      <c r="F843" s="301">
        <f t="shared" si="316"/>
        <v>-1202371.2599142857</v>
      </c>
      <c r="G843" s="301">
        <f t="shared" si="316"/>
        <v>-1102864.5519308997</v>
      </c>
      <c r="H843" s="301">
        <f t="shared" si="316"/>
        <v>-1001977.9859669253</v>
      </c>
      <c r="I843" s="301">
        <f t="shared" si="316"/>
        <v>-1022656.6902839985</v>
      </c>
      <c r="J843" s="301">
        <f t="shared" si="316"/>
        <v>-1043770.1150925587</v>
      </c>
      <c r="K843" s="301">
        <f t="shared" si="316"/>
        <v>-1065325.9454789041</v>
      </c>
      <c r="L843" s="301">
        <f t="shared" si="316"/>
        <v>-1087332.3232943739</v>
      </c>
      <c r="M843" s="301">
        <f t="shared" si="316"/>
        <v>-1109797.7747650221</v>
      </c>
      <c r="N843" s="301">
        <f t="shared" si="316"/>
        <v>-1132731.1622276348</v>
      </c>
      <c r="O843" s="257" t="s">
        <v>176</v>
      </c>
      <c r="P843" s="802"/>
    </row>
    <row r="844" spans="1:30" s="7" customFormat="1" ht="12.75" hidden="1" customHeight="1" outlineLevel="1" x14ac:dyDescent="0.2">
      <c r="A844" s="1395"/>
      <c r="C844" s="302"/>
      <c r="D844" s="57" t="s">
        <v>54</v>
      </c>
      <c r="E844" s="81">
        <f t="shared" ref="E844:N844" si="317">-E52</f>
        <v>-214565.61000000002</v>
      </c>
      <c r="F844" s="81">
        <f t="shared" si="317"/>
        <v>-109306.47817402598</v>
      </c>
      <c r="G844" s="81">
        <f t="shared" si="317"/>
        <v>-100260.41381189998</v>
      </c>
      <c r="H844" s="81">
        <f t="shared" si="317"/>
        <v>-91088.907815175029</v>
      </c>
      <c r="I844" s="81">
        <f t="shared" si="317"/>
        <v>-92968.790025818045</v>
      </c>
      <c r="J844" s="81">
        <f t="shared" si="317"/>
        <v>-94888.192281141703</v>
      </c>
      <c r="K844" s="81">
        <f t="shared" si="317"/>
        <v>-96847.813225354912</v>
      </c>
      <c r="L844" s="81">
        <f t="shared" si="317"/>
        <v>-98848.39302676126</v>
      </c>
      <c r="M844" s="81">
        <f t="shared" si="317"/>
        <v>-100890.70679682019</v>
      </c>
      <c r="N844" s="81">
        <f t="shared" si="317"/>
        <v>-102975.56020251228</v>
      </c>
      <c r="O844" s="257" t="s">
        <v>177</v>
      </c>
      <c r="P844" s="802"/>
      <c r="Q844" s="98"/>
    </row>
    <row r="845" spans="1:30" ht="12.75" hidden="1" customHeight="1" outlineLevel="1" x14ac:dyDescent="0.2">
      <c r="A845" s="1395"/>
      <c r="C845" s="167"/>
      <c r="D845" s="533" t="s">
        <v>866</v>
      </c>
      <c r="E845" s="301">
        <f t="shared" ref="E845:N845" si="318">-hSystemsBookCostpa_total</f>
        <v>-547056</v>
      </c>
      <c r="F845" s="301">
        <f t="shared" si="318"/>
        <v>-557997.12</v>
      </c>
      <c r="G845" s="301">
        <f t="shared" si="318"/>
        <v>-569157.06239999994</v>
      </c>
      <c r="H845" s="301">
        <f t="shared" si="318"/>
        <v>-580540.20364800002</v>
      </c>
      <c r="I845" s="301">
        <f t="shared" si="318"/>
        <v>-592151.00772095995</v>
      </c>
      <c r="J845" s="301">
        <f t="shared" si="318"/>
        <v>-603994.02787537919</v>
      </c>
      <c r="K845" s="301">
        <f t="shared" si="318"/>
        <v>-616073.90843288694</v>
      </c>
      <c r="L845" s="301">
        <f t="shared" si="318"/>
        <v>-628395.38660154445</v>
      </c>
      <c r="M845" s="301">
        <f t="shared" si="318"/>
        <v>-640963.29433357529</v>
      </c>
      <c r="N845" s="301">
        <f t="shared" si="318"/>
        <v>-653782.5602202469</v>
      </c>
      <c r="O845" s="257" t="s">
        <v>869</v>
      </c>
      <c r="P845" s="802"/>
    </row>
    <row r="846" spans="1:30" ht="12.75" hidden="1" customHeight="1" outlineLevel="1" x14ac:dyDescent="0.2">
      <c r="A846" s="1395"/>
      <c r="C846" s="167"/>
      <c r="D846" s="57" t="s">
        <v>170</v>
      </c>
      <c r="E846" s="81">
        <f t="shared" ref="E846:N846" si="319">-E365</f>
        <v>-1074425.8329</v>
      </c>
      <c r="F846" s="81">
        <f t="shared" si="319"/>
        <v>-561742.678270987</v>
      </c>
      <c r="G846" s="81">
        <f t="shared" si="319"/>
        <v>-518052.1035401909</v>
      </c>
      <c r="H846" s="81">
        <f t="shared" si="319"/>
        <v>-473759.01281620585</v>
      </c>
      <c r="I846" s="81">
        <f t="shared" si="319"/>
        <v>-483518.32189825026</v>
      </c>
      <c r="J846" s="81">
        <f t="shared" si="319"/>
        <v>-493482.21770022291</v>
      </c>
      <c r="K846" s="81">
        <f t="shared" si="319"/>
        <v>-503654.34326633433</v>
      </c>
      <c r="L846" s="81">
        <f t="shared" si="319"/>
        <v>-514038.54922709835</v>
      </c>
      <c r="M846" s="81">
        <f t="shared" si="319"/>
        <v>-524638.86170921125</v>
      </c>
      <c r="N846" s="81">
        <f t="shared" si="319"/>
        <v>-535459.46097250062</v>
      </c>
      <c r="O846" s="257" t="s">
        <v>178</v>
      </c>
      <c r="P846" s="802"/>
    </row>
    <row r="847" spans="1:30" ht="12.75" hidden="1" customHeight="1" outlineLevel="1" x14ac:dyDescent="0.2">
      <c r="A847" s="1395"/>
      <c r="C847" s="167"/>
      <c r="D847" s="57" t="s">
        <v>57</v>
      </c>
      <c r="E847" s="81">
        <f t="shared" ref="E847:N847" si="320">-E819</f>
        <v>-219600</v>
      </c>
      <c r="F847" s="81">
        <f t="shared" si="320"/>
        <v>-235620</v>
      </c>
      <c r="G847" s="81">
        <f t="shared" si="320"/>
        <v>-240332.4</v>
      </c>
      <c r="H847" s="81">
        <f t="shared" si="320"/>
        <v>-245139.04799999998</v>
      </c>
      <c r="I847" s="81">
        <f t="shared" si="320"/>
        <v>-250041.82895999998</v>
      </c>
      <c r="J847" s="81">
        <f t="shared" si="320"/>
        <v>-255042.66553920001</v>
      </c>
      <c r="K847" s="81">
        <f t="shared" si="320"/>
        <v>-260143.51884998402</v>
      </c>
      <c r="L847" s="81">
        <f t="shared" si="320"/>
        <v>-265346.38922698365</v>
      </c>
      <c r="M847" s="81">
        <f t="shared" si="320"/>
        <v>-270653.31701152329</v>
      </c>
      <c r="N847" s="81">
        <f t="shared" si="320"/>
        <v>-276066.38335175382</v>
      </c>
      <c r="O847" s="257" t="s">
        <v>179</v>
      </c>
      <c r="P847" s="802"/>
    </row>
    <row r="848" spans="1:30" hidden="1" outlineLevel="1" x14ac:dyDescent="0.2">
      <c r="A848" s="1395"/>
      <c r="C848" s="167"/>
      <c r="D848" s="401" t="s">
        <v>4086</v>
      </c>
      <c r="E848" s="950">
        <f t="shared" ref="E848:N848" si="321">SUM(E843:E847)</f>
        <v>-4415869.1529000001</v>
      </c>
      <c r="F848" s="950">
        <f t="shared" si="321"/>
        <v>-2667037.536359299</v>
      </c>
      <c r="G848" s="950">
        <f t="shared" si="321"/>
        <v>-2530666.5316829905</v>
      </c>
      <c r="H848" s="950">
        <f t="shared" si="321"/>
        <v>-2392505.1582463062</v>
      </c>
      <c r="I848" s="950">
        <f t="shared" si="321"/>
        <v>-2441336.6388890268</v>
      </c>
      <c r="J848" s="950">
        <f t="shared" si="321"/>
        <v>-2491177.2184885023</v>
      </c>
      <c r="K848" s="950">
        <f t="shared" si="321"/>
        <v>-2542045.5292534642</v>
      </c>
      <c r="L848" s="950">
        <f t="shared" si="321"/>
        <v>-2593961.0413767616</v>
      </c>
      <c r="M848" s="950">
        <f t="shared" si="321"/>
        <v>-2646943.9546161518</v>
      </c>
      <c r="N848" s="950">
        <f t="shared" si="321"/>
        <v>-2701015.1269746483</v>
      </c>
      <c r="O848" s="257" t="s">
        <v>180</v>
      </c>
      <c r="P848" s="802"/>
    </row>
    <row r="849" spans="1:32" s="41" customFormat="1" ht="13.5" hidden="1" customHeight="1" outlineLevel="1" thickBot="1" x14ac:dyDescent="0.25">
      <c r="A849" s="1395"/>
      <c r="B849" s="3"/>
      <c r="C849" s="170"/>
      <c r="D849" s="278"/>
      <c r="E849" s="278"/>
      <c r="F849" s="278"/>
      <c r="G849" s="278"/>
      <c r="H849" s="278"/>
      <c r="I849" s="278"/>
      <c r="J849" s="278"/>
      <c r="K849" s="278"/>
      <c r="L849" s="278"/>
      <c r="M849" s="278"/>
      <c r="N849" s="278"/>
      <c r="O849" s="643"/>
      <c r="P849" s="38"/>
      <c r="Q849" s="38"/>
      <c r="R849" s="38"/>
      <c r="S849" s="38"/>
      <c r="T849" s="38"/>
      <c r="U849" s="38"/>
      <c r="V849" s="38"/>
      <c r="W849" s="38"/>
      <c r="X849" s="38"/>
      <c r="Y849" s="38"/>
      <c r="Z849" s="38"/>
      <c r="AA849" s="38"/>
      <c r="AB849" s="38"/>
      <c r="AC849" s="38"/>
      <c r="AD849" s="38"/>
    </row>
    <row r="850" spans="1:32" ht="13.5" hidden="1" customHeight="1" outlineLevel="1" thickBot="1" x14ac:dyDescent="0.25">
      <c r="A850" s="1395"/>
      <c r="C850" s="38"/>
      <c r="D850" s="13"/>
      <c r="E850" s="49"/>
      <c r="F850" s="49"/>
      <c r="G850" s="13"/>
      <c r="H850" s="13"/>
      <c r="I850" s="19"/>
      <c r="J850" s="19"/>
      <c r="K850" s="19"/>
      <c r="L850" s="19"/>
      <c r="M850" s="19"/>
      <c r="N850" s="19"/>
      <c r="O850" s="494"/>
      <c r="P850" s="13"/>
      <c r="Q850" s="19"/>
      <c r="R850" s="19"/>
      <c r="S850" s="19"/>
      <c r="T850" s="19"/>
      <c r="U850" s="19"/>
      <c r="V850" s="19"/>
      <c r="W850" s="19"/>
      <c r="X850" s="19"/>
      <c r="Y850" s="19"/>
      <c r="Z850" s="19"/>
      <c r="AA850" s="19"/>
      <c r="AB850" s="19"/>
      <c r="AC850" s="19"/>
      <c r="AD850" s="19"/>
    </row>
    <row r="851" spans="1:32" s="41" customFormat="1" ht="18" hidden="1" customHeight="1" outlineLevel="1" x14ac:dyDescent="0.2">
      <c r="A851" s="1395"/>
      <c r="B851" s="19"/>
      <c r="C851" s="803"/>
      <c r="D851" s="952" t="str">
        <f>Scenario3&amp;" Records Related Costs"</f>
        <v>eSystems (Paperless) Records Related Costs</v>
      </c>
      <c r="E851" s="804"/>
      <c r="F851" s="804"/>
      <c r="G851" s="804"/>
      <c r="H851" s="804"/>
      <c r="I851" s="804"/>
      <c r="J851" s="804"/>
      <c r="K851" s="804"/>
      <c r="L851" s="804"/>
      <c r="M851" s="804"/>
      <c r="N851" s="804"/>
      <c r="O851" s="909"/>
      <c r="P851" s="38"/>
      <c r="Q851" s="38"/>
      <c r="R851" s="38"/>
      <c r="S851" s="38"/>
      <c r="T851" s="38"/>
      <c r="U851" s="38"/>
      <c r="V851" s="38"/>
      <c r="W851" s="38"/>
      <c r="X851" s="38"/>
      <c r="Y851" s="38"/>
      <c r="Z851" s="38"/>
      <c r="AA851" s="38"/>
      <c r="AB851" s="38"/>
      <c r="AC851" s="38"/>
      <c r="AD851" s="38"/>
    </row>
    <row r="852" spans="1:32" ht="12.75" hidden="1" customHeight="1" outlineLevel="1" x14ac:dyDescent="0.2">
      <c r="A852" s="1395"/>
      <c r="B852" s="19"/>
      <c r="C852" s="167"/>
      <c r="D852" s="57" t="s">
        <v>77</v>
      </c>
      <c r="E852" s="301">
        <f t="shared" ref="E852:N852" si="322">-E36</f>
        <v>-2360221.71</v>
      </c>
      <c r="F852" s="301">
        <f t="shared" si="322"/>
        <v>-96189.700793142867</v>
      </c>
      <c r="G852" s="301">
        <f t="shared" si="322"/>
        <v>-73524.303462060008</v>
      </c>
      <c r="H852" s="301">
        <f t="shared" si="322"/>
        <v>-87673.07377210597</v>
      </c>
      <c r="I852" s="301">
        <f t="shared" si="322"/>
        <v>-76699.251771299911</v>
      </c>
      <c r="J852" s="301">
        <f t="shared" si="322"/>
        <v>-65235.632193284917</v>
      </c>
      <c r="K852" s="301">
        <f t="shared" si="322"/>
        <v>-53266.297273945209</v>
      </c>
      <c r="L852" s="301">
        <f t="shared" si="322"/>
        <v>-40774.962123539015</v>
      </c>
      <c r="M852" s="301">
        <f t="shared" si="322"/>
        <v>-27744.944369125562</v>
      </c>
      <c r="N852" s="301">
        <f t="shared" si="322"/>
        <v>-14159.139527845438</v>
      </c>
      <c r="O852" s="257" t="s">
        <v>185</v>
      </c>
      <c r="P852" s="13"/>
      <c r="Q852" s="19"/>
      <c r="R852" s="19"/>
      <c r="S852" s="19"/>
      <c r="T852" s="19"/>
      <c r="U852" s="19"/>
      <c r="V852" s="19"/>
      <c r="W852" s="19"/>
      <c r="X852" s="19"/>
      <c r="Y852" s="19"/>
      <c r="Z852" s="19"/>
      <c r="AA852" s="19"/>
      <c r="AB852" s="19"/>
      <c r="AC852" s="19"/>
      <c r="AD852" s="19"/>
    </row>
    <row r="853" spans="1:32" s="7" customFormat="1" ht="12.75" hidden="1" customHeight="1" outlineLevel="1" x14ac:dyDescent="0.2">
      <c r="A853" s="1395"/>
      <c r="B853" s="24"/>
      <c r="C853" s="302"/>
      <c r="D853" s="57" t="s">
        <v>54</v>
      </c>
      <c r="E853" s="81">
        <f t="shared" ref="E853:N853" si="323">-E53</f>
        <v>-214565.61000000002</v>
      </c>
      <c r="F853" s="81">
        <f t="shared" si="323"/>
        <v>-8744.5182539220787</v>
      </c>
      <c r="G853" s="81">
        <f t="shared" si="323"/>
        <v>-6684.0275874600002</v>
      </c>
      <c r="H853" s="81">
        <f t="shared" si="323"/>
        <v>-7970.2794338278145</v>
      </c>
      <c r="I853" s="81">
        <f t="shared" si="323"/>
        <v>-6972.6592519363558</v>
      </c>
      <c r="J853" s="81">
        <f t="shared" si="323"/>
        <v>-5930.5120175713564</v>
      </c>
      <c r="K853" s="81">
        <f t="shared" si="323"/>
        <v>-4842.3906612677465</v>
      </c>
      <c r="L853" s="81">
        <f t="shared" si="323"/>
        <v>-3706.8147385035463</v>
      </c>
      <c r="M853" s="81">
        <f t="shared" si="323"/>
        <v>-2522.2676699205058</v>
      </c>
      <c r="N853" s="81">
        <f t="shared" si="323"/>
        <v>-1287.1945025314037</v>
      </c>
      <c r="O853" s="257" t="s">
        <v>181</v>
      </c>
      <c r="P853" s="50"/>
      <c r="Q853" s="24"/>
      <c r="R853" s="24"/>
      <c r="S853" s="24"/>
      <c r="T853" s="24"/>
      <c r="U853" s="24"/>
      <c r="V853" s="24"/>
      <c r="W853" s="24"/>
      <c r="X853" s="24"/>
      <c r="Y853" s="24"/>
      <c r="Z853" s="24"/>
      <c r="AA853" s="24"/>
      <c r="AB853" s="24"/>
      <c r="AC853" s="24"/>
      <c r="AD853" s="24"/>
    </row>
    <row r="854" spans="1:32" ht="12.75" hidden="1" customHeight="1" outlineLevel="1" x14ac:dyDescent="0.2">
      <c r="A854" s="1395"/>
      <c r="B854" s="19"/>
      <c r="C854" s="167"/>
      <c r="D854" s="533" t="s">
        <v>866</v>
      </c>
      <c r="E854" s="301">
        <f t="shared" ref="E854:N854" si="324">-eSystemsBookCostpa_total</f>
        <v>-547056</v>
      </c>
      <c r="F854" s="301">
        <f t="shared" si="324"/>
        <v>0</v>
      </c>
      <c r="G854" s="301">
        <f t="shared" si="324"/>
        <v>0</v>
      </c>
      <c r="H854" s="301">
        <f t="shared" si="324"/>
        <v>0</v>
      </c>
      <c r="I854" s="301">
        <f t="shared" si="324"/>
        <v>0</v>
      </c>
      <c r="J854" s="301">
        <f t="shared" si="324"/>
        <v>0</v>
      </c>
      <c r="K854" s="301">
        <f t="shared" si="324"/>
        <v>0</v>
      </c>
      <c r="L854" s="301">
        <f t="shared" si="324"/>
        <v>0</v>
      </c>
      <c r="M854" s="301">
        <f t="shared" si="324"/>
        <v>0</v>
      </c>
      <c r="N854" s="301">
        <f t="shared" si="324"/>
        <v>0</v>
      </c>
      <c r="O854" s="257" t="s">
        <v>868</v>
      </c>
      <c r="P854" s="13"/>
      <c r="Q854" s="19"/>
      <c r="R854" s="19"/>
      <c r="S854" s="19"/>
      <c r="T854" s="19"/>
      <c r="U854" s="19"/>
      <c r="V854" s="19"/>
      <c r="W854" s="19"/>
      <c r="X854" s="19"/>
      <c r="Y854" s="19"/>
      <c r="Z854" s="19"/>
      <c r="AA854" s="19"/>
      <c r="AB854" s="19"/>
      <c r="AC854" s="19"/>
      <c r="AD854" s="19"/>
    </row>
    <row r="855" spans="1:32" ht="12.75" hidden="1" customHeight="1" outlineLevel="1" x14ac:dyDescent="0.2">
      <c r="A855" s="1395"/>
      <c r="B855" s="19"/>
      <c r="C855" s="167"/>
      <c r="D855" s="57" t="s">
        <v>170</v>
      </c>
      <c r="E855" s="81">
        <f t="shared" ref="E855:N855" si="325">-E367</f>
        <v>-1071725.8329</v>
      </c>
      <c r="F855" s="81">
        <f t="shared" si="325"/>
        <v>-69994.69426167896</v>
      </c>
      <c r="G855" s="81">
        <f t="shared" si="325"/>
        <v>-60463.5749026794</v>
      </c>
      <c r="H855" s="81">
        <f t="shared" si="325"/>
        <v>-67308.920031418005</v>
      </c>
      <c r="I855" s="81">
        <f t="shared" si="325"/>
        <v>-62997.242413968779</v>
      </c>
      <c r="J855" s="81">
        <f t="shared" si="325"/>
        <v>-58479.161211363935</v>
      </c>
      <c r="K855" s="81">
        <f t="shared" si="325"/>
        <v>-53747.826927948088</v>
      </c>
      <c r="L855" s="81">
        <f t="shared" si="325"/>
        <v>-48796.23139751811</v>
      </c>
      <c r="M855" s="81">
        <f t="shared" si="325"/>
        <v>-43617.19437867176</v>
      </c>
      <c r="N855" s="81">
        <f t="shared" si="325"/>
        <v>-38203.352699594259</v>
      </c>
      <c r="O855" s="257" t="s">
        <v>182</v>
      </c>
      <c r="P855" s="13"/>
      <c r="Q855" s="19"/>
      <c r="R855" s="19"/>
      <c r="S855" s="19"/>
      <c r="T855" s="19"/>
      <c r="U855" s="19"/>
      <c r="V855" s="19"/>
      <c r="W855" s="19"/>
      <c r="X855" s="19"/>
      <c r="Y855" s="19"/>
      <c r="Z855" s="19"/>
      <c r="AA855" s="19"/>
      <c r="AB855" s="19"/>
      <c r="AC855" s="19"/>
      <c r="AD855" s="19"/>
    </row>
    <row r="856" spans="1:32" ht="12.75" hidden="1" customHeight="1" outlineLevel="1" x14ac:dyDescent="0.2">
      <c r="A856" s="1395"/>
      <c r="B856" s="19"/>
      <c r="C856" s="167"/>
      <c r="D856" s="57" t="s">
        <v>57</v>
      </c>
      <c r="E856" s="81">
        <f t="shared" ref="E856:N856" si="326">-E820</f>
        <v>-75112.5</v>
      </c>
      <c r="F856" s="81">
        <f t="shared" si="326"/>
        <v>-79827.75</v>
      </c>
      <c r="G856" s="81">
        <f t="shared" si="326"/>
        <v>-84545.505000000005</v>
      </c>
      <c r="H856" s="81">
        <f t="shared" si="326"/>
        <v>-86236.415099999998</v>
      </c>
      <c r="I856" s="81">
        <f t="shared" si="326"/>
        <v>-87961.143402000002</v>
      </c>
      <c r="J856" s="81">
        <f t="shared" si="326"/>
        <v>-89720.366270040002</v>
      </c>
      <c r="K856" s="81">
        <f t="shared" si="326"/>
        <v>-91514.773595440813</v>
      </c>
      <c r="L856" s="81">
        <f t="shared" si="326"/>
        <v>-93345.069067349599</v>
      </c>
      <c r="M856" s="81">
        <f t="shared" si="326"/>
        <v>-95211.970448696593</v>
      </c>
      <c r="N856" s="81">
        <f t="shared" si="326"/>
        <v>-97116.209857670532</v>
      </c>
      <c r="O856" s="257" t="s">
        <v>183</v>
      </c>
      <c r="P856" s="13"/>
      <c r="Q856" s="19"/>
      <c r="R856" s="19"/>
      <c r="S856" s="19"/>
      <c r="T856" s="19"/>
      <c r="U856" s="19"/>
      <c r="V856" s="19"/>
      <c r="W856" s="19"/>
      <c r="X856" s="19"/>
      <c r="Y856" s="19"/>
      <c r="Z856" s="19"/>
      <c r="AA856" s="19"/>
      <c r="AB856" s="19"/>
      <c r="AC856" s="19"/>
      <c r="AD856" s="19"/>
    </row>
    <row r="857" spans="1:32" hidden="1" outlineLevel="1" x14ac:dyDescent="0.2">
      <c r="A857" s="1395"/>
      <c r="B857" s="19"/>
      <c r="C857" s="167"/>
      <c r="D857" s="403" t="s">
        <v>4087</v>
      </c>
      <c r="E857" s="950">
        <f t="shared" ref="E857:N857" si="327">SUM(E852:E856)</f>
        <v>-4268681.6529000001</v>
      </c>
      <c r="F857" s="950">
        <f t="shared" si="327"/>
        <v>-254756.66330874391</v>
      </c>
      <c r="G857" s="950">
        <f t="shared" si="327"/>
        <v>-225217.41095219943</v>
      </c>
      <c r="H857" s="950">
        <f t="shared" si="327"/>
        <v>-249188.68833735178</v>
      </c>
      <c r="I857" s="950">
        <f t="shared" si="327"/>
        <v>-234630.29683920508</v>
      </c>
      <c r="J857" s="950">
        <f t="shared" si="327"/>
        <v>-219365.67169226019</v>
      </c>
      <c r="K857" s="950">
        <f t="shared" si="327"/>
        <v>-203371.28845860186</v>
      </c>
      <c r="L857" s="950">
        <f t="shared" si="327"/>
        <v>-186623.07732691028</v>
      </c>
      <c r="M857" s="950">
        <f t="shared" si="327"/>
        <v>-169096.37686641444</v>
      </c>
      <c r="N857" s="950">
        <f t="shared" si="327"/>
        <v>-150765.89658764162</v>
      </c>
      <c r="O857" s="257" t="s">
        <v>184</v>
      </c>
      <c r="P857" s="13"/>
      <c r="Q857" s="19"/>
      <c r="R857" s="19"/>
      <c r="S857" s="19"/>
      <c r="T857" s="19"/>
      <c r="U857" s="19"/>
      <c r="V857" s="19"/>
      <c r="W857" s="19"/>
      <c r="X857" s="19"/>
      <c r="Y857" s="19"/>
      <c r="Z857" s="19"/>
      <c r="AA857" s="19"/>
      <c r="AB857" s="19"/>
      <c r="AC857" s="19"/>
      <c r="AD857" s="19"/>
    </row>
    <row r="858" spans="1:32" s="41" customFormat="1" ht="13.5" hidden="1" customHeight="1" outlineLevel="1" thickBot="1" x14ac:dyDescent="0.25">
      <c r="A858" s="1396"/>
      <c r="B858" s="19"/>
      <c r="C858" s="170"/>
      <c r="D858" s="278"/>
      <c r="E858" s="278"/>
      <c r="F858" s="278"/>
      <c r="G858" s="278"/>
      <c r="H858" s="278"/>
      <c r="I858" s="278"/>
      <c r="J858" s="278"/>
      <c r="K858" s="278"/>
      <c r="L858" s="278"/>
      <c r="M858" s="278"/>
      <c r="N858" s="278"/>
      <c r="O858" s="643"/>
      <c r="P858" s="38"/>
      <c r="Q858" s="38"/>
      <c r="R858" s="38"/>
      <c r="S858" s="38"/>
      <c r="T858" s="38"/>
      <c r="U858" s="38"/>
      <c r="V858" s="38"/>
      <c r="W858" s="38"/>
      <c r="X858" s="38"/>
      <c r="Y858" s="38"/>
      <c r="Z858" s="38"/>
      <c r="AA858" s="38"/>
      <c r="AB858" s="38"/>
      <c r="AC858" s="38"/>
      <c r="AD858" s="38"/>
    </row>
    <row r="859" spans="1:32" ht="13.5" hidden="1" customHeight="1" outlineLevel="1" x14ac:dyDescent="0.2">
      <c r="B859" s="19"/>
      <c r="P859" s="802"/>
    </row>
    <row r="860" spans="1:32" s="122" customFormat="1" ht="15.75" collapsed="1" x14ac:dyDescent="0.2">
      <c r="A860" s="1043" t="s">
        <v>4214</v>
      </c>
      <c r="B860" s="1039"/>
      <c r="C860" s="1039"/>
      <c r="D860" s="1039"/>
      <c r="E860" s="1039"/>
      <c r="F860" s="1039"/>
      <c r="G860" s="1039"/>
      <c r="H860" s="1039"/>
      <c r="I860" s="1039"/>
      <c r="J860" s="1039"/>
      <c r="K860" s="1039"/>
      <c r="L860" s="1039"/>
      <c r="M860" s="1039"/>
      <c r="N860" s="1039"/>
      <c r="O860" s="1039"/>
      <c r="P860" s="206"/>
      <c r="Q860" s="206"/>
      <c r="R860" s="206"/>
      <c r="S860" s="206"/>
      <c r="T860" s="206"/>
      <c r="U860" s="206"/>
      <c r="V860" s="206"/>
      <c r="W860" s="206"/>
      <c r="X860" s="206"/>
      <c r="Y860" s="206"/>
      <c r="Z860" s="206"/>
      <c r="AA860" s="206"/>
      <c r="AB860" s="206"/>
      <c r="AC860" s="206"/>
      <c r="AD860" s="206"/>
      <c r="AE860" s="206"/>
      <c r="AF860" s="206"/>
    </row>
    <row r="861" spans="1:32" x14ac:dyDescent="0.2">
      <c r="B861" s="19"/>
    </row>
  </sheetData>
  <sheetProtection formatCells="0" formatColumns="0" formatRows="0" insertColumns="0" insertRows="0" insertHyperlinks="0" deleteColumns="0" deleteRows="0" selectLockedCells="1" sort="0" autoFilter="0" pivotTables="0"/>
  <mergeCells count="34">
    <mergeCell ref="A346:A354"/>
    <mergeCell ref="A378:A421"/>
    <mergeCell ref="A662:A705"/>
    <mergeCell ref="A523:A567"/>
    <mergeCell ref="A372:A375"/>
    <mergeCell ref="M3:O4"/>
    <mergeCell ref="A58:A61"/>
    <mergeCell ref="A64:A73"/>
    <mergeCell ref="A2:A4"/>
    <mergeCell ref="B2:L2"/>
    <mergeCell ref="M2:O2"/>
    <mergeCell ref="B3:L4"/>
    <mergeCell ref="A15:A20"/>
    <mergeCell ref="A47:A54"/>
    <mergeCell ref="A41:A44"/>
    <mergeCell ref="A8:A11"/>
    <mergeCell ref="A24:A27"/>
    <mergeCell ref="A30:A37"/>
    <mergeCell ref="A833:A858"/>
    <mergeCell ref="A807:A811"/>
    <mergeCell ref="A817:A821"/>
    <mergeCell ref="A825:A827"/>
    <mergeCell ref="A75:A107"/>
    <mergeCell ref="A179:A182"/>
    <mergeCell ref="A185:A227"/>
    <mergeCell ref="A319:A322"/>
    <mergeCell ref="A325:A336"/>
    <mergeCell ref="A358:A359"/>
    <mergeCell ref="A362:A368"/>
    <mergeCell ref="A340:A343"/>
    <mergeCell ref="A813:A815"/>
    <mergeCell ref="A518:A520"/>
    <mergeCell ref="A657:A659"/>
    <mergeCell ref="A802:A804"/>
  </mergeCells>
  <conditionalFormatting sqref="D808">
    <cfRule type="containsText" dxfId="617" priority="2" operator="containsText" text="pSystems">
      <formula>NOT(ISERROR(SEARCH("pSystems",D808)))</formula>
    </cfRule>
  </conditionalFormatting>
  <conditionalFormatting sqref="D818">
    <cfRule type="containsText" dxfId="616" priority="1" operator="containsText" text="pSystems">
      <formula>NOT(ISERROR(SEARCH("pSystems",D818)))</formula>
    </cfRule>
  </conditionalFormatting>
  <pageMargins left="0.75" right="0.75" top="1" bottom="1" header="0.5" footer="0.5"/>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tint="-0.14999847407452621"/>
  </sheetPr>
  <dimension ref="A1:AG122"/>
  <sheetViews>
    <sheetView workbookViewId="0"/>
  </sheetViews>
  <sheetFormatPr defaultColWidth="11" defaultRowHeight="12.75" outlineLevelRow="1" x14ac:dyDescent="0.2"/>
  <cols>
    <col min="1" max="1" width="75.7109375" style="3" customWidth="1"/>
    <col min="2" max="2" width="5.7109375" style="3" customWidth="1"/>
    <col min="3" max="3" width="55.7109375" style="3" customWidth="1"/>
    <col min="4" max="4" width="75.7109375" style="678" customWidth="1"/>
    <col min="5" max="8" width="15.7109375" style="3" customWidth="1"/>
    <col min="9" max="9" width="15.7109375" style="6" customWidth="1"/>
    <col min="10" max="14" width="15.7109375" style="3" customWidth="1"/>
    <col min="15" max="15" width="42.42578125" style="3" customWidth="1"/>
    <col min="16" max="16" width="10.7109375" style="26" customWidth="1"/>
    <col min="17" max="17" width="11" style="6"/>
    <col min="18" max="16384" width="11" style="3"/>
  </cols>
  <sheetData>
    <row r="1" spans="1:33" s="8" customFormat="1" ht="30" customHeight="1" x14ac:dyDescent="0.2">
      <c r="A1" s="1183" t="s">
        <v>66</v>
      </c>
      <c r="B1" s="155"/>
      <c r="C1" s="1182" t="s">
        <v>1003</v>
      </c>
      <c r="D1" s="155"/>
      <c r="E1" s="155"/>
      <c r="F1" s="155"/>
      <c r="G1" s="155"/>
      <c r="H1" s="155"/>
      <c r="I1" s="155"/>
      <c r="J1" s="155"/>
      <c r="K1" s="155"/>
      <c r="L1" s="155"/>
      <c r="M1" s="155"/>
      <c r="N1" s="155"/>
      <c r="O1" s="639"/>
      <c r="P1" s="23"/>
      <c r="Q1" s="23"/>
      <c r="R1" s="23"/>
      <c r="S1" s="23"/>
      <c r="T1" s="23"/>
      <c r="U1" s="23"/>
      <c r="V1" s="23"/>
      <c r="W1" s="23"/>
      <c r="X1" s="23"/>
      <c r="Y1" s="23"/>
      <c r="Z1" s="23"/>
      <c r="AA1" s="23"/>
      <c r="AB1" s="23"/>
      <c r="AC1" s="23"/>
      <c r="AD1" s="23"/>
      <c r="AE1" s="23"/>
      <c r="AF1" s="23"/>
      <c r="AG1" s="17"/>
    </row>
    <row r="2" spans="1:33" s="140" customFormat="1" ht="45" customHeight="1" x14ac:dyDescent="0.3">
      <c r="A2" s="1363" t="s">
        <v>4372</v>
      </c>
      <c r="B2" s="1352" t="str">
        <f>CompanyOrg</f>
        <v>IATA</v>
      </c>
      <c r="C2" s="1352"/>
      <c r="D2" s="1352"/>
      <c r="E2" s="1352"/>
      <c r="F2" s="1352"/>
      <c r="G2" s="1352"/>
      <c r="H2" s="1352"/>
      <c r="I2" s="1352"/>
      <c r="J2" s="1352"/>
      <c r="K2" s="1352"/>
      <c r="L2" s="1353"/>
      <c r="M2" s="1366" t="s">
        <v>16</v>
      </c>
      <c r="N2" s="1367"/>
      <c r="O2" s="1368"/>
      <c r="P2" s="23"/>
    </row>
    <row r="3" spans="1:33" s="139" customFormat="1" ht="20.25" customHeight="1" x14ac:dyDescent="0.2">
      <c r="A3" s="1364"/>
      <c r="B3" s="1355" t="str">
        <f>CaseSubject</f>
        <v>IATA PAO:TO Business Case Support Template</v>
      </c>
      <c r="C3" s="1355"/>
      <c r="D3" s="1355"/>
      <c r="E3" s="1355"/>
      <c r="F3" s="1355"/>
      <c r="G3" s="1355"/>
      <c r="H3" s="1355"/>
      <c r="I3" s="1355"/>
      <c r="J3" s="1355"/>
      <c r="K3" s="1355"/>
      <c r="L3" s="1356"/>
      <c r="M3" s="1369" t="str">
        <f>VersionNo</f>
        <v>Initial Release November 2018</v>
      </c>
      <c r="N3" s="1370"/>
      <c r="O3" s="1371"/>
      <c r="P3" s="23"/>
    </row>
    <row r="4" spans="1:33" ht="14.1" customHeight="1" x14ac:dyDescent="0.2">
      <c r="A4" s="1365"/>
      <c r="B4" s="1357"/>
      <c r="C4" s="1357"/>
      <c r="D4" s="1357"/>
      <c r="E4" s="1357"/>
      <c r="F4" s="1357"/>
      <c r="G4" s="1357"/>
      <c r="H4" s="1357"/>
      <c r="I4" s="1357"/>
      <c r="J4" s="1357"/>
      <c r="K4" s="1357"/>
      <c r="L4" s="1358"/>
      <c r="M4" s="1372"/>
      <c r="N4" s="1373"/>
      <c r="O4" s="1374"/>
      <c r="P4" s="23"/>
      <c r="Q4" s="19"/>
      <c r="R4" s="19"/>
      <c r="S4" s="19"/>
      <c r="T4" s="19"/>
      <c r="U4" s="19"/>
      <c r="V4" s="19"/>
      <c r="W4" s="19"/>
      <c r="X4" s="19"/>
      <c r="Y4" s="19"/>
      <c r="Z4" s="19"/>
      <c r="AA4" s="19"/>
      <c r="AB4" s="19"/>
      <c r="AC4" s="19"/>
      <c r="AD4" s="19"/>
      <c r="AE4" s="19"/>
      <c r="AF4" s="19"/>
    </row>
    <row r="5" spans="1:33" s="7" customFormat="1" ht="14.1" customHeight="1" x14ac:dyDescent="0.2">
      <c r="A5" s="981"/>
      <c r="B5" s="50"/>
      <c r="C5" s="30"/>
      <c r="D5" s="1091"/>
      <c r="E5" s="99"/>
      <c r="F5" s="99"/>
      <c r="G5" s="99"/>
      <c r="H5" s="99"/>
      <c r="I5" s="99"/>
      <c r="J5" s="99"/>
      <c r="K5" s="99"/>
      <c r="L5" s="99"/>
      <c r="M5" s="99"/>
      <c r="N5" s="99"/>
      <c r="O5" s="35"/>
      <c r="P5" s="50"/>
      <c r="Q5" s="24"/>
      <c r="R5" s="24"/>
      <c r="S5" s="24"/>
      <c r="T5" s="24"/>
      <c r="U5" s="24"/>
      <c r="V5" s="24"/>
      <c r="W5" s="24"/>
      <c r="X5" s="24"/>
      <c r="Y5" s="24"/>
      <c r="Z5" s="24"/>
      <c r="AA5" s="24"/>
      <c r="AB5" s="24"/>
      <c r="AC5" s="24"/>
      <c r="AD5" s="24"/>
    </row>
    <row r="6" spans="1:33" ht="13.5" customHeight="1" x14ac:dyDescent="0.2">
      <c r="A6" s="19"/>
      <c r="C6" s="215" t="s">
        <v>218</v>
      </c>
      <c r="D6" s="214" t="s">
        <v>69</v>
      </c>
      <c r="E6" s="12"/>
      <c r="F6" s="12"/>
      <c r="G6" s="12"/>
      <c r="H6" s="12"/>
      <c r="I6" s="12"/>
      <c r="J6" s="19"/>
      <c r="K6" s="19"/>
      <c r="L6" s="19"/>
      <c r="M6" s="19"/>
      <c r="N6" s="19"/>
      <c r="O6" s="19"/>
      <c r="P6" s="19"/>
      <c r="Q6" s="19"/>
      <c r="R6" s="19"/>
      <c r="S6" s="19"/>
      <c r="T6" s="19"/>
      <c r="U6" s="19"/>
      <c r="V6" s="19"/>
      <c r="W6" s="19"/>
      <c r="X6" s="19"/>
      <c r="Y6" s="19"/>
      <c r="Z6" s="19"/>
      <c r="AA6" s="19"/>
      <c r="AB6" s="19"/>
      <c r="AC6" s="19"/>
      <c r="AD6" s="19"/>
      <c r="AE6" s="19"/>
      <c r="AF6" s="19"/>
      <c r="AG6" s="19"/>
    </row>
    <row r="7" spans="1:33" ht="13.5" customHeight="1" x14ac:dyDescent="0.2">
      <c r="A7" s="19"/>
      <c r="C7" s="214"/>
      <c r="D7" s="720"/>
      <c r="E7" s="12"/>
      <c r="F7" s="12"/>
      <c r="G7" s="12"/>
      <c r="H7" s="12"/>
      <c r="I7" s="12"/>
      <c r="J7" s="19"/>
      <c r="K7" s="19"/>
      <c r="L7" s="19"/>
      <c r="M7" s="19"/>
      <c r="N7" s="19"/>
      <c r="O7" s="19"/>
      <c r="P7" s="19"/>
      <c r="Q7" s="19"/>
      <c r="R7" s="19"/>
      <c r="S7" s="19"/>
      <c r="T7" s="19"/>
      <c r="U7" s="19"/>
      <c r="V7" s="19"/>
      <c r="W7" s="19"/>
      <c r="X7" s="19"/>
      <c r="Y7" s="19"/>
      <c r="Z7" s="19"/>
      <c r="AA7" s="19"/>
      <c r="AB7" s="19"/>
      <c r="AC7" s="19"/>
      <c r="AD7" s="19"/>
      <c r="AE7" s="19"/>
      <c r="AF7" s="19"/>
      <c r="AG7" s="19"/>
    </row>
    <row r="8" spans="1:33" ht="13.5" customHeight="1" x14ac:dyDescent="0.2">
      <c r="A8" s="1404" t="s">
        <v>4211</v>
      </c>
      <c r="D8" s="1044" t="s">
        <v>22</v>
      </c>
      <c r="E8" s="42" t="s">
        <v>12</v>
      </c>
      <c r="F8" s="42" t="s">
        <v>11</v>
      </c>
      <c r="G8" s="42" t="s">
        <v>10</v>
      </c>
      <c r="H8" s="42" t="s">
        <v>39</v>
      </c>
      <c r="I8" s="42" t="s">
        <v>40</v>
      </c>
      <c r="J8" s="42" t="s">
        <v>41</v>
      </c>
      <c r="K8" s="42" t="s">
        <v>42</v>
      </c>
      <c r="L8" s="42" t="s">
        <v>43</v>
      </c>
      <c r="M8" s="42" t="s">
        <v>44</v>
      </c>
      <c r="N8" s="42" t="s">
        <v>45</v>
      </c>
      <c r="O8" s="19"/>
      <c r="P8" s="19"/>
      <c r="Q8" s="19"/>
      <c r="R8" s="19"/>
      <c r="S8" s="19"/>
      <c r="T8" s="19"/>
      <c r="U8" s="19"/>
      <c r="V8" s="19"/>
      <c r="W8" s="19"/>
      <c r="X8" s="19"/>
      <c r="Y8" s="19"/>
      <c r="Z8" s="19"/>
      <c r="AA8" s="19"/>
      <c r="AB8" s="19"/>
      <c r="AC8" s="19"/>
      <c r="AD8" s="19"/>
      <c r="AE8" s="19"/>
      <c r="AF8" s="19"/>
      <c r="AG8" s="19"/>
    </row>
    <row r="9" spans="1:33" ht="13.5" customHeight="1" x14ac:dyDescent="0.2">
      <c r="A9" s="1405"/>
      <c r="D9" s="720"/>
      <c r="E9" s="43">
        <f>Yr1End</f>
        <v>43830</v>
      </c>
      <c r="F9" s="43">
        <f>Yr2End</f>
        <v>44196</v>
      </c>
      <c r="G9" s="43">
        <f>Yr3End</f>
        <v>44561</v>
      </c>
      <c r="H9" s="43">
        <f>Yr4end</f>
        <v>44926</v>
      </c>
      <c r="I9" s="43">
        <f>Yr5end</f>
        <v>45291</v>
      </c>
      <c r="J9" s="43">
        <f>Yr6end</f>
        <v>45657</v>
      </c>
      <c r="K9" s="43">
        <f>Yr7end</f>
        <v>46022</v>
      </c>
      <c r="L9" s="43">
        <f>Yr8end</f>
        <v>46387</v>
      </c>
      <c r="M9" s="43">
        <f>Yr9end</f>
        <v>46752</v>
      </c>
      <c r="N9" s="43">
        <f>Yr10end</f>
        <v>47118</v>
      </c>
      <c r="O9" s="19"/>
      <c r="P9" s="19"/>
      <c r="Q9" s="19"/>
      <c r="R9" s="19"/>
      <c r="S9" s="19"/>
      <c r="T9" s="19"/>
      <c r="U9" s="19"/>
      <c r="V9" s="19"/>
      <c r="W9" s="19"/>
      <c r="X9" s="19"/>
      <c r="Y9" s="19"/>
      <c r="Z9" s="19"/>
      <c r="AA9" s="19"/>
      <c r="AB9" s="19"/>
      <c r="AC9" s="19"/>
      <c r="AD9" s="19"/>
      <c r="AE9" s="19"/>
      <c r="AF9" s="19"/>
      <c r="AG9" s="19"/>
    </row>
    <row r="10" spans="1:33" ht="13.5" customHeight="1" x14ac:dyDescent="0.2">
      <c r="A10" s="1405"/>
      <c r="D10" s="720"/>
      <c r="E10" s="44">
        <f>Yr1End</f>
        <v>43830</v>
      </c>
      <c r="F10" s="44">
        <f>Yr2End</f>
        <v>44196</v>
      </c>
      <c r="G10" s="44">
        <f>Yr3End</f>
        <v>44561</v>
      </c>
      <c r="H10" s="44">
        <f>Yr4end</f>
        <v>44926</v>
      </c>
      <c r="I10" s="44">
        <f>Yr5end</f>
        <v>45291</v>
      </c>
      <c r="J10" s="44">
        <f>Yr6end</f>
        <v>45657</v>
      </c>
      <c r="K10" s="44">
        <f>Yr7end</f>
        <v>46022</v>
      </c>
      <c r="L10" s="44">
        <f>Yr8end</f>
        <v>46387</v>
      </c>
      <c r="M10" s="44">
        <f>Yr9end</f>
        <v>46752</v>
      </c>
      <c r="N10" s="44">
        <f>Yr10end</f>
        <v>47118</v>
      </c>
      <c r="O10" s="19"/>
      <c r="P10" s="19"/>
      <c r="Q10" s="19"/>
      <c r="R10" s="19"/>
      <c r="S10" s="19"/>
      <c r="T10" s="19"/>
      <c r="U10" s="19"/>
      <c r="V10" s="19"/>
      <c r="W10" s="19"/>
      <c r="X10" s="19"/>
      <c r="Y10" s="19"/>
      <c r="Z10" s="19"/>
      <c r="AA10" s="19"/>
      <c r="AB10" s="19"/>
      <c r="AC10" s="19"/>
      <c r="AD10" s="19"/>
      <c r="AE10" s="19"/>
      <c r="AF10" s="19"/>
      <c r="AG10" s="19"/>
    </row>
    <row r="11" spans="1:33" ht="13.5" customHeight="1" x14ac:dyDescent="0.2">
      <c r="A11" s="1406"/>
      <c r="D11" s="721"/>
      <c r="E11" s="12"/>
      <c r="F11" s="12"/>
      <c r="G11" s="12"/>
      <c r="H11" s="12"/>
      <c r="I11" s="12"/>
      <c r="J11" s="19"/>
      <c r="K11" s="19"/>
      <c r="L11" s="19"/>
      <c r="M11" s="19"/>
      <c r="N11" s="19"/>
      <c r="O11" s="19"/>
      <c r="P11" s="19"/>
      <c r="Q11" s="19"/>
      <c r="R11" s="19"/>
      <c r="S11" s="19"/>
      <c r="T11" s="19"/>
      <c r="U11" s="19"/>
      <c r="V11" s="19"/>
      <c r="W11" s="19"/>
      <c r="X11" s="19"/>
      <c r="Y11" s="19"/>
      <c r="Z11" s="19"/>
      <c r="AA11" s="19"/>
      <c r="AB11" s="19"/>
      <c r="AC11" s="19"/>
      <c r="AD11" s="19"/>
      <c r="AE11" s="19"/>
      <c r="AF11" s="19"/>
      <c r="AG11" s="19"/>
    </row>
    <row r="12" spans="1:33" customFormat="1" ht="14.1" customHeight="1" x14ac:dyDescent="0.2">
      <c r="A12" s="63"/>
      <c r="B12" s="63"/>
      <c r="C12" s="3"/>
      <c r="D12" s="12"/>
      <c r="E12" s="3"/>
      <c r="F12" s="3"/>
      <c r="G12" s="3"/>
      <c r="H12" s="16"/>
      <c r="I12" s="3"/>
      <c r="J12" s="3"/>
      <c r="K12" s="3"/>
      <c r="L12" s="3"/>
      <c r="M12" s="3"/>
      <c r="N12" s="3"/>
      <c r="O12" s="3"/>
      <c r="P12" s="18"/>
      <c r="Q12" s="18"/>
      <c r="R12" s="18"/>
      <c r="S12" s="18"/>
      <c r="T12" s="18"/>
      <c r="U12" s="18"/>
      <c r="V12" s="18"/>
      <c r="W12" s="18"/>
      <c r="X12" s="18"/>
      <c r="Y12" s="18"/>
      <c r="Z12" s="18"/>
      <c r="AA12" s="18"/>
      <c r="AB12" s="18"/>
      <c r="AC12" s="18"/>
      <c r="AD12" s="18"/>
      <c r="AE12" s="18"/>
      <c r="AF12" s="18"/>
      <c r="AG12" s="18"/>
    </row>
    <row r="13" spans="1:33" s="122" customFormat="1" ht="15.75" x14ac:dyDescent="0.2">
      <c r="A13" s="1043">
        <v>1</v>
      </c>
      <c r="B13" s="1039"/>
      <c r="C13" s="1039"/>
      <c r="D13" s="1039"/>
      <c r="E13" s="1039"/>
      <c r="F13" s="1039"/>
      <c r="G13" s="1039"/>
      <c r="H13" s="1039"/>
      <c r="I13" s="1039"/>
      <c r="J13" s="1039"/>
      <c r="K13" s="1039"/>
      <c r="L13" s="1039"/>
      <c r="M13" s="1039"/>
      <c r="N13" s="1039"/>
      <c r="O13" s="1039"/>
      <c r="P13" s="206"/>
      <c r="Q13" s="206"/>
      <c r="R13" s="206"/>
      <c r="S13" s="206"/>
      <c r="T13" s="206"/>
      <c r="U13" s="206"/>
      <c r="V13" s="206"/>
      <c r="W13" s="206"/>
      <c r="X13" s="206"/>
      <c r="Y13" s="206"/>
      <c r="Z13" s="206"/>
      <c r="AA13" s="206"/>
      <c r="AB13" s="206"/>
      <c r="AC13" s="206"/>
      <c r="AD13" s="206"/>
      <c r="AE13" s="206"/>
      <c r="AF13" s="206"/>
    </row>
    <row r="14" spans="1:33" s="7" customFormat="1" ht="14.1" customHeight="1" thickBot="1" x14ac:dyDescent="0.25">
      <c r="A14" s="981"/>
      <c r="B14" s="50"/>
      <c r="C14" s="30"/>
      <c r="D14" s="1091"/>
      <c r="E14" s="99"/>
      <c r="F14" s="99"/>
      <c r="G14" s="99"/>
      <c r="H14" s="99"/>
      <c r="I14" s="99"/>
      <c r="J14" s="99"/>
      <c r="K14" s="99"/>
      <c r="L14" s="99"/>
      <c r="M14" s="99"/>
      <c r="N14" s="99"/>
      <c r="O14" s="35"/>
      <c r="P14" s="50"/>
      <c r="Q14" s="24"/>
      <c r="R14" s="24"/>
      <c r="S14" s="24"/>
      <c r="T14" s="24"/>
      <c r="U14" s="24"/>
      <c r="V14" s="24"/>
      <c r="W14" s="24"/>
      <c r="X14" s="24"/>
      <c r="Y14" s="24"/>
      <c r="Z14" s="24"/>
      <c r="AA14" s="24"/>
      <c r="AB14" s="24"/>
      <c r="AC14" s="24"/>
      <c r="AD14" s="24"/>
    </row>
    <row r="15" spans="1:33" s="28" customFormat="1" ht="20.100000000000001" customHeight="1" x14ac:dyDescent="0.25">
      <c r="A15" s="1397" t="s">
        <v>4163</v>
      </c>
      <c r="B15" s="3"/>
      <c r="C15" s="967" t="s">
        <v>267</v>
      </c>
      <c r="D15" s="236"/>
      <c r="E15" s="236"/>
      <c r="F15" s="236"/>
      <c r="G15" s="236"/>
      <c r="H15" s="236"/>
      <c r="I15" s="236"/>
      <c r="J15" s="236"/>
      <c r="K15" s="236"/>
      <c r="L15" s="236"/>
      <c r="M15" s="236"/>
      <c r="N15" s="236"/>
      <c r="O15" s="247"/>
      <c r="P15" s="29"/>
      <c r="Q15" s="29"/>
      <c r="R15" s="29"/>
      <c r="S15" s="29"/>
      <c r="T15" s="29"/>
      <c r="U15" s="29"/>
      <c r="V15" s="29"/>
      <c r="W15" s="29"/>
      <c r="X15" s="29"/>
      <c r="Y15" s="29"/>
      <c r="Z15" s="29"/>
      <c r="AA15" s="29"/>
      <c r="AB15" s="29"/>
      <c r="AC15" s="29"/>
      <c r="AD15" s="29"/>
    </row>
    <row r="16" spans="1:33" s="28" customFormat="1" ht="15" x14ac:dyDescent="0.25">
      <c r="A16" s="1398"/>
      <c r="B16" s="3"/>
      <c r="C16" s="262"/>
      <c r="D16" s="665"/>
      <c r="E16" s="29"/>
      <c r="F16" s="29"/>
      <c r="G16" s="29"/>
      <c r="H16" s="29"/>
      <c r="I16" s="29"/>
      <c r="J16" s="29"/>
      <c r="K16" s="29"/>
      <c r="L16" s="29"/>
      <c r="M16" s="29"/>
      <c r="N16" s="29"/>
      <c r="O16" s="261"/>
      <c r="P16" s="29"/>
      <c r="Q16" s="29"/>
      <c r="R16" s="29"/>
      <c r="S16" s="29"/>
      <c r="T16" s="29"/>
      <c r="U16" s="29"/>
      <c r="V16" s="29"/>
      <c r="W16" s="29"/>
      <c r="X16" s="29"/>
      <c r="Y16" s="29"/>
      <c r="Z16" s="29"/>
      <c r="AA16" s="29"/>
      <c r="AB16" s="29"/>
      <c r="AC16" s="29"/>
      <c r="AD16" s="29"/>
    </row>
    <row r="17" spans="1:32" s="189" customFormat="1" x14ac:dyDescent="0.2">
      <c r="A17" s="1398"/>
      <c r="B17" s="3"/>
      <c r="C17" s="167"/>
      <c r="D17" s="978" t="s">
        <v>264</v>
      </c>
      <c r="E17" s="892"/>
      <c r="F17" s="892"/>
      <c r="G17" s="892"/>
      <c r="H17" s="892"/>
      <c r="I17" s="892"/>
      <c r="J17" s="892"/>
      <c r="K17" s="892"/>
      <c r="L17" s="892"/>
      <c r="M17" s="892"/>
      <c r="N17" s="892"/>
      <c r="O17" s="895"/>
      <c r="P17" s="892"/>
      <c r="Q17" s="892"/>
      <c r="R17" s="892"/>
      <c r="S17" s="892"/>
      <c r="T17" s="892"/>
      <c r="U17" s="892"/>
      <c r="V17" s="892"/>
      <c r="W17" s="892"/>
      <c r="X17" s="892"/>
      <c r="Y17" s="892"/>
      <c r="Z17" s="892"/>
      <c r="AA17" s="892"/>
      <c r="AB17" s="892"/>
      <c r="AC17" s="892"/>
      <c r="AD17" s="892"/>
    </row>
    <row r="18" spans="1:32" x14ac:dyDescent="0.2">
      <c r="A18" s="1398"/>
      <c r="C18" s="167"/>
      <c r="D18" s="979" t="s">
        <v>117</v>
      </c>
      <c r="E18" s="248">
        <f t="shared" ref="E18:N18" si="0">pSystemsPaperRecords_Total</f>
        <v>21456561</v>
      </c>
      <c r="F18" s="248">
        <f t="shared" si="0"/>
        <v>21432642.779220778</v>
      </c>
      <c r="G18" s="248">
        <f t="shared" si="0"/>
        <v>21414928.833333336</v>
      </c>
      <c r="H18" s="248">
        <f t="shared" si="0"/>
        <v>21458778.065934066</v>
      </c>
      <c r="I18" s="248">
        <f t="shared" si="0"/>
        <v>21472197.857142858</v>
      </c>
      <c r="J18" s="248">
        <f t="shared" si="0"/>
        <v>21485789.80952381</v>
      </c>
      <c r="K18" s="248">
        <f t="shared" si="0"/>
        <v>21499521.642857142</v>
      </c>
      <c r="L18" s="248">
        <f t="shared" si="0"/>
        <v>21513368.672268908</v>
      </c>
      <c r="M18" s="248">
        <f t="shared" si="0"/>
        <v>21527311.698412698</v>
      </c>
      <c r="N18" s="248">
        <f t="shared" si="0"/>
        <v>21541335.563909777</v>
      </c>
      <c r="O18" s="897"/>
      <c r="P18" s="13"/>
      <c r="Q18" s="19"/>
      <c r="R18" s="19"/>
      <c r="S18" s="19"/>
      <c r="T18" s="19"/>
      <c r="U18" s="19"/>
      <c r="V18" s="19"/>
      <c r="W18" s="19"/>
      <c r="X18" s="19"/>
      <c r="Y18" s="19"/>
      <c r="Z18" s="19"/>
      <c r="AA18" s="19"/>
      <c r="AB18" s="19"/>
      <c r="AC18" s="19"/>
      <c r="AD18" s="19"/>
    </row>
    <row r="19" spans="1:32" x14ac:dyDescent="0.2">
      <c r="A19" s="1398"/>
      <c r="C19" s="167"/>
      <c r="D19" s="615" t="s">
        <v>118</v>
      </c>
      <c r="E19" s="248">
        <f t="shared" ref="E19:N19" si="1">hSystemsPaperRecords_Total</f>
        <v>21456561</v>
      </c>
      <c r="F19" s="248">
        <f t="shared" si="1"/>
        <v>10716321.389610389</v>
      </c>
      <c r="G19" s="248">
        <f t="shared" si="1"/>
        <v>9636717.9749999978</v>
      </c>
      <c r="H19" s="248">
        <f t="shared" si="1"/>
        <v>8583511.2263736259</v>
      </c>
      <c r="I19" s="248">
        <f t="shared" si="1"/>
        <v>8588879.1428571418</v>
      </c>
      <c r="J19" s="248">
        <f t="shared" si="1"/>
        <v>8594315.9238095246</v>
      </c>
      <c r="K19" s="248">
        <f t="shared" si="1"/>
        <v>8599808.6571428571</v>
      </c>
      <c r="L19" s="248">
        <f t="shared" si="1"/>
        <v>8605347.4689075649</v>
      </c>
      <c r="M19" s="248">
        <f t="shared" si="1"/>
        <v>8610924.679365078</v>
      </c>
      <c r="N19" s="248">
        <f t="shared" si="1"/>
        <v>8616534.2255639099</v>
      </c>
      <c r="O19" s="897"/>
      <c r="P19" s="13"/>
      <c r="Q19" s="19"/>
      <c r="R19" s="19"/>
      <c r="S19" s="19"/>
      <c r="T19" s="19"/>
      <c r="U19" s="19"/>
      <c r="V19" s="19"/>
      <c r="W19" s="19"/>
      <c r="X19" s="19"/>
      <c r="Y19" s="19"/>
      <c r="Z19" s="19"/>
      <c r="AA19" s="19"/>
      <c r="AB19" s="19"/>
      <c r="AC19" s="19"/>
      <c r="AD19" s="19"/>
    </row>
    <row r="20" spans="1:32" x14ac:dyDescent="0.2">
      <c r="A20" s="1398"/>
      <c r="C20" s="167"/>
      <c r="D20" s="980" t="s">
        <v>119</v>
      </c>
      <c r="E20" s="248">
        <f t="shared" ref="E20:N20" si="2">eSystemsPaperRecords_Total</f>
        <v>21456561</v>
      </c>
      <c r="F20" s="248">
        <f t="shared" si="2"/>
        <v>857305.71116883121</v>
      </c>
      <c r="G20" s="248">
        <f t="shared" si="2"/>
        <v>642447.86499999999</v>
      </c>
      <c r="H20" s="248">
        <f t="shared" si="2"/>
        <v>751057.23230769229</v>
      </c>
      <c r="I20" s="248">
        <f t="shared" si="2"/>
        <v>644165.93571428582</v>
      </c>
      <c r="J20" s="248">
        <f t="shared" si="2"/>
        <v>537144.74523809529</v>
      </c>
      <c r="K20" s="248">
        <f t="shared" si="2"/>
        <v>429990.43285714294</v>
      </c>
      <c r="L20" s="248">
        <f t="shared" si="2"/>
        <v>322700.53008403361</v>
      </c>
      <c r="M20" s="248">
        <f t="shared" si="2"/>
        <v>215273.11698412703</v>
      </c>
      <c r="N20" s="248">
        <f t="shared" si="2"/>
        <v>107706.67781954889</v>
      </c>
      <c r="O20" s="897"/>
      <c r="P20" s="13"/>
      <c r="Q20" s="19"/>
      <c r="R20" s="19"/>
      <c r="S20" s="19"/>
      <c r="T20" s="19"/>
      <c r="U20" s="19"/>
      <c r="V20" s="19"/>
      <c r="W20" s="19"/>
      <c r="X20" s="19"/>
      <c r="Y20" s="19"/>
      <c r="Z20" s="19"/>
      <c r="AA20" s="19"/>
      <c r="AB20" s="19"/>
      <c r="AC20" s="19"/>
      <c r="AD20" s="19"/>
    </row>
    <row r="21" spans="1:32" s="114" customFormat="1" ht="13.5" thickBot="1" x14ac:dyDescent="0.25">
      <c r="A21" s="1399"/>
      <c r="B21" s="13"/>
      <c r="C21" s="250"/>
      <c r="D21" s="666"/>
      <c r="E21" s="251"/>
      <c r="F21" s="251"/>
      <c r="G21" s="251"/>
      <c r="H21" s="251"/>
      <c r="I21" s="251"/>
      <c r="J21" s="251"/>
      <c r="K21" s="251"/>
      <c r="L21" s="251"/>
      <c r="M21" s="251"/>
      <c r="N21" s="251"/>
      <c r="O21" s="252"/>
      <c r="P21" s="113"/>
    </row>
    <row r="22" spans="1:32" ht="14.1" customHeight="1" x14ac:dyDescent="0.2">
      <c r="A22" s="114"/>
      <c r="B22" s="13"/>
      <c r="C22" s="56"/>
      <c r="D22" s="667"/>
      <c r="E22" s="15"/>
      <c r="F22" s="15"/>
      <c r="G22" s="15"/>
      <c r="H22" s="13"/>
      <c r="I22" s="19"/>
      <c r="J22" s="19"/>
      <c r="K22" s="19"/>
      <c r="L22" s="19"/>
      <c r="M22" s="19"/>
      <c r="N22" s="19"/>
      <c r="O22" s="35"/>
      <c r="P22" s="13"/>
      <c r="Q22" s="19"/>
      <c r="R22" s="19"/>
      <c r="S22" s="19"/>
      <c r="T22" s="19"/>
      <c r="U22" s="19"/>
      <c r="V22" s="19"/>
      <c r="W22" s="19"/>
      <c r="X22" s="19"/>
      <c r="Y22" s="19"/>
      <c r="Z22" s="19"/>
      <c r="AA22" s="19"/>
      <c r="AB22" s="19"/>
      <c r="AC22" s="19"/>
      <c r="AD22" s="19"/>
    </row>
    <row r="23" spans="1:32" s="122" customFormat="1" ht="15.75" x14ac:dyDescent="0.2">
      <c r="A23" s="1043">
        <v>2</v>
      </c>
      <c r="B23" s="1039"/>
      <c r="C23" s="1039"/>
      <c r="D23" s="1039"/>
      <c r="E23" s="1039"/>
      <c r="F23" s="1039"/>
      <c r="G23" s="1039"/>
      <c r="H23" s="1039"/>
      <c r="I23" s="1039"/>
      <c r="J23" s="1039"/>
      <c r="K23" s="1039"/>
      <c r="L23" s="1039"/>
      <c r="M23" s="1039"/>
      <c r="N23" s="1039"/>
      <c r="O23" s="1039"/>
      <c r="P23" s="206"/>
      <c r="Q23" s="206"/>
      <c r="R23" s="206"/>
      <c r="S23" s="206"/>
      <c r="T23" s="206"/>
      <c r="U23" s="206"/>
      <c r="V23" s="206"/>
      <c r="W23" s="206"/>
      <c r="X23" s="206"/>
      <c r="Y23" s="206"/>
      <c r="Z23" s="206"/>
      <c r="AA23" s="206"/>
      <c r="AB23" s="206"/>
      <c r="AC23" s="206"/>
      <c r="AD23" s="206"/>
      <c r="AE23" s="206"/>
      <c r="AF23" s="206"/>
    </row>
    <row r="24" spans="1:32" s="18" customFormat="1" ht="13.5" thickBot="1" x14ac:dyDescent="0.25">
      <c r="A24" s="13"/>
      <c r="B24" s="3"/>
      <c r="C24" s="30"/>
      <c r="D24" s="30"/>
      <c r="E24" s="23"/>
      <c r="F24" s="23"/>
      <c r="G24" s="23"/>
      <c r="H24" s="23"/>
      <c r="I24" s="23"/>
      <c r="J24" s="23"/>
      <c r="K24" s="23"/>
      <c r="L24" s="23"/>
      <c r="M24" s="23"/>
      <c r="N24" s="23"/>
      <c r="O24" s="23"/>
      <c r="P24" s="12"/>
      <c r="Q24" s="12"/>
    </row>
    <row r="25" spans="1:32" s="18" customFormat="1" ht="20.100000000000001" customHeight="1" x14ac:dyDescent="0.2">
      <c r="A25" s="1397" t="s">
        <v>4276</v>
      </c>
      <c r="B25" s="267"/>
      <c r="C25" s="967" t="s">
        <v>4275</v>
      </c>
      <c r="D25" s="23"/>
      <c r="E25" s="23"/>
      <c r="F25" s="23"/>
      <c r="G25" s="23"/>
      <c r="H25" s="23"/>
      <c r="I25" s="23"/>
      <c r="J25" s="23"/>
      <c r="K25" s="23"/>
      <c r="L25" s="23"/>
      <c r="M25" s="23"/>
      <c r="N25" s="23"/>
      <c r="O25" s="23"/>
      <c r="P25" s="12"/>
      <c r="Q25" s="12"/>
    </row>
    <row r="26" spans="1:32" s="18" customFormat="1" ht="12" customHeight="1" x14ac:dyDescent="0.2">
      <c r="A26" s="1398"/>
      <c r="B26" s="267"/>
      <c r="C26" s="267"/>
      <c r="D26" s="30"/>
      <c r="E26" s="23"/>
      <c r="F26" s="23"/>
      <c r="G26" s="23"/>
      <c r="H26" s="23"/>
      <c r="I26" s="23"/>
      <c r="J26" s="23"/>
      <c r="K26" s="23"/>
      <c r="L26" s="23"/>
      <c r="M26" s="23"/>
      <c r="N26" s="23"/>
      <c r="O26" s="23"/>
      <c r="P26" s="12"/>
      <c r="Q26" s="12"/>
    </row>
    <row r="27" spans="1:32" s="18" customFormat="1" ht="20.25" customHeight="1" x14ac:dyDescent="0.2">
      <c r="A27" s="1399"/>
      <c r="B27" s="267"/>
      <c r="C27" s="267"/>
      <c r="D27" s="30"/>
      <c r="E27" s="23"/>
      <c r="F27" s="23"/>
      <c r="G27" s="23"/>
      <c r="H27" s="23"/>
      <c r="I27" s="23"/>
      <c r="J27" s="23"/>
      <c r="K27" s="23"/>
      <c r="L27" s="23"/>
      <c r="M27" s="23"/>
      <c r="N27" s="23"/>
      <c r="O27" s="23"/>
      <c r="P27" s="12"/>
      <c r="Q27" s="12"/>
    </row>
    <row r="28" spans="1:32" ht="14.1" customHeight="1" x14ac:dyDescent="0.2">
      <c r="A28" s="114"/>
      <c r="B28" s="13"/>
      <c r="C28" s="56"/>
      <c r="D28" s="667"/>
      <c r="E28" s="15"/>
      <c r="F28" s="15"/>
      <c r="G28" s="15"/>
      <c r="H28" s="13"/>
      <c r="I28" s="19"/>
      <c r="J28" s="19"/>
      <c r="K28" s="19"/>
      <c r="L28" s="19"/>
      <c r="M28" s="19"/>
      <c r="N28" s="19"/>
      <c r="O28" s="35"/>
      <c r="P28" s="13"/>
      <c r="Q28" s="19"/>
      <c r="R28" s="19"/>
      <c r="S28" s="19"/>
      <c r="T28" s="19"/>
      <c r="U28" s="19"/>
      <c r="V28" s="19"/>
      <c r="W28" s="19"/>
      <c r="X28" s="19"/>
      <c r="Y28" s="19"/>
      <c r="Z28" s="19"/>
      <c r="AA28" s="19"/>
      <c r="AB28" s="19"/>
      <c r="AC28" s="19"/>
      <c r="AD28" s="19"/>
    </row>
    <row r="29" spans="1:32" ht="14.1" hidden="1" customHeight="1" outlineLevel="1" thickBot="1" x14ac:dyDescent="0.25">
      <c r="A29" s="114"/>
      <c r="B29" s="13"/>
      <c r="C29" s="56"/>
      <c r="D29" s="667"/>
      <c r="E29" s="15"/>
      <c r="F29" s="15"/>
      <c r="G29" s="15"/>
      <c r="H29" s="13"/>
      <c r="I29" s="19"/>
      <c r="J29" s="19"/>
      <c r="K29" s="19"/>
      <c r="L29" s="19"/>
      <c r="M29" s="19"/>
      <c r="N29" s="19"/>
      <c r="O29" s="35"/>
      <c r="P29" s="13"/>
      <c r="Q29" s="19"/>
      <c r="R29" s="19"/>
      <c r="S29" s="19"/>
      <c r="T29" s="19"/>
      <c r="U29" s="19"/>
      <c r="V29" s="19"/>
      <c r="W29" s="19"/>
      <c r="X29" s="19"/>
      <c r="Y29" s="19"/>
      <c r="Z29" s="19"/>
      <c r="AA29" s="19"/>
      <c r="AB29" s="19"/>
      <c r="AC29" s="19"/>
      <c r="AD29" s="19"/>
    </row>
    <row r="30" spans="1:32" s="7" customFormat="1" ht="14.1" hidden="1" customHeight="1" outlineLevel="1" x14ac:dyDescent="0.2">
      <c r="A30" s="1397" t="s">
        <v>4277</v>
      </c>
      <c r="C30" s="1092"/>
      <c r="D30" s="1093"/>
      <c r="E30" s="825"/>
      <c r="F30" s="825"/>
      <c r="G30" s="825"/>
      <c r="H30" s="825"/>
      <c r="I30" s="825"/>
      <c r="J30" s="825"/>
      <c r="K30" s="825"/>
      <c r="L30" s="825"/>
      <c r="M30" s="825"/>
      <c r="N30" s="825"/>
      <c r="O30" s="508"/>
      <c r="P30" s="50"/>
      <c r="Q30" s="24"/>
      <c r="R30" s="24"/>
      <c r="S30" s="24"/>
      <c r="T30" s="24"/>
      <c r="U30" s="24"/>
      <c r="V30" s="24"/>
      <c r="W30" s="24"/>
      <c r="X30" s="24"/>
      <c r="Y30" s="24"/>
      <c r="Z30" s="24"/>
      <c r="AA30" s="24"/>
      <c r="AB30" s="24"/>
      <c r="AC30" s="24"/>
      <c r="AD30" s="24"/>
    </row>
    <row r="31" spans="1:32" s="7" customFormat="1" ht="14.1" hidden="1" customHeight="1" outlineLevel="1" x14ac:dyDescent="0.2">
      <c r="A31" s="1398"/>
      <c r="C31" s="302"/>
      <c r="D31" s="659" t="s">
        <v>802</v>
      </c>
      <c r="E31" s="519">
        <v>30000000</v>
      </c>
      <c r="F31" s="517" t="s">
        <v>801</v>
      </c>
      <c r="G31" s="39"/>
      <c r="H31" s="39"/>
      <c r="I31" s="39"/>
      <c r="J31" s="39"/>
      <c r="K31" s="39"/>
      <c r="L31" s="39"/>
      <c r="M31" s="39"/>
      <c r="N31" s="39"/>
      <c r="O31" s="249"/>
      <c r="P31" s="50"/>
      <c r="Q31" s="24"/>
      <c r="R31" s="24"/>
      <c r="S31" s="24"/>
      <c r="T31" s="24"/>
      <c r="U31" s="24"/>
      <c r="V31" s="24"/>
      <c r="W31" s="24"/>
      <c r="X31" s="24"/>
      <c r="Y31" s="24"/>
      <c r="Z31" s="24"/>
      <c r="AA31" s="24"/>
      <c r="AB31" s="24"/>
      <c r="AC31" s="24"/>
      <c r="AD31" s="24"/>
    </row>
    <row r="32" spans="1:32" s="7" customFormat="1" ht="14.1" hidden="1" customHeight="1" outlineLevel="1" x14ac:dyDescent="0.2">
      <c r="A32" s="1398"/>
      <c r="C32" s="302"/>
      <c r="D32" s="659"/>
      <c r="E32" s="39"/>
      <c r="F32" s="39"/>
      <c r="G32" s="39"/>
      <c r="H32" s="39"/>
      <c r="I32" s="39"/>
      <c r="J32" s="39"/>
      <c r="K32" s="39"/>
      <c r="L32" s="39"/>
      <c r="M32" s="39"/>
      <c r="N32" s="39"/>
      <c r="O32" s="249"/>
      <c r="P32" s="50"/>
      <c r="Q32" s="24"/>
      <c r="R32" s="24"/>
      <c r="S32" s="24"/>
      <c r="T32" s="24"/>
      <c r="U32" s="24"/>
      <c r="V32" s="24"/>
      <c r="W32" s="24"/>
      <c r="X32" s="24"/>
      <c r="Y32" s="24"/>
      <c r="Z32" s="24"/>
      <c r="AA32" s="24"/>
      <c r="AB32" s="24"/>
      <c r="AC32" s="24"/>
      <c r="AD32" s="24"/>
    </row>
    <row r="33" spans="1:30" s="7" customFormat="1" ht="14.1" hidden="1" customHeight="1" outlineLevel="1" x14ac:dyDescent="0.2">
      <c r="A33" s="1398"/>
      <c r="C33" s="283"/>
      <c r="D33" s="658" t="s">
        <v>815</v>
      </c>
      <c r="E33" s="39"/>
      <c r="F33" s="39"/>
      <c r="G33" s="39"/>
      <c r="H33" s="39"/>
      <c r="I33" s="39"/>
      <c r="J33" s="39"/>
      <c r="K33" s="39"/>
      <c r="L33" s="39"/>
      <c r="M33" s="39"/>
      <c r="N33" s="39"/>
      <c r="O33" s="249"/>
      <c r="P33" s="50"/>
      <c r="Q33" s="24"/>
      <c r="R33" s="24"/>
      <c r="S33" s="24"/>
      <c r="T33" s="24"/>
      <c r="U33" s="24"/>
      <c r="V33" s="24"/>
      <c r="W33" s="24"/>
      <c r="X33" s="24"/>
      <c r="Y33" s="24"/>
      <c r="Z33" s="24"/>
      <c r="AA33" s="24"/>
      <c r="AB33" s="24"/>
      <c r="AC33" s="24"/>
      <c r="AD33" s="24"/>
    </row>
    <row r="34" spans="1:30" s="7" customFormat="1" ht="14.1" hidden="1" customHeight="1" outlineLevel="1" x14ac:dyDescent="0.2">
      <c r="A34" s="1398"/>
      <c r="C34" s="302"/>
      <c r="D34" s="659" t="s">
        <v>4136</v>
      </c>
      <c r="E34" s="516">
        <v>0</v>
      </c>
      <c r="F34" s="516">
        <v>0</v>
      </c>
      <c r="G34" s="516">
        <v>0</v>
      </c>
      <c r="H34" s="516">
        <v>0</v>
      </c>
      <c r="I34" s="516">
        <v>0</v>
      </c>
      <c r="J34" s="516">
        <v>0</v>
      </c>
      <c r="K34" s="516">
        <v>0</v>
      </c>
      <c r="L34" s="516">
        <v>0</v>
      </c>
      <c r="M34" s="516">
        <v>0</v>
      </c>
      <c r="N34" s="516">
        <v>0</v>
      </c>
      <c r="O34" s="517" t="s">
        <v>823</v>
      </c>
      <c r="P34" s="50"/>
      <c r="Q34" s="24"/>
      <c r="R34" s="24"/>
      <c r="S34" s="24"/>
      <c r="T34" s="24"/>
      <c r="U34" s="24"/>
      <c r="V34" s="24"/>
      <c r="W34" s="24"/>
      <c r="X34" s="24"/>
      <c r="Y34" s="24"/>
      <c r="Z34" s="24"/>
      <c r="AA34" s="24"/>
      <c r="AB34" s="24"/>
      <c r="AC34" s="24"/>
      <c r="AD34" s="24"/>
    </row>
    <row r="35" spans="1:30" s="7" customFormat="1" ht="14.1" hidden="1" customHeight="1" outlineLevel="1" x14ac:dyDescent="0.2">
      <c r="A35" s="1398"/>
      <c r="C35" s="302"/>
      <c r="D35" s="659" t="s">
        <v>803</v>
      </c>
      <c r="E35" s="502">
        <f>pSystemsPaperRecords_Total+RecordsLegacyYr1</f>
        <v>51456561</v>
      </c>
      <c r="F35" s="502">
        <f t="shared" ref="F35:N35" si="3">(pSystemsPaperRecords_Total)+E35</f>
        <v>72889203.779220775</v>
      </c>
      <c r="G35" s="502">
        <f t="shared" si="3"/>
        <v>94304132.612554103</v>
      </c>
      <c r="H35" s="502">
        <f t="shared" si="3"/>
        <v>115762910.67848817</v>
      </c>
      <c r="I35" s="502">
        <f t="shared" si="3"/>
        <v>137235108.53563103</v>
      </c>
      <c r="J35" s="502">
        <f t="shared" si="3"/>
        <v>158720898.34515485</v>
      </c>
      <c r="K35" s="502">
        <f t="shared" si="3"/>
        <v>180220419.98801199</v>
      </c>
      <c r="L35" s="502">
        <f t="shared" si="3"/>
        <v>201733788.66028088</v>
      </c>
      <c r="M35" s="502">
        <f t="shared" si="3"/>
        <v>223261100.35869357</v>
      </c>
      <c r="N35" s="502">
        <f t="shared" si="3"/>
        <v>244802435.92260334</v>
      </c>
      <c r="O35" s="257" t="s">
        <v>804</v>
      </c>
      <c r="P35" s="50"/>
      <c r="Q35" s="24"/>
      <c r="R35" s="24"/>
      <c r="S35" s="24"/>
      <c r="T35" s="24"/>
      <c r="U35" s="24"/>
      <c r="V35" s="24"/>
      <c r="W35" s="24"/>
      <c r="X35" s="24"/>
      <c r="Y35" s="24"/>
      <c r="Z35" s="24"/>
      <c r="AA35" s="24"/>
      <c r="AB35" s="24"/>
      <c r="AC35" s="24"/>
      <c r="AD35" s="24"/>
    </row>
    <row r="36" spans="1:30" s="7" customFormat="1" ht="14.1" hidden="1" customHeight="1" outlineLevel="1" x14ac:dyDescent="0.2">
      <c r="A36" s="1398"/>
      <c r="C36" s="302"/>
      <c r="D36" s="668" t="s">
        <v>810</v>
      </c>
      <c r="E36" s="502">
        <f t="shared" ref="E36:N36" si="4">pSystemsPaperRecords_Total/FleetSize_Total*LeaseReturnForecast</f>
        <v>275084.11538461538</v>
      </c>
      <c r="F36" s="502">
        <f t="shared" si="4"/>
        <v>412166.20729270729</v>
      </c>
      <c r="G36" s="502">
        <f t="shared" si="4"/>
        <v>411825.5544871795</v>
      </c>
      <c r="H36" s="502">
        <f t="shared" si="4"/>
        <v>275112.53930684697</v>
      </c>
      <c r="I36" s="502">
        <f t="shared" si="4"/>
        <v>275284.58791208791</v>
      </c>
      <c r="J36" s="502">
        <f t="shared" si="4"/>
        <v>413188.26556776557</v>
      </c>
      <c r="K36" s="502">
        <f t="shared" si="4"/>
        <v>413452.33928571426</v>
      </c>
      <c r="L36" s="502">
        <f t="shared" si="4"/>
        <v>275812.41887524241</v>
      </c>
      <c r="M36" s="502">
        <f t="shared" si="4"/>
        <v>275991.17562067561</v>
      </c>
      <c r="N36" s="502">
        <f t="shared" si="4"/>
        <v>414256.45315211109</v>
      </c>
      <c r="O36" s="257" t="s">
        <v>811</v>
      </c>
      <c r="P36" s="50"/>
      <c r="Q36" s="24"/>
      <c r="R36" s="24"/>
      <c r="S36" s="24"/>
      <c r="T36" s="24"/>
      <c r="U36" s="24"/>
      <c r="V36" s="24"/>
      <c r="W36" s="24"/>
      <c r="X36" s="24"/>
      <c r="Y36" s="24"/>
      <c r="Z36" s="24"/>
      <c r="AA36" s="24"/>
      <c r="AB36" s="24"/>
      <c r="AC36" s="24"/>
      <c r="AD36" s="24"/>
    </row>
    <row r="37" spans="1:30" s="7" customFormat="1" ht="14.1" hidden="1" customHeight="1" outlineLevel="1" x14ac:dyDescent="0.2">
      <c r="A37" s="1398"/>
      <c r="C37" s="302"/>
      <c r="D37" s="668" t="s">
        <v>813</v>
      </c>
      <c r="E37" s="502">
        <v>0</v>
      </c>
      <c r="F37" s="502">
        <f t="shared" ref="F37:N37" si="5">E35*pSystemRecordsShredRate</f>
        <v>0</v>
      </c>
      <c r="G37" s="502">
        <f t="shared" si="5"/>
        <v>0</v>
      </c>
      <c r="H37" s="502">
        <f t="shared" si="5"/>
        <v>0</v>
      </c>
      <c r="I37" s="502">
        <f t="shared" si="5"/>
        <v>0</v>
      </c>
      <c r="J37" s="502">
        <f t="shared" si="5"/>
        <v>0</v>
      </c>
      <c r="K37" s="502">
        <f t="shared" si="5"/>
        <v>0</v>
      </c>
      <c r="L37" s="502">
        <f t="shared" si="5"/>
        <v>0</v>
      </c>
      <c r="M37" s="502">
        <f t="shared" si="5"/>
        <v>0</v>
      </c>
      <c r="N37" s="502">
        <f t="shared" si="5"/>
        <v>0</v>
      </c>
      <c r="O37" s="257" t="s">
        <v>814</v>
      </c>
      <c r="P37" s="50"/>
      <c r="Q37" s="24"/>
      <c r="R37" s="24"/>
      <c r="S37" s="24"/>
      <c r="T37" s="24"/>
      <c r="U37" s="24"/>
      <c r="V37" s="24"/>
      <c r="W37" s="24"/>
      <c r="X37" s="24"/>
      <c r="Y37" s="24"/>
      <c r="Z37" s="24"/>
      <c r="AA37" s="24"/>
      <c r="AB37" s="24"/>
      <c r="AC37" s="24"/>
      <c r="AD37" s="24"/>
    </row>
    <row r="38" spans="1:30" s="7" customFormat="1" ht="14.1" hidden="1" customHeight="1" outlineLevel="1" x14ac:dyDescent="0.2">
      <c r="A38" s="1398"/>
      <c r="C38" s="302"/>
      <c r="D38" s="659" t="s">
        <v>809</v>
      </c>
      <c r="E38" s="515">
        <f t="shared" ref="E38:N38" si="6">pSystemsRecordsArchiveCumulative_Gross-pSystemsRecordsArchiveShredDisposal-pSystemsRecordsArchiveShredDueDigital</f>
        <v>51181476.884615384</v>
      </c>
      <c r="F38" s="515">
        <f t="shared" si="6"/>
        <v>72477037.571928069</v>
      </c>
      <c r="G38" s="515">
        <f t="shared" si="6"/>
        <v>93892307.058066919</v>
      </c>
      <c r="H38" s="515">
        <f t="shared" si="6"/>
        <v>115487798.13918132</v>
      </c>
      <c r="I38" s="515">
        <f t="shared" si="6"/>
        <v>136959823.94771895</v>
      </c>
      <c r="J38" s="515">
        <f t="shared" si="6"/>
        <v>158307710.07958707</v>
      </c>
      <c r="K38" s="515">
        <f t="shared" si="6"/>
        <v>179806967.64872628</v>
      </c>
      <c r="L38" s="515">
        <f t="shared" si="6"/>
        <v>201457976.24140564</v>
      </c>
      <c r="M38" s="515">
        <f t="shared" si="6"/>
        <v>222985109.18307289</v>
      </c>
      <c r="N38" s="515">
        <f t="shared" si="6"/>
        <v>244388179.46945122</v>
      </c>
      <c r="O38" s="257" t="s">
        <v>812</v>
      </c>
      <c r="P38" s="50"/>
      <c r="Q38" s="24"/>
      <c r="R38" s="24"/>
      <c r="S38" s="24"/>
      <c r="T38" s="24"/>
      <c r="U38" s="24"/>
      <c r="V38" s="24"/>
      <c r="W38" s="24"/>
      <c r="X38" s="24"/>
      <c r="Y38" s="24"/>
      <c r="Z38" s="24"/>
      <c r="AA38" s="24"/>
      <c r="AB38" s="24"/>
      <c r="AC38" s="24"/>
      <c r="AD38" s="24"/>
    </row>
    <row r="39" spans="1:30" s="7" customFormat="1" ht="14.1" hidden="1" customHeight="1" outlineLevel="1" x14ac:dyDescent="0.2">
      <c r="A39" s="1398"/>
      <c r="C39" s="302"/>
      <c r="D39" s="668"/>
      <c r="E39" s="442"/>
      <c r="F39" s="442"/>
      <c r="G39" s="442"/>
      <c r="H39" s="442"/>
      <c r="I39" s="442"/>
      <c r="J39" s="442"/>
      <c r="K39" s="442"/>
      <c r="L39" s="442"/>
      <c r="M39" s="442"/>
      <c r="N39" s="442"/>
      <c r="O39" s="257"/>
      <c r="P39" s="50"/>
      <c r="Q39" s="24"/>
      <c r="R39" s="24"/>
      <c r="S39" s="24"/>
      <c r="T39" s="24"/>
      <c r="U39" s="24"/>
      <c r="V39" s="24"/>
      <c r="W39" s="24"/>
      <c r="X39" s="24"/>
      <c r="Y39" s="24"/>
      <c r="Z39" s="24"/>
      <c r="AA39" s="24"/>
      <c r="AB39" s="24"/>
      <c r="AC39" s="24"/>
      <c r="AD39" s="24"/>
    </row>
    <row r="40" spans="1:30" s="7" customFormat="1" ht="14.1" hidden="1" customHeight="1" outlineLevel="1" x14ac:dyDescent="0.2">
      <c r="A40" s="1398"/>
      <c r="C40" s="283"/>
      <c r="D40" s="660" t="s">
        <v>816</v>
      </c>
      <c r="E40" s="39"/>
      <c r="F40" s="39"/>
      <c r="G40" s="39"/>
      <c r="H40" s="39"/>
      <c r="I40" s="39"/>
      <c r="J40" s="39"/>
      <c r="K40" s="39"/>
      <c r="L40" s="39"/>
      <c r="M40" s="39"/>
      <c r="N40" s="39"/>
      <c r="O40" s="249"/>
      <c r="P40" s="50"/>
      <c r="Q40" s="24"/>
      <c r="R40" s="24"/>
      <c r="S40" s="24"/>
      <c r="T40" s="24"/>
      <c r="U40" s="24"/>
      <c r="V40" s="24"/>
      <c r="W40" s="24"/>
      <c r="X40" s="24"/>
      <c r="Y40" s="24"/>
      <c r="Z40" s="24"/>
      <c r="AA40" s="24"/>
      <c r="AB40" s="24"/>
      <c r="AC40" s="24"/>
      <c r="AD40" s="24"/>
    </row>
    <row r="41" spans="1:30" s="7" customFormat="1" ht="14.1" hidden="1" customHeight="1" outlineLevel="1" x14ac:dyDescent="0.2">
      <c r="A41" s="1398"/>
      <c r="C41" s="283"/>
      <c r="D41" s="659" t="s">
        <v>4137</v>
      </c>
      <c r="E41" s="516">
        <v>0</v>
      </c>
      <c r="F41" s="516">
        <v>0.4</v>
      </c>
      <c r="G41" s="516">
        <v>0.45</v>
      </c>
      <c r="H41" s="516">
        <v>0.5</v>
      </c>
      <c r="I41" s="516">
        <v>0.55000000000000004</v>
      </c>
      <c r="J41" s="516">
        <v>0.6</v>
      </c>
      <c r="K41" s="516">
        <v>0.65</v>
      </c>
      <c r="L41" s="516">
        <v>0.7</v>
      </c>
      <c r="M41" s="516">
        <v>0.75</v>
      </c>
      <c r="N41" s="516">
        <v>0.8</v>
      </c>
      <c r="O41" s="517" t="s">
        <v>824</v>
      </c>
      <c r="P41" s="50"/>
      <c r="Q41" s="24"/>
      <c r="R41" s="24"/>
      <c r="S41" s="24"/>
      <c r="T41" s="24"/>
      <c r="U41" s="24"/>
      <c r="V41" s="24"/>
      <c r="W41" s="24"/>
      <c r="X41" s="24"/>
      <c r="Y41" s="24"/>
      <c r="Z41" s="24"/>
      <c r="AA41" s="24"/>
      <c r="AB41" s="24"/>
      <c r="AC41" s="24"/>
      <c r="AD41" s="24"/>
    </row>
    <row r="42" spans="1:30" s="7" customFormat="1" ht="14.1" hidden="1" customHeight="1" outlineLevel="1" x14ac:dyDescent="0.2">
      <c r="A42" s="1398"/>
      <c r="C42" s="302"/>
      <c r="D42" s="659" t="s">
        <v>805</v>
      </c>
      <c r="E42" s="502">
        <f>hSystemsPaperRecords_Total+RecordsLegacyYr1</f>
        <v>51456561</v>
      </c>
      <c r="F42" s="502">
        <f t="shared" ref="F42:N42" si="7">(hSystemsPaperRecords_Total)+E42</f>
        <v>62172882.389610387</v>
      </c>
      <c r="G42" s="502">
        <f t="shared" si="7"/>
        <v>71809600.364610389</v>
      </c>
      <c r="H42" s="502">
        <f t="shared" si="7"/>
        <v>80393111.590984017</v>
      </c>
      <c r="I42" s="502">
        <f t="shared" si="7"/>
        <v>88981990.733841151</v>
      </c>
      <c r="J42" s="502">
        <f t="shared" si="7"/>
        <v>97576306.657650679</v>
      </c>
      <c r="K42" s="502">
        <f t="shared" si="7"/>
        <v>106176115.31479354</v>
      </c>
      <c r="L42" s="502">
        <f t="shared" si="7"/>
        <v>114781462.78370111</v>
      </c>
      <c r="M42" s="502">
        <f t="shared" si="7"/>
        <v>123392387.46306619</v>
      </c>
      <c r="N42" s="502">
        <f t="shared" si="7"/>
        <v>132008921.6886301</v>
      </c>
      <c r="O42" s="257" t="s">
        <v>807</v>
      </c>
      <c r="P42" s="50"/>
      <c r="Q42" s="24"/>
      <c r="R42" s="24"/>
      <c r="S42" s="24"/>
      <c r="T42" s="24"/>
      <c r="U42" s="24"/>
      <c r="V42" s="24"/>
      <c r="W42" s="24"/>
      <c r="X42" s="24"/>
      <c r="Y42" s="24"/>
      <c r="Z42" s="24"/>
      <c r="AA42" s="24"/>
      <c r="AB42" s="24"/>
      <c r="AC42" s="24"/>
      <c r="AD42" s="24"/>
    </row>
    <row r="43" spans="1:30" s="7" customFormat="1" ht="14.1" hidden="1" customHeight="1" outlineLevel="1" x14ac:dyDescent="0.2">
      <c r="A43" s="1398"/>
      <c r="C43" s="302"/>
      <c r="D43" s="668" t="s">
        <v>817</v>
      </c>
      <c r="E43" s="502">
        <f t="shared" ref="E43:N43" si="8">hSystemsPaperRecords_Total/FleetSize_Total*LeaseReturnForecast</f>
        <v>275084.11538461538</v>
      </c>
      <c r="F43" s="502">
        <f t="shared" si="8"/>
        <v>206083.10364635364</v>
      </c>
      <c r="G43" s="502">
        <f t="shared" si="8"/>
        <v>185321.49951923071</v>
      </c>
      <c r="H43" s="502">
        <f t="shared" si="8"/>
        <v>110045.0157227388</v>
      </c>
      <c r="I43" s="502">
        <f t="shared" si="8"/>
        <v>110113.83516483515</v>
      </c>
      <c r="J43" s="502">
        <f t="shared" si="8"/>
        <v>165275.30622710625</v>
      </c>
      <c r="K43" s="502">
        <f t="shared" si="8"/>
        <v>165380.9357142857</v>
      </c>
      <c r="L43" s="502">
        <f t="shared" si="8"/>
        <v>110324.96755009699</v>
      </c>
      <c r="M43" s="502">
        <f t="shared" si="8"/>
        <v>110396.47024827023</v>
      </c>
      <c r="N43" s="502">
        <f t="shared" si="8"/>
        <v>165702.58126084442</v>
      </c>
      <c r="O43" s="257" t="s">
        <v>818</v>
      </c>
      <c r="P43" s="50"/>
      <c r="Q43" s="24"/>
      <c r="R43" s="24"/>
      <c r="S43" s="24"/>
      <c r="T43" s="24"/>
      <c r="U43" s="24"/>
      <c r="V43" s="24"/>
      <c r="W43" s="24"/>
      <c r="X43" s="24"/>
      <c r="Y43" s="24"/>
      <c r="Z43" s="24"/>
      <c r="AA43" s="24"/>
      <c r="AB43" s="24"/>
      <c r="AC43" s="24"/>
      <c r="AD43" s="24"/>
    </row>
    <row r="44" spans="1:30" s="7" customFormat="1" ht="14.1" hidden="1" customHeight="1" outlineLevel="1" x14ac:dyDescent="0.2">
      <c r="A44" s="1398"/>
      <c r="C44" s="302"/>
      <c r="D44" s="668" t="s">
        <v>819</v>
      </c>
      <c r="E44" s="502">
        <v>0</v>
      </c>
      <c r="F44" s="502">
        <f t="shared" ref="F44:N44" si="9">E42*hSystemRecordsShredRate</f>
        <v>20582624.400000002</v>
      </c>
      <c r="G44" s="502">
        <f t="shared" si="9"/>
        <v>27977797.075324673</v>
      </c>
      <c r="H44" s="502">
        <f t="shared" si="9"/>
        <v>35904800.182305194</v>
      </c>
      <c r="I44" s="502">
        <f t="shared" si="9"/>
        <v>44216211.375041209</v>
      </c>
      <c r="J44" s="502">
        <f t="shared" si="9"/>
        <v>53389194.440304689</v>
      </c>
      <c r="K44" s="502">
        <f t="shared" si="9"/>
        <v>63424599.32747294</v>
      </c>
      <c r="L44" s="502">
        <f t="shared" si="9"/>
        <v>74323280.720355481</v>
      </c>
      <c r="M44" s="502">
        <f t="shared" si="9"/>
        <v>86086097.087775826</v>
      </c>
      <c r="N44" s="502">
        <f t="shared" si="9"/>
        <v>98713909.970452964</v>
      </c>
      <c r="O44" s="257" t="s">
        <v>820</v>
      </c>
      <c r="P44" s="50"/>
      <c r="Q44" s="24"/>
      <c r="R44" s="24"/>
      <c r="S44" s="24"/>
      <c r="T44" s="24"/>
      <c r="U44" s="24"/>
      <c r="V44" s="24"/>
      <c r="W44" s="24"/>
      <c r="X44" s="24"/>
      <c r="Y44" s="24"/>
      <c r="Z44" s="24"/>
      <c r="AA44" s="24"/>
      <c r="AB44" s="24"/>
      <c r="AC44" s="24"/>
      <c r="AD44" s="24"/>
    </row>
    <row r="45" spans="1:30" s="7" customFormat="1" ht="14.1" hidden="1" customHeight="1" outlineLevel="1" x14ac:dyDescent="0.2">
      <c r="A45" s="1398"/>
      <c r="C45" s="302"/>
      <c r="D45" s="661" t="s">
        <v>821</v>
      </c>
      <c r="E45" s="515">
        <f t="shared" ref="E45:N45" si="10">hSystemsRecordsArchiveCumulative_Gross-hSystemsRecordsArchiveShredDisposal-hSystemsRecordsArchiveShredDueDigital</f>
        <v>51181476.884615384</v>
      </c>
      <c r="F45" s="515">
        <f t="shared" si="10"/>
        <v>41384174.885964036</v>
      </c>
      <c r="G45" s="515">
        <f t="shared" si="10"/>
        <v>43646481.78976649</v>
      </c>
      <c r="H45" s="515">
        <f t="shared" si="10"/>
        <v>44378266.392956086</v>
      </c>
      <c r="I45" s="515">
        <f t="shared" si="10"/>
        <v>44655665.523635112</v>
      </c>
      <c r="J45" s="515">
        <f t="shared" si="10"/>
        <v>44021836.911118887</v>
      </c>
      <c r="K45" s="515">
        <f t="shared" si="10"/>
        <v>42586135.051606312</v>
      </c>
      <c r="L45" s="515">
        <f t="shared" si="10"/>
        <v>40347857.095795527</v>
      </c>
      <c r="M45" s="515">
        <f t="shared" si="10"/>
        <v>37195893.905042097</v>
      </c>
      <c r="N45" s="515">
        <f t="shared" si="10"/>
        <v>33129309.136916295</v>
      </c>
      <c r="O45" s="257" t="s">
        <v>822</v>
      </c>
      <c r="P45" s="50"/>
      <c r="Q45" s="24"/>
      <c r="R45" s="24"/>
      <c r="S45" s="24"/>
      <c r="T45" s="24"/>
      <c r="U45" s="24"/>
      <c r="V45" s="24"/>
      <c r="W45" s="24"/>
      <c r="X45" s="24"/>
      <c r="Y45" s="24"/>
      <c r="Z45" s="24"/>
      <c r="AA45" s="24"/>
      <c r="AB45" s="24"/>
      <c r="AC45" s="24"/>
      <c r="AD45" s="24"/>
    </row>
    <row r="46" spans="1:30" s="7" customFormat="1" ht="14.1" hidden="1" customHeight="1" outlineLevel="1" x14ac:dyDescent="0.2">
      <c r="A46" s="1398"/>
      <c r="C46" s="302"/>
      <c r="D46" s="668"/>
      <c r="E46" s="442"/>
      <c r="F46" s="442"/>
      <c r="G46" s="442"/>
      <c r="H46" s="442"/>
      <c r="I46" s="442"/>
      <c r="J46" s="442"/>
      <c r="K46" s="442"/>
      <c r="L46" s="442"/>
      <c r="M46" s="442"/>
      <c r="N46" s="442"/>
      <c r="O46" s="257"/>
      <c r="P46" s="50"/>
      <c r="Q46" s="24"/>
      <c r="R46" s="24"/>
      <c r="S46" s="24"/>
      <c r="T46" s="24"/>
      <c r="U46" s="24"/>
      <c r="V46" s="24"/>
      <c r="W46" s="24"/>
      <c r="X46" s="24"/>
      <c r="Y46" s="24"/>
      <c r="Z46" s="24"/>
      <c r="AA46" s="24"/>
      <c r="AB46" s="24"/>
      <c r="AC46" s="24"/>
      <c r="AD46" s="24"/>
    </row>
    <row r="47" spans="1:30" s="7" customFormat="1" ht="14.1" hidden="1" customHeight="1" outlineLevel="1" x14ac:dyDescent="0.2">
      <c r="A47" s="1398"/>
      <c r="C47" s="283"/>
      <c r="D47" s="662" t="s">
        <v>825</v>
      </c>
      <c r="E47" s="39"/>
      <c r="F47" s="39"/>
      <c r="G47" s="39"/>
      <c r="H47" s="39"/>
      <c r="I47" s="39"/>
      <c r="J47" s="39"/>
      <c r="K47" s="39"/>
      <c r="L47" s="39"/>
      <c r="M47" s="39"/>
      <c r="N47" s="39"/>
      <c r="O47" s="249"/>
      <c r="P47" s="50"/>
      <c r="Q47" s="24"/>
      <c r="R47" s="24"/>
      <c r="S47" s="24"/>
      <c r="T47" s="24"/>
      <c r="U47" s="24"/>
      <c r="V47" s="24"/>
      <c r="W47" s="24"/>
      <c r="X47" s="24"/>
      <c r="Y47" s="24"/>
      <c r="Z47" s="24"/>
      <c r="AA47" s="24"/>
      <c r="AB47" s="24"/>
      <c r="AC47" s="24"/>
      <c r="AD47" s="24"/>
    </row>
    <row r="48" spans="1:30" s="7" customFormat="1" ht="14.1" hidden="1" customHeight="1" outlineLevel="1" x14ac:dyDescent="0.2">
      <c r="A48" s="1398"/>
      <c r="C48" s="283"/>
      <c r="D48" s="659" t="s">
        <v>4138</v>
      </c>
      <c r="E48" s="516">
        <v>0</v>
      </c>
      <c r="F48" s="516">
        <v>0.5</v>
      </c>
      <c r="G48" s="516">
        <v>0.6</v>
      </c>
      <c r="H48" s="516">
        <v>0.7</v>
      </c>
      <c r="I48" s="516">
        <v>0.8</v>
      </c>
      <c r="J48" s="516">
        <v>0.9</v>
      </c>
      <c r="K48" s="516">
        <v>0.9</v>
      </c>
      <c r="L48" s="516">
        <v>0.95</v>
      </c>
      <c r="M48" s="516">
        <v>0.95</v>
      </c>
      <c r="N48" s="516">
        <v>0.94999999999999896</v>
      </c>
      <c r="O48" s="517" t="s">
        <v>829</v>
      </c>
      <c r="P48" s="50"/>
      <c r="Q48" s="24"/>
      <c r="R48" s="24"/>
      <c r="S48" s="24"/>
      <c r="T48" s="24"/>
      <c r="U48" s="24"/>
      <c r="V48" s="24"/>
      <c r="W48" s="24"/>
      <c r="X48" s="24"/>
      <c r="Y48" s="24"/>
      <c r="Z48" s="24"/>
      <c r="AA48" s="24"/>
      <c r="AB48" s="24"/>
      <c r="AC48" s="24"/>
      <c r="AD48" s="24"/>
    </row>
    <row r="49" spans="1:30" s="7" customFormat="1" ht="14.1" hidden="1" customHeight="1" outlineLevel="1" x14ac:dyDescent="0.2">
      <c r="A49" s="1398"/>
      <c r="C49" s="302"/>
      <c r="D49" s="659" t="s">
        <v>806</v>
      </c>
      <c r="E49" s="502">
        <f>eSystemsPaperRecords_Total+RecordsLegacyYr1</f>
        <v>51456561</v>
      </c>
      <c r="F49" s="502">
        <f t="shared" ref="F49:N49" si="11">(eSystemsPaperRecords_Total)+E49</f>
        <v>52313866.711168833</v>
      </c>
      <c r="G49" s="502">
        <f t="shared" si="11"/>
        <v>52956314.576168835</v>
      </c>
      <c r="H49" s="502">
        <f t="shared" si="11"/>
        <v>53707371.80847653</v>
      </c>
      <c r="I49" s="502">
        <f t="shared" si="11"/>
        <v>54351537.744190812</v>
      </c>
      <c r="J49" s="502">
        <f t="shared" si="11"/>
        <v>54888682.489428908</v>
      </c>
      <c r="K49" s="502">
        <f t="shared" si="11"/>
        <v>55318672.922286049</v>
      </c>
      <c r="L49" s="502">
        <f t="shared" si="11"/>
        <v>55641373.452370085</v>
      </c>
      <c r="M49" s="502">
        <f t="shared" si="11"/>
        <v>55856646.569354214</v>
      </c>
      <c r="N49" s="502">
        <f t="shared" si="11"/>
        <v>55964353.247173764</v>
      </c>
      <c r="O49" s="257" t="s">
        <v>808</v>
      </c>
      <c r="P49" s="50"/>
      <c r="Q49" s="24"/>
      <c r="R49" s="24"/>
      <c r="S49" s="24"/>
      <c r="T49" s="24"/>
      <c r="U49" s="24"/>
      <c r="V49" s="24"/>
      <c r="W49" s="24"/>
      <c r="X49" s="24"/>
      <c r="Y49" s="24"/>
      <c r="Z49" s="24"/>
      <c r="AA49" s="24"/>
      <c r="AB49" s="24"/>
      <c r="AC49" s="24"/>
      <c r="AD49" s="24"/>
    </row>
    <row r="50" spans="1:30" s="7" customFormat="1" ht="14.1" hidden="1" customHeight="1" outlineLevel="1" x14ac:dyDescent="0.2">
      <c r="A50" s="1398"/>
      <c r="C50" s="302"/>
      <c r="D50" s="668" t="s">
        <v>826</v>
      </c>
      <c r="E50" s="502">
        <f t="shared" ref="E50:N50" si="12">eSystemsPaperRecords_Total/FleetSize_Total*LeaseReturnForecast</f>
        <v>275084.11538461538</v>
      </c>
      <c r="F50" s="502">
        <f t="shared" si="12"/>
        <v>16486.648291708294</v>
      </c>
      <c r="G50" s="502">
        <f t="shared" si="12"/>
        <v>12354.766634615386</v>
      </c>
      <c r="H50" s="502">
        <f t="shared" si="12"/>
        <v>9628.9388757396446</v>
      </c>
      <c r="I50" s="502">
        <f t="shared" si="12"/>
        <v>8258.5376373626386</v>
      </c>
      <c r="J50" s="502">
        <f t="shared" si="12"/>
        <v>10329.706639194141</v>
      </c>
      <c r="K50" s="502">
        <f t="shared" si="12"/>
        <v>8269.0467857142867</v>
      </c>
      <c r="L50" s="502">
        <f t="shared" si="12"/>
        <v>4137.1862831286362</v>
      </c>
      <c r="M50" s="502">
        <f t="shared" si="12"/>
        <v>2759.9117562067568</v>
      </c>
      <c r="N50" s="502">
        <f t="shared" si="12"/>
        <v>2071.2822657605557</v>
      </c>
      <c r="O50" s="257" t="s">
        <v>830</v>
      </c>
      <c r="P50" s="50"/>
      <c r="Q50" s="24"/>
      <c r="R50" s="24"/>
      <c r="S50" s="24"/>
      <c r="T50" s="24"/>
      <c r="U50" s="24"/>
      <c r="V50" s="24"/>
      <c r="W50" s="24"/>
      <c r="X50" s="24"/>
      <c r="Y50" s="24"/>
      <c r="Z50" s="24"/>
      <c r="AA50" s="24"/>
      <c r="AB50" s="24"/>
      <c r="AC50" s="24"/>
      <c r="AD50" s="24"/>
    </row>
    <row r="51" spans="1:30" s="7" customFormat="1" ht="14.1" hidden="1" customHeight="1" outlineLevel="1" x14ac:dyDescent="0.2">
      <c r="A51" s="1398"/>
      <c r="C51" s="302"/>
      <c r="D51" s="668" t="s">
        <v>827</v>
      </c>
      <c r="E51" s="502">
        <v>0</v>
      </c>
      <c r="F51" s="502">
        <f t="shared" ref="F51:N51" si="13">E49*eSystemsRecordsShredRate</f>
        <v>25728280.5</v>
      </c>
      <c r="G51" s="502">
        <f t="shared" si="13"/>
        <v>31388320.026701298</v>
      </c>
      <c r="H51" s="502">
        <f t="shared" si="13"/>
        <v>37069420.203318179</v>
      </c>
      <c r="I51" s="502">
        <f t="shared" si="13"/>
        <v>42965897.446781226</v>
      </c>
      <c r="J51" s="502">
        <f t="shared" si="13"/>
        <v>48916383.969771735</v>
      </c>
      <c r="K51" s="502">
        <f t="shared" si="13"/>
        <v>49399814.240486018</v>
      </c>
      <c r="L51" s="502">
        <f t="shared" si="13"/>
        <v>52552739.276171744</v>
      </c>
      <c r="M51" s="502">
        <f t="shared" si="13"/>
        <v>52859304.779751576</v>
      </c>
      <c r="N51" s="502">
        <f t="shared" si="13"/>
        <v>53063814.240886442</v>
      </c>
      <c r="O51" s="257" t="s">
        <v>831</v>
      </c>
      <c r="P51" s="50"/>
      <c r="Q51" s="24"/>
      <c r="R51" s="24"/>
      <c r="S51" s="24"/>
      <c r="T51" s="24"/>
      <c r="U51" s="24"/>
      <c r="V51" s="24"/>
      <c r="W51" s="24"/>
      <c r="X51" s="24"/>
      <c r="Y51" s="24"/>
      <c r="Z51" s="24"/>
      <c r="AA51" s="24"/>
      <c r="AB51" s="24"/>
      <c r="AC51" s="24"/>
      <c r="AD51" s="24"/>
    </row>
    <row r="52" spans="1:30" s="7" customFormat="1" ht="14.1" hidden="1" customHeight="1" outlineLevel="1" x14ac:dyDescent="0.2">
      <c r="A52" s="1398"/>
      <c r="C52" s="302"/>
      <c r="D52" s="663" t="s">
        <v>828</v>
      </c>
      <c r="E52" s="515">
        <f t="shared" ref="E52:N52" si="14">eSystemsRecordsArchiveCumulative_Gross-eSystemsRecordsArchiveShredDisposal-eSystemsRecordsArchiveShredDueDigital</f>
        <v>51181476.884615384</v>
      </c>
      <c r="F52" s="515">
        <f t="shared" si="14"/>
        <v>26569099.562877126</v>
      </c>
      <c r="G52" s="515">
        <f t="shared" si="14"/>
        <v>21555639.782832924</v>
      </c>
      <c r="H52" s="515">
        <f t="shared" si="14"/>
        <v>16628322.666282609</v>
      </c>
      <c r="I52" s="515">
        <f t="shared" si="14"/>
        <v>11377381.759772226</v>
      </c>
      <c r="J52" s="515">
        <f t="shared" si="14"/>
        <v>5961968.8130179793</v>
      </c>
      <c r="K52" s="515">
        <f t="shared" si="14"/>
        <v>5910589.6350143179</v>
      </c>
      <c r="L52" s="515">
        <f t="shared" si="14"/>
        <v>3084496.9899152145</v>
      </c>
      <c r="M52" s="515">
        <f t="shared" si="14"/>
        <v>2994581.8778464273</v>
      </c>
      <c r="N52" s="515">
        <f t="shared" si="14"/>
        <v>2898467.7240215614</v>
      </c>
      <c r="O52" s="257" t="s">
        <v>832</v>
      </c>
      <c r="P52" s="50"/>
      <c r="Q52" s="24"/>
      <c r="R52" s="24"/>
      <c r="S52" s="24"/>
      <c r="T52" s="24"/>
      <c r="U52" s="24"/>
      <c r="V52" s="24"/>
      <c r="W52" s="24"/>
      <c r="X52" s="24"/>
      <c r="Y52" s="24"/>
      <c r="Z52" s="24"/>
      <c r="AA52" s="24"/>
      <c r="AB52" s="24"/>
      <c r="AC52" s="24"/>
      <c r="AD52" s="24"/>
    </row>
    <row r="53" spans="1:30" s="7" customFormat="1" ht="14.1" hidden="1" customHeight="1" outlineLevel="1" x14ac:dyDescent="0.2">
      <c r="A53" s="1398"/>
      <c r="C53" s="302"/>
      <c r="D53" s="668"/>
      <c r="E53" s="442"/>
      <c r="F53" s="442"/>
      <c r="G53" s="442"/>
      <c r="H53" s="442"/>
      <c r="I53" s="442"/>
      <c r="J53" s="442"/>
      <c r="K53" s="442"/>
      <c r="L53" s="442"/>
      <c r="M53" s="442"/>
      <c r="N53" s="442"/>
      <c r="O53" s="257"/>
      <c r="P53" s="50"/>
      <c r="Q53" s="24"/>
      <c r="R53" s="24"/>
      <c r="S53" s="24"/>
      <c r="T53" s="24"/>
      <c r="U53" s="24"/>
      <c r="V53" s="24"/>
      <c r="W53" s="24"/>
      <c r="X53" s="24"/>
      <c r="Y53" s="24"/>
      <c r="Z53" s="24"/>
      <c r="AA53" s="24"/>
      <c r="AB53" s="24"/>
      <c r="AC53" s="24"/>
      <c r="AD53" s="24"/>
    </row>
    <row r="54" spans="1:30" s="7" customFormat="1" ht="13.5" hidden="1" customHeight="1" outlineLevel="1" x14ac:dyDescent="0.2">
      <c r="A54" s="1398"/>
      <c r="C54" s="283" t="s">
        <v>32</v>
      </c>
      <c r="D54" s="669">
        <v>2000</v>
      </c>
      <c r="E54" s="39"/>
      <c r="F54" s="39"/>
      <c r="G54" s="39"/>
      <c r="H54" s="39"/>
      <c r="I54" s="39"/>
      <c r="J54" s="39"/>
      <c r="K54" s="39"/>
      <c r="L54" s="39"/>
      <c r="M54" s="39"/>
      <c r="N54" s="39"/>
      <c r="O54" s="249"/>
      <c r="P54" s="50"/>
      <c r="Q54" s="24"/>
      <c r="R54" s="24"/>
      <c r="S54" s="24"/>
      <c r="T54" s="24"/>
      <c r="U54" s="24"/>
      <c r="V54" s="24"/>
      <c r="W54" s="24"/>
      <c r="X54" s="24"/>
      <c r="Y54" s="24"/>
      <c r="Z54" s="24"/>
      <c r="AA54" s="24"/>
      <c r="AB54" s="24"/>
      <c r="AC54" s="24"/>
      <c r="AD54" s="24"/>
    </row>
    <row r="55" spans="1:30" s="7" customFormat="1" ht="14.1" hidden="1" customHeight="1" outlineLevel="1" x14ac:dyDescent="0.2">
      <c r="A55" s="1398"/>
      <c r="C55" s="290"/>
      <c r="D55" s="494"/>
      <c r="E55" s="39"/>
      <c r="F55" s="39"/>
      <c r="G55" s="39"/>
      <c r="H55" s="39"/>
      <c r="I55" s="39"/>
      <c r="J55" s="39"/>
      <c r="K55" s="39"/>
      <c r="L55" s="39"/>
      <c r="M55" s="39"/>
      <c r="N55" s="39"/>
      <c r="O55" s="249"/>
      <c r="P55" s="50"/>
      <c r="Q55" s="24"/>
      <c r="R55" s="24"/>
      <c r="S55" s="24"/>
      <c r="T55" s="24"/>
      <c r="U55" s="24"/>
      <c r="V55" s="24"/>
      <c r="W55" s="24"/>
      <c r="X55" s="24"/>
      <c r="Y55" s="24"/>
      <c r="Z55" s="24"/>
      <c r="AA55" s="24"/>
      <c r="AB55" s="24"/>
      <c r="AC55" s="24"/>
      <c r="AD55" s="24"/>
    </row>
    <row r="56" spans="1:30" ht="14.1" hidden="1" customHeight="1" outlineLevel="1" x14ac:dyDescent="0.2">
      <c r="A56" s="1398"/>
      <c r="B56" s="51"/>
      <c r="C56" s="165"/>
      <c r="D56" s="659" t="s">
        <v>153</v>
      </c>
      <c r="E56" s="502">
        <f t="shared" ref="E56:N56" si="15">pSystemsRecordsArchiveCumulative_Net/RecordsperArchiveBox</f>
        <v>25590.738442307691</v>
      </c>
      <c r="F56" s="502">
        <f t="shared" si="15"/>
        <v>36238.518785964035</v>
      </c>
      <c r="G56" s="502">
        <f t="shared" si="15"/>
        <v>46946.153529033458</v>
      </c>
      <c r="H56" s="502">
        <f t="shared" si="15"/>
        <v>57743.899069590661</v>
      </c>
      <c r="I56" s="502">
        <f t="shared" si="15"/>
        <v>68479.911973859475</v>
      </c>
      <c r="J56" s="502">
        <f t="shared" si="15"/>
        <v>79153.855039793532</v>
      </c>
      <c r="K56" s="502">
        <f t="shared" si="15"/>
        <v>89903.483824363138</v>
      </c>
      <c r="L56" s="502">
        <f t="shared" si="15"/>
        <v>100728.98812070282</v>
      </c>
      <c r="M56" s="502">
        <f t="shared" si="15"/>
        <v>111492.55459153645</v>
      </c>
      <c r="N56" s="502">
        <f t="shared" si="15"/>
        <v>122194.08973472561</v>
      </c>
      <c r="O56" s="249"/>
      <c r="P56" s="13"/>
      <c r="Q56" s="19"/>
      <c r="R56" s="19"/>
      <c r="S56" s="19"/>
      <c r="T56" s="19"/>
      <c r="U56" s="19"/>
      <c r="V56" s="19"/>
      <c r="W56" s="19"/>
      <c r="X56" s="19"/>
      <c r="Y56" s="19"/>
      <c r="Z56" s="19"/>
      <c r="AA56" s="19"/>
      <c r="AB56" s="19"/>
      <c r="AC56" s="19"/>
      <c r="AD56" s="19"/>
    </row>
    <row r="57" spans="1:30" s="7" customFormat="1" ht="12.75" hidden="1" customHeight="1" outlineLevel="1" x14ac:dyDescent="0.2">
      <c r="A57" s="1398"/>
      <c r="B57" s="55"/>
      <c r="C57" s="165"/>
      <c r="D57" s="661" t="s">
        <v>154</v>
      </c>
      <c r="E57" s="502">
        <f t="shared" ref="E57:N57" si="16">hSystemsRecordsArchiveCumulative_Net/RecordsperArchiveBox</f>
        <v>25590.738442307691</v>
      </c>
      <c r="F57" s="502">
        <f t="shared" si="16"/>
        <v>20692.087442982018</v>
      </c>
      <c r="G57" s="502">
        <f t="shared" si="16"/>
        <v>21823.240894883245</v>
      </c>
      <c r="H57" s="502">
        <f t="shared" si="16"/>
        <v>22189.133196478044</v>
      </c>
      <c r="I57" s="502">
        <f t="shared" si="16"/>
        <v>22327.832761817557</v>
      </c>
      <c r="J57" s="502">
        <f t="shared" si="16"/>
        <v>22010.918455559444</v>
      </c>
      <c r="K57" s="502">
        <f t="shared" si="16"/>
        <v>21293.067525803155</v>
      </c>
      <c r="L57" s="502">
        <f t="shared" si="16"/>
        <v>20173.928547897762</v>
      </c>
      <c r="M57" s="502">
        <f t="shared" si="16"/>
        <v>18597.946952521048</v>
      </c>
      <c r="N57" s="502">
        <f t="shared" si="16"/>
        <v>16564.654568458147</v>
      </c>
      <c r="O57" s="249"/>
      <c r="P57" s="50"/>
      <c r="Q57" s="24"/>
      <c r="R57" s="24"/>
      <c r="S57" s="24"/>
      <c r="T57" s="24"/>
      <c r="U57" s="24"/>
      <c r="V57" s="24"/>
      <c r="W57" s="24"/>
      <c r="X57" s="24"/>
      <c r="Y57" s="24"/>
      <c r="Z57" s="24"/>
      <c r="AA57" s="24"/>
      <c r="AB57" s="24"/>
      <c r="AC57" s="24"/>
      <c r="AD57" s="24"/>
    </row>
    <row r="58" spans="1:30" s="7" customFormat="1" ht="14.1" hidden="1" customHeight="1" outlineLevel="1" x14ac:dyDescent="0.2">
      <c r="A58" s="1398"/>
      <c r="C58" s="165"/>
      <c r="D58" s="663" t="s">
        <v>155</v>
      </c>
      <c r="E58" s="502">
        <f t="shared" ref="E58:N58" si="17">eSystemsRecordsArchiveCumulative_Net/RecordsperArchiveBox</f>
        <v>25590.738442307691</v>
      </c>
      <c r="F58" s="502">
        <f t="shared" si="17"/>
        <v>13284.549781438564</v>
      </c>
      <c r="G58" s="502">
        <f t="shared" si="17"/>
        <v>10777.819891416462</v>
      </c>
      <c r="H58" s="502">
        <f t="shared" si="17"/>
        <v>8314.1613331413046</v>
      </c>
      <c r="I58" s="502">
        <f t="shared" si="17"/>
        <v>5688.6908798861132</v>
      </c>
      <c r="J58" s="502">
        <f t="shared" si="17"/>
        <v>2980.9844065089897</v>
      </c>
      <c r="K58" s="502">
        <f t="shared" si="17"/>
        <v>2955.2948175071588</v>
      </c>
      <c r="L58" s="502">
        <f t="shared" si="17"/>
        <v>1542.2484949576071</v>
      </c>
      <c r="M58" s="502">
        <f t="shared" si="17"/>
        <v>1497.2909389232136</v>
      </c>
      <c r="N58" s="502">
        <f t="shared" si="17"/>
        <v>1449.2338620107807</v>
      </c>
      <c r="O58" s="249"/>
      <c r="P58" s="50"/>
      <c r="Q58" s="24"/>
      <c r="R58" s="24"/>
      <c r="S58" s="24"/>
      <c r="T58" s="24"/>
      <c r="U58" s="24"/>
      <c r="V58" s="24"/>
      <c r="W58" s="24"/>
      <c r="X58" s="24"/>
      <c r="Y58" s="24"/>
      <c r="Z58" s="24"/>
      <c r="AA58" s="24"/>
      <c r="AB58" s="24"/>
      <c r="AC58" s="24"/>
      <c r="AD58" s="24"/>
    </row>
    <row r="59" spans="1:30" s="7" customFormat="1" ht="14.1" hidden="1" customHeight="1" outlineLevel="1" x14ac:dyDescent="0.2">
      <c r="A59" s="1398"/>
      <c r="C59" s="284"/>
      <c r="D59" s="664"/>
      <c r="E59" s="184"/>
      <c r="F59" s="184"/>
      <c r="G59" s="184"/>
      <c r="H59" s="184"/>
      <c r="I59" s="184"/>
      <c r="J59" s="184"/>
      <c r="K59" s="184"/>
      <c r="L59" s="184"/>
      <c r="M59" s="184"/>
      <c r="N59" s="184"/>
      <c r="O59" s="249"/>
      <c r="P59" s="50"/>
      <c r="Q59" s="24"/>
      <c r="R59" s="24"/>
      <c r="S59" s="24"/>
      <c r="T59" s="24"/>
      <c r="U59" s="24"/>
      <c r="V59" s="24"/>
      <c r="W59" s="24"/>
      <c r="X59" s="24"/>
      <c r="Y59" s="24"/>
      <c r="Z59" s="24"/>
      <c r="AA59" s="24"/>
      <c r="AB59" s="24"/>
      <c r="AC59" s="24"/>
      <c r="AD59" s="24"/>
    </row>
    <row r="60" spans="1:30" s="7" customFormat="1" ht="14.1" hidden="1" customHeight="1" outlineLevel="1" x14ac:dyDescent="0.2">
      <c r="A60" s="1398"/>
      <c r="C60" s="290" t="s">
        <v>152</v>
      </c>
      <c r="D60" s="670">
        <v>1.5</v>
      </c>
      <c r="E60" s="520">
        <f>$D$60</f>
        <v>1.5</v>
      </c>
      <c r="F60" s="520">
        <f>$D$60*(1+Inflation)</f>
        <v>1.53</v>
      </c>
      <c r="G60" s="520">
        <f>$D$60*(1+Inflation)^2</f>
        <v>1.5606</v>
      </c>
      <c r="H60" s="520">
        <f>$D$60*(1+Inflation)^3</f>
        <v>1.591812</v>
      </c>
      <c r="I60" s="520">
        <f>$D$60*(1+Inflation)^4</f>
        <v>1.6236482400000001</v>
      </c>
      <c r="J60" s="520">
        <f>$D$60*(1+Inflation)^5</f>
        <v>1.6561212048</v>
      </c>
      <c r="K60" s="520">
        <f>$D$60*(1+Inflation)^6</f>
        <v>1.689243628896</v>
      </c>
      <c r="L60" s="520">
        <f>$D$60*(1+Inflation)^7</f>
        <v>1.7230285014739197</v>
      </c>
      <c r="M60" s="520">
        <f>$D$60*(1+Inflation)^8</f>
        <v>1.7574890715033984</v>
      </c>
      <c r="N60" s="520">
        <f>$D$60*(1+Inflation)^9</f>
        <v>1.7926388529334663</v>
      </c>
      <c r="O60" s="249"/>
      <c r="P60" s="50"/>
      <c r="Q60" s="24"/>
      <c r="R60" s="24"/>
      <c r="S60" s="24"/>
      <c r="T60" s="24"/>
      <c r="U60" s="24"/>
      <c r="V60" s="24"/>
      <c r="W60" s="24"/>
      <c r="X60" s="24"/>
      <c r="Y60" s="24"/>
      <c r="Z60" s="24"/>
      <c r="AA60" s="24"/>
      <c r="AB60" s="24"/>
      <c r="AC60" s="24"/>
      <c r="AD60" s="24"/>
    </row>
    <row r="61" spans="1:30" ht="14.1" hidden="1" customHeight="1" outlineLevel="1" x14ac:dyDescent="0.2">
      <c r="A61" s="1398"/>
      <c r="B61" s="7"/>
      <c r="C61" s="167"/>
      <c r="D61" s="671"/>
      <c r="E61" s="6"/>
      <c r="F61" s="6"/>
      <c r="G61" s="6"/>
      <c r="H61" s="6"/>
      <c r="J61" s="6"/>
      <c r="K61" s="6"/>
      <c r="L61" s="6"/>
      <c r="M61" s="6"/>
      <c r="N61" s="6"/>
      <c r="O61" s="249"/>
      <c r="P61" s="13"/>
      <c r="Q61" s="19"/>
      <c r="R61" s="19"/>
      <c r="S61" s="19"/>
      <c r="T61" s="19"/>
      <c r="U61" s="19"/>
      <c r="V61" s="19"/>
      <c r="W61" s="19"/>
      <c r="X61" s="19"/>
      <c r="Y61" s="19"/>
      <c r="Z61" s="19"/>
      <c r="AA61" s="19"/>
      <c r="AB61" s="19"/>
      <c r="AC61" s="19"/>
      <c r="AD61" s="19"/>
    </row>
    <row r="62" spans="1:30" ht="14.1" hidden="1" customHeight="1" outlineLevel="1" x14ac:dyDescent="0.2">
      <c r="A62" s="1398"/>
      <c r="B62" s="7"/>
      <c r="C62" s="167"/>
      <c r="D62" s="659" t="s">
        <v>161</v>
      </c>
      <c r="E62" s="521">
        <f t="shared" ref="E62:N62" si="18">SUM(E60*E56)</f>
        <v>38386.107663461538</v>
      </c>
      <c r="F62" s="521">
        <f t="shared" si="18"/>
        <v>55444.933742524976</v>
      </c>
      <c r="G62" s="521">
        <f t="shared" si="18"/>
        <v>73264.16719740961</v>
      </c>
      <c r="H62" s="521">
        <f t="shared" si="18"/>
        <v>91917.431465763249</v>
      </c>
      <c r="I62" s="521">
        <f t="shared" si="18"/>
        <v>111187.28855171187</v>
      </c>
      <c r="J62" s="521">
        <f t="shared" si="18"/>
        <v>131088.37777306742</v>
      </c>
      <c r="K62" s="521">
        <f t="shared" si="18"/>
        <v>151868.88726586002</v>
      </c>
      <c r="L62" s="521">
        <f t="shared" si="18"/>
        <v>173558.91745659884</v>
      </c>
      <c r="M62" s="521">
        <f t="shared" si="18"/>
        <v>195946.94624862136</v>
      </c>
      <c r="N62" s="521">
        <f t="shared" si="18"/>
        <v>219049.87285730755</v>
      </c>
      <c r="O62" s="249"/>
      <c r="P62" s="13"/>
      <c r="Q62" s="19"/>
      <c r="R62" s="19"/>
      <c r="S62" s="19"/>
      <c r="T62" s="19"/>
      <c r="U62" s="19"/>
      <c r="V62" s="19"/>
      <c r="W62" s="19"/>
      <c r="X62" s="19"/>
      <c r="Y62" s="19"/>
      <c r="Z62" s="19"/>
      <c r="AA62" s="19"/>
      <c r="AB62" s="19"/>
      <c r="AC62" s="19"/>
      <c r="AD62" s="19"/>
    </row>
    <row r="63" spans="1:30" ht="14.1" hidden="1" customHeight="1" outlineLevel="1" x14ac:dyDescent="0.2">
      <c r="A63" s="1398"/>
      <c r="B63" s="7"/>
      <c r="C63" s="167"/>
      <c r="D63" s="661" t="s">
        <v>162</v>
      </c>
      <c r="E63" s="521">
        <f t="shared" ref="E63:N63" si="19">SUM(E60*E57)</f>
        <v>38386.107663461538</v>
      </c>
      <c r="F63" s="521">
        <f t="shared" si="19"/>
        <v>31658.893787762489</v>
      </c>
      <c r="G63" s="521">
        <f t="shared" si="19"/>
        <v>34057.34974055479</v>
      </c>
      <c r="H63" s="521">
        <f t="shared" si="19"/>
        <v>35320.928491752107</v>
      </c>
      <c r="I63" s="521">
        <f t="shared" si="19"/>
        <v>36252.546366739414</v>
      </c>
      <c r="J63" s="521">
        <f t="shared" si="19"/>
        <v>36452.748791375663</v>
      </c>
      <c r="K63" s="521">
        <f t="shared" si="19"/>
        <v>35969.178657615295</v>
      </c>
      <c r="L63" s="521">
        <f t="shared" si="19"/>
        <v>34760.253874726208</v>
      </c>
      <c r="M63" s="521">
        <f t="shared" si="19"/>
        <v>32685.688521455675</v>
      </c>
      <c r="N63" s="521">
        <f t="shared" si="19"/>
        <v>29694.443364839914</v>
      </c>
      <c r="O63" s="249"/>
      <c r="P63" s="13"/>
      <c r="Q63" s="19"/>
      <c r="R63" s="19"/>
      <c r="S63" s="19"/>
      <c r="T63" s="19"/>
      <c r="U63" s="19"/>
      <c r="V63" s="19"/>
      <c r="W63" s="19"/>
      <c r="X63" s="19"/>
      <c r="Y63" s="19"/>
      <c r="Z63" s="19"/>
      <c r="AA63" s="19"/>
      <c r="AB63" s="19"/>
      <c r="AC63" s="19"/>
      <c r="AD63" s="19"/>
    </row>
    <row r="64" spans="1:30" ht="14.1" hidden="1" customHeight="1" outlineLevel="1" x14ac:dyDescent="0.2">
      <c r="A64" s="1398"/>
      <c r="B64" s="7"/>
      <c r="C64" s="167"/>
      <c r="D64" s="663" t="s">
        <v>156</v>
      </c>
      <c r="E64" s="521">
        <f t="shared" ref="E64:N64" si="20">SUM(E60*E58)</f>
        <v>38386.107663461538</v>
      </c>
      <c r="F64" s="521">
        <f t="shared" si="20"/>
        <v>20325.361165601003</v>
      </c>
      <c r="G64" s="521">
        <f t="shared" si="20"/>
        <v>16819.865722544531</v>
      </c>
      <c r="H64" s="521">
        <f t="shared" si="20"/>
        <v>13234.581780030327</v>
      </c>
      <c r="I64" s="521">
        <f t="shared" si="20"/>
        <v>9236.43293503114</v>
      </c>
      <c r="J64" s="521">
        <f t="shared" si="20"/>
        <v>4936.8714867976814</v>
      </c>
      <c r="K64" s="521">
        <f t="shared" si="20"/>
        <v>4992.2129419833345</v>
      </c>
      <c r="L64" s="521">
        <f t="shared" si="20"/>
        <v>2657.338113167214</v>
      </c>
      <c r="M64" s="521">
        <f t="shared" si="20"/>
        <v>2631.4724620186103</v>
      </c>
      <c r="N64" s="521">
        <f t="shared" si="20"/>
        <v>2597.9529280273432</v>
      </c>
      <c r="O64" s="249"/>
      <c r="P64" s="13"/>
      <c r="Q64" s="19"/>
      <c r="R64" s="19"/>
      <c r="S64" s="19"/>
      <c r="T64" s="19"/>
      <c r="U64" s="19"/>
      <c r="V64" s="19"/>
      <c r="W64" s="19"/>
      <c r="X64" s="19"/>
      <c r="Y64" s="19"/>
      <c r="Z64" s="19"/>
      <c r="AA64" s="19"/>
      <c r="AB64" s="19"/>
      <c r="AC64" s="19"/>
      <c r="AD64" s="19"/>
    </row>
    <row r="65" spans="1:32" ht="74.25" hidden="1" customHeight="1" outlineLevel="1" thickBot="1" x14ac:dyDescent="0.25">
      <c r="A65" s="1399"/>
      <c r="B65" s="19"/>
      <c r="C65" s="238"/>
      <c r="D65" s="672"/>
      <c r="E65" s="518"/>
      <c r="F65" s="518"/>
      <c r="G65" s="518"/>
      <c r="H65" s="518"/>
      <c r="I65" s="518"/>
      <c r="J65" s="518"/>
      <c r="K65" s="518"/>
      <c r="L65" s="518"/>
      <c r="M65" s="518"/>
      <c r="N65" s="518"/>
      <c r="O65" s="513"/>
      <c r="P65" s="13"/>
      <c r="Q65" s="19"/>
      <c r="R65" s="19"/>
      <c r="S65" s="19"/>
      <c r="T65" s="19"/>
      <c r="U65" s="19"/>
      <c r="V65" s="19"/>
      <c r="W65" s="19"/>
      <c r="X65" s="19"/>
      <c r="Y65" s="19"/>
      <c r="Z65" s="19"/>
      <c r="AA65" s="19"/>
      <c r="AB65" s="19"/>
      <c r="AC65" s="19"/>
      <c r="AD65" s="19"/>
    </row>
    <row r="66" spans="1:32" s="114" customFormat="1" ht="15.75" hidden="1" outlineLevel="1" x14ac:dyDescent="0.2">
      <c r="A66" s="7"/>
      <c r="B66" s="115"/>
      <c r="C66" s="297"/>
      <c r="D66" s="673"/>
      <c r="E66" s="172"/>
      <c r="F66" s="172"/>
      <c r="G66" s="172"/>
      <c r="H66" s="172"/>
      <c r="I66" s="172"/>
      <c r="J66" s="172"/>
      <c r="K66" s="172"/>
      <c r="L66" s="172"/>
      <c r="M66" s="172"/>
      <c r="N66" s="172"/>
      <c r="O66" s="112"/>
      <c r="P66" s="113"/>
    </row>
    <row r="67" spans="1:32" s="122" customFormat="1" ht="15.75" collapsed="1" x14ac:dyDescent="0.2">
      <c r="A67" s="1043">
        <v>3</v>
      </c>
      <c r="B67" s="1039"/>
      <c r="C67" s="1039"/>
      <c r="D67" s="1039"/>
      <c r="E67" s="1039"/>
      <c r="F67" s="1039"/>
      <c r="G67" s="1039"/>
      <c r="H67" s="1039"/>
      <c r="I67" s="1039"/>
      <c r="J67" s="1039"/>
      <c r="K67" s="1039"/>
      <c r="L67" s="1039"/>
      <c r="M67" s="1039"/>
      <c r="N67" s="1039"/>
      <c r="O67" s="1039"/>
      <c r="P67" s="206"/>
      <c r="Q67" s="206"/>
      <c r="R67" s="206"/>
      <c r="S67" s="206"/>
      <c r="T67" s="206"/>
      <c r="U67" s="206"/>
      <c r="V67" s="206"/>
      <c r="W67" s="206"/>
      <c r="X67" s="206"/>
      <c r="Y67" s="206"/>
      <c r="Z67" s="206"/>
      <c r="AA67" s="206"/>
      <c r="AB67" s="206"/>
      <c r="AC67" s="206"/>
      <c r="AD67" s="206"/>
      <c r="AE67" s="206"/>
      <c r="AF67" s="206"/>
    </row>
    <row r="68" spans="1:32" s="114" customFormat="1" ht="16.5" thickBot="1" x14ac:dyDescent="0.25">
      <c r="A68" s="7"/>
      <c r="B68" s="115"/>
      <c r="C68" s="297"/>
      <c r="D68" s="673"/>
      <c r="E68" s="172"/>
      <c r="F68" s="172"/>
      <c r="G68" s="172"/>
      <c r="H68" s="172"/>
      <c r="I68" s="172"/>
      <c r="J68" s="172"/>
      <c r="K68" s="172"/>
      <c r="L68" s="172"/>
      <c r="M68" s="172"/>
      <c r="N68" s="172"/>
      <c r="O68" s="112"/>
      <c r="P68" s="113"/>
    </row>
    <row r="69" spans="1:32" s="18" customFormat="1" ht="20.100000000000001" customHeight="1" x14ac:dyDescent="0.2">
      <c r="A69" s="1397" t="s">
        <v>4278</v>
      </c>
      <c r="B69" s="267"/>
      <c r="C69" s="967" t="s">
        <v>157</v>
      </c>
      <c r="D69" s="23"/>
      <c r="E69" s="23"/>
      <c r="F69" s="23"/>
      <c r="G69" s="23"/>
      <c r="H69" s="23"/>
      <c r="I69" s="23"/>
      <c r="J69" s="23"/>
      <c r="K69" s="23"/>
      <c r="L69" s="23"/>
      <c r="M69" s="23"/>
      <c r="N69" s="23"/>
      <c r="O69" s="23"/>
      <c r="P69" s="12"/>
      <c r="Q69" s="12"/>
    </row>
    <row r="70" spans="1:32" s="18" customFormat="1" ht="12" customHeight="1" x14ac:dyDescent="0.2">
      <c r="A70" s="1398"/>
      <c r="B70" s="267"/>
      <c r="C70" s="267"/>
      <c r="D70" s="30"/>
      <c r="E70" s="23"/>
      <c r="F70" s="23"/>
      <c r="G70" s="23"/>
      <c r="H70" s="23"/>
      <c r="I70" s="23"/>
      <c r="J70" s="23"/>
      <c r="K70" s="23"/>
      <c r="L70" s="23"/>
      <c r="M70" s="23"/>
      <c r="N70" s="23"/>
      <c r="O70" s="23"/>
      <c r="P70" s="12"/>
      <c r="Q70" s="12"/>
    </row>
    <row r="71" spans="1:32" s="18" customFormat="1" ht="20.25" customHeight="1" x14ac:dyDescent="0.2">
      <c r="A71" s="1399"/>
      <c r="B71" s="267"/>
      <c r="C71" s="267"/>
      <c r="D71" s="30"/>
      <c r="E71" s="23"/>
      <c r="F71" s="23"/>
      <c r="G71" s="23"/>
      <c r="H71" s="23"/>
      <c r="I71" s="23"/>
      <c r="J71" s="23"/>
      <c r="K71" s="23"/>
      <c r="L71" s="23"/>
      <c r="M71" s="23"/>
      <c r="N71" s="23"/>
      <c r="O71" s="23"/>
      <c r="P71" s="12"/>
      <c r="Q71" s="12"/>
    </row>
    <row r="72" spans="1:32" s="114" customFormat="1" ht="15.75" x14ac:dyDescent="0.2">
      <c r="A72" s="7"/>
      <c r="B72" s="115"/>
      <c r="C72" s="297"/>
      <c r="D72" s="673"/>
      <c r="E72" s="172"/>
      <c r="F72" s="172"/>
      <c r="G72" s="172"/>
      <c r="H72" s="172"/>
      <c r="I72" s="172"/>
      <c r="J72" s="172"/>
      <c r="K72" s="172"/>
      <c r="L72" s="172"/>
      <c r="M72" s="172"/>
      <c r="N72" s="172"/>
      <c r="O72" s="112"/>
      <c r="P72" s="113"/>
    </row>
    <row r="73" spans="1:32" s="114" customFormat="1" ht="16.5" hidden="1" outlineLevel="1" thickBot="1" x14ac:dyDescent="0.25">
      <c r="A73" s="7"/>
      <c r="B73" s="115"/>
      <c r="C73" s="297"/>
      <c r="D73" s="673"/>
      <c r="E73" s="172"/>
      <c r="F73" s="172"/>
      <c r="G73" s="172"/>
      <c r="H73" s="172"/>
      <c r="I73" s="172"/>
      <c r="J73" s="172"/>
      <c r="K73" s="172"/>
      <c r="L73" s="172"/>
      <c r="M73" s="172"/>
      <c r="N73" s="172"/>
      <c r="O73" s="112"/>
      <c r="P73" s="113"/>
    </row>
    <row r="74" spans="1:32" ht="14.1" hidden="1" customHeight="1" outlineLevel="1" x14ac:dyDescent="0.2">
      <c r="A74" s="1397" t="s">
        <v>4279</v>
      </c>
      <c r="B74" s="51"/>
      <c r="C74" s="379"/>
      <c r="D74" s="1094"/>
      <c r="E74" s="239"/>
      <c r="F74" s="239"/>
      <c r="G74" s="239"/>
      <c r="H74" s="239"/>
      <c r="I74" s="239"/>
      <c r="J74" s="239"/>
      <c r="K74" s="239"/>
      <c r="L74" s="239"/>
      <c r="M74" s="239"/>
      <c r="N74" s="239"/>
      <c r="O74" s="983"/>
      <c r="P74" s="13"/>
      <c r="Q74" s="19"/>
      <c r="R74" s="19"/>
      <c r="S74" s="19"/>
      <c r="T74" s="19"/>
      <c r="U74" s="19"/>
      <c r="V74" s="19"/>
      <c r="W74" s="19"/>
      <c r="X74" s="19"/>
      <c r="Y74" s="19"/>
      <c r="Z74" s="19"/>
      <c r="AA74" s="19"/>
      <c r="AB74" s="19"/>
      <c r="AC74" s="19"/>
      <c r="AD74" s="19"/>
    </row>
    <row r="75" spans="1:32" ht="14.1" hidden="1" customHeight="1" outlineLevel="1" x14ac:dyDescent="0.2">
      <c r="A75" s="1398"/>
      <c r="B75" s="51"/>
      <c r="C75" s="283" t="s">
        <v>4164</v>
      </c>
      <c r="D75" s="674">
        <v>25</v>
      </c>
      <c r="E75" s="982">
        <f>$D$75</f>
        <v>25</v>
      </c>
      <c r="F75" s="982">
        <f>$D$75*(1+Inflation)^1</f>
        <v>25.5</v>
      </c>
      <c r="G75" s="982">
        <f>$D$75*(1+Inflation)^2</f>
        <v>26.009999999999998</v>
      </c>
      <c r="H75" s="982">
        <f>$D$75*(1+Inflation)^3</f>
        <v>26.530199999999997</v>
      </c>
      <c r="I75" s="982">
        <f>$D$75*(1+Inflation)^4</f>
        <v>27.060804000000001</v>
      </c>
      <c r="J75" s="982">
        <f>$D$75*(1+Inflation)^5</f>
        <v>27.602020079999999</v>
      </c>
      <c r="K75" s="982">
        <f>$D$75*(1+Inflation)^6</f>
        <v>28.154060481600002</v>
      </c>
      <c r="L75" s="982">
        <f>$D$75*(1+Inflation)^7</f>
        <v>28.717141691231994</v>
      </c>
      <c r="M75" s="982">
        <f>$D$75*(1+Inflation)^8</f>
        <v>29.291484525056639</v>
      </c>
      <c r="N75" s="982">
        <f>$D$75*(1+Inflation)^9</f>
        <v>29.877314215557771</v>
      </c>
      <c r="O75" s="271"/>
      <c r="P75" s="13"/>
      <c r="Q75" s="19"/>
      <c r="R75" s="19"/>
      <c r="S75" s="19"/>
      <c r="T75" s="19"/>
      <c r="U75" s="19"/>
      <c r="V75" s="19"/>
      <c r="W75" s="19"/>
      <c r="X75" s="19"/>
      <c r="Y75" s="19"/>
      <c r="Z75" s="19"/>
      <c r="AA75" s="19"/>
      <c r="AB75" s="19"/>
      <c r="AC75" s="19"/>
      <c r="AD75" s="19"/>
    </row>
    <row r="76" spans="1:32" s="7" customFormat="1" ht="14.1" hidden="1" customHeight="1" outlineLevel="1" x14ac:dyDescent="0.2">
      <c r="A76" s="1398"/>
      <c r="B76" s="55"/>
      <c r="C76" s="290"/>
      <c r="D76" s="494"/>
      <c r="E76" s="185"/>
      <c r="F76" s="185"/>
      <c r="G76" s="185"/>
      <c r="H76" s="185"/>
      <c r="I76" s="185"/>
      <c r="J76" s="185"/>
      <c r="K76" s="185"/>
      <c r="L76" s="185"/>
      <c r="M76" s="185"/>
      <c r="N76" s="185"/>
      <c r="O76" s="289"/>
      <c r="P76" s="50"/>
      <c r="Q76" s="24"/>
      <c r="R76" s="24"/>
      <c r="S76" s="24"/>
      <c r="T76" s="24"/>
      <c r="U76" s="24"/>
      <c r="V76" s="24"/>
      <c r="W76" s="24"/>
      <c r="X76" s="24"/>
      <c r="Y76" s="24"/>
      <c r="Z76" s="24"/>
      <c r="AA76" s="24"/>
      <c r="AB76" s="24"/>
      <c r="AC76" s="24"/>
      <c r="AD76" s="24"/>
    </row>
    <row r="77" spans="1:32" ht="14.1" hidden="1" customHeight="1" outlineLevel="1" x14ac:dyDescent="0.2">
      <c r="A77" s="1398"/>
      <c r="B77" s="51"/>
      <c r="C77" s="290"/>
      <c r="D77" s="659" t="s">
        <v>158</v>
      </c>
      <c r="E77" s="984">
        <v>1000</v>
      </c>
      <c r="F77" s="984">
        <v>1000</v>
      </c>
      <c r="G77" s="984">
        <v>1000</v>
      </c>
      <c r="H77" s="984">
        <v>1000</v>
      </c>
      <c r="I77" s="984">
        <v>1000</v>
      </c>
      <c r="J77" s="984">
        <v>1000</v>
      </c>
      <c r="K77" s="984">
        <v>1000</v>
      </c>
      <c r="L77" s="984">
        <v>1000</v>
      </c>
      <c r="M77" s="984">
        <v>1000</v>
      </c>
      <c r="N77" s="984">
        <v>1000</v>
      </c>
      <c r="O77" s="257"/>
      <c r="P77" s="13"/>
      <c r="Q77" s="19"/>
      <c r="R77" s="19"/>
      <c r="S77" s="19"/>
      <c r="T77" s="19"/>
      <c r="U77" s="19"/>
      <c r="V77" s="19"/>
      <c r="W77" s="19"/>
      <c r="X77" s="19"/>
      <c r="Y77" s="19"/>
      <c r="Z77" s="19"/>
      <c r="AA77" s="19"/>
      <c r="AB77" s="19"/>
      <c r="AC77" s="19"/>
      <c r="AD77" s="19"/>
    </row>
    <row r="78" spans="1:32" ht="14.1" hidden="1" customHeight="1" outlineLevel="1" x14ac:dyDescent="0.2">
      <c r="A78" s="1398"/>
      <c r="B78" s="51"/>
      <c r="C78" s="290"/>
      <c r="D78" s="661" t="s">
        <v>159</v>
      </c>
      <c r="E78" s="984">
        <v>1000</v>
      </c>
      <c r="F78" s="984">
        <v>900</v>
      </c>
      <c r="G78" s="984">
        <v>800</v>
      </c>
      <c r="H78" s="984">
        <v>700</v>
      </c>
      <c r="I78" s="984">
        <v>600</v>
      </c>
      <c r="J78" s="984">
        <v>500</v>
      </c>
      <c r="K78" s="984">
        <v>400</v>
      </c>
      <c r="L78" s="984">
        <v>300</v>
      </c>
      <c r="M78" s="984">
        <v>200</v>
      </c>
      <c r="N78" s="984">
        <v>100</v>
      </c>
      <c r="O78" s="257"/>
      <c r="P78" s="13"/>
      <c r="Q78" s="19"/>
      <c r="R78" s="19"/>
      <c r="S78" s="19"/>
      <c r="T78" s="19"/>
      <c r="U78" s="19"/>
      <c r="V78" s="19"/>
      <c r="W78" s="19"/>
      <c r="X78" s="19"/>
      <c r="Y78" s="19"/>
      <c r="Z78" s="19"/>
      <c r="AA78" s="19"/>
      <c r="AB78" s="19"/>
      <c r="AC78" s="19"/>
      <c r="AD78" s="19"/>
    </row>
    <row r="79" spans="1:32" ht="14.1" hidden="1" customHeight="1" outlineLevel="1" x14ac:dyDescent="0.2">
      <c r="A79" s="1398"/>
      <c r="B79" s="51"/>
      <c r="C79" s="290"/>
      <c r="D79" s="663" t="s">
        <v>160</v>
      </c>
      <c r="E79" s="984">
        <v>1000</v>
      </c>
      <c r="F79" s="984">
        <v>300</v>
      </c>
      <c r="G79" s="984">
        <v>250</v>
      </c>
      <c r="H79" s="984">
        <v>200</v>
      </c>
      <c r="I79" s="984">
        <v>150</v>
      </c>
      <c r="J79" s="984">
        <v>100</v>
      </c>
      <c r="K79" s="984">
        <v>50</v>
      </c>
      <c r="L79" s="984">
        <v>0</v>
      </c>
      <c r="M79" s="984">
        <v>0</v>
      </c>
      <c r="N79" s="984">
        <v>0</v>
      </c>
      <c r="O79" s="257"/>
      <c r="P79" s="13"/>
      <c r="Q79" s="19"/>
      <c r="R79" s="19"/>
      <c r="S79" s="19"/>
      <c r="T79" s="19"/>
      <c r="U79" s="19"/>
      <c r="V79" s="19"/>
      <c r="W79" s="19"/>
      <c r="X79" s="19"/>
      <c r="Y79" s="19"/>
      <c r="Z79" s="19"/>
      <c r="AA79" s="19"/>
      <c r="AB79" s="19"/>
      <c r="AC79" s="19"/>
      <c r="AD79" s="19"/>
    </row>
    <row r="80" spans="1:32" s="98" customFormat="1" ht="14.1" hidden="1" customHeight="1" outlineLevel="1" x14ac:dyDescent="0.2">
      <c r="A80" s="1398"/>
      <c r="B80" s="55"/>
      <c r="C80" s="290"/>
      <c r="D80" s="494"/>
      <c r="E80" s="186"/>
      <c r="F80" s="186"/>
      <c r="G80" s="186"/>
      <c r="H80" s="186"/>
      <c r="I80" s="186"/>
      <c r="J80" s="186"/>
      <c r="K80" s="186"/>
      <c r="L80" s="186"/>
      <c r="M80" s="186"/>
      <c r="N80" s="186"/>
      <c r="O80" s="257"/>
      <c r="P80" s="50"/>
      <c r="Q80" s="50"/>
      <c r="R80" s="50"/>
      <c r="S80" s="50"/>
      <c r="T80" s="50"/>
      <c r="U80" s="50"/>
      <c r="V80" s="50"/>
      <c r="W80" s="50"/>
      <c r="X80" s="50"/>
      <c r="Y80" s="50"/>
      <c r="Z80" s="50"/>
      <c r="AA80" s="50"/>
      <c r="AB80" s="50"/>
      <c r="AC80" s="50"/>
      <c r="AD80" s="50"/>
    </row>
    <row r="81" spans="1:32" s="98" customFormat="1" ht="14.1" hidden="1" customHeight="1" outlineLevel="1" x14ac:dyDescent="0.2">
      <c r="A81" s="1398"/>
      <c r="B81" s="55"/>
      <c r="C81" s="290"/>
      <c r="D81" s="659" t="s">
        <v>163</v>
      </c>
      <c r="E81" s="982">
        <f t="shared" ref="E81:N81" si="21">SUM(E77*E75)</f>
        <v>25000</v>
      </c>
      <c r="F81" s="982">
        <f t="shared" si="21"/>
        <v>25500</v>
      </c>
      <c r="G81" s="982">
        <f t="shared" si="21"/>
        <v>26009.999999999996</v>
      </c>
      <c r="H81" s="982">
        <f t="shared" si="21"/>
        <v>26530.199999999997</v>
      </c>
      <c r="I81" s="982">
        <f t="shared" si="21"/>
        <v>27060.804</v>
      </c>
      <c r="J81" s="982">
        <f t="shared" si="21"/>
        <v>27602.020079999998</v>
      </c>
      <c r="K81" s="982">
        <f t="shared" si="21"/>
        <v>28154.060481600001</v>
      </c>
      <c r="L81" s="982">
        <f t="shared" si="21"/>
        <v>28717.141691231995</v>
      </c>
      <c r="M81" s="982">
        <f t="shared" si="21"/>
        <v>29291.48452505664</v>
      </c>
      <c r="N81" s="982">
        <f t="shared" si="21"/>
        <v>29877.31421555777</v>
      </c>
      <c r="O81" s="257"/>
      <c r="P81" s="50"/>
      <c r="Q81" s="50"/>
      <c r="R81" s="50"/>
      <c r="S81" s="50"/>
      <c r="T81" s="50"/>
      <c r="U81" s="50"/>
      <c r="V81" s="50"/>
      <c r="W81" s="50"/>
      <c r="X81" s="50"/>
      <c r="Y81" s="50"/>
      <c r="Z81" s="50"/>
      <c r="AA81" s="50"/>
      <c r="AB81" s="50"/>
      <c r="AC81" s="50"/>
      <c r="AD81" s="50"/>
    </row>
    <row r="82" spans="1:32" s="98" customFormat="1" ht="14.1" hidden="1" customHeight="1" outlineLevel="1" x14ac:dyDescent="0.2">
      <c r="A82" s="1398"/>
      <c r="B82" s="55"/>
      <c r="C82" s="290"/>
      <c r="D82" s="661" t="s">
        <v>164</v>
      </c>
      <c r="E82" s="982">
        <f t="shared" ref="E82:N82" si="22">SUM(E75*E78)</f>
        <v>25000</v>
      </c>
      <c r="F82" s="982">
        <f t="shared" si="22"/>
        <v>22950</v>
      </c>
      <c r="G82" s="982">
        <f t="shared" si="22"/>
        <v>20808</v>
      </c>
      <c r="H82" s="982">
        <f t="shared" si="22"/>
        <v>18571.14</v>
      </c>
      <c r="I82" s="982">
        <f t="shared" si="22"/>
        <v>16236.482400000001</v>
      </c>
      <c r="J82" s="982">
        <f t="shared" si="22"/>
        <v>13801.010039999999</v>
      </c>
      <c r="K82" s="982">
        <f t="shared" si="22"/>
        <v>11261.624192640002</v>
      </c>
      <c r="L82" s="982">
        <f t="shared" si="22"/>
        <v>8615.1425073695991</v>
      </c>
      <c r="M82" s="982">
        <f t="shared" si="22"/>
        <v>5858.2969050113279</v>
      </c>
      <c r="N82" s="982">
        <f t="shared" si="22"/>
        <v>2987.7314215557772</v>
      </c>
      <c r="O82" s="257"/>
      <c r="P82" s="50"/>
      <c r="Q82" s="50"/>
      <c r="R82" s="50"/>
      <c r="S82" s="50"/>
      <c r="T82" s="50"/>
      <c r="U82" s="50"/>
      <c r="V82" s="50"/>
      <c r="W82" s="50"/>
      <c r="X82" s="50"/>
      <c r="Y82" s="50"/>
      <c r="Z82" s="50"/>
      <c r="AA82" s="50"/>
      <c r="AB82" s="50"/>
      <c r="AC82" s="50"/>
      <c r="AD82" s="50"/>
    </row>
    <row r="83" spans="1:32" s="98" customFormat="1" ht="14.1" hidden="1" customHeight="1" outlineLevel="1" x14ac:dyDescent="0.2">
      <c r="A83" s="1398"/>
      <c r="B83" s="55"/>
      <c r="C83" s="290"/>
      <c r="D83" s="663" t="s">
        <v>165</v>
      </c>
      <c r="E83" s="982">
        <f t="shared" ref="E83:N83" si="23">SUM(E79*E75)</f>
        <v>25000</v>
      </c>
      <c r="F83" s="982">
        <f t="shared" si="23"/>
        <v>7650</v>
      </c>
      <c r="G83" s="982">
        <f t="shared" si="23"/>
        <v>6502.4999999999991</v>
      </c>
      <c r="H83" s="982">
        <f t="shared" si="23"/>
        <v>5306.0399999999991</v>
      </c>
      <c r="I83" s="982">
        <f t="shared" si="23"/>
        <v>4059.1206000000002</v>
      </c>
      <c r="J83" s="982">
        <f t="shared" si="23"/>
        <v>2760.2020079999998</v>
      </c>
      <c r="K83" s="982">
        <f t="shared" si="23"/>
        <v>1407.7030240800002</v>
      </c>
      <c r="L83" s="982">
        <f t="shared" si="23"/>
        <v>0</v>
      </c>
      <c r="M83" s="982">
        <f t="shared" si="23"/>
        <v>0</v>
      </c>
      <c r="N83" s="982">
        <f t="shared" si="23"/>
        <v>0</v>
      </c>
      <c r="O83" s="257"/>
      <c r="P83" s="50"/>
      <c r="Q83" s="50"/>
      <c r="R83" s="50"/>
      <c r="S83" s="50"/>
      <c r="T83" s="50"/>
      <c r="U83" s="50"/>
      <c r="V83" s="50"/>
      <c r="W83" s="50"/>
      <c r="X83" s="50"/>
      <c r="Y83" s="50"/>
      <c r="Z83" s="50"/>
      <c r="AA83" s="50"/>
      <c r="AB83" s="50"/>
      <c r="AC83" s="50"/>
      <c r="AD83" s="50"/>
    </row>
    <row r="84" spans="1:32" ht="46.5" hidden="1" customHeight="1" outlineLevel="1" thickBot="1" x14ac:dyDescent="0.25">
      <c r="A84" s="1399"/>
      <c r="B84" s="51"/>
      <c r="C84" s="241"/>
      <c r="D84" s="985"/>
      <c r="E84" s="986"/>
      <c r="F84" s="986"/>
      <c r="G84" s="986"/>
      <c r="H84" s="986"/>
      <c r="I84" s="986"/>
      <c r="J84" s="986"/>
      <c r="K84" s="986"/>
      <c r="L84" s="986"/>
      <c r="M84" s="986"/>
      <c r="N84" s="986"/>
      <c r="O84" s="513"/>
      <c r="P84" s="13"/>
      <c r="Q84" s="19"/>
      <c r="R84" s="19"/>
      <c r="S84" s="19"/>
      <c r="T84" s="19"/>
      <c r="U84" s="19"/>
      <c r="V84" s="19"/>
      <c r="W84" s="19"/>
      <c r="X84" s="19"/>
      <c r="Y84" s="19"/>
      <c r="Z84" s="19"/>
      <c r="AA84" s="19"/>
      <c r="AB84" s="19"/>
      <c r="AC84" s="19"/>
      <c r="AD84" s="19"/>
    </row>
    <row r="85" spans="1:32" s="114" customFormat="1" ht="15.75" hidden="1" outlineLevel="1" x14ac:dyDescent="0.2">
      <c r="A85" s="7"/>
      <c r="B85" s="115"/>
      <c r="C85" s="297"/>
      <c r="D85" s="673"/>
      <c r="E85" s="172"/>
      <c r="F85" s="172"/>
      <c r="G85" s="172"/>
      <c r="H85" s="172"/>
      <c r="I85" s="172"/>
      <c r="J85" s="172"/>
      <c r="K85" s="172"/>
      <c r="L85" s="172"/>
      <c r="M85" s="172"/>
      <c r="N85" s="172"/>
      <c r="O85" s="112"/>
      <c r="P85" s="113"/>
    </row>
    <row r="86" spans="1:32" s="122" customFormat="1" ht="15.75" collapsed="1" x14ac:dyDescent="0.2">
      <c r="A86" s="1043">
        <v>4</v>
      </c>
      <c r="B86" s="1039"/>
      <c r="C86" s="1039"/>
      <c r="D86" s="1039"/>
      <c r="E86" s="1039"/>
      <c r="F86" s="1039"/>
      <c r="G86" s="1039"/>
      <c r="H86" s="1039"/>
      <c r="I86" s="1039"/>
      <c r="J86" s="1039"/>
      <c r="K86" s="1039"/>
      <c r="L86" s="1039"/>
      <c r="M86" s="1039"/>
      <c r="N86" s="1039"/>
      <c r="O86" s="1039"/>
      <c r="P86" s="206"/>
      <c r="Q86" s="206"/>
      <c r="R86" s="206"/>
      <c r="S86" s="206"/>
      <c r="T86" s="206"/>
      <c r="U86" s="206"/>
      <c r="V86" s="206"/>
      <c r="W86" s="206"/>
      <c r="X86" s="206"/>
      <c r="Y86" s="206"/>
      <c r="Z86" s="206"/>
      <c r="AA86" s="206"/>
      <c r="AB86" s="206"/>
      <c r="AC86" s="206"/>
      <c r="AD86" s="206"/>
      <c r="AE86" s="206"/>
      <c r="AF86" s="206"/>
    </row>
    <row r="87" spans="1:32" s="114" customFormat="1" ht="16.5" thickBot="1" x14ac:dyDescent="0.25">
      <c r="A87" s="7"/>
      <c r="B87" s="115"/>
      <c r="C87" s="297"/>
      <c r="D87" s="673"/>
      <c r="E87" s="172"/>
      <c r="F87" s="172"/>
      <c r="G87" s="172"/>
      <c r="H87" s="172"/>
      <c r="I87" s="172"/>
      <c r="J87" s="172"/>
      <c r="K87" s="172"/>
      <c r="L87" s="172"/>
      <c r="M87" s="172"/>
      <c r="N87" s="172"/>
      <c r="O87" s="112"/>
      <c r="P87" s="113"/>
    </row>
    <row r="88" spans="1:32" s="18" customFormat="1" ht="20.100000000000001" customHeight="1" x14ac:dyDescent="0.2">
      <c r="A88" s="1397" t="s">
        <v>4280</v>
      </c>
      <c r="B88" s="267"/>
      <c r="C88" s="967" t="s">
        <v>166</v>
      </c>
      <c r="D88" s="23"/>
      <c r="E88" s="23"/>
      <c r="F88" s="23"/>
      <c r="G88" s="23"/>
      <c r="H88" s="23"/>
      <c r="I88" s="23"/>
      <c r="J88" s="23"/>
      <c r="K88" s="23"/>
      <c r="L88" s="23"/>
      <c r="M88" s="23"/>
      <c r="N88" s="23"/>
      <c r="O88" s="23"/>
      <c r="P88" s="12"/>
      <c r="Q88" s="12"/>
    </row>
    <row r="89" spans="1:32" s="18" customFormat="1" ht="12" customHeight="1" x14ac:dyDescent="0.2">
      <c r="A89" s="1398"/>
      <c r="B89" s="267"/>
      <c r="C89" s="267"/>
      <c r="D89" s="30"/>
      <c r="E89" s="23"/>
      <c r="F89" s="23"/>
      <c r="G89" s="23"/>
      <c r="H89" s="23"/>
      <c r="I89" s="23"/>
      <c r="J89" s="23"/>
      <c r="K89" s="23"/>
      <c r="L89" s="23"/>
      <c r="M89" s="23"/>
      <c r="N89" s="23"/>
      <c r="O89" s="23"/>
      <c r="P89" s="12"/>
      <c r="Q89" s="12"/>
    </row>
    <row r="90" spans="1:32" s="18" customFormat="1" ht="20.25" customHeight="1" x14ac:dyDescent="0.2">
      <c r="A90" s="1399"/>
      <c r="B90" s="267"/>
      <c r="C90" s="267"/>
      <c r="D90" s="30"/>
      <c r="E90" s="23"/>
      <c r="F90" s="23"/>
      <c r="G90" s="23"/>
      <c r="H90" s="23"/>
      <c r="I90" s="23"/>
      <c r="J90" s="23"/>
      <c r="K90" s="23"/>
      <c r="L90" s="23"/>
      <c r="M90" s="23"/>
      <c r="N90" s="23"/>
      <c r="O90" s="23"/>
      <c r="P90" s="12"/>
      <c r="Q90" s="12"/>
    </row>
    <row r="91" spans="1:32" s="114" customFormat="1" ht="15.75" x14ac:dyDescent="0.2">
      <c r="A91" s="7"/>
      <c r="B91" s="115"/>
      <c r="C91" s="297"/>
      <c r="D91" s="673"/>
      <c r="E91" s="172"/>
      <c r="F91" s="172"/>
      <c r="G91" s="172"/>
      <c r="H91" s="172"/>
      <c r="I91" s="172"/>
      <c r="J91" s="172"/>
      <c r="K91" s="172"/>
      <c r="L91" s="172"/>
      <c r="M91" s="172"/>
      <c r="N91" s="172"/>
      <c r="O91" s="112"/>
      <c r="P91" s="113"/>
    </row>
    <row r="92" spans="1:32" s="114" customFormat="1" ht="16.5" hidden="1" outlineLevel="1" thickBot="1" x14ac:dyDescent="0.25">
      <c r="A92" s="7"/>
      <c r="B92" s="115"/>
      <c r="C92" s="297"/>
      <c r="D92" s="673"/>
      <c r="E92" s="172"/>
      <c r="F92" s="172"/>
      <c r="G92" s="172"/>
      <c r="H92" s="172"/>
      <c r="I92" s="172"/>
      <c r="J92" s="172"/>
      <c r="K92" s="172"/>
      <c r="L92" s="172"/>
      <c r="M92" s="172"/>
      <c r="N92" s="172"/>
      <c r="O92" s="112"/>
      <c r="P92" s="113"/>
    </row>
    <row r="93" spans="1:32" ht="15.75" hidden="1" customHeight="1" outlineLevel="1" x14ac:dyDescent="0.2">
      <c r="A93" s="7"/>
      <c r="B93" s="51"/>
      <c r="C93" s="1095"/>
      <c r="D93" s="239"/>
      <c r="E93" s="239"/>
      <c r="F93" s="239"/>
      <c r="G93" s="239"/>
      <c r="H93" s="239"/>
      <c r="I93" s="239"/>
      <c r="J93" s="239"/>
      <c r="K93" s="239"/>
      <c r="L93" s="239"/>
      <c r="M93" s="239"/>
      <c r="N93" s="239"/>
      <c r="O93" s="983"/>
      <c r="P93" s="13"/>
      <c r="Q93" s="19"/>
      <c r="R93" s="19"/>
      <c r="S93" s="19"/>
      <c r="T93" s="19"/>
      <c r="U93" s="19"/>
      <c r="V93" s="19"/>
      <c r="W93" s="19"/>
      <c r="X93" s="19"/>
      <c r="Y93" s="19"/>
      <c r="Z93" s="19"/>
      <c r="AA93" s="19"/>
      <c r="AB93" s="19"/>
      <c r="AC93" s="19"/>
      <c r="AD93" s="19"/>
    </row>
    <row r="94" spans="1:32" ht="14.1" hidden="1" customHeight="1" outlineLevel="1" x14ac:dyDescent="0.2">
      <c r="A94" s="7"/>
      <c r="B94" s="51"/>
      <c r="C94" s="165"/>
      <c r="D94" s="659" t="s">
        <v>4057</v>
      </c>
      <c r="E94" s="1096">
        <f t="shared" ref="E94:N94" si="24">E81+E62</f>
        <v>63386.107663461538</v>
      </c>
      <c r="F94" s="1096">
        <f t="shared" si="24"/>
        <v>80944.933742524969</v>
      </c>
      <c r="G94" s="1096">
        <f t="shared" si="24"/>
        <v>99274.16719740961</v>
      </c>
      <c r="H94" s="1096">
        <f t="shared" si="24"/>
        <v>118447.63146576325</v>
      </c>
      <c r="I94" s="1096">
        <f t="shared" si="24"/>
        <v>138248.09255171186</v>
      </c>
      <c r="J94" s="1096">
        <f t="shared" si="24"/>
        <v>158690.39785306741</v>
      </c>
      <c r="K94" s="1096">
        <f t="shared" si="24"/>
        <v>180022.94774746001</v>
      </c>
      <c r="L94" s="1096">
        <f t="shared" si="24"/>
        <v>202276.05914783082</v>
      </c>
      <c r="M94" s="1096">
        <f t="shared" si="24"/>
        <v>225238.430773678</v>
      </c>
      <c r="N94" s="1096">
        <f t="shared" si="24"/>
        <v>248927.18707286532</v>
      </c>
      <c r="O94" s="249"/>
      <c r="P94" s="13"/>
      <c r="Q94" s="19"/>
      <c r="R94" s="19"/>
      <c r="S94" s="19"/>
      <c r="T94" s="19"/>
      <c r="U94" s="19"/>
      <c r="V94" s="19"/>
      <c r="W94" s="19"/>
      <c r="X94" s="19"/>
      <c r="Y94" s="19"/>
      <c r="Z94" s="19"/>
      <c r="AA94" s="19"/>
      <c r="AB94" s="19"/>
      <c r="AC94" s="19"/>
      <c r="AD94" s="19"/>
    </row>
    <row r="95" spans="1:32" ht="14.1" hidden="1" customHeight="1" outlineLevel="1" x14ac:dyDescent="0.2">
      <c r="A95" s="7"/>
      <c r="B95" s="51"/>
      <c r="C95" s="165"/>
      <c r="D95" s="661" t="s">
        <v>4056</v>
      </c>
      <c r="E95" s="1096">
        <f t="shared" ref="E95:N95" si="25">E82+E63</f>
        <v>63386.107663461538</v>
      </c>
      <c r="F95" s="1096">
        <f t="shared" si="25"/>
        <v>54608.893787762485</v>
      </c>
      <c r="G95" s="1096">
        <f t="shared" si="25"/>
        <v>54865.34974055479</v>
      </c>
      <c r="H95" s="1096">
        <f t="shared" si="25"/>
        <v>53892.068491752107</v>
      </c>
      <c r="I95" s="1096">
        <f t="shared" si="25"/>
        <v>52489.028766739415</v>
      </c>
      <c r="J95" s="1096">
        <f t="shared" si="25"/>
        <v>50253.758831375664</v>
      </c>
      <c r="K95" s="1096">
        <f t="shared" si="25"/>
        <v>47230.802850255299</v>
      </c>
      <c r="L95" s="1096">
        <f t="shared" si="25"/>
        <v>43375.396382095809</v>
      </c>
      <c r="M95" s="1096">
        <f t="shared" si="25"/>
        <v>38543.985426466999</v>
      </c>
      <c r="N95" s="1096">
        <f t="shared" si="25"/>
        <v>32682.174786395692</v>
      </c>
      <c r="O95" s="249"/>
      <c r="P95" s="13"/>
      <c r="Q95" s="19"/>
      <c r="R95" s="19"/>
      <c r="S95" s="19"/>
      <c r="T95" s="19"/>
      <c r="U95" s="19"/>
      <c r="V95" s="19"/>
      <c r="W95" s="19"/>
      <c r="X95" s="19"/>
      <c r="Y95" s="19"/>
      <c r="Z95" s="19"/>
      <c r="AA95" s="19"/>
      <c r="AB95" s="19"/>
      <c r="AC95" s="19"/>
      <c r="AD95" s="19"/>
    </row>
    <row r="96" spans="1:32" ht="14.1" hidden="1" customHeight="1" outlineLevel="1" x14ac:dyDescent="0.2">
      <c r="A96" s="7"/>
      <c r="B96" s="51"/>
      <c r="C96" s="165"/>
      <c r="D96" s="663" t="s">
        <v>4058</v>
      </c>
      <c r="E96" s="1096">
        <f t="shared" ref="E96:N96" si="26">E83+E64</f>
        <v>63386.107663461538</v>
      </c>
      <c r="F96" s="1096">
        <f t="shared" si="26"/>
        <v>27975.361165601003</v>
      </c>
      <c r="G96" s="1096">
        <f t="shared" si="26"/>
        <v>23322.365722544531</v>
      </c>
      <c r="H96" s="1096">
        <f t="shared" si="26"/>
        <v>18540.621780030327</v>
      </c>
      <c r="I96" s="1096">
        <f t="shared" si="26"/>
        <v>13295.55353503114</v>
      </c>
      <c r="J96" s="1096">
        <f t="shared" si="26"/>
        <v>7697.0734947976816</v>
      </c>
      <c r="K96" s="1096">
        <f t="shared" si="26"/>
        <v>6399.915966063335</v>
      </c>
      <c r="L96" s="1096">
        <f t="shared" si="26"/>
        <v>2657.338113167214</v>
      </c>
      <c r="M96" s="1096">
        <f t="shared" si="26"/>
        <v>2631.4724620186103</v>
      </c>
      <c r="N96" s="1096">
        <f t="shared" si="26"/>
        <v>2597.9529280273432</v>
      </c>
      <c r="O96" s="249"/>
      <c r="P96" s="13"/>
      <c r="Q96" s="19"/>
      <c r="R96" s="19"/>
      <c r="S96" s="19"/>
      <c r="T96" s="19"/>
      <c r="U96" s="19"/>
      <c r="V96" s="19"/>
      <c r="W96" s="19"/>
      <c r="X96" s="19"/>
      <c r="Y96" s="19"/>
      <c r="Z96" s="19"/>
      <c r="AA96" s="19"/>
      <c r="AB96" s="19"/>
      <c r="AC96" s="19"/>
      <c r="AD96" s="19"/>
    </row>
    <row r="97" spans="1:32" s="114" customFormat="1" ht="13.5" hidden="1" outlineLevel="1" thickBot="1" x14ac:dyDescent="0.25">
      <c r="A97" s="7"/>
      <c r="B97" s="51"/>
      <c r="C97" s="250"/>
      <c r="D97" s="1097"/>
      <c r="E97" s="532"/>
      <c r="F97" s="532"/>
      <c r="G97" s="532"/>
      <c r="H97" s="532"/>
      <c r="I97" s="532"/>
      <c r="J97" s="532"/>
      <c r="K97" s="532"/>
      <c r="L97" s="532"/>
      <c r="M97" s="532"/>
      <c r="N97" s="532"/>
      <c r="O97" s="1098"/>
      <c r="P97" s="113"/>
    </row>
    <row r="98" spans="1:32" s="114" customFormat="1" hidden="1" outlineLevel="1" x14ac:dyDescent="0.2">
      <c r="A98" s="7"/>
      <c r="B98" s="51"/>
      <c r="C98" s="172"/>
      <c r="D98" s="673"/>
      <c r="E98" s="172"/>
      <c r="F98" s="172"/>
      <c r="G98" s="172"/>
      <c r="H98" s="172"/>
      <c r="I98" s="172"/>
      <c r="J98" s="172"/>
      <c r="K98" s="172"/>
      <c r="L98" s="172"/>
      <c r="M98" s="172"/>
      <c r="N98" s="172"/>
      <c r="O98" s="112"/>
      <c r="P98" s="113"/>
    </row>
    <row r="99" spans="1:32" s="122" customFormat="1" ht="15.75" collapsed="1" x14ac:dyDescent="0.2">
      <c r="A99" s="1043">
        <v>5</v>
      </c>
      <c r="B99" s="1039"/>
      <c r="C99" s="1039"/>
      <c r="D99" s="1039"/>
      <c r="E99" s="1039"/>
      <c r="F99" s="1039"/>
      <c r="G99" s="1039"/>
      <c r="H99" s="1039"/>
      <c r="I99" s="1039"/>
      <c r="J99" s="1039"/>
      <c r="K99" s="1039"/>
      <c r="L99" s="1039"/>
      <c r="M99" s="1039"/>
      <c r="N99" s="1039"/>
      <c r="O99" s="1039"/>
      <c r="P99" s="206"/>
      <c r="Q99" s="206"/>
      <c r="R99" s="206"/>
      <c r="S99" s="206"/>
      <c r="T99" s="206"/>
      <c r="U99" s="206"/>
      <c r="V99" s="206"/>
      <c r="W99" s="206"/>
      <c r="X99" s="206"/>
      <c r="Y99" s="206"/>
      <c r="Z99" s="206"/>
      <c r="AA99" s="206"/>
      <c r="AB99" s="206"/>
      <c r="AC99" s="206"/>
      <c r="AD99" s="206"/>
      <c r="AE99" s="206"/>
      <c r="AF99" s="206"/>
    </row>
    <row r="100" spans="1:32" s="114" customFormat="1" x14ac:dyDescent="0.2">
      <c r="A100" s="7"/>
      <c r="B100" s="51"/>
      <c r="C100" s="172"/>
      <c r="D100" s="673"/>
      <c r="E100" s="172"/>
      <c r="F100" s="172"/>
      <c r="G100" s="172"/>
      <c r="H100" s="172"/>
      <c r="I100" s="172"/>
      <c r="J100" s="172"/>
      <c r="K100" s="172"/>
      <c r="L100" s="172"/>
      <c r="M100" s="172"/>
      <c r="N100" s="172"/>
      <c r="O100" s="112"/>
      <c r="P100" s="113"/>
    </row>
    <row r="101" spans="1:32" s="206" customFormat="1" ht="20.100000000000001" customHeight="1" x14ac:dyDescent="0.2">
      <c r="A101" s="1397" t="s">
        <v>4283</v>
      </c>
      <c r="C101" s="1099" t="s">
        <v>4281</v>
      </c>
      <c r="D101" s="223"/>
      <c r="E101" s="223"/>
      <c r="F101" s="223"/>
      <c r="G101" s="223"/>
      <c r="H101" s="223"/>
      <c r="I101" s="223"/>
      <c r="J101" s="223"/>
      <c r="K101" s="223"/>
      <c r="L101" s="223"/>
      <c r="M101" s="223"/>
      <c r="N101" s="223"/>
      <c r="O101" s="224"/>
      <c r="P101" s="210"/>
    </row>
    <row r="102" spans="1:32" s="203" customFormat="1" x14ac:dyDescent="0.2">
      <c r="A102" s="1398"/>
      <c r="B102" s="211"/>
      <c r="C102" s="211"/>
      <c r="D102" s="214"/>
      <c r="E102" s="210"/>
      <c r="F102" s="210"/>
      <c r="G102" s="210"/>
      <c r="H102" s="210"/>
      <c r="I102" s="210"/>
      <c r="J102" s="210"/>
      <c r="K102" s="210"/>
      <c r="L102" s="210"/>
      <c r="M102" s="210"/>
      <c r="N102" s="210"/>
      <c r="O102" s="209"/>
      <c r="P102" s="204"/>
    </row>
    <row r="103" spans="1:32" s="85" customFormat="1" ht="12.75" customHeight="1" x14ac:dyDescent="0.2">
      <c r="A103" s="1399"/>
      <c r="E103" s="62"/>
      <c r="F103" s="62"/>
      <c r="G103" s="62"/>
      <c r="H103" s="62"/>
      <c r="I103" s="62"/>
      <c r="J103" s="62"/>
      <c r="K103" s="62"/>
      <c r="L103" s="62"/>
      <c r="M103" s="62"/>
      <c r="N103" s="62"/>
      <c r="O103" s="134"/>
      <c r="P103" s="134"/>
      <c r="Q103" s="134"/>
      <c r="R103" s="134"/>
      <c r="S103" s="134"/>
      <c r="T103" s="134"/>
      <c r="U103" s="134"/>
      <c r="V103" s="134"/>
      <c r="W103" s="134"/>
      <c r="X103" s="134"/>
      <c r="Y103" s="134"/>
      <c r="Z103" s="134"/>
      <c r="AA103" s="134"/>
      <c r="AB103" s="134"/>
      <c r="AC103" s="134"/>
      <c r="AD103" s="134"/>
      <c r="AE103" s="134"/>
      <c r="AF103" s="134"/>
    </row>
    <row r="104" spans="1:32" s="85" customFormat="1" ht="12.75" customHeight="1" x14ac:dyDescent="0.2">
      <c r="E104" s="62"/>
      <c r="F104" s="62"/>
      <c r="G104" s="62"/>
      <c r="H104" s="62"/>
      <c r="I104" s="62"/>
      <c r="J104" s="62"/>
      <c r="K104" s="62"/>
      <c r="L104" s="62"/>
      <c r="M104" s="62"/>
      <c r="N104" s="62"/>
      <c r="O104" s="134"/>
      <c r="P104" s="134"/>
      <c r="Q104" s="134"/>
      <c r="R104" s="134"/>
      <c r="S104" s="134"/>
      <c r="T104" s="134"/>
      <c r="U104" s="134"/>
      <c r="V104" s="134"/>
      <c r="W104" s="134"/>
      <c r="X104" s="134"/>
      <c r="Y104" s="134"/>
      <c r="Z104" s="134"/>
      <c r="AA104" s="134"/>
      <c r="AB104" s="134"/>
      <c r="AC104" s="134"/>
      <c r="AD104" s="134"/>
      <c r="AE104" s="134"/>
      <c r="AF104" s="134"/>
    </row>
    <row r="105" spans="1:32" s="85" customFormat="1" ht="14.25" hidden="1" customHeight="1" outlineLevel="1" x14ac:dyDescent="0.2">
      <c r="E105" s="62"/>
      <c r="F105" s="62"/>
      <c r="G105" s="62"/>
      <c r="H105" s="62"/>
      <c r="I105" s="62"/>
      <c r="J105" s="62"/>
      <c r="K105" s="62"/>
      <c r="L105" s="62"/>
      <c r="M105" s="62"/>
      <c r="N105" s="62"/>
      <c r="O105" s="134"/>
      <c r="P105" s="134"/>
      <c r="Q105" s="134"/>
      <c r="R105" s="134"/>
      <c r="S105" s="134"/>
      <c r="T105" s="134"/>
      <c r="U105" s="134"/>
      <c r="V105" s="134"/>
      <c r="W105" s="134"/>
      <c r="X105" s="134"/>
      <c r="Y105" s="134"/>
      <c r="Z105" s="134"/>
      <c r="AA105" s="134"/>
      <c r="AB105" s="134"/>
      <c r="AC105" s="134"/>
      <c r="AD105" s="134"/>
      <c r="AE105" s="134"/>
      <c r="AF105" s="134"/>
    </row>
    <row r="106" spans="1:32" s="85" customFormat="1" ht="14.25" hidden="1" customHeight="1" outlineLevel="1" x14ac:dyDescent="0.2">
      <c r="A106" s="1397" t="s">
        <v>4282</v>
      </c>
      <c r="E106" s="62"/>
      <c r="F106" s="62"/>
      <c r="G106" s="62"/>
      <c r="H106" s="62"/>
      <c r="I106" s="62"/>
      <c r="J106" s="62"/>
      <c r="K106" s="62"/>
      <c r="L106" s="62"/>
      <c r="M106" s="62"/>
      <c r="N106" s="62"/>
      <c r="O106" s="134"/>
      <c r="P106" s="134"/>
      <c r="Q106" s="134"/>
      <c r="R106" s="134"/>
      <c r="S106" s="134"/>
      <c r="T106" s="134"/>
      <c r="U106" s="134"/>
      <c r="V106" s="134"/>
      <c r="W106" s="134"/>
      <c r="X106" s="134"/>
      <c r="Y106" s="134"/>
      <c r="Z106" s="134"/>
      <c r="AA106" s="134"/>
      <c r="AB106" s="134"/>
      <c r="AC106" s="134"/>
      <c r="AD106" s="134"/>
      <c r="AE106" s="134"/>
      <c r="AF106" s="134"/>
    </row>
    <row r="107" spans="1:32" s="85" customFormat="1" ht="14.25" hidden="1" customHeight="1" outlineLevel="1" x14ac:dyDescent="0.2">
      <c r="A107" s="1398"/>
      <c r="E107" s="62"/>
      <c r="F107" s="62"/>
      <c r="G107" s="62"/>
      <c r="H107" s="62"/>
      <c r="I107" s="62"/>
      <c r="J107" s="62"/>
      <c r="K107" s="62"/>
      <c r="L107" s="62"/>
      <c r="M107" s="62"/>
      <c r="N107" s="62"/>
      <c r="O107" s="134"/>
      <c r="P107" s="134"/>
      <c r="Q107" s="134"/>
      <c r="R107" s="134"/>
      <c r="S107" s="134"/>
      <c r="T107" s="134"/>
      <c r="U107" s="134"/>
      <c r="V107" s="134"/>
      <c r="W107" s="134"/>
      <c r="X107" s="134"/>
      <c r="Y107" s="134"/>
      <c r="Z107" s="134"/>
      <c r="AA107" s="134"/>
      <c r="AB107" s="134"/>
      <c r="AC107" s="134"/>
      <c r="AD107" s="134"/>
      <c r="AE107" s="134"/>
      <c r="AF107" s="134"/>
    </row>
    <row r="108" spans="1:32" s="121" customFormat="1" ht="12.75" hidden="1" customHeight="1" outlineLevel="1" thickBot="1" x14ac:dyDescent="0.35">
      <c r="A108" s="1398"/>
      <c r="B108" s="346"/>
      <c r="C108" s="347"/>
      <c r="D108" s="737"/>
      <c r="E108" s="129"/>
      <c r="F108" s="129"/>
      <c r="G108" s="129"/>
      <c r="H108" s="129"/>
      <c r="I108" s="129"/>
      <c r="J108" s="129"/>
      <c r="K108" s="129"/>
      <c r="L108" s="129"/>
      <c r="M108" s="129"/>
      <c r="N108" s="129"/>
      <c r="O108" s="348"/>
      <c r="P108" s="348"/>
      <c r="Q108" s="348"/>
      <c r="R108" s="348"/>
      <c r="S108" s="348"/>
      <c r="T108" s="348"/>
      <c r="U108" s="348"/>
      <c r="V108" s="348"/>
      <c r="W108" s="348"/>
      <c r="X108" s="348"/>
      <c r="Y108" s="348"/>
      <c r="Z108" s="348"/>
      <c r="AA108" s="348"/>
      <c r="AB108" s="348"/>
      <c r="AC108" s="348"/>
      <c r="AD108" s="348"/>
      <c r="AE108" s="348"/>
      <c r="AF108" s="348"/>
    </row>
    <row r="109" spans="1:32" s="7" customFormat="1" ht="12.75" hidden="1" customHeight="1" outlineLevel="1" x14ac:dyDescent="0.2">
      <c r="A109" s="1398"/>
      <c r="B109" s="800"/>
      <c r="C109" s="299"/>
      <c r="D109" s="807"/>
      <c r="E109" s="286"/>
      <c r="F109" s="286"/>
      <c r="G109" s="286"/>
      <c r="H109" s="286"/>
      <c r="I109" s="286"/>
      <c r="J109" s="286"/>
      <c r="K109" s="286"/>
      <c r="L109" s="286"/>
      <c r="M109" s="286"/>
      <c r="N109" s="286"/>
      <c r="O109" s="808"/>
      <c r="P109" s="50"/>
      <c r="Q109" s="24"/>
      <c r="R109" s="24"/>
      <c r="S109" s="24"/>
      <c r="T109" s="24"/>
      <c r="U109" s="24"/>
      <c r="V109" s="24"/>
      <c r="W109" s="24"/>
      <c r="X109" s="24"/>
      <c r="Y109" s="24"/>
      <c r="Z109" s="24"/>
      <c r="AA109" s="24"/>
      <c r="AB109" s="24"/>
      <c r="AC109" s="24"/>
      <c r="AD109" s="24"/>
    </row>
    <row r="110" spans="1:32" ht="12.75" hidden="1" customHeight="1" outlineLevel="1" x14ac:dyDescent="0.2">
      <c r="A110" s="1398"/>
      <c r="B110" s="19"/>
      <c r="C110" s="167"/>
      <c r="D110" s="453" t="s">
        <v>4118</v>
      </c>
      <c r="E110" s="805">
        <f t="shared" ref="E110:N110" si="27">-E94</f>
        <v>-63386.107663461538</v>
      </c>
      <c r="F110" s="423">
        <f t="shared" si="27"/>
        <v>-80944.933742524969</v>
      </c>
      <c r="G110" s="423">
        <f t="shared" si="27"/>
        <v>-99274.16719740961</v>
      </c>
      <c r="H110" s="423">
        <f t="shared" si="27"/>
        <v>-118447.63146576325</v>
      </c>
      <c r="I110" s="423">
        <f t="shared" si="27"/>
        <v>-138248.09255171186</v>
      </c>
      <c r="J110" s="423">
        <f t="shared" si="27"/>
        <v>-158690.39785306741</v>
      </c>
      <c r="K110" s="423">
        <f t="shared" si="27"/>
        <v>-180022.94774746001</v>
      </c>
      <c r="L110" s="423">
        <f t="shared" si="27"/>
        <v>-202276.05914783082</v>
      </c>
      <c r="M110" s="423">
        <f t="shared" si="27"/>
        <v>-225238.430773678</v>
      </c>
      <c r="N110" s="423">
        <f t="shared" si="27"/>
        <v>-248927.18707286532</v>
      </c>
      <c r="O110" s="257" t="s">
        <v>4059</v>
      </c>
      <c r="P110" s="13"/>
      <c r="Q110" s="19"/>
      <c r="R110" s="19"/>
      <c r="S110" s="19"/>
      <c r="T110" s="19"/>
      <c r="U110" s="19"/>
      <c r="V110" s="19"/>
      <c r="W110" s="19"/>
      <c r="X110" s="19"/>
      <c r="Y110" s="19"/>
      <c r="Z110" s="19"/>
      <c r="AA110" s="19"/>
      <c r="AB110" s="19"/>
      <c r="AC110" s="19"/>
      <c r="AD110" s="19"/>
    </row>
    <row r="111" spans="1:32" s="41" customFormat="1" ht="13.5" hidden="1" customHeight="1" outlineLevel="1" thickBot="1" x14ac:dyDescent="0.25">
      <c r="A111" s="1398"/>
      <c r="B111" s="3"/>
      <c r="C111" s="170"/>
      <c r="D111" s="809"/>
      <c r="E111" s="529"/>
      <c r="F111" s="529"/>
      <c r="G111" s="529"/>
      <c r="H111" s="529"/>
      <c r="I111" s="529"/>
      <c r="J111" s="529"/>
      <c r="K111" s="529"/>
      <c r="L111" s="529"/>
      <c r="M111" s="529"/>
      <c r="N111" s="529"/>
      <c r="O111" s="810"/>
      <c r="P111" s="38"/>
      <c r="Q111" s="38"/>
      <c r="R111" s="38"/>
      <c r="S111" s="38"/>
      <c r="T111" s="38"/>
      <c r="U111" s="38"/>
      <c r="V111" s="38"/>
      <c r="W111" s="38"/>
      <c r="X111" s="38"/>
      <c r="Y111" s="38"/>
      <c r="Z111" s="38"/>
      <c r="AA111" s="38"/>
      <c r="AB111" s="38"/>
      <c r="AC111" s="38"/>
      <c r="AD111" s="38"/>
    </row>
    <row r="112" spans="1:32" s="41" customFormat="1" ht="13.5" hidden="1" customHeight="1" outlineLevel="1" thickBot="1" x14ac:dyDescent="0.25">
      <c r="A112" s="1398"/>
      <c r="B112" s="3"/>
      <c r="C112" s="30"/>
      <c r="D112" s="494"/>
      <c r="E112" s="30"/>
      <c r="F112" s="30"/>
      <c r="G112" s="30"/>
      <c r="H112" s="30"/>
      <c r="I112" s="30"/>
      <c r="J112" s="30"/>
      <c r="K112" s="30"/>
      <c r="L112" s="30"/>
      <c r="M112" s="30"/>
      <c r="N112" s="30"/>
      <c r="O112" s="494"/>
      <c r="P112" s="38"/>
      <c r="Q112" s="38"/>
      <c r="R112" s="38"/>
      <c r="S112" s="38"/>
      <c r="T112" s="38"/>
      <c r="U112" s="38"/>
      <c r="V112" s="38"/>
      <c r="W112" s="38"/>
      <c r="X112" s="38"/>
      <c r="Y112" s="38"/>
      <c r="Z112" s="38"/>
      <c r="AA112" s="38"/>
      <c r="AB112" s="38"/>
      <c r="AC112" s="38"/>
      <c r="AD112" s="38"/>
    </row>
    <row r="113" spans="1:32" s="124" customFormat="1" hidden="1" outlineLevel="1" x14ac:dyDescent="0.2">
      <c r="A113" s="1398"/>
      <c r="B113" s="3"/>
      <c r="C113" s="303"/>
      <c r="D113" s="305"/>
      <c r="E113" s="305"/>
      <c r="F113" s="305"/>
      <c r="G113" s="305"/>
      <c r="H113" s="305"/>
      <c r="I113" s="305"/>
      <c r="J113" s="305"/>
      <c r="K113" s="305"/>
      <c r="L113" s="305"/>
      <c r="M113" s="305"/>
      <c r="N113" s="305"/>
      <c r="O113" s="811"/>
      <c r="P113" s="801"/>
      <c r="Q113" s="125"/>
    </row>
    <row r="114" spans="1:32" ht="12.75" hidden="1" customHeight="1" outlineLevel="1" x14ac:dyDescent="0.2">
      <c r="A114" s="1398"/>
      <c r="C114" s="167"/>
      <c r="D114" s="613" t="s">
        <v>4119</v>
      </c>
      <c r="E114" s="806">
        <f t="shared" ref="E114:N114" si="28">-E95</f>
        <v>-63386.107663461538</v>
      </c>
      <c r="F114" s="647">
        <f t="shared" si="28"/>
        <v>-54608.893787762485</v>
      </c>
      <c r="G114" s="647">
        <f t="shared" si="28"/>
        <v>-54865.34974055479</v>
      </c>
      <c r="H114" s="647">
        <f t="shared" si="28"/>
        <v>-53892.068491752107</v>
      </c>
      <c r="I114" s="647">
        <f t="shared" si="28"/>
        <v>-52489.028766739415</v>
      </c>
      <c r="J114" s="647">
        <f t="shared" si="28"/>
        <v>-50253.758831375664</v>
      </c>
      <c r="K114" s="647">
        <f t="shared" si="28"/>
        <v>-47230.802850255299</v>
      </c>
      <c r="L114" s="647">
        <f t="shared" si="28"/>
        <v>-43375.396382095809</v>
      </c>
      <c r="M114" s="647">
        <f t="shared" si="28"/>
        <v>-38543.985426466999</v>
      </c>
      <c r="N114" s="647">
        <f t="shared" si="28"/>
        <v>-32682.174786395692</v>
      </c>
      <c r="O114" s="257" t="s">
        <v>4060</v>
      </c>
      <c r="P114" s="802"/>
    </row>
    <row r="115" spans="1:32" s="41" customFormat="1" ht="13.5" hidden="1" customHeight="1" outlineLevel="1" thickBot="1" x14ac:dyDescent="0.25">
      <c r="A115" s="1398"/>
      <c r="B115" s="3"/>
      <c r="C115" s="170"/>
      <c r="D115" s="809"/>
      <c r="E115" s="529"/>
      <c r="F115" s="529"/>
      <c r="G115" s="529"/>
      <c r="H115" s="529"/>
      <c r="I115" s="529"/>
      <c r="J115" s="529"/>
      <c r="K115" s="529"/>
      <c r="L115" s="529"/>
      <c r="M115" s="529"/>
      <c r="N115" s="529"/>
      <c r="O115" s="810"/>
      <c r="P115" s="38"/>
      <c r="Q115" s="38"/>
      <c r="R115" s="38"/>
      <c r="S115" s="38"/>
      <c r="T115" s="38"/>
      <c r="U115" s="38"/>
      <c r="V115" s="38"/>
      <c r="W115" s="38"/>
      <c r="X115" s="38"/>
      <c r="Y115" s="38"/>
      <c r="Z115" s="38"/>
      <c r="AA115" s="38"/>
      <c r="AB115" s="38"/>
      <c r="AC115" s="38"/>
      <c r="AD115" s="38"/>
    </row>
    <row r="116" spans="1:32" ht="13.5" hidden="1" customHeight="1" outlineLevel="1" thickBot="1" x14ac:dyDescent="0.25">
      <c r="A116" s="1398"/>
      <c r="C116" s="38"/>
      <c r="D116" s="225"/>
      <c r="E116" s="49"/>
      <c r="F116" s="49"/>
      <c r="G116" s="13"/>
      <c r="H116" s="13"/>
      <c r="I116" s="19"/>
      <c r="J116" s="19"/>
      <c r="K116" s="19"/>
      <c r="L116" s="19"/>
      <c r="M116" s="19"/>
      <c r="N116" s="19"/>
      <c r="O116" s="494"/>
      <c r="P116" s="13"/>
      <c r="Q116" s="19"/>
      <c r="R116" s="19"/>
      <c r="S116" s="19"/>
      <c r="T116" s="19"/>
      <c r="U116" s="19"/>
      <c r="V116" s="19"/>
      <c r="W116" s="19"/>
      <c r="X116" s="19"/>
      <c r="Y116" s="19"/>
      <c r="Z116" s="19"/>
      <c r="AA116" s="19"/>
      <c r="AB116" s="19"/>
      <c r="AC116" s="19"/>
      <c r="AD116" s="19"/>
    </row>
    <row r="117" spans="1:32" s="41" customFormat="1" ht="18" hidden="1" customHeight="1" outlineLevel="1" x14ac:dyDescent="0.2">
      <c r="A117" s="1398"/>
      <c r="B117" s="30"/>
      <c r="C117" s="803"/>
      <c r="D117" s="812"/>
      <c r="E117" s="804"/>
      <c r="F117" s="804"/>
      <c r="G117" s="804"/>
      <c r="H117" s="804"/>
      <c r="I117" s="804"/>
      <c r="J117" s="804"/>
      <c r="K117" s="804"/>
      <c r="L117" s="804"/>
      <c r="M117" s="804"/>
      <c r="N117" s="804"/>
      <c r="O117" s="813"/>
      <c r="P117" s="38"/>
      <c r="Q117" s="38"/>
      <c r="R117" s="38"/>
      <c r="S117" s="38"/>
      <c r="T117" s="38"/>
      <c r="U117" s="38"/>
      <c r="V117" s="38"/>
      <c r="W117" s="38"/>
      <c r="X117" s="38"/>
      <c r="Y117" s="38"/>
      <c r="Z117" s="38"/>
      <c r="AA117" s="38"/>
      <c r="AB117" s="38"/>
      <c r="AC117" s="38"/>
      <c r="AD117" s="38"/>
    </row>
    <row r="118" spans="1:32" ht="12.75" hidden="1" customHeight="1" outlineLevel="1" x14ac:dyDescent="0.2">
      <c r="A118" s="1398"/>
      <c r="B118" s="19"/>
      <c r="C118" s="167"/>
      <c r="D118" s="677" t="s">
        <v>4120</v>
      </c>
      <c r="E118" s="806">
        <f t="shared" ref="E118:N118" si="29">-E96</f>
        <v>-63386.107663461538</v>
      </c>
      <c r="F118" s="647">
        <f t="shared" si="29"/>
        <v>-27975.361165601003</v>
      </c>
      <c r="G118" s="647">
        <f t="shared" si="29"/>
        <v>-23322.365722544531</v>
      </c>
      <c r="H118" s="647">
        <f t="shared" si="29"/>
        <v>-18540.621780030327</v>
      </c>
      <c r="I118" s="647">
        <f t="shared" si="29"/>
        <v>-13295.55353503114</v>
      </c>
      <c r="J118" s="647">
        <f t="shared" si="29"/>
        <v>-7697.0734947976816</v>
      </c>
      <c r="K118" s="647">
        <f t="shared" si="29"/>
        <v>-6399.915966063335</v>
      </c>
      <c r="L118" s="647">
        <f t="shared" si="29"/>
        <v>-2657.338113167214</v>
      </c>
      <c r="M118" s="647">
        <f t="shared" si="29"/>
        <v>-2631.4724620186103</v>
      </c>
      <c r="N118" s="647">
        <f t="shared" si="29"/>
        <v>-2597.9529280273432</v>
      </c>
      <c r="O118" s="257" t="s">
        <v>4061</v>
      </c>
      <c r="P118" s="13"/>
      <c r="Q118" s="19"/>
      <c r="R118" s="19"/>
      <c r="S118" s="19"/>
      <c r="T118" s="19"/>
      <c r="U118" s="19"/>
      <c r="V118" s="19"/>
      <c r="W118" s="19"/>
      <c r="X118" s="19"/>
      <c r="Y118" s="19"/>
      <c r="Z118" s="19"/>
      <c r="AA118" s="19"/>
      <c r="AB118" s="19"/>
      <c r="AC118" s="19"/>
      <c r="AD118" s="19"/>
    </row>
    <row r="119" spans="1:32" s="18" customFormat="1" ht="13.5" hidden="1" customHeight="1" outlineLevel="1" thickBot="1" x14ac:dyDescent="0.25">
      <c r="A119" s="1399"/>
      <c r="B119" s="19"/>
      <c r="C119" s="170"/>
      <c r="D119" s="809"/>
      <c r="E119" s="526"/>
      <c r="F119" s="526"/>
      <c r="G119" s="526"/>
      <c r="H119" s="526"/>
      <c r="I119" s="526"/>
      <c r="J119" s="526"/>
      <c r="K119" s="526"/>
      <c r="L119" s="526"/>
      <c r="M119" s="526"/>
      <c r="N119" s="526"/>
      <c r="O119" s="513"/>
      <c r="P119" s="12"/>
      <c r="Q119" s="12"/>
      <c r="R119" s="12"/>
      <c r="S119" s="12"/>
      <c r="T119" s="12"/>
      <c r="U119" s="12"/>
      <c r="V119" s="12"/>
      <c r="W119" s="12"/>
      <c r="X119" s="12"/>
      <c r="Y119" s="12"/>
      <c r="Z119" s="12"/>
      <c r="AA119" s="12"/>
      <c r="AB119" s="12"/>
      <c r="AC119" s="12"/>
      <c r="AD119" s="12"/>
    </row>
    <row r="120" spans="1:32" ht="13.5" hidden="1" customHeight="1" outlineLevel="1" x14ac:dyDescent="0.2">
      <c r="B120" s="19"/>
    </row>
    <row r="121" spans="1:32" s="122" customFormat="1" ht="15.75" collapsed="1" x14ac:dyDescent="0.2">
      <c r="A121" s="1043" t="s">
        <v>4214</v>
      </c>
      <c r="B121" s="1039"/>
      <c r="C121" s="1039"/>
      <c r="D121" s="1039"/>
      <c r="E121" s="1039"/>
      <c r="F121" s="1039"/>
      <c r="G121" s="1039"/>
      <c r="H121" s="1039"/>
      <c r="I121" s="1039"/>
      <c r="J121" s="1039"/>
      <c r="K121" s="1039"/>
      <c r="L121" s="1039"/>
      <c r="M121" s="1039"/>
      <c r="N121" s="1039"/>
      <c r="O121" s="1039"/>
      <c r="P121" s="206"/>
      <c r="Q121" s="206"/>
      <c r="R121" s="206"/>
      <c r="S121" s="206"/>
      <c r="T121" s="206"/>
      <c r="U121" s="206"/>
      <c r="V121" s="206"/>
      <c r="W121" s="206"/>
      <c r="X121" s="206"/>
      <c r="Y121" s="206"/>
      <c r="Z121" s="206"/>
      <c r="AA121" s="206"/>
      <c r="AB121" s="206"/>
      <c r="AC121" s="206"/>
      <c r="AD121" s="206"/>
      <c r="AE121" s="206"/>
      <c r="AF121" s="206"/>
    </row>
    <row r="122" spans="1:32" x14ac:dyDescent="0.2">
      <c r="B122" s="19"/>
    </row>
  </sheetData>
  <sheetProtection formatCells="0" formatColumns="0" formatRows="0" insertColumns="0" insertRows="0" insertHyperlinks="0" deleteColumns="0" deleteRows="0" selectLockedCells="1" sort="0" autoFilter="0" pivotTables="0"/>
  <mergeCells count="14">
    <mergeCell ref="B2:L2"/>
    <mergeCell ref="M2:O2"/>
    <mergeCell ref="B3:L4"/>
    <mergeCell ref="M3:O4"/>
    <mergeCell ref="A106:A119"/>
    <mergeCell ref="A69:A71"/>
    <mergeCell ref="A74:A84"/>
    <mergeCell ref="A88:A90"/>
    <mergeCell ref="A101:A103"/>
    <mergeCell ref="A8:A11"/>
    <mergeCell ref="A15:A21"/>
    <mergeCell ref="A25:A27"/>
    <mergeCell ref="A30:A65"/>
    <mergeCell ref="A2:A4"/>
  </mergeCells>
  <pageMargins left="0.75" right="0.75" top="1" bottom="1" header="0.5" footer="0.5"/>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2336</vt:i4>
      </vt:variant>
    </vt:vector>
  </HeadingPairs>
  <TitlesOfParts>
    <vt:vector size="2357" baseType="lpstr">
      <vt:lpstr>How to Use</vt:lpstr>
      <vt:lpstr>IATA Disclaimer</vt:lpstr>
      <vt:lpstr>Inputs_SetUp</vt:lpstr>
      <vt:lpstr>Inputs_Salaries</vt:lpstr>
      <vt:lpstr>Inputs_M&amp;ELocations</vt:lpstr>
      <vt:lpstr>Inputs_FleetMix</vt:lpstr>
      <vt:lpstr>Inputs_RecordsGeneration</vt:lpstr>
      <vt:lpstr>Costs_RecordsOther</vt:lpstr>
      <vt:lpstr>Costs_RecordArchive&amp;Retrieval</vt:lpstr>
      <vt:lpstr>Labor_RecordErrorRework</vt:lpstr>
      <vt:lpstr>Labor_AircraftLessee</vt:lpstr>
      <vt:lpstr>Labor_Warranty</vt:lpstr>
      <vt:lpstr>Costs_IT</vt:lpstr>
      <vt:lpstr>Costs_Training</vt:lpstr>
      <vt:lpstr>FTE&amp;SystemEfficiencies</vt:lpstr>
      <vt:lpstr>Outputs - CF pSystems</vt:lpstr>
      <vt:lpstr>Outputs - CF hSystems</vt:lpstr>
      <vt:lpstr>Outputs - CF eSystems</vt:lpstr>
      <vt:lpstr>Outputs - SystemCostsGraphs</vt:lpstr>
      <vt:lpstr>Outputs - FTESummaryGraphs</vt:lpstr>
      <vt:lpstr>Excel Name Manager Guidance</vt:lpstr>
      <vt:lpstr>'IATA Disclaimer'!_Toc497397924</vt:lpstr>
      <vt:lpstr>AnalysisPeriodYrs</vt:lpstr>
      <vt:lpstr>AnnualBurdenedSalaryCM</vt:lpstr>
      <vt:lpstr>AnnualBurdenedSalaryCRT</vt:lpstr>
      <vt:lpstr>AnnualBurdenedSalaryEM</vt:lpstr>
      <vt:lpstr>AnnualBurdenedSalaryENG</vt:lpstr>
      <vt:lpstr>AnnualBurdenedSalaryHM</vt:lpstr>
      <vt:lpstr>AnnualBurdenedSalaryLM</vt:lpstr>
      <vt:lpstr>AnnualBurdenedSalaryO1</vt:lpstr>
      <vt:lpstr>AnnualBurdenedSalaryO2</vt:lpstr>
      <vt:lpstr>AnnualBurdenedSalaryPLG</vt:lpstr>
      <vt:lpstr>AnnualBurdenedSalaryQSC</vt:lpstr>
      <vt:lpstr>AnnualBurdenedSalarySCL</vt:lpstr>
      <vt:lpstr>AnnualBurdenedSalarySMCS</vt:lpstr>
      <vt:lpstr>BookCodeA</vt:lpstr>
      <vt:lpstr>BookCodeACost_Each</vt:lpstr>
      <vt:lpstr>BookCodeB</vt:lpstr>
      <vt:lpstr>BookCodeBCost_Each</vt:lpstr>
      <vt:lpstr>BookCodeC</vt:lpstr>
      <vt:lpstr>BookCodeCCost_Each</vt:lpstr>
      <vt:lpstr>BookCodeD</vt:lpstr>
      <vt:lpstr>BookCodeDCost_Each</vt:lpstr>
      <vt:lpstr>BookCodeE</vt:lpstr>
      <vt:lpstr>BookCodeECost_Each</vt:lpstr>
      <vt:lpstr>BookCodeF</vt:lpstr>
      <vt:lpstr>BookCodeFCost_Each</vt:lpstr>
      <vt:lpstr>BookCodeG</vt:lpstr>
      <vt:lpstr>BookCodeGCost_Each</vt:lpstr>
      <vt:lpstr>CaseSubject</vt:lpstr>
      <vt:lpstr>CompanyOrg</vt:lpstr>
      <vt:lpstr>CostperCopy</vt:lpstr>
      <vt:lpstr>CurrSymbol</vt:lpstr>
      <vt:lpstr>CurrUnits</vt:lpstr>
      <vt:lpstr>eSystems_CFS_PaperBookPurchase</vt:lpstr>
      <vt:lpstr>eSystems_CFS_PaperProcess</vt:lpstr>
      <vt:lpstr>eSystems_CFS_RecordsMFDLease</vt:lpstr>
      <vt:lpstr>eSystems_CFS_RecordsOfficeLease</vt:lpstr>
      <vt:lpstr>'Costs_RecordArchive&amp;Retrieval'!eSystems_CFS_RecordsPaperArchives</vt:lpstr>
      <vt:lpstr>eSystems_CFS_RecordsPaperPurchase</vt:lpstr>
      <vt:lpstr>eSystems_CFS_RecordsTotal</vt:lpstr>
      <vt:lpstr>eSystemsBookCostpa_total</vt:lpstr>
      <vt:lpstr>eSystemsCompactusArea_Each</vt:lpstr>
      <vt:lpstr>eSystemsCompactusArea_Total</vt:lpstr>
      <vt:lpstr>eSystemsCost_LaborOther4_CFS</vt:lpstr>
      <vt:lpstr>eSystemsCost_LaborOther5_CFS</vt:lpstr>
      <vt:lpstr>eSystemsCost_LaborTotal_CFS</vt:lpstr>
      <vt:lpstr>eSystemsCost_PaperProcess</vt:lpstr>
      <vt:lpstr>eSystemsCost_PaperReworkTotal_CFS</vt:lpstr>
      <vt:lpstr>eSystemsCost_TrgTotal_CFS</vt:lpstr>
      <vt:lpstr>eSystemsCost_TrgTotalBestCase_CFS</vt:lpstr>
      <vt:lpstr>eSystemsCost_TrgTotalMostLikely_CFS</vt:lpstr>
      <vt:lpstr>eSystemsCost_TrgTotalWorstCase_CFS</vt:lpstr>
      <vt:lpstr>eSystemsCostIT_CodeA</vt:lpstr>
      <vt:lpstr>eSystemsCostIT_CodeA_Customization</vt:lpstr>
      <vt:lpstr>eSystemsCostIT_CodeA_Licence</vt:lpstr>
      <vt:lpstr>eSystemsCostIT_CodeA_Operating</vt:lpstr>
      <vt:lpstr>eSystemsCostIT_CodeA_Software</vt:lpstr>
      <vt:lpstr>eSystemsCostIT_CodeA_Total</vt:lpstr>
      <vt:lpstr>eSystemsCostIT_CodeA_Upgrade</vt:lpstr>
      <vt:lpstr>eSystemsCostIT_CodeB</vt:lpstr>
      <vt:lpstr>eSystemsCostIT_CodeB_Customization</vt:lpstr>
      <vt:lpstr>eSystemsCostIT_CodeB_Licence</vt:lpstr>
      <vt:lpstr>eSystemsCostIT_CodeB_Operating</vt:lpstr>
      <vt:lpstr>eSystemsCostIT_CodeB_Software</vt:lpstr>
      <vt:lpstr>eSystemsCostIT_CodeB_Total</vt:lpstr>
      <vt:lpstr>eSystemsCostIT_CodeB_Upgrade</vt:lpstr>
      <vt:lpstr>eSystemsCostIT_CodeC</vt:lpstr>
      <vt:lpstr>eSystemsCostIT_CodeC_Customization</vt:lpstr>
      <vt:lpstr>eSystemsCostIT_CodeC_Licence</vt:lpstr>
      <vt:lpstr>eSystemsCostIT_CodeC_Operating</vt:lpstr>
      <vt:lpstr>eSystemsCostIT_CodeC_Software</vt:lpstr>
      <vt:lpstr>eSystemsCostIT_CodeC_Total</vt:lpstr>
      <vt:lpstr>eSystemsCostIT_CodeC_Upgrade</vt:lpstr>
      <vt:lpstr>eSystemsCostIT_CodeD</vt:lpstr>
      <vt:lpstr>eSystemsCostIT_CodeD_Customization</vt:lpstr>
      <vt:lpstr>eSystemsCostIT_CodeD_Licence</vt:lpstr>
      <vt:lpstr>eSystemsCostIT_CodeD_Operating</vt:lpstr>
      <vt:lpstr>eSystemsCostIT_CodeD_Software</vt:lpstr>
      <vt:lpstr>eSystemsCostIT_CodeD_Total</vt:lpstr>
      <vt:lpstr>eSystemsCostIT_CodeD_Upgrade</vt:lpstr>
      <vt:lpstr>eSystemsCostIT_CodeE</vt:lpstr>
      <vt:lpstr>eSystemsCostIT_CodeE_Customization</vt:lpstr>
      <vt:lpstr>eSystemsCostIT_CodeE_Licence</vt:lpstr>
      <vt:lpstr>eSystemsCostIT_CodeE_Operating</vt:lpstr>
      <vt:lpstr>eSystemsCostIT_CodeE_Software</vt:lpstr>
      <vt:lpstr>eSystemsCostIT_CodeE_Total</vt:lpstr>
      <vt:lpstr>eSystemsCostIT_CodeE_Upgrade</vt:lpstr>
      <vt:lpstr>eSystemsCostIT_CodeF</vt:lpstr>
      <vt:lpstr>eSystemsCostIT_CodeF_Customization</vt:lpstr>
      <vt:lpstr>eSystemsCostIT_CodeF_Licence</vt:lpstr>
      <vt:lpstr>eSystemsCostIT_CodeF_Operating</vt:lpstr>
      <vt:lpstr>eSystemsCostIT_CodeF_Software</vt:lpstr>
      <vt:lpstr>eSystemsCostIT_CodeF_Total</vt:lpstr>
      <vt:lpstr>eSystemsCostIT_CodeF_Upgrade</vt:lpstr>
      <vt:lpstr>eSystemsCostIT_CodeG</vt:lpstr>
      <vt:lpstr>eSystemsCostIT_CodeG_Customization</vt:lpstr>
      <vt:lpstr>eSystemsCostIT_CodeG_Licence</vt:lpstr>
      <vt:lpstr>eSystemsCostIT_CodeG_Operating</vt:lpstr>
      <vt:lpstr>eSystemsCostIT_CodeG_Software</vt:lpstr>
      <vt:lpstr>eSystemsCostIT_CodeG_Total</vt:lpstr>
      <vt:lpstr>eSystemsCostIT_CodeG_Upgrade</vt:lpstr>
      <vt:lpstr>eSystemsCostIT_Total</vt:lpstr>
      <vt:lpstr>eSystemsCostsWarrantyTotal_CFS</vt:lpstr>
      <vt:lpstr>eSystemsCostWarrantyTotal</vt:lpstr>
      <vt:lpstr>eSystemsFilingCabinetArea_Each</vt:lpstr>
      <vt:lpstr>eSystemsFilingCabinetArea_Total</vt:lpstr>
      <vt:lpstr>eSystemsFleetPaperCMTotal</vt:lpstr>
      <vt:lpstr>eSystemsFleetPaperCRTTotal</vt:lpstr>
      <vt:lpstr>eSystemsFleetPaperEMTotal</vt:lpstr>
      <vt:lpstr>eSystemsFleetPaperENGTotal</vt:lpstr>
      <vt:lpstr>eSystemsFleetPaperHMTotal</vt:lpstr>
      <vt:lpstr>eSystemsFleetPaperLMTotal</vt:lpstr>
      <vt:lpstr>eSystemsFleetPaperO1Total</vt:lpstr>
      <vt:lpstr>eSystemsFleetPaperO2Total</vt:lpstr>
      <vt:lpstr>eSystemsFleetPaperPLGTotal</vt:lpstr>
      <vt:lpstr>eSystemsFleetPaperQSCTotal</vt:lpstr>
      <vt:lpstr>eSystemsFleetPaperSCLTotal</vt:lpstr>
      <vt:lpstr>eSystemsFleetPaperSMCSTotal</vt:lpstr>
      <vt:lpstr>eSystemsFTEBestCase_Total_CFS</vt:lpstr>
      <vt:lpstr>eSystemsFTECalcResultBestCaseCM</vt:lpstr>
      <vt:lpstr>eSystemsFTECalcResultBestCaseCRT</vt:lpstr>
      <vt:lpstr>eSystemsFTECalcResultBestCaseEM</vt:lpstr>
      <vt:lpstr>eSystemsFTECalcResultBestCaseENG</vt:lpstr>
      <vt:lpstr>eSystemsFTECalcResultBestCaseHM</vt:lpstr>
      <vt:lpstr>eSystemsFTECalcResultBestCaseLM</vt:lpstr>
      <vt:lpstr>eSystemsFTECalcResultBestCaseO1</vt:lpstr>
      <vt:lpstr>eSystemsFTECalcResultBestCaseO2</vt:lpstr>
      <vt:lpstr>eSystemsFTECalcResultBestCasePLG</vt:lpstr>
      <vt:lpstr>eSystemsFTECalcResultBestCaseQSC</vt:lpstr>
      <vt:lpstr>eSystemsFTECalcResultBestCaseSCL</vt:lpstr>
      <vt:lpstr>eSystemsFTECalcResultBestCaseSMCS</vt:lpstr>
      <vt:lpstr>eSystemsFTECalcResultBestCaseTotal</vt:lpstr>
      <vt:lpstr>eSystemsFTECalcResultMostLikelyCM</vt:lpstr>
      <vt:lpstr>eSystemsFTECalcResultMostLikelyCRT</vt:lpstr>
      <vt:lpstr>eSystemsFTECalcResultMostLikelyEM</vt:lpstr>
      <vt:lpstr>eSystemsFTECalcResultMostLikelyENG</vt:lpstr>
      <vt:lpstr>eSystemsFTECalcResultMostLikelyHM</vt:lpstr>
      <vt:lpstr>eSystemsFTECalcResultMostLikelyLM</vt:lpstr>
      <vt:lpstr>eSystemsFTECalcResultMostLikelyO1</vt:lpstr>
      <vt:lpstr>eSystemsFTECalcResultMostLikelyO2</vt:lpstr>
      <vt:lpstr>eSystemsFTECalcResultMostLikelyPLG</vt:lpstr>
      <vt:lpstr>eSystemsFTECalcResultMostLikelyQSC</vt:lpstr>
      <vt:lpstr>eSystemsFTECalcResultMostLikelySCL</vt:lpstr>
      <vt:lpstr>eSystemsFTECalcResultMostLikelySMCS</vt:lpstr>
      <vt:lpstr>eSystemsFTECalcResultMostLikelyTotal</vt:lpstr>
      <vt:lpstr>eSystemsFTECalcResultWorstCaseCM</vt:lpstr>
      <vt:lpstr>eSystemsFTECalcResultWorstCaseCRT</vt:lpstr>
      <vt:lpstr>eSystemsFTECalcResultWorstCaseEM</vt:lpstr>
      <vt:lpstr>eSystemsFTECalcResultWorstCaseENG</vt:lpstr>
      <vt:lpstr>eSystemsFTECalcResultWorstCaseHM</vt:lpstr>
      <vt:lpstr>eSystemsFTECalcResultWorstCaseLM</vt:lpstr>
      <vt:lpstr>eSystemsFTECalcResultWorstCaseO1</vt:lpstr>
      <vt:lpstr>eSystemsFTECalcResultWorstCaseO2</vt:lpstr>
      <vt:lpstr>eSystemsFTECalcResultWorstCasePLG</vt:lpstr>
      <vt:lpstr>eSystemsFTECalcResultWorstCaseQSC</vt:lpstr>
      <vt:lpstr>eSystemsFTECalcResultWorstCaseSCL</vt:lpstr>
      <vt:lpstr>eSystemsFTECalcResultWorstCaseSMCS</vt:lpstr>
      <vt:lpstr>eSystemsFTECalcResultWorstCaseTotal</vt:lpstr>
      <vt:lpstr>eSystemsFTELaborCostBestCase_CFS</vt:lpstr>
      <vt:lpstr>eSystemsFTELaborCostBestCaseTotal</vt:lpstr>
      <vt:lpstr>eSystemsFTELaborCostMostLikely_CFS</vt:lpstr>
      <vt:lpstr>eSystemsFTELaborCostMostLikelyCM</vt:lpstr>
      <vt:lpstr>eSystemsFTELaborCostMostLikelyCRT</vt:lpstr>
      <vt:lpstr>eSystemsFTELaborCostMostLikelyEM</vt:lpstr>
      <vt:lpstr>eSystemsFTELaborCostMostLikelyENG</vt:lpstr>
      <vt:lpstr>eSystemsFTELaborCostMostLikelyHM</vt:lpstr>
      <vt:lpstr>eSystemsFTELaborCostMostLikelyLM</vt:lpstr>
      <vt:lpstr>eSystemsFTELaborCostMostLikelyO1</vt:lpstr>
      <vt:lpstr>eSystemsFTELaborCostMostLikelyO2</vt:lpstr>
      <vt:lpstr>eSystemsFTELaborCostMostLikelyPLG</vt:lpstr>
      <vt:lpstr>eSystemsFTELaborCostMostLikelyQSC</vt:lpstr>
      <vt:lpstr>eSystemsFTELaborCostMostLikelySCL</vt:lpstr>
      <vt:lpstr>eSystemsFTELaborCostMostLikelySMCS</vt:lpstr>
      <vt:lpstr>eSystemsFTELaborCostMostLikelyTotal</vt:lpstr>
      <vt:lpstr>eSystemsFTELaborCostWorstCase_CFS</vt:lpstr>
      <vt:lpstr>eSystemsFTELaborCostWorstCaseCM</vt:lpstr>
      <vt:lpstr>eSystemsFTELaborCostWorstCaseCRT</vt:lpstr>
      <vt:lpstr>eSystemsFTELaborCostWorstCaseEM</vt:lpstr>
      <vt:lpstr>eSystemsFTELaborCostWorstCaseENG</vt:lpstr>
      <vt:lpstr>eSystemsFTELaborCostWorstCaseHM</vt:lpstr>
      <vt:lpstr>eSystemsFTELaborCostWorstCaseLM</vt:lpstr>
      <vt:lpstr>eSystemsFTELaborCostWorstCaseO1</vt:lpstr>
      <vt:lpstr>eSystemsFTELaborCostWorstCaseO2</vt:lpstr>
      <vt:lpstr>eSystemsFTELaborCostWorstCasePLG</vt:lpstr>
      <vt:lpstr>eSystemsFTELaborCostWorstCaseQSC</vt:lpstr>
      <vt:lpstr>eSystemsFTELaborCostWorstCaseSCL</vt:lpstr>
      <vt:lpstr>eSystemsFTELaborCostWorstCaseSMCS</vt:lpstr>
      <vt:lpstr>eSystemsFTELaborCostWorstCaseTotal</vt:lpstr>
      <vt:lpstr>eSystemsFTEMostLikely_Total_CFS</vt:lpstr>
      <vt:lpstr>eSystemsFTEMostLikelyBestCaseCM</vt:lpstr>
      <vt:lpstr>eSystemsFTEMostLikelyBestCaseCRT</vt:lpstr>
      <vt:lpstr>eSystemsFTEMostLikelyBestCaseEM</vt:lpstr>
      <vt:lpstr>eSystemsFTEMostLikelyBestCaseENG</vt:lpstr>
      <vt:lpstr>eSystemsFTEMostLikelyBestCaseHM</vt:lpstr>
      <vt:lpstr>eSystemsFTEMostLikelyBestCaseLM</vt:lpstr>
      <vt:lpstr>eSystemsFTEMostLikelyBestCaseO1</vt:lpstr>
      <vt:lpstr>eSystemsFTEMostLikelyBestCaseO2</vt:lpstr>
      <vt:lpstr>eSystemsFTEMostLikelyBestCasePLG</vt:lpstr>
      <vt:lpstr>eSystemsFTEMostLikelyBestCaseQSC</vt:lpstr>
      <vt:lpstr>eSystemsFTEMostLikelyBestCaseSCL</vt:lpstr>
      <vt:lpstr>eSystemsFTEMostLikelyBestCaseSMCS</vt:lpstr>
      <vt:lpstr>eSystemsFTEPercentReductionBestCaseCM</vt:lpstr>
      <vt:lpstr>eSystemsFTEPercentReductionBestCaseCRT</vt:lpstr>
      <vt:lpstr>eSystemsFTEPercentReductionBestCaseEM</vt:lpstr>
      <vt:lpstr>eSystemsFTEPercentReductionBestCaseENG</vt:lpstr>
      <vt:lpstr>eSystemsFTEPercentReductionBestCaseHM</vt:lpstr>
      <vt:lpstr>eSystemsFTEPercentReductionBestCaseLM</vt:lpstr>
      <vt:lpstr>eSystemsFTEPercentReductionBestCaseO1</vt:lpstr>
      <vt:lpstr>eSystemsFTEPercentReductionBestCaseO2</vt:lpstr>
      <vt:lpstr>eSystemsFTEPercentReductionBestCasePLG</vt:lpstr>
      <vt:lpstr>eSystemsFTEPercentReductionBestCaseQSC</vt:lpstr>
      <vt:lpstr>eSystemsFTEPercentReductionBestCaseSCL</vt:lpstr>
      <vt:lpstr>eSystemsFTEPercentReductionBestCaseSMCS</vt:lpstr>
      <vt:lpstr>eSystemsFTEPercentReductionMostLikelyCM</vt:lpstr>
      <vt:lpstr>eSystemsFTEPercentReductionMostLikelyCRT</vt:lpstr>
      <vt:lpstr>eSystemsFTEPercentReductionMostLikelyEM</vt:lpstr>
      <vt:lpstr>eSystemsFTEPercentReductionMostLikelyENG</vt:lpstr>
      <vt:lpstr>eSystemsFTEPercentReductionMostLikelyHM</vt:lpstr>
      <vt:lpstr>eSystemsFTEPercentReductionMostLikelyLM</vt:lpstr>
      <vt:lpstr>eSystemsFTEPercentReductionMostLikelyO1</vt:lpstr>
      <vt:lpstr>eSystemsFTEPercentReductionMostLikelyO2</vt:lpstr>
      <vt:lpstr>eSystemsFTEPercentReductionMostLikelyPLG</vt:lpstr>
      <vt:lpstr>eSystemsFTEPercentReductionMostLikelyQSC</vt:lpstr>
      <vt:lpstr>eSystemsFTEPercentReductionMostLikelySCL</vt:lpstr>
      <vt:lpstr>eSystemsFTEPercentReductionMostLikelySMCS</vt:lpstr>
      <vt:lpstr>eSystemsFTEPercentReductionWorstCaseCM</vt:lpstr>
      <vt:lpstr>eSystemsFTEPercentReductionWorstCaseCRT</vt:lpstr>
      <vt:lpstr>eSystemsFTEPercentReductionWorstCaseEM</vt:lpstr>
      <vt:lpstr>eSystemsFTEPercentReductionWorstCaseENG</vt:lpstr>
      <vt:lpstr>eSystemsFTEPercentReductionWorstCaseHM</vt:lpstr>
      <vt:lpstr>eSystemsFTEPercentReductionWorstCaseLM</vt:lpstr>
      <vt:lpstr>eSystemsFTEPercentReductionWorstCaseO1</vt:lpstr>
      <vt:lpstr>eSystemsFTEPercentReductionWorstCaseO2</vt:lpstr>
      <vt:lpstr>eSystemsFTEPercentReductionWorstCasePLG</vt:lpstr>
      <vt:lpstr>eSystemsFTEPercentReductionWorstCaseQSC</vt:lpstr>
      <vt:lpstr>eSystemsFTEPercentReductionWorstCaseSCL</vt:lpstr>
      <vt:lpstr>eSystemsFTEPercentReductionWorstCaseSMCS</vt:lpstr>
      <vt:lpstr>eSystemsFTERework_OutputSummary</vt:lpstr>
      <vt:lpstr>eSystemsFTETotal_OutputSummary</vt:lpstr>
      <vt:lpstr>eSystemsFTEWarranty</vt:lpstr>
      <vt:lpstr>eSystemsFTEWarranty_OutputSummary</vt:lpstr>
      <vt:lpstr>eSystemsFTEWorstCase_Total_CFS</vt:lpstr>
      <vt:lpstr>eSystemsInducedLaborCostTotal</vt:lpstr>
      <vt:lpstr>eSystemsInducedTotalCostBCTotalCumGrand</vt:lpstr>
      <vt:lpstr>eSystemsInducedTotalCostBCTotalGrand</vt:lpstr>
      <vt:lpstr>eSystemsInducedTotalCostMLTotalCumgrand</vt:lpstr>
      <vt:lpstr>eSystemsInducedTotalCostMLTotalgrand</vt:lpstr>
      <vt:lpstr>eSystemsInducedTotalCostWCTotalCumGrand</vt:lpstr>
      <vt:lpstr>eSystemsInducedTotalCostWCTotalGrand</vt:lpstr>
      <vt:lpstr>eSystemsIT_CodeA_Total_CFS</vt:lpstr>
      <vt:lpstr>eSystemsIT_CodeB_Total_CFS</vt:lpstr>
      <vt:lpstr>eSystemsIT_CodeC_Total_CFS</vt:lpstr>
      <vt:lpstr>eSystemsIT_CodeD_Total_CFS</vt:lpstr>
      <vt:lpstr>eSystemsIT_CodeE_Total_CFS</vt:lpstr>
      <vt:lpstr>eSystemsIT_CodeF_Total_CFS</vt:lpstr>
      <vt:lpstr>eSystemsIT_CodeG_Total_CFS</vt:lpstr>
      <vt:lpstr>eSystemsIT_Cost_Total_CFS</vt:lpstr>
      <vt:lpstr>eSystemsLaborUtilRate</vt:lpstr>
      <vt:lpstr>eSystemsLease_AAaudit_Total_CFS</vt:lpstr>
      <vt:lpstr>eSystemsLease_Cost_Total_CFS</vt:lpstr>
      <vt:lpstr>eSystemsLease_DisRec_Total_CFS</vt:lpstr>
      <vt:lpstr>eSystemsLease_DueDil_Total_CFS</vt:lpstr>
      <vt:lpstr>eSystemsLease_Hosting_Total_CFS</vt:lpstr>
      <vt:lpstr>eSystemsLease_LessorAudit_Total_CFS</vt:lpstr>
      <vt:lpstr>eSystemsLease_RecSearch_Total_CFS</vt:lpstr>
      <vt:lpstr>eSystemsLease_Return_Total_CFS</vt:lpstr>
      <vt:lpstr>eSystemsLeaseDisputedRecordFTEsCM</vt:lpstr>
      <vt:lpstr>eSystemsLeaseDisputedRecordFTEsCRT</vt:lpstr>
      <vt:lpstr>eSystemsLeaseDisputedRecordFTEsEM</vt:lpstr>
      <vt:lpstr>eSystemsLeaseDisputedRecordFTEsENG</vt:lpstr>
      <vt:lpstr>eSystemsLeaseDisputedRecordFTEsHM</vt:lpstr>
      <vt:lpstr>eSystemsLeaseDisputedRecordFTEsLM</vt:lpstr>
      <vt:lpstr>eSystemsLeaseDisputedRecordFTEsO1</vt:lpstr>
      <vt:lpstr>eSystemsLeaseDisputedRecordFTEsO2</vt:lpstr>
      <vt:lpstr>eSystemsLeaseDisputedRecordFTEsPLG</vt:lpstr>
      <vt:lpstr>eSystemsLeaseDisputedRecordFTEsQSC</vt:lpstr>
      <vt:lpstr>eSystemsLeaseDisputedRecordFTEsSCL</vt:lpstr>
      <vt:lpstr>eSystemsLeaseDisputedRecordFTEsSMCS</vt:lpstr>
      <vt:lpstr>eSystemsLeaseDisputedRecordLaborCostCM</vt:lpstr>
      <vt:lpstr>eSystemsLeaseDisputedRecordLaborCostCRT</vt:lpstr>
      <vt:lpstr>eSystemsLeaseDisputedRecordLaborCostEM</vt:lpstr>
      <vt:lpstr>eSystemsLeaseDisputedRecordLaborCostENG</vt:lpstr>
      <vt:lpstr>eSystemsLeaseDisputedRecordLaborCostHM</vt:lpstr>
      <vt:lpstr>eSystemsLeaseDisputedRecordLaborCostLM</vt:lpstr>
      <vt:lpstr>eSystemsLeaseDisputedRecordLaborCostO1</vt:lpstr>
      <vt:lpstr>eSystemsLeaseDisputedRecordLaborCostO2</vt:lpstr>
      <vt:lpstr>eSystemsLeaseDisputedRecordLaborCostPLG</vt:lpstr>
      <vt:lpstr>eSystemsLeaseDisputedRecordLaborCostQSC</vt:lpstr>
      <vt:lpstr>eSystemsLeaseDisputedRecordLaborCostSCL</vt:lpstr>
      <vt:lpstr>eSystemsLeaseDisputedRecordLaborCostSMCS</vt:lpstr>
      <vt:lpstr>eSystemsLeaseDisputedRecordLaborCostTotal</vt:lpstr>
      <vt:lpstr>eSystemsLeaseDisputedRecordLaborCostTotal_CFS</vt:lpstr>
      <vt:lpstr>eSystemsLeaseDisputedRecordLaborHrsCM</vt:lpstr>
      <vt:lpstr>eSystemsLeaseDisputedRecordLaborHrsCRT</vt:lpstr>
      <vt:lpstr>eSystemsLeaseDisputedRecordLaborHrsEM</vt:lpstr>
      <vt:lpstr>eSystemsLeaseDisputedRecordLaborHrsENG</vt:lpstr>
      <vt:lpstr>eSystemsLeaseDisputedRecordLaborHrsHM</vt:lpstr>
      <vt:lpstr>eSystemsLeaseDisputedRecordLaborHrsLM</vt:lpstr>
      <vt:lpstr>eSystemsLeaseDisputedRecordLaborHrsO1</vt:lpstr>
      <vt:lpstr>eSystemsLeaseDisputedRecordLaborHrsO2</vt:lpstr>
      <vt:lpstr>eSystemsLeaseDisputedRecordLaborHrsPLG</vt:lpstr>
      <vt:lpstr>eSystemsLeaseDisputedRecordLaborHrsQSC</vt:lpstr>
      <vt:lpstr>eSystemsLeaseDisputedRecordLaborHrsSCL</vt:lpstr>
      <vt:lpstr>eSystemsLeaseDisputedRecordLaborHrsSMCS</vt:lpstr>
      <vt:lpstr>eSystemsLeaseDisputedRecordTotalFTEs</vt:lpstr>
      <vt:lpstr>eSystemsLeaseDisputedRecordTotalFTEs_OutputSummary</vt:lpstr>
      <vt:lpstr>eSystemsLeaseDisputeRecordsForecast</vt:lpstr>
      <vt:lpstr>eSystemsLeaseDueDilEventForecast</vt:lpstr>
      <vt:lpstr>eSystemsLeaseDueDilFTEsCM</vt:lpstr>
      <vt:lpstr>eSystemsLeaseDueDilFTEsCRT</vt:lpstr>
      <vt:lpstr>eSystemsLeaseDueDilFTEsEM</vt:lpstr>
      <vt:lpstr>eSystemsLeaseDueDilFTEsENG</vt:lpstr>
      <vt:lpstr>eSystemsLeaseDueDilFTEsHM</vt:lpstr>
      <vt:lpstr>eSystemsLeaseDueDilFTEsLM</vt:lpstr>
      <vt:lpstr>eSystemsLeaseDueDilFTEsO1</vt:lpstr>
      <vt:lpstr>eSystemsLeaseDueDilFTEsO2</vt:lpstr>
      <vt:lpstr>eSystemsLeaseDueDilFTEsPLG</vt:lpstr>
      <vt:lpstr>eSystemsLeaseDueDilFTEsQSC</vt:lpstr>
      <vt:lpstr>eSystemsLeaseDueDilFTEsSCL</vt:lpstr>
      <vt:lpstr>eSystemsLeaseDueDilFTEsSMCS</vt:lpstr>
      <vt:lpstr>eSystemsLeaseDueDilLaborCostCM</vt:lpstr>
      <vt:lpstr>eSystemsLeaseDueDilLaborCostCRT</vt:lpstr>
      <vt:lpstr>eSystemsLeaseDueDilLaborCostEM</vt:lpstr>
      <vt:lpstr>eSystemsLeaseDueDilLaborCostENG</vt:lpstr>
      <vt:lpstr>eSystemsLeaseDueDilLaborCostHM</vt:lpstr>
      <vt:lpstr>eSystemsLeaseDueDilLaborCostLM</vt:lpstr>
      <vt:lpstr>eSystemsLeaseDueDilLaborCostO1</vt:lpstr>
      <vt:lpstr>eSystemsLeaseDueDilLaborCostO2</vt:lpstr>
      <vt:lpstr>eSystemsLeaseDueDilLaborCostPLG</vt:lpstr>
      <vt:lpstr>eSystemsLeaseDueDilLaborCostQSC</vt:lpstr>
      <vt:lpstr>eSystemsLeaseDueDilLaborCostSCL</vt:lpstr>
      <vt:lpstr>eSystemsLeaseDueDilLaborCostSMCS</vt:lpstr>
      <vt:lpstr>eSystemsLeaseDueDilLaborCostTotal</vt:lpstr>
      <vt:lpstr>eSystemsLeaseDueDilLaborCostTotal_CFS</vt:lpstr>
      <vt:lpstr>eSystemsLeaseDueDilLaborHrsCM</vt:lpstr>
      <vt:lpstr>eSystemsLeaseDueDilLaborHrsCRT</vt:lpstr>
      <vt:lpstr>eSystemsLeaseDueDilLaborHrsEM</vt:lpstr>
      <vt:lpstr>eSystemsLeaseDueDilLaborHrsENG</vt:lpstr>
      <vt:lpstr>eSystemsLeaseDueDilLaborHrsHM</vt:lpstr>
      <vt:lpstr>eSystemsLeaseDueDilLaborHrsLM</vt:lpstr>
      <vt:lpstr>eSystemsLeaseDueDilLaborHrsO1</vt:lpstr>
      <vt:lpstr>eSystemsLeaseDueDilLaborHrsO2</vt:lpstr>
      <vt:lpstr>eSystemsLeaseDueDilLaborHrsPLG</vt:lpstr>
      <vt:lpstr>eSystemsLeaseDueDilLaborHrsQSC</vt:lpstr>
      <vt:lpstr>eSystemsLeaseDueDilLaborHrsSCL</vt:lpstr>
      <vt:lpstr>eSystemsLeaseDueDilLaborHrsSMCS</vt:lpstr>
      <vt:lpstr>eSystemsLeaseDueDilTotalFTEs</vt:lpstr>
      <vt:lpstr>eSystemsLeaseDueDilTotalFTEs_OutputSummary</vt:lpstr>
      <vt:lpstr>eSystemsLeaseHostLaborCostCM</vt:lpstr>
      <vt:lpstr>eSystemsLeaseHostLaborCostCRT</vt:lpstr>
      <vt:lpstr>eSystemsLeaseHostLaborCostEM</vt:lpstr>
      <vt:lpstr>eSystemsLeaseHostLaborCostENG</vt:lpstr>
      <vt:lpstr>eSystemsLeaseHostLaborCostHM</vt:lpstr>
      <vt:lpstr>eSystemsLeaseHostLaborCostLM</vt:lpstr>
      <vt:lpstr>eSystemsLeaseHostLaborCostO1</vt:lpstr>
      <vt:lpstr>eSystemsLeaseHostLaborCostO2</vt:lpstr>
      <vt:lpstr>eSystemsLeaseHostLaborCostPLG</vt:lpstr>
      <vt:lpstr>eSystemsLeaseHostLaborCostQSC</vt:lpstr>
      <vt:lpstr>eSystemsLeaseHostLaborCostSCL</vt:lpstr>
      <vt:lpstr>eSystemsLeaseHostLaborCostSMCS</vt:lpstr>
      <vt:lpstr>eSystemsLeaseHostLaborCostTotal</vt:lpstr>
      <vt:lpstr>eSystemsLeaseHostLaborCostTotal_CFS</vt:lpstr>
      <vt:lpstr>eSystemsLeaseHostLaborHrsCM</vt:lpstr>
      <vt:lpstr>eSystemsLeaseHostLaborHrsCRT</vt:lpstr>
      <vt:lpstr>eSystemsLeaseHostLaborHrsEM</vt:lpstr>
      <vt:lpstr>eSystemsLeaseHostLaborHrsENG</vt:lpstr>
      <vt:lpstr>eSystemsLeaseHostLaborHrsHM</vt:lpstr>
      <vt:lpstr>eSystemsLeaseHostLaborHrsLM</vt:lpstr>
      <vt:lpstr>eSystemsLeaseHostLaborHrsO1</vt:lpstr>
      <vt:lpstr>eSystemsLeaseHostLaborHrsO2</vt:lpstr>
      <vt:lpstr>eSystemsLeaseHostLaborHrsPLG</vt:lpstr>
      <vt:lpstr>eSystemsLeaseHostLaborHrsQSC</vt:lpstr>
      <vt:lpstr>eSystemsLeaseHostLaborHrsSCL</vt:lpstr>
      <vt:lpstr>eSystemsLeaseHostLaborHrsSMCS</vt:lpstr>
      <vt:lpstr>eSystemsLeaseLaborCostCM</vt:lpstr>
      <vt:lpstr>eSystemsLeaseLaborCostCRT</vt:lpstr>
      <vt:lpstr>eSystemsLeaseLaborCostEM</vt:lpstr>
      <vt:lpstr>eSystemsLeaseLaborCostENG</vt:lpstr>
      <vt:lpstr>eSystemsLeaseLaborCostHM</vt:lpstr>
      <vt:lpstr>eSystemsLeaseLaborCostLM</vt:lpstr>
      <vt:lpstr>eSystemsLeaseLaborCostO1</vt:lpstr>
      <vt:lpstr>eSystemsLeaseLaborCostO2</vt:lpstr>
      <vt:lpstr>eSystemsLeaseLaborCostPLG</vt:lpstr>
      <vt:lpstr>eSystemsLeaseLaborCostQSC</vt:lpstr>
      <vt:lpstr>eSystemsLeaseLaborCostSCL</vt:lpstr>
      <vt:lpstr>eSystemsLeaseLaborCostSMCS</vt:lpstr>
      <vt:lpstr>eSystemsLeaseLaborCostTotalpa</vt:lpstr>
      <vt:lpstr>eSystemsLeaseLaborCostTotalpa_CFS</vt:lpstr>
      <vt:lpstr>eSystemsLeaseLaborHrsCM</vt:lpstr>
      <vt:lpstr>eSystemsLeaseLaborHrsCRT</vt:lpstr>
      <vt:lpstr>eSystemsLeaseLaborHrsEM</vt:lpstr>
      <vt:lpstr>eSystemsLeaseLaborHrsENG</vt:lpstr>
      <vt:lpstr>eSystemsLeaseLaborHrsHM</vt:lpstr>
      <vt:lpstr>eSystemsLeaseLaborHrsLM</vt:lpstr>
      <vt:lpstr>eSystemsLeaseLaborHrsO1</vt:lpstr>
      <vt:lpstr>eSystemsLeaseLaborHrsO2</vt:lpstr>
      <vt:lpstr>eSystemsLeaseLaborHrsPLG</vt:lpstr>
      <vt:lpstr>eSystemsLeaseLaborHrsQSC</vt:lpstr>
      <vt:lpstr>eSystemsLeaseLaborHrsSCL</vt:lpstr>
      <vt:lpstr>eSystemsLeaseLaborHrsSMCS</vt:lpstr>
      <vt:lpstr>eSystemsLeaseLessorVisitFTEsCM</vt:lpstr>
      <vt:lpstr>eSystemsLeaseLessorVisitFTEsCRT</vt:lpstr>
      <vt:lpstr>eSystemsLeaseLessorVisitFTEsEM</vt:lpstr>
      <vt:lpstr>eSystemsLeaseLessorVisitFTEsENG</vt:lpstr>
      <vt:lpstr>eSystemsLeaseLessorVisitFTEsHM</vt:lpstr>
      <vt:lpstr>eSystemsLeaseLessorVisitFTEsLM</vt:lpstr>
      <vt:lpstr>eSystemsLeaseLessorVisitFTEsO1</vt:lpstr>
      <vt:lpstr>eSystemsLeaseLessorVisitFTEsO2</vt:lpstr>
      <vt:lpstr>eSystemsLeaseLessorVisitFTEsPLG</vt:lpstr>
      <vt:lpstr>eSystemsLeaseLessorVisitFTEsQSC</vt:lpstr>
      <vt:lpstr>eSystemsLeaseLessorVisitFTEsSCL</vt:lpstr>
      <vt:lpstr>eSystemsLeaseLessorVisitFTEsSMCS</vt:lpstr>
      <vt:lpstr>eSystemsLeaseLessorVisitTotalFTEs</vt:lpstr>
      <vt:lpstr>eSystemsLeaseLessorVisitTotalFTEs_OutputSummary</vt:lpstr>
      <vt:lpstr>eSystemsLeasePaperPrint</vt:lpstr>
      <vt:lpstr>eSystemsLeasePaperPrintPA</vt:lpstr>
      <vt:lpstr>eSystemsLeaseRecordSearchFTEsCM</vt:lpstr>
      <vt:lpstr>eSystemsLeaseRecordSearchFTEsCRT</vt:lpstr>
      <vt:lpstr>eSystemsLeaseRecordSearchFTEsEM</vt:lpstr>
      <vt:lpstr>eSystemsLeaseRecordSearchFTEsENG</vt:lpstr>
      <vt:lpstr>eSystemsLeaseRecordSearchFTEsHM</vt:lpstr>
      <vt:lpstr>eSystemsLeaseRecordSearchFTEsLM</vt:lpstr>
      <vt:lpstr>eSystemsLeaseRecordSearchFTEsO1</vt:lpstr>
      <vt:lpstr>eSystemsLeaseRecordSearchFTEsO2</vt:lpstr>
      <vt:lpstr>eSystemsLeaseRecordSearchFTEsPLG</vt:lpstr>
      <vt:lpstr>eSystemsLeaseRecordSearchFTEsQSC</vt:lpstr>
      <vt:lpstr>eSystemsLeaseRecordSearchFTEsSCL</vt:lpstr>
      <vt:lpstr>eSystemsLeaseRecordSearchFTEsSMCS</vt:lpstr>
      <vt:lpstr>eSystemsLeaseRecordSearchLaborCostCM</vt:lpstr>
      <vt:lpstr>eSystemsLeaseRecordSearchLaborCostCRT</vt:lpstr>
      <vt:lpstr>eSystemsLeaseRecordSearchLaborCostEM</vt:lpstr>
      <vt:lpstr>eSystemsLeaseRecordSearchLaborCostENG</vt:lpstr>
      <vt:lpstr>eSystemsLeaseRecordSearchLaborCostHM</vt:lpstr>
      <vt:lpstr>eSystemsLeaseRecordSearchLaborCostLM</vt:lpstr>
      <vt:lpstr>eSystemsLeaseRecordSearchLaborCostO1</vt:lpstr>
      <vt:lpstr>eSystemsLeaseRecordSearchLaborCostO2</vt:lpstr>
      <vt:lpstr>eSystemsLeaseRecordSearchLaborCostPLG</vt:lpstr>
      <vt:lpstr>eSystemsLeaseRecordSearchLaborCostQSC</vt:lpstr>
      <vt:lpstr>eSystemsLeaseRecordSearchLaborCostSCL</vt:lpstr>
      <vt:lpstr>eSystemsLeaseRecordSearchLaborCostSMCS</vt:lpstr>
      <vt:lpstr>eSystemsLeaseRecordSearchLaborCostTotal</vt:lpstr>
      <vt:lpstr>eSystemsLeaseRecordSearchLaborCostTotal_CFS</vt:lpstr>
      <vt:lpstr>eSystemsLeaseRecordSearchLaborHrsCM</vt:lpstr>
      <vt:lpstr>eSystemsLeaseRecordSearchLaborHrsCRT</vt:lpstr>
      <vt:lpstr>eSystemsLeaseRecordSearchLaborHrsEM</vt:lpstr>
      <vt:lpstr>eSystemsLeaseRecordSearchLaborHrsENG</vt:lpstr>
      <vt:lpstr>eSystemsLeaseRecordSearchLaborHrsHM</vt:lpstr>
      <vt:lpstr>eSystemsLeaseRecordSearchLaborHrsLM</vt:lpstr>
      <vt:lpstr>eSystemsLeaseRecordSearchLaborHrsO1</vt:lpstr>
      <vt:lpstr>eSystemsLeaseRecordSearchLaborHrsO2</vt:lpstr>
      <vt:lpstr>eSystemsLeaseRecordSearchLaborHrsPLG</vt:lpstr>
      <vt:lpstr>eSystemsLeaseRecordSearchLaborHrsQSC</vt:lpstr>
      <vt:lpstr>eSystemsLeaseRecordSearchLaborHrsSCL</vt:lpstr>
      <vt:lpstr>eSystemsLeaseRecordSearchLaborHrsSMCS</vt:lpstr>
      <vt:lpstr>eSystemsLeaseRecordSearchTotalFTEs</vt:lpstr>
      <vt:lpstr>eSystemsLeaseRecordSearchTotalFTEs_OutputSummary</vt:lpstr>
      <vt:lpstr>eSystemsLeaseRecordsSearchForecast</vt:lpstr>
      <vt:lpstr>eSystemsLeaseRelatedTotalFTEs_OutputSummary</vt:lpstr>
      <vt:lpstr>eSystemsLeaseReturnFTEsCM</vt:lpstr>
      <vt:lpstr>eSystemsLeaseReturnFTEsCRT</vt:lpstr>
      <vt:lpstr>eSystemsLeaseReturnFTEsEM</vt:lpstr>
      <vt:lpstr>eSystemsLeaseReturnFTEsENG</vt:lpstr>
      <vt:lpstr>eSystemsLeaseReturnFTEsHM</vt:lpstr>
      <vt:lpstr>eSystemsLeaseReturnFTEsLM</vt:lpstr>
      <vt:lpstr>eSystemsLeaseReturnFTEsO1</vt:lpstr>
      <vt:lpstr>eSystemsLeaseReturnFTEsO2</vt:lpstr>
      <vt:lpstr>eSystemsLeaseReturnFTEsPLG</vt:lpstr>
      <vt:lpstr>eSystemsLeaseReturnFTEsQSC</vt:lpstr>
      <vt:lpstr>eSystemsLeaseReturnFTEsSCL</vt:lpstr>
      <vt:lpstr>eSystemsLeaseReturnFTEsSMCS</vt:lpstr>
      <vt:lpstr>eSystemsLeaseReturnPaperPrintCost</vt:lpstr>
      <vt:lpstr>eSystemsLeaseReturnPaperPrintCost_CFS</vt:lpstr>
      <vt:lpstr>eSystemsLeaseReturnPrintCollFTEsCM</vt:lpstr>
      <vt:lpstr>eSystemsLeaseReturnPrintCollFTEsCRT</vt:lpstr>
      <vt:lpstr>eSystemsLeaseReturnPrintCollFTEsEM</vt:lpstr>
      <vt:lpstr>eSystemsLeaseReturnPrintCollFTEsENG</vt:lpstr>
      <vt:lpstr>eSystemsLeaseReturnPrintCollFTEsHM</vt:lpstr>
      <vt:lpstr>eSystemsLeaseReturnPrintCollFTEsLM</vt:lpstr>
      <vt:lpstr>eSystemsLeaseReturnPrintCollFTEsO1</vt:lpstr>
      <vt:lpstr>eSystemsLeaseReturnPrintCollFTEsO2</vt:lpstr>
      <vt:lpstr>eSystemsLeaseReturnPrintCollFTEsPLG</vt:lpstr>
      <vt:lpstr>eSystemsLeaseReturnPrintCollFTEsQSC</vt:lpstr>
      <vt:lpstr>eSystemsLeaseReturnPrintCollFTEsSCL</vt:lpstr>
      <vt:lpstr>eSystemsLeaseReturnPrintCollFTEsSMCS</vt:lpstr>
      <vt:lpstr>eSystemsLeaseReturnPrintCollLaborCostCM</vt:lpstr>
      <vt:lpstr>eSystemsLeaseReturnPrintCollLaborCostCRT</vt:lpstr>
      <vt:lpstr>eSystemsLeaseReturnPrintCollLaborCostEM</vt:lpstr>
      <vt:lpstr>eSystemsLeaseReturnPrintCollLaborCostENG</vt:lpstr>
      <vt:lpstr>eSystemsLeaseReturnPrintCollLaborCostHM</vt:lpstr>
      <vt:lpstr>eSystemsLeaseReturnPrintCollLaborCostLM</vt:lpstr>
      <vt:lpstr>eSystemsLeaseReturnPrintCollLaborCostO1</vt:lpstr>
      <vt:lpstr>eSystemsLeaseReturnPrintCollLaborCostO2</vt:lpstr>
      <vt:lpstr>eSystemsLeaseReturnPrintCollLaborCostPLG</vt:lpstr>
      <vt:lpstr>eSystemsLeaseReturnPrintCollLaborCostQSC</vt:lpstr>
      <vt:lpstr>eSystemsLeaseReturnPrintCollLaborCostSCL</vt:lpstr>
      <vt:lpstr>eSystemsLeaseReturnPrintCollLaborCostSMCS</vt:lpstr>
      <vt:lpstr>eSystemsLeaseReturnPrintCollLaborCostTotal</vt:lpstr>
      <vt:lpstr>eSystemsLeaseReturnPrintCollLaborCostTotal_CFS</vt:lpstr>
      <vt:lpstr>eSystemsLeaseReturnPrintCollLaborHrsCM</vt:lpstr>
      <vt:lpstr>eSystemsLeaseReturnPrintCollLaborHrsCRT</vt:lpstr>
      <vt:lpstr>eSystemsLeaseReturnPrintCollLaborHrsEM</vt:lpstr>
      <vt:lpstr>eSystemsLeaseReturnPrintCollLaborHrsENG</vt:lpstr>
      <vt:lpstr>eSystemsLeaseReturnPrintCollLaborHrsHM</vt:lpstr>
      <vt:lpstr>eSystemsLeaseReturnPrintCollLaborHrsLM</vt:lpstr>
      <vt:lpstr>eSystemsLeaseReturnPrintCollLaborHrsO1</vt:lpstr>
      <vt:lpstr>eSystemsLeaseReturnPrintCollLaborHrsO2</vt:lpstr>
      <vt:lpstr>eSystemsLeaseReturnPrintCollLaborHrsPLG</vt:lpstr>
      <vt:lpstr>eSystemsLeaseReturnPrintCollLaborHrsQSC</vt:lpstr>
      <vt:lpstr>eSystemsLeaseReturnPrintCollLaborHrsSCL</vt:lpstr>
      <vt:lpstr>eSystemsLeaseReturnPrintCollLaborHrsSMCS</vt:lpstr>
      <vt:lpstr>eSystemsLeaseReturnPrintCollTotalFTEs</vt:lpstr>
      <vt:lpstr>eSystemsLeaseReturnPrintCollTotalFTEs_OutputSummary</vt:lpstr>
      <vt:lpstr>eSystemsLeaseReturnTotalFTEs</vt:lpstr>
      <vt:lpstr>eSystemsLeaseReturnTotalFTEs_OutputSummary</vt:lpstr>
      <vt:lpstr>eSystemsLessorVisitForecast</vt:lpstr>
      <vt:lpstr>eSystemsMFD_Total</vt:lpstr>
      <vt:lpstr>eSystemsMFDCostpa_TotalGrand</vt:lpstr>
      <vt:lpstr>eSystemsMFDLeaseCostpa_Total</vt:lpstr>
      <vt:lpstr>eSystemsMFDPrintCostpa_Total</vt:lpstr>
      <vt:lpstr>eSystemsOfficeLeaseCostpa_Total</vt:lpstr>
      <vt:lpstr>eSystemsOfficeSpace_Total</vt:lpstr>
      <vt:lpstr>eSystemsPaperPercentCM</vt:lpstr>
      <vt:lpstr>eSystemsPaperPercentCRT</vt:lpstr>
      <vt:lpstr>eSystemsPaperPercentEM</vt:lpstr>
      <vt:lpstr>eSystemsPaperPercentENG</vt:lpstr>
      <vt:lpstr>eSystemsPaperPercentErrorCM</vt:lpstr>
      <vt:lpstr>eSystemsPaperPercentErrorCRT</vt:lpstr>
      <vt:lpstr>eSystemsPaperPercentErrorEM</vt:lpstr>
      <vt:lpstr>eSystemsPaperPercentErrorENG</vt:lpstr>
      <vt:lpstr>eSystemsPaperPercentErrorHM</vt:lpstr>
      <vt:lpstr>eSystemsPaperPercentErrorLM</vt:lpstr>
      <vt:lpstr>eSystemsPaperPercentErrorO1</vt:lpstr>
      <vt:lpstr>eSystemsPaperPercentErrorO2</vt:lpstr>
      <vt:lpstr>eSystemsPaperPercentErrorPLG</vt:lpstr>
      <vt:lpstr>eSystemsPaperPercentErrorQSC</vt:lpstr>
      <vt:lpstr>eSystemsPaperPercentErrorSCL</vt:lpstr>
      <vt:lpstr>eSystemsPaperPercentErrorSMCS</vt:lpstr>
      <vt:lpstr>eSystemsPaperPercentHM</vt:lpstr>
      <vt:lpstr>eSystemsPaperPercentLM</vt:lpstr>
      <vt:lpstr>eSystemsPaperPercentO1</vt:lpstr>
      <vt:lpstr>eSystemsPaperPercentO2</vt:lpstr>
      <vt:lpstr>eSystemsPaperPercentPLG</vt:lpstr>
      <vt:lpstr>eSystemsPaperPercentQSC</vt:lpstr>
      <vt:lpstr>eSystemsPaperPercentSCL</vt:lpstr>
      <vt:lpstr>eSystemsPaperPercentSMCS</vt:lpstr>
      <vt:lpstr>eSystemsPaperRecords_Total</vt:lpstr>
      <vt:lpstr>eSystemsPaperRecordsErrors_Total</vt:lpstr>
      <vt:lpstr>eSystemsPaperRequiredReworksCM</vt:lpstr>
      <vt:lpstr>eSystemsPaperRequiredReworksCRT</vt:lpstr>
      <vt:lpstr>eSystemsPaperRequiredReworksEM</vt:lpstr>
      <vt:lpstr>eSystemsPaperRequiredReworksENG</vt:lpstr>
      <vt:lpstr>eSystemsPaperRequiredReworksHM</vt:lpstr>
      <vt:lpstr>eSystemsPaperRequiredReworksLM</vt:lpstr>
      <vt:lpstr>eSystemsPaperRequiredReworksO1</vt:lpstr>
      <vt:lpstr>eSystemsPaperRequiredReworksO2</vt:lpstr>
      <vt:lpstr>eSystemsPaperRequiredReworksPLG</vt:lpstr>
      <vt:lpstr>eSystemsPaperRequiredReworksQSC</vt:lpstr>
      <vt:lpstr>eSystemsPaperRequiredReworksSCL</vt:lpstr>
      <vt:lpstr>eSystemsPaperRequiredReworksSMCS</vt:lpstr>
      <vt:lpstr>eSystemsPrintRoomArea_Each</vt:lpstr>
      <vt:lpstr>eSystemsPrintRoomArea_Total</vt:lpstr>
      <vt:lpstr>'Costs_RecordArchive&amp;Retrieval'!eSystemsRecordsArchiveCumulative_Gross</vt:lpstr>
      <vt:lpstr>'Costs_RecordArchive&amp;Retrieval'!eSystemsRecordsArchiveCumulative_Net</vt:lpstr>
      <vt:lpstr>'Costs_RecordArchive&amp;Retrieval'!eSystemsRecordsArchiveShredDisposal</vt:lpstr>
      <vt:lpstr>'Costs_RecordArchive&amp;Retrieval'!eSystemsRecordsArchiveShredDueDigital</vt:lpstr>
      <vt:lpstr>eSystemsRecordsPaperArchive_CFS</vt:lpstr>
      <vt:lpstr>'Costs_RecordArchive&amp;Retrieval'!eSystemsRecordsShredRate</vt:lpstr>
      <vt:lpstr>eSystemsReworkCostpaCM</vt:lpstr>
      <vt:lpstr>eSystemsReworkCostpaCRT</vt:lpstr>
      <vt:lpstr>eSystemsReworkCostpaEM</vt:lpstr>
      <vt:lpstr>eSystemsReworkCostpaENG</vt:lpstr>
      <vt:lpstr>eSystemsReworkCostpaHM</vt:lpstr>
      <vt:lpstr>eSystemsReworkCostpaLM</vt:lpstr>
      <vt:lpstr>eSystemsReworkCostpaO1</vt:lpstr>
      <vt:lpstr>eSystemsReworkCostpaO2</vt:lpstr>
      <vt:lpstr>eSystemsReworkCostpaPLG</vt:lpstr>
      <vt:lpstr>eSystemsReworkCostpaQSC</vt:lpstr>
      <vt:lpstr>eSystemsReworkCostpaSCL</vt:lpstr>
      <vt:lpstr>eSystemsReworkCostpaSMCS</vt:lpstr>
      <vt:lpstr>eSystemsReworkFTEsCM</vt:lpstr>
      <vt:lpstr>eSystemsReworkFTEsCRT</vt:lpstr>
      <vt:lpstr>eSystemsReworkFTEsEM</vt:lpstr>
      <vt:lpstr>eSystemsReworkFTEsENG</vt:lpstr>
      <vt:lpstr>eSystemsReworkFTEsHM</vt:lpstr>
      <vt:lpstr>eSystemsReworkFTEsLM</vt:lpstr>
      <vt:lpstr>eSystemsReworkFTEsO1</vt:lpstr>
      <vt:lpstr>eSystemsReworkFTEsO2</vt:lpstr>
      <vt:lpstr>eSystemsReworkFTEsPLG</vt:lpstr>
      <vt:lpstr>eSystemsReworkFTEsQSC</vt:lpstr>
      <vt:lpstr>eSystemsReworkFTEsSCL</vt:lpstr>
      <vt:lpstr>eSystemsReworkFTEsSMCS</vt:lpstr>
      <vt:lpstr>eSystemsReworkHoursCM</vt:lpstr>
      <vt:lpstr>eSystemsReworkHoursCRT</vt:lpstr>
      <vt:lpstr>eSystemsReworkHoursEM</vt:lpstr>
      <vt:lpstr>eSystemsReworkHoursENG</vt:lpstr>
      <vt:lpstr>eSystemsReworkHoursHM</vt:lpstr>
      <vt:lpstr>eSystemsReworkHoursLM</vt:lpstr>
      <vt:lpstr>eSystemsReworkHoursO1</vt:lpstr>
      <vt:lpstr>eSystemsReworkHoursO2</vt:lpstr>
      <vt:lpstr>eSystemsReworkHourspaCM</vt:lpstr>
      <vt:lpstr>eSystemsReworkHourspaCRT</vt:lpstr>
      <vt:lpstr>eSystemsReworkHourspaEM</vt:lpstr>
      <vt:lpstr>eSystemsReworkHourspaENG</vt:lpstr>
      <vt:lpstr>eSystemsReworkHourspaHM</vt:lpstr>
      <vt:lpstr>eSystemsReworkHourspaLM</vt:lpstr>
      <vt:lpstr>eSystemsReworkHourspaO1</vt:lpstr>
      <vt:lpstr>eSystemsReworkHourspaO2</vt:lpstr>
      <vt:lpstr>eSystemsReworkHourspaPLG</vt:lpstr>
      <vt:lpstr>eSystemsReworkHourspaQSC</vt:lpstr>
      <vt:lpstr>eSystemsReworkHourspaSCL</vt:lpstr>
      <vt:lpstr>eSystemsReworkHourspaSMCS</vt:lpstr>
      <vt:lpstr>eSystemsReworkHoursPLG</vt:lpstr>
      <vt:lpstr>eSystemsReworkHoursQSC</vt:lpstr>
      <vt:lpstr>eSystemsReworkHoursSCL</vt:lpstr>
      <vt:lpstr>eSystemsReworkHoursSMCS</vt:lpstr>
      <vt:lpstr>Labor_AircraftLessee!eSystemsReworkTotalCostpa</vt:lpstr>
      <vt:lpstr>eSystemsReworkTotalCostpa</vt:lpstr>
      <vt:lpstr>eSystemsReworkTotalCostpa_CFS</vt:lpstr>
      <vt:lpstr>eSystemsReworkTotalFTEs</vt:lpstr>
      <vt:lpstr>eSystemsTouchHourspaCM</vt:lpstr>
      <vt:lpstr>eSystemsTouchHourspaCRT</vt:lpstr>
      <vt:lpstr>eSystemsTouchHourspaEM</vt:lpstr>
      <vt:lpstr>eSystemsTouchHourspaENG</vt:lpstr>
      <vt:lpstr>eSystemsTouchHourspaHM</vt:lpstr>
      <vt:lpstr>eSystemsTouchHourspaLM</vt:lpstr>
      <vt:lpstr>eSystemsTouchHourspaO1</vt:lpstr>
      <vt:lpstr>eSystemsTouchHourspaO2</vt:lpstr>
      <vt:lpstr>eSystemsTouchHourspaPLG</vt:lpstr>
      <vt:lpstr>eSystemsTouchHourspaQSC</vt:lpstr>
      <vt:lpstr>eSystemsTouchHourspaSCL</vt:lpstr>
      <vt:lpstr>eSystemsTouchHourspaSMCS</vt:lpstr>
      <vt:lpstr>eSystemsTouchRateHourCM</vt:lpstr>
      <vt:lpstr>eSystemsTouchRateHourCRT</vt:lpstr>
      <vt:lpstr>eSystemsTouchRateHourEM</vt:lpstr>
      <vt:lpstr>eSystemsTouchRateHourENG</vt:lpstr>
      <vt:lpstr>eSystemsTouchRateHourHM</vt:lpstr>
      <vt:lpstr>eSystemsTouchRateHourLM</vt:lpstr>
      <vt:lpstr>eSystemsTouchRateHourO1</vt:lpstr>
      <vt:lpstr>eSystemsTouchRateHourO2</vt:lpstr>
      <vt:lpstr>eSystemsTouchRateHourPLG</vt:lpstr>
      <vt:lpstr>eSystemsTouchRateHourQSC</vt:lpstr>
      <vt:lpstr>eSystemsTouchRateHourSCL</vt:lpstr>
      <vt:lpstr>eSystemsTouchRateHourSMCS</vt:lpstr>
      <vt:lpstr>eSystemsTrainingCostBestCaseCM</vt:lpstr>
      <vt:lpstr>eSystemsTrainingCostBestCaseCRT</vt:lpstr>
      <vt:lpstr>eSystemsTrainingCostBestCaseEM</vt:lpstr>
      <vt:lpstr>eSystemsTrainingCostBestCaseENG</vt:lpstr>
      <vt:lpstr>eSystemsTrainingCostBestCaseHM</vt:lpstr>
      <vt:lpstr>eSystemsTrainingCostBestCaseLM</vt:lpstr>
      <vt:lpstr>eSystemsTrainingCostBestCaseO1</vt:lpstr>
      <vt:lpstr>eSystemsTrainingCostBestCaseO2</vt:lpstr>
      <vt:lpstr>eSystemsTrainingCostBestCasePLG</vt:lpstr>
      <vt:lpstr>eSystemsTrainingCostBestCaseQSC</vt:lpstr>
      <vt:lpstr>eSystemsTrainingCostBestCaseSCL</vt:lpstr>
      <vt:lpstr>eSystemsTrainingCostBestCaseSMCS</vt:lpstr>
      <vt:lpstr>eSystemsTrainingCostMostLikelyCM</vt:lpstr>
      <vt:lpstr>eSystemsTrainingCostMostLikelyCRT</vt:lpstr>
      <vt:lpstr>eSystemsTrainingCostMostLikelyEM</vt:lpstr>
      <vt:lpstr>eSystemsTrainingCostMostLikelyENG</vt:lpstr>
      <vt:lpstr>eSystemsTrainingCostMostLikelyHM</vt:lpstr>
      <vt:lpstr>eSystemsTrainingCostMostLikelyLM</vt:lpstr>
      <vt:lpstr>eSystemsTrainingCostMostLikelyO1</vt:lpstr>
      <vt:lpstr>eSystemsTrainingCostMostLikelyO2</vt:lpstr>
      <vt:lpstr>eSystemsTrainingCostMostLikelyPLG</vt:lpstr>
      <vt:lpstr>eSystemsTrainingCostMostLikelyQSC</vt:lpstr>
      <vt:lpstr>eSystemsTrainingCostMostLikelySCL</vt:lpstr>
      <vt:lpstr>eSystemsTrainingCostMostLikelySMCS</vt:lpstr>
      <vt:lpstr>eSystemsTrainingCostPerFTE_CM</vt:lpstr>
      <vt:lpstr>eSystemsTrainingCostPerFTE_CRT</vt:lpstr>
      <vt:lpstr>eSystemsTrainingCostPerFTE_EM</vt:lpstr>
      <vt:lpstr>eSystemsTrainingCostPerFTE_ENG</vt:lpstr>
      <vt:lpstr>eSystemsTrainingCostPerFTE_HM</vt:lpstr>
      <vt:lpstr>eSystemsTrainingCostPerFTE_LM</vt:lpstr>
      <vt:lpstr>eSystemsTrainingCostPerFTE_O1</vt:lpstr>
      <vt:lpstr>eSystemsTrainingCostPerFTE_O2</vt:lpstr>
      <vt:lpstr>eSystemsTrainingCostPerFTE_PLG</vt:lpstr>
      <vt:lpstr>eSystemsTrainingCostPerFTE_QSC</vt:lpstr>
      <vt:lpstr>eSystemsTrainingCostPerFTE_SCL</vt:lpstr>
      <vt:lpstr>eSystemsTrainingCostPerFTE_SMCS</vt:lpstr>
      <vt:lpstr>eSystemsTrainingCostWorstCaseCM</vt:lpstr>
      <vt:lpstr>eSystemsTrainingCostWorstCaseCRT</vt:lpstr>
      <vt:lpstr>eSystemsTrainingCostWorstCaseEM</vt:lpstr>
      <vt:lpstr>eSystemsTrainingCostWorstCaseENG</vt:lpstr>
      <vt:lpstr>eSystemsTrainingCostWorstCaseHM</vt:lpstr>
      <vt:lpstr>eSystemsTrainingCostWorstCaseLM</vt:lpstr>
      <vt:lpstr>eSystemsTrainingCostWorstCaseO1</vt:lpstr>
      <vt:lpstr>eSystemsTrainingCostWorstCaseO2</vt:lpstr>
      <vt:lpstr>eSystemsTrainingCostWorstCasePLG</vt:lpstr>
      <vt:lpstr>eSystemsTrainingCostWorstCaseQSC</vt:lpstr>
      <vt:lpstr>eSystemsTrainingCostWorstCaseSCL</vt:lpstr>
      <vt:lpstr>eSystemsTrainingCostWorstCaseSMCS</vt:lpstr>
      <vt:lpstr>eSystemsTrainingFTEsBestCaseCM</vt:lpstr>
      <vt:lpstr>eSystemsTrainingFTEsBestCaseCRT</vt:lpstr>
      <vt:lpstr>eSystemsTrainingFTEsBestCaseEM</vt:lpstr>
      <vt:lpstr>eSystemsTrainingFTEsBestCaseENG</vt:lpstr>
      <vt:lpstr>eSystemsTrainingFTEsBestCaseHM</vt:lpstr>
      <vt:lpstr>eSystemsTrainingFTEsBestCaseLM</vt:lpstr>
      <vt:lpstr>eSystemsTrainingFTEsBestCaseO1</vt:lpstr>
      <vt:lpstr>eSystemsTrainingFTEsBestCaseO2</vt:lpstr>
      <vt:lpstr>eSystemsTrainingFTEsBestCasePLG</vt:lpstr>
      <vt:lpstr>eSystemsTrainingFTEsBestCaseQSC</vt:lpstr>
      <vt:lpstr>eSystemsTrainingFTEsBestCaseSCL</vt:lpstr>
      <vt:lpstr>eSystemsTrainingFTEsBestCaseSMCS</vt:lpstr>
      <vt:lpstr>eSystemsTrainingFTEsMostLikelyCM</vt:lpstr>
      <vt:lpstr>eSystemsTrainingFTEsMostLikelyCRT</vt:lpstr>
      <vt:lpstr>eSystemsTrainingFTEsMostLikelyEM</vt:lpstr>
      <vt:lpstr>eSystemsTrainingFTEsMostLikelyENG</vt:lpstr>
      <vt:lpstr>eSystemsTrainingFTEsMostLikelyHM</vt:lpstr>
      <vt:lpstr>eSystemsTrainingFTEsMostLikelyLM</vt:lpstr>
      <vt:lpstr>eSystemsTrainingFTEsMostLikelyO1</vt:lpstr>
      <vt:lpstr>eSystemsTrainingFTEsMostLikelyO2</vt:lpstr>
      <vt:lpstr>eSystemsTrainingFTEsMostLikelyPLG</vt:lpstr>
      <vt:lpstr>eSystemsTrainingFTEsMostLikelyQSC</vt:lpstr>
      <vt:lpstr>eSystemsTrainingFTEsMostLikelySCL</vt:lpstr>
      <vt:lpstr>eSystemsTrainingFTEsMostLikelySMCS</vt:lpstr>
      <vt:lpstr>eSystemsTrainingFTEsWorstCaseCM</vt:lpstr>
      <vt:lpstr>eSystemsTrainingFTEsWorstCaseCRT</vt:lpstr>
      <vt:lpstr>eSystemsTrainingFTEsWorstCaseEM</vt:lpstr>
      <vt:lpstr>eSystemsTrainingFTEsWorstCaseENG</vt:lpstr>
      <vt:lpstr>eSystemsTrainingFTEsWorstCaseHM</vt:lpstr>
      <vt:lpstr>eSystemsTrainingFTEsWorstCaseLM</vt:lpstr>
      <vt:lpstr>eSystemsTrainingFTEsWorstCaseO1</vt:lpstr>
      <vt:lpstr>eSystemsTrainingFTEsWorstCaseO2</vt:lpstr>
      <vt:lpstr>eSystemsTrainingFTEsWorstCasePLG</vt:lpstr>
      <vt:lpstr>eSystemsTrainingFTEsWorstCaseQSC</vt:lpstr>
      <vt:lpstr>eSystemsTrainingFTEsWorstCaseSCL</vt:lpstr>
      <vt:lpstr>eSystemsTrainingFTEsWorstCaseSMCS</vt:lpstr>
      <vt:lpstr>eSystemsTrainingPercentFTEsCM</vt:lpstr>
      <vt:lpstr>eSystemsTrainingPercentFTEsCRT</vt:lpstr>
      <vt:lpstr>eSystemsTrainingPercentFTEsEM</vt:lpstr>
      <vt:lpstr>eSystemsTrainingPercentFTEsENG</vt:lpstr>
      <vt:lpstr>eSystemsTrainingPercentFTEsHM</vt:lpstr>
      <vt:lpstr>eSystemsTrainingPercentFTEsLM</vt:lpstr>
      <vt:lpstr>eSystemsTrainingPercentFTEsO1</vt:lpstr>
      <vt:lpstr>eSystemsTrainingPercentFTEsO2</vt:lpstr>
      <vt:lpstr>eSystemsTrainingPercentFTEsPLG</vt:lpstr>
      <vt:lpstr>eSystemsTrainingPercentFTEsQSC</vt:lpstr>
      <vt:lpstr>eSystemsTrainingPercentFTEsSCL</vt:lpstr>
      <vt:lpstr>eSystemsTrainingPercentFTEsSMCS</vt:lpstr>
      <vt:lpstr>Inputs_RecordsGeneration!FleetCycleHvy_A</vt:lpstr>
      <vt:lpstr>Inputs_RecordsGeneration!FleetCycleHvy_B</vt:lpstr>
      <vt:lpstr>Inputs_RecordsGeneration!FleetCycleHvy_C</vt:lpstr>
      <vt:lpstr>Inputs_RecordsGeneration!FleetCycleHvy_D</vt:lpstr>
      <vt:lpstr>Inputs_RecordsGeneration!FleetCycleHvy_E</vt:lpstr>
      <vt:lpstr>Inputs_RecordsGeneration!FleetCycleHvy_F</vt:lpstr>
      <vt:lpstr>Inputs_RecordsGeneration!FleetCycleHvy_G</vt:lpstr>
      <vt:lpstr>FleetCycleHvy_H</vt:lpstr>
      <vt:lpstr>FleetCycleHvy_I</vt:lpstr>
      <vt:lpstr>FleetCycleHvy_J</vt:lpstr>
      <vt:lpstr>FleetCycleHvy_K</vt:lpstr>
      <vt:lpstr>FleetCycleHvy_L</vt:lpstr>
      <vt:lpstr>FleetCycleHvy_M</vt:lpstr>
      <vt:lpstr>FleetCycleHvy_N</vt:lpstr>
      <vt:lpstr>FleetCycleHvy_O</vt:lpstr>
      <vt:lpstr>FleetRecordsPerAnnum_TotalGrand</vt:lpstr>
      <vt:lpstr>FleetRecordsPerAnnumCM_TotalGrand</vt:lpstr>
      <vt:lpstr>FleetRecordsPerAnnumCRT_TotalGrand</vt:lpstr>
      <vt:lpstr>FleetRecordsPerAnnumEandP_TotalGrand</vt:lpstr>
      <vt:lpstr>FleetRecordsPerAnnumEM_TotalGrand</vt:lpstr>
      <vt:lpstr>FleetRecordsPerAnnumEng_TotalGrand</vt:lpstr>
      <vt:lpstr>FleetRecordsPerAnnumHM_TotalGrand</vt:lpstr>
      <vt:lpstr>FleetRecordsPerAnnumLM_TotalGrand</vt:lpstr>
      <vt:lpstr>FleetRecordsPerAnnumO1_TotalGrand</vt:lpstr>
      <vt:lpstr>FleetRecordsPerAnnumO2_TotalGrand</vt:lpstr>
      <vt:lpstr>FleetRecordsPerAnnumPlg_TotalGrand</vt:lpstr>
      <vt:lpstr>FleetRecordsPerAnnumQSC_TotalGrand</vt:lpstr>
      <vt:lpstr>FleetRecordsPerAnnumSCL_TotalGrand</vt:lpstr>
      <vt:lpstr>FleetRecordsPerAnnumSMCS_TotalGrand</vt:lpstr>
      <vt:lpstr>FleetSize_A</vt:lpstr>
      <vt:lpstr>FleetSize_B</vt:lpstr>
      <vt:lpstr>FleetSize_C</vt:lpstr>
      <vt:lpstr>FleetSize_D</vt:lpstr>
      <vt:lpstr>FleetSize_E</vt:lpstr>
      <vt:lpstr>FleetSize_F</vt:lpstr>
      <vt:lpstr>FleetSize_G</vt:lpstr>
      <vt:lpstr>FleetSize_H</vt:lpstr>
      <vt:lpstr>FleetSize_I</vt:lpstr>
      <vt:lpstr>FleetSize_J</vt:lpstr>
      <vt:lpstr>FleetSize_K</vt:lpstr>
      <vt:lpstr>FleetSize_L</vt:lpstr>
      <vt:lpstr>FleetSize_M</vt:lpstr>
      <vt:lpstr>FleetSize_N</vt:lpstr>
      <vt:lpstr>FleetSize_O</vt:lpstr>
      <vt:lpstr>FleetSize_Total</vt:lpstr>
      <vt:lpstr>FleetTypeA</vt:lpstr>
      <vt:lpstr>FleetTypeB</vt:lpstr>
      <vt:lpstr>FleetTypeC</vt:lpstr>
      <vt:lpstr>FleetTypeD</vt:lpstr>
      <vt:lpstr>FleetTypeE</vt:lpstr>
      <vt:lpstr>FleetTypeF</vt:lpstr>
      <vt:lpstr>FleetTypeG</vt:lpstr>
      <vt:lpstr>FleetTypeH</vt:lpstr>
      <vt:lpstr>FleetTypeI</vt:lpstr>
      <vt:lpstr>FleetTypeJ</vt:lpstr>
      <vt:lpstr>FleetTypeK</vt:lpstr>
      <vt:lpstr>FleetTypeL</vt:lpstr>
      <vt:lpstr>FleetTypeM</vt:lpstr>
      <vt:lpstr>FleetTypeN</vt:lpstr>
      <vt:lpstr>FleetTypeO</vt:lpstr>
      <vt:lpstr>FTEHoursAuthAbsenceYr</vt:lpstr>
      <vt:lpstr>FTEHoursAvailProductiveYr</vt:lpstr>
      <vt:lpstr>FTEHoursNormalYr</vt:lpstr>
      <vt:lpstr>FTEHoursOTYr</vt:lpstr>
      <vt:lpstr>FTEHoursPaidYr</vt:lpstr>
      <vt:lpstr>'Costs_RecordArchive&amp;Retrieval'!hSystemRecordsShredRate</vt:lpstr>
      <vt:lpstr>hSystems_CFS_PaperBookPurchase</vt:lpstr>
      <vt:lpstr>hSystems_CFS_PaperProcess</vt:lpstr>
      <vt:lpstr>hSystems_CFS_RecordsMFDLease</vt:lpstr>
      <vt:lpstr>hSystems_CFS_RecordsOfficeLease</vt:lpstr>
      <vt:lpstr>'Costs_RecordArchive&amp;Retrieval'!hSystems_CFS_RecordsPaperArchives</vt:lpstr>
      <vt:lpstr>hSystems_CFS_RecordsPaperPurchase</vt:lpstr>
      <vt:lpstr>hSystems_CFS_RecordsTotal</vt:lpstr>
      <vt:lpstr>hSystemsBookCostpa_total</vt:lpstr>
      <vt:lpstr>hSystemsCompactusArea_Each</vt:lpstr>
      <vt:lpstr>hSystemsCompactusArea_Total</vt:lpstr>
      <vt:lpstr>hSystemsCost_LaborOther4_CFS</vt:lpstr>
      <vt:lpstr>hSystemsCost_LaborOther5_CFS</vt:lpstr>
      <vt:lpstr>hSystemsCost_LaborTotal_CFS</vt:lpstr>
      <vt:lpstr>Costs_RecordsOther!hSystemsCost_PaperProcess</vt:lpstr>
      <vt:lpstr>hSystemsCost_PaperProcess</vt:lpstr>
      <vt:lpstr>hSystemsCost_PaperReworkTotal_CFS</vt:lpstr>
      <vt:lpstr>hSystemsCost_TrgTotal_CFS</vt:lpstr>
      <vt:lpstr>hSystemsCost_TrgTotalBestCase_CFS</vt:lpstr>
      <vt:lpstr>hSystemsCost_TrgTotalMostLikely_CFS</vt:lpstr>
      <vt:lpstr>hSystemsCost_TrgTotalWorstCase_CFS</vt:lpstr>
      <vt:lpstr>hSystemsCostIT_CodeA</vt:lpstr>
      <vt:lpstr>hSystemsCostIT_CodeA_Customization</vt:lpstr>
      <vt:lpstr>hSystemsCostIT_CodeA_Licence</vt:lpstr>
      <vt:lpstr>hSystemsCostIT_CodeA_Operating</vt:lpstr>
      <vt:lpstr>hSystemsCostIT_CodeA_Software</vt:lpstr>
      <vt:lpstr>hSystemsCostIT_CodeA_Total</vt:lpstr>
      <vt:lpstr>hSystemsCostIT_CodeA_Upgrade</vt:lpstr>
      <vt:lpstr>hSystemsCostIT_CodeB</vt:lpstr>
      <vt:lpstr>hSystemsCostIT_CodeB_Customization</vt:lpstr>
      <vt:lpstr>hSystemsCostIT_CodeB_Licence</vt:lpstr>
      <vt:lpstr>hSystemsCostIT_CodeB_Operating</vt:lpstr>
      <vt:lpstr>hSystemsCostIT_CodeB_Software</vt:lpstr>
      <vt:lpstr>hSystemsCostIT_CodeB_Total</vt:lpstr>
      <vt:lpstr>hSystemsCostIT_CodeB_Upgrade</vt:lpstr>
      <vt:lpstr>hSystemsCostIT_CodeC</vt:lpstr>
      <vt:lpstr>hSystemsCostIT_CodeC_Customization</vt:lpstr>
      <vt:lpstr>hSystemsCostIT_CodeC_Licence</vt:lpstr>
      <vt:lpstr>hSystemsCostIT_CodeC_Operating</vt:lpstr>
      <vt:lpstr>hSystemsCostIT_CodeC_Software</vt:lpstr>
      <vt:lpstr>hSystemsCostIT_CodeC_Total</vt:lpstr>
      <vt:lpstr>hSystemsCostIT_CodeC_Upgrade</vt:lpstr>
      <vt:lpstr>hSystemsCostIT_CodeD</vt:lpstr>
      <vt:lpstr>hSystemsCostIT_CodeD_Customization</vt:lpstr>
      <vt:lpstr>hSystemsCostIT_CodeD_Licence</vt:lpstr>
      <vt:lpstr>hSystemsCostIT_CodeD_Operating</vt:lpstr>
      <vt:lpstr>hSystemsCostIT_CodeD_Software</vt:lpstr>
      <vt:lpstr>hSystemsCostIT_CodeD_Total</vt:lpstr>
      <vt:lpstr>hSystemsCostIT_CodeD_Upgrade</vt:lpstr>
      <vt:lpstr>hSystemsCostIT_CodeE</vt:lpstr>
      <vt:lpstr>hSystemsCostIT_CodeE_Customization</vt:lpstr>
      <vt:lpstr>hSystemsCostIT_CodeE_Licence</vt:lpstr>
      <vt:lpstr>hSystemsCostIT_CodeE_Operating</vt:lpstr>
      <vt:lpstr>hSystemsCostIT_CodeE_Software</vt:lpstr>
      <vt:lpstr>hSystemsCostIT_CodeE_Total</vt:lpstr>
      <vt:lpstr>hSystemsCostIT_CodeE_Upgrade</vt:lpstr>
      <vt:lpstr>hSystemsCostIT_CodeF</vt:lpstr>
      <vt:lpstr>hSystemsCostIT_CodeF_Customization</vt:lpstr>
      <vt:lpstr>hSystemsCostIT_CodeF_Licence</vt:lpstr>
      <vt:lpstr>hSystemsCostIT_CodeF_Operating</vt:lpstr>
      <vt:lpstr>hSystemsCostIT_CodeF_Software</vt:lpstr>
      <vt:lpstr>hSystemsCostIT_CodeF_Total</vt:lpstr>
      <vt:lpstr>hSystemsCostIT_CodeF_Upgrade</vt:lpstr>
      <vt:lpstr>hSystemsCostIT_CodeG</vt:lpstr>
      <vt:lpstr>hSystemsCostIT_CodeG_Customization</vt:lpstr>
      <vt:lpstr>hSystemsCostIT_CodeG_Licence</vt:lpstr>
      <vt:lpstr>hSystemsCostIT_CodeG_Operating</vt:lpstr>
      <vt:lpstr>hSystemsCostIT_CodeG_Software</vt:lpstr>
      <vt:lpstr>hSystemsCostIT_CodeG_Total</vt:lpstr>
      <vt:lpstr>hSystemsCostIT_CodeG_Upgrade</vt:lpstr>
      <vt:lpstr>hSystemsCostIT_Total</vt:lpstr>
      <vt:lpstr>hSystemsCostsWarrantyTotal_CFS</vt:lpstr>
      <vt:lpstr>hSystemsCostWarrantyTotal</vt:lpstr>
      <vt:lpstr>hSystemsFilingCabinetArea_Each</vt:lpstr>
      <vt:lpstr>hSystemsFilingCabinetArea_Total</vt:lpstr>
      <vt:lpstr>hSystemsFleetPaperCMTotal</vt:lpstr>
      <vt:lpstr>hSystemsFleetPaperCRTTotal</vt:lpstr>
      <vt:lpstr>hSystemsFleetPaperEMTotal</vt:lpstr>
      <vt:lpstr>hSystemsFleetPaperENGTotal</vt:lpstr>
      <vt:lpstr>hSystemsFleetPaperHMTotal</vt:lpstr>
      <vt:lpstr>hSystemsFleetPaperLMTotal</vt:lpstr>
      <vt:lpstr>hSystemsFleetPaperO1Total</vt:lpstr>
      <vt:lpstr>hSystemsFleetPaperO2Total</vt:lpstr>
      <vt:lpstr>hSystemsFleetPaperPLGTotal</vt:lpstr>
      <vt:lpstr>hSystemsFleetPaperQSCTotal</vt:lpstr>
      <vt:lpstr>hSystemsFleetPaperSCLTotal</vt:lpstr>
      <vt:lpstr>hSystemsFleetPaperSMCSTotal</vt:lpstr>
      <vt:lpstr>hSystemsFTEBestCase_Total_CFS</vt:lpstr>
      <vt:lpstr>hSystemsFTECalcResultBestCaseCM</vt:lpstr>
      <vt:lpstr>hSystemsFTECalcResultBestCaseCRT</vt:lpstr>
      <vt:lpstr>hSystemsFTECalcResultBestCaseEM</vt:lpstr>
      <vt:lpstr>hSystemsFTECalcResultBestCaseENG</vt:lpstr>
      <vt:lpstr>hSystemsFTECalcResultBestCaseHM</vt:lpstr>
      <vt:lpstr>hSystemsFTECalcResultBestCaseLM</vt:lpstr>
      <vt:lpstr>hSystemsFTECalcResultBestCaseO1</vt:lpstr>
      <vt:lpstr>hSystemsFTECalcResultBestCaseO2</vt:lpstr>
      <vt:lpstr>hSystemsFTECalcResultBestCasePLG</vt:lpstr>
      <vt:lpstr>hSystemsFTECalcResultBestCaseQSC</vt:lpstr>
      <vt:lpstr>hSystemsFTECalcResultBestCaseSCL</vt:lpstr>
      <vt:lpstr>hSystemsFTECalcResultBestCaseSMCS</vt:lpstr>
      <vt:lpstr>hSystemsFTECalcResultBestCaseTotal</vt:lpstr>
      <vt:lpstr>hSystemsFTECalcResultMostLikelyCM</vt:lpstr>
      <vt:lpstr>hSystemsFTECalcResultMostLikelyCRT</vt:lpstr>
      <vt:lpstr>hSystemsFTECalcResultMostLikelyEM</vt:lpstr>
      <vt:lpstr>hSystemsFTECalcResultMostLikelyENG</vt:lpstr>
      <vt:lpstr>hSystemsFTECalcResultMostLikelyHM</vt:lpstr>
      <vt:lpstr>hSystemsFTECalcResultMostLikelyLM</vt:lpstr>
      <vt:lpstr>hSystemsFTECalcResultMostLikelyO1</vt:lpstr>
      <vt:lpstr>hSystemsFTECalcResultMostLikelyO2</vt:lpstr>
      <vt:lpstr>hSystemsFTECalcResultMostLikelyPLG</vt:lpstr>
      <vt:lpstr>hSystemsFTECalcResultMostLikelyQSC</vt:lpstr>
      <vt:lpstr>hSystemsFTECalcResultMostLikelySCL</vt:lpstr>
      <vt:lpstr>hSystemsFTECalcResultMostLikelySMCS</vt:lpstr>
      <vt:lpstr>hSystemsFTECalcResultMostLikelyTotal</vt:lpstr>
      <vt:lpstr>hSystemsFTECalcResultWorstCaseCM</vt:lpstr>
      <vt:lpstr>hSystemsFTECalcResultWorstCaseCRT</vt:lpstr>
      <vt:lpstr>hSystemsFTECalcResultWorstCaseEM</vt:lpstr>
      <vt:lpstr>hSystemsFTECalcResultWorstCaseENG</vt:lpstr>
      <vt:lpstr>hSystemsFTECalcResultWorstCaseHM</vt:lpstr>
      <vt:lpstr>hSystemsFTECalcResultWorstCaseLM</vt:lpstr>
      <vt:lpstr>hSystemsFTECalcResultWorstCaseO1</vt:lpstr>
      <vt:lpstr>hSystemsFTECalcResultWorstCaseO2</vt:lpstr>
      <vt:lpstr>hSystemsFTECalcResultWorstCasePLG</vt:lpstr>
      <vt:lpstr>hSystemsFTECalcResultWorstCaseQSC</vt:lpstr>
      <vt:lpstr>hSystemsFTECalcResultWorstCaseSCL</vt:lpstr>
      <vt:lpstr>hSystemsFTECalcResultWorstCaseSMCS</vt:lpstr>
      <vt:lpstr>hSystemsFTECalcResultWorstCaseTotal</vt:lpstr>
      <vt:lpstr>hSystemsFTELaborCostBestCase_CFS</vt:lpstr>
      <vt:lpstr>hSystemsFTELaborCostBestCaseTotal</vt:lpstr>
      <vt:lpstr>hSystemsFTELaborCostMostLikely_CFS</vt:lpstr>
      <vt:lpstr>hSystemsFTELaborCostMostLikelyCM</vt:lpstr>
      <vt:lpstr>hSystemsFTELaborCostMostLikelyCRT</vt:lpstr>
      <vt:lpstr>hSystemsFTELaborCostMostLikelyEM</vt:lpstr>
      <vt:lpstr>hSystemsFTELaborCostMostLikelyENG</vt:lpstr>
      <vt:lpstr>hSystemsFTELaborCostMostLikelyHM</vt:lpstr>
      <vt:lpstr>hSystemsFTELaborCostMostLikelyLM</vt:lpstr>
      <vt:lpstr>hSystemsFTELaborCostMostLikelyO1</vt:lpstr>
      <vt:lpstr>hSystemsFTELaborCostMostLikelyO2</vt:lpstr>
      <vt:lpstr>hSystemsFTELaborCostMostLikelyPLG</vt:lpstr>
      <vt:lpstr>hSystemsFTELaborCostMostLikelyQSC</vt:lpstr>
      <vt:lpstr>hSystemsFTELaborCostMostLikelySCL</vt:lpstr>
      <vt:lpstr>hSystemsFTELaborCostMostLikelySMCS</vt:lpstr>
      <vt:lpstr>hSystemsFTELaborCostMostLikelyTotal</vt:lpstr>
      <vt:lpstr>hSystemsFTELaborCostWorstCase_CFS</vt:lpstr>
      <vt:lpstr>hSystemsFTELaborCostWorstCaseCM</vt:lpstr>
      <vt:lpstr>hSystemsFTELaborCostWorstCaseCRT</vt:lpstr>
      <vt:lpstr>hSystemsFTELaborCostWorstCaseEM</vt:lpstr>
      <vt:lpstr>hSystemsFTELaborCostWorstCaseENG</vt:lpstr>
      <vt:lpstr>hSystemsFTELaborCostWorstCaseHM</vt:lpstr>
      <vt:lpstr>hSystemsFTELaborCostWorstCaseLM</vt:lpstr>
      <vt:lpstr>hSystemsFTELaborCostWorstCaseO1</vt:lpstr>
      <vt:lpstr>hSystemsFTELaborCostWorstCaseO2</vt:lpstr>
      <vt:lpstr>hSystemsFTELaborCostWorstCasePLG</vt:lpstr>
      <vt:lpstr>hSystemsFTELaborCostWorstCaseQSC</vt:lpstr>
      <vt:lpstr>hSystemsFTELaborCostWorstCaseSCL</vt:lpstr>
      <vt:lpstr>hSystemsFTELaborCostWorstCaseSMCS</vt:lpstr>
      <vt:lpstr>hSystemsFTELaborCostWorstCaseTotal</vt:lpstr>
      <vt:lpstr>hSystemsFTEMostLikely_Total_CFS</vt:lpstr>
      <vt:lpstr>hSystemsFTEMostLikelyBestCaseCM</vt:lpstr>
      <vt:lpstr>hSystemsFTEMostLikelyBestCaseCRT</vt:lpstr>
      <vt:lpstr>hSystemsFTEMostLikelyBestCaseEM</vt:lpstr>
      <vt:lpstr>hSystemsFTEMostLikelyBestCaseENG</vt:lpstr>
      <vt:lpstr>hSystemsFTEMostLikelyBestCaseHM</vt:lpstr>
      <vt:lpstr>hSystemsFTEMostLikelyBestCaseLM</vt:lpstr>
      <vt:lpstr>hSystemsFTEMostLikelyBestCaseO1</vt:lpstr>
      <vt:lpstr>hSystemsFTEMostLikelyBestCaseO2</vt:lpstr>
      <vt:lpstr>hSystemsFTEMostLikelyBestCasePLG</vt:lpstr>
      <vt:lpstr>hSystemsFTEMostLikelyBestCaseQSC</vt:lpstr>
      <vt:lpstr>hSystemsFTEMostLikelyBestCaseSCL</vt:lpstr>
      <vt:lpstr>hSystemsFTEMostLikelyBestCaseSMCS</vt:lpstr>
      <vt:lpstr>hSystemsFTEPercentReductionBestCaseCM</vt:lpstr>
      <vt:lpstr>hSystemsFTEPercentReductionBestCaseCRT</vt:lpstr>
      <vt:lpstr>hSystemsFTEPercentReductionBestCaseEM</vt:lpstr>
      <vt:lpstr>hSystemsFTEPercentReductionBestCaseENG</vt:lpstr>
      <vt:lpstr>hSystemsFTEPercentReductionBestCaseHM</vt:lpstr>
      <vt:lpstr>hSystemsFTEPercentReductionBestCaseLM</vt:lpstr>
      <vt:lpstr>hSystemsFTEPercentReductionBestCaseO1</vt:lpstr>
      <vt:lpstr>hSystemsFTEPercentReductionBestCaseO2</vt:lpstr>
      <vt:lpstr>hSystemsFTEPercentReductionBestCasePLG</vt:lpstr>
      <vt:lpstr>hSystemsFTEPercentReductionBestCaseQSC</vt:lpstr>
      <vt:lpstr>hSystemsFTEPercentReductionBestCaseSCL</vt:lpstr>
      <vt:lpstr>hSystemsFTEPercentReductionBestCaseSMCS</vt:lpstr>
      <vt:lpstr>hSystemsFTEPercentReductionMostLikelyCM</vt:lpstr>
      <vt:lpstr>hSystemsFTEPercentReductionMostLikelyCRT</vt:lpstr>
      <vt:lpstr>hSystemsFTEPercentReductionMostLikelyEM</vt:lpstr>
      <vt:lpstr>hSystemsFTEPercentReductionMostLikelyENG</vt:lpstr>
      <vt:lpstr>hSystemsFTEPercentReductionMostLikelyHM</vt:lpstr>
      <vt:lpstr>hSystemsFTEPercentReductionMostLikelyLM</vt:lpstr>
      <vt:lpstr>hSystemsFTEPercentReductionMostLikelyO1</vt:lpstr>
      <vt:lpstr>hSystemsFTEPercentReductionMostLikelyO2</vt:lpstr>
      <vt:lpstr>hSystemsFTEPercentReductionMostLikelyPLG</vt:lpstr>
      <vt:lpstr>hSystemsFTEPercentReductionMostLikelyQSC</vt:lpstr>
      <vt:lpstr>hSystemsFTEPercentReductionMostLikelySCL</vt:lpstr>
      <vt:lpstr>hSystemsFTEPercentReductionMostLikelySMCS</vt:lpstr>
      <vt:lpstr>hSystemsFTEPercentReductionWorstCaseCM</vt:lpstr>
      <vt:lpstr>hSystemsFTEPercentReductionWorstCaseCRT</vt:lpstr>
      <vt:lpstr>hSystemsFTEPercentReductionWorstCaseEM</vt:lpstr>
      <vt:lpstr>hSystemsFTEPercentReductionWorstCaseENG</vt:lpstr>
      <vt:lpstr>hSystemsFTEPercentReductionWorstCaseHM</vt:lpstr>
      <vt:lpstr>hSystemsFTEPercentReductionWorstCaseLM</vt:lpstr>
      <vt:lpstr>hSystemsFTEPercentReductionWorstCaseO1</vt:lpstr>
      <vt:lpstr>hSystemsFTEPercentReductionWorstCaseO2</vt:lpstr>
      <vt:lpstr>hSystemsFTEPercentReductionWorstCasePLG</vt:lpstr>
      <vt:lpstr>hSystemsFTEPercentReductionWorstCaseQSC</vt:lpstr>
      <vt:lpstr>hSystemsFTEPercentReductionWorstCaseSCL</vt:lpstr>
      <vt:lpstr>hSystemsFTEPercentReductionWorstCaseSMCS</vt:lpstr>
      <vt:lpstr>hSystemsFTERework_OutputSummary</vt:lpstr>
      <vt:lpstr>hSystemsFTETotal_OutputSummary</vt:lpstr>
      <vt:lpstr>hSystemsFTEWarranty</vt:lpstr>
      <vt:lpstr>hSystemsFTEWarranty_OutputSummary</vt:lpstr>
      <vt:lpstr>hSystemsFTEWorstCase_Total_CFS</vt:lpstr>
      <vt:lpstr>hSystemsInducedLaborCostTotal</vt:lpstr>
      <vt:lpstr>hSystemsInducedTotalCostBCTotalCumGrand</vt:lpstr>
      <vt:lpstr>hSystemsInducedTotalCostBCTotalGrand</vt:lpstr>
      <vt:lpstr>hSystemsInducedTotalCostMLTotalCumgrand</vt:lpstr>
      <vt:lpstr>hSystemsInducedTotalCostMLTotalgrand</vt:lpstr>
      <vt:lpstr>hSystemsInducedTotalCostWCTotalCumGrand</vt:lpstr>
      <vt:lpstr>hSystemsInducedTotalCostWCTotalGrand</vt:lpstr>
      <vt:lpstr>hSystemsIT_CodeA_Total_CFS</vt:lpstr>
      <vt:lpstr>hSystemsIT_CodeB_Total_CFS</vt:lpstr>
      <vt:lpstr>hSystemsIT_CodeC_Total_CFS</vt:lpstr>
      <vt:lpstr>hSystemsIT_CodeD_Total_CFS</vt:lpstr>
      <vt:lpstr>hSystemsIT_CodeE_Total_CFS</vt:lpstr>
      <vt:lpstr>hSystemsIT_CodeF_Total_CFS</vt:lpstr>
      <vt:lpstr>hSystemsIT_CodeG_Total_CFS</vt:lpstr>
      <vt:lpstr>hSystemsIT_Cost_Total_CFS</vt:lpstr>
      <vt:lpstr>hSystemsLaborUtilRate</vt:lpstr>
      <vt:lpstr>hSystemsLease_AAaudit_Total_CFS</vt:lpstr>
      <vt:lpstr>hSystemsLease_Cost_Total_CFS</vt:lpstr>
      <vt:lpstr>hSystemsLease_DisRec_Total_CFS</vt:lpstr>
      <vt:lpstr>hSystemsLease_DueDil_Total_CFS</vt:lpstr>
      <vt:lpstr>hSystemsLease_Hosting_Total_CFS</vt:lpstr>
      <vt:lpstr>hSystemsLease_LessorAudit_Total_CFS</vt:lpstr>
      <vt:lpstr>hSystemsLease_RecSearch_Total_CFS</vt:lpstr>
      <vt:lpstr>hSystemsLease_Return_Total_CFS</vt:lpstr>
      <vt:lpstr>hSystemsLeaseDisputedRecordFTEsCM</vt:lpstr>
      <vt:lpstr>hSystemsLeaseDisputedRecordFTEsCRT</vt:lpstr>
      <vt:lpstr>hSystemsLeaseDisputedRecordFTEsEM</vt:lpstr>
      <vt:lpstr>hSystemsLeaseDisputedRecordFTEsENG</vt:lpstr>
      <vt:lpstr>hSystemsLeaseDisputedRecordFTEsHM</vt:lpstr>
      <vt:lpstr>hSystemsLeaseDisputedRecordFTEsLM</vt:lpstr>
      <vt:lpstr>hSystemsLeaseDisputedRecordFTEsO1</vt:lpstr>
      <vt:lpstr>hSystemsLeaseDisputedRecordFTEsO2</vt:lpstr>
      <vt:lpstr>hSystemsLeaseDisputedRecordFTEsPLG</vt:lpstr>
      <vt:lpstr>hSystemsLeaseDisputedRecordFTEsQSC</vt:lpstr>
      <vt:lpstr>hSystemsLeaseDisputedRecordFTEsSCL</vt:lpstr>
      <vt:lpstr>hSystemsLeaseDisputedRecordFTEsSMCS</vt:lpstr>
      <vt:lpstr>hSystemsLeaseDisputedRecordLaborCostCM</vt:lpstr>
      <vt:lpstr>hSystemsLeaseDisputedRecordLaborCostCRT</vt:lpstr>
      <vt:lpstr>hSystemsLeaseDisputedRecordLaborCostEM</vt:lpstr>
      <vt:lpstr>hSystemsLeaseDisputedRecordLaborCostENG</vt:lpstr>
      <vt:lpstr>hSystemsLeaseDisputedRecordLaborCostHM</vt:lpstr>
      <vt:lpstr>hSystemsLeaseDisputedRecordLaborCostLM</vt:lpstr>
      <vt:lpstr>hSystemsLeaseDisputedRecordLaborCostO1</vt:lpstr>
      <vt:lpstr>hSystemsLeaseDisputedRecordLaborCostO2</vt:lpstr>
      <vt:lpstr>hSystemsLeaseDisputedRecordLaborCostPLG</vt:lpstr>
      <vt:lpstr>hSystemsLeaseDisputedRecordLaborCostQSC</vt:lpstr>
      <vt:lpstr>hSystemsLeaseDisputedRecordLaborCostSCL</vt:lpstr>
      <vt:lpstr>hSystemsLeaseDisputedRecordLaborCostSMCS</vt:lpstr>
      <vt:lpstr>hSystemsLeaseDisputedRecordLaborCostTotal</vt:lpstr>
      <vt:lpstr>hSystemsLeaseDisputedRecordLaborCostTotal_CFS</vt:lpstr>
      <vt:lpstr>hSystemsLeaseDisputedRecordLaborHrsCM</vt:lpstr>
      <vt:lpstr>hSystemsLeaseDisputedRecordLaborHrsCRT</vt:lpstr>
      <vt:lpstr>hSystemsLeaseDisputedRecordLaborHrsEM</vt:lpstr>
      <vt:lpstr>hSystemsLeaseDisputedRecordLaborHrsENG</vt:lpstr>
      <vt:lpstr>hSystemsLeaseDisputedRecordLaborHrsHM</vt:lpstr>
      <vt:lpstr>hSystemsLeaseDisputedRecordLaborHrsLM</vt:lpstr>
      <vt:lpstr>hSystemsLeaseDisputedRecordLaborHrsO1</vt:lpstr>
      <vt:lpstr>hSystemsLeaseDisputedRecordLaborHrsO2</vt:lpstr>
      <vt:lpstr>hSystemsLeaseDisputedRecordLaborHrsPLG</vt:lpstr>
      <vt:lpstr>hSystemsLeaseDisputedRecordLaborHrsQSC</vt:lpstr>
      <vt:lpstr>hSystemsLeaseDisputedRecordLaborHrsSCL</vt:lpstr>
      <vt:lpstr>hSystemsLeaseDisputedRecordLaborHrsSMCS</vt:lpstr>
      <vt:lpstr>hSystemsLeaseDisputedRecordTotalFTEs</vt:lpstr>
      <vt:lpstr>hSystemsLeaseDisputedRecordTotalFTEs_OutputSummary</vt:lpstr>
      <vt:lpstr>hSystemsLeaseDisputeRecordsForecast</vt:lpstr>
      <vt:lpstr>hSystemsLeaseDueDilEventForecast</vt:lpstr>
      <vt:lpstr>hSystemsLeaseDueDilFTEsCM</vt:lpstr>
      <vt:lpstr>hSystemsLeaseDueDilFTEsCRT</vt:lpstr>
      <vt:lpstr>hSystemsLeaseDueDilFTEsEM</vt:lpstr>
      <vt:lpstr>hSystemsLeaseDueDilFTEsENG</vt:lpstr>
      <vt:lpstr>hSystemsLeaseDueDilFTEsHM</vt:lpstr>
      <vt:lpstr>hSystemsLeaseDueDilFTEsLM</vt:lpstr>
      <vt:lpstr>hSystemsLeaseDueDilFTEsO1</vt:lpstr>
      <vt:lpstr>hSystemsLeaseDueDilFTEsO2</vt:lpstr>
      <vt:lpstr>hSystemsLeaseDueDilFTEsPLG</vt:lpstr>
      <vt:lpstr>hSystemsLeaseDueDilFTEsQSC</vt:lpstr>
      <vt:lpstr>hSystemsLeaseDueDilFTEsSCL</vt:lpstr>
      <vt:lpstr>hSystemsLeaseDueDilFTEsSMCS</vt:lpstr>
      <vt:lpstr>hSystemsLeaseDueDilLaborCostCM</vt:lpstr>
      <vt:lpstr>hSystemsLeaseDueDilLaborCostCRT</vt:lpstr>
      <vt:lpstr>hSystemsLeaseDueDilLaborCostEM</vt:lpstr>
      <vt:lpstr>hSystemsLeaseDueDilLaborCostENG</vt:lpstr>
      <vt:lpstr>hSystemsLeaseDueDilLaborCostHM</vt:lpstr>
      <vt:lpstr>hSystemsLeaseDueDilLaborCostLM</vt:lpstr>
      <vt:lpstr>hSystemsLeaseDueDilLaborCostO1</vt:lpstr>
      <vt:lpstr>hSystemsLeaseDueDilLaborCostO2</vt:lpstr>
      <vt:lpstr>hSystemsLeaseDueDilLaborCostPLG</vt:lpstr>
      <vt:lpstr>hSystemsLeaseDueDilLaborCostQSC</vt:lpstr>
      <vt:lpstr>hSystemsLeaseDueDilLaborCostSCL</vt:lpstr>
      <vt:lpstr>hSystemsLeaseDueDilLaborCostSMCS</vt:lpstr>
      <vt:lpstr>hSystemsLeaseDueDilLaborCostTotal</vt:lpstr>
      <vt:lpstr>hSystemsLeaseDueDilLaborCostTotal_CFS</vt:lpstr>
      <vt:lpstr>hSystemsLeaseDueDilLaborHrsCM</vt:lpstr>
      <vt:lpstr>hSystemsLeaseDueDilLaborHrsCRT</vt:lpstr>
      <vt:lpstr>hSystemsLeaseDueDilLaborHrsEM</vt:lpstr>
      <vt:lpstr>hSystemsLeaseDueDilLaborHrsENG</vt:lpstr>
      <vt:lpstr>hSystemsLeaseDueDilLaborHrsHM</vt:lpstr>
      <vt:lpstr>hSystemsLeaseDueDilLaborHrsLM</vt:lpstr>
      <vt:lpstr>hSystemsLeaseDueDilLaborHrsO1</vt:lpstr>
      <vt:lpstr>hSystemsLeaseDueDilLaborHrsO2</vt:lpstr>
      <vt:lpstr>hSystemsLeaseDueDilLaborHrsPLG</vt:lpstr>
      <vt:lpstr>hSystemsLeaseDueDilLaborHrsQSC</vt:lpstr>
      <vt:lpstr>hSystemsLeaseDueDilLaborHrsSCL</vt:lpstr>
      <vt:lpstr>hSystemsLeaseDueDilLaborHrsSMCS</vt:lpstr>
      <vt:lpstr>hSystemsLeaseDueDilTotalFTEs</vt:lpstr>
      <vt:lpstr>hSystemsLeaseDueDilTotalFTEs_OutputSummary</vt:lpstr>
      <vt:lpstr>hSystemsLeaseHostLaborCostCM</vt:lpstr>
      <vt:lpstr>hSystemsLeaseHostLaborCostCRT</vt:lpstr>
      <vt:lpstr>hSystemsLeaseHostLaborCostEM</vt:lpstr>
      <vt:lpstr>hSystemsLeaseHostLaborCostENG</vt:lpstr>
      <vt:lpstr>hSystemsLeaseHostLaborCostHM</vt:lpstr>
      <vt:lpstr>hSystemsLeaseHostLaborCostLM</vt:lpstr>
      <vt:lpstr>hSystemsLeaseHostLaborCostO1</vt:lpstr>
      <vt:lpstr>hSystemsLeaseHostLaborCostO2</vt:lpstr>
      <vt:lpstr>hSystemsLeaseHostLaborCostPLG</vt:lpstr>
      <vt:lpstr>hSystemsLeaseHostLaborCostQSC</vt:lpstr>
      <vt:lpstr>hSystemsLeaseHostLaborCostSCL</vt:lpstr>
      <vt:lpstr>hSystemsLeaseHostLaborCostSMCS</vt:lpstr>
      <vt:lpstr>hSystemsLeaseHostLaborCostTotal</vt:lpstr>
      <vt:lpstr>hSystemsLeaseHostLaborCostTotal_CFS</vt:lpstr>
      <vt:lpstr>hSystemsLeaseHostLaborHrsCM</vt:lpstr>
      <vt:lpstr>hSystemsLeaseHostLaborHrsCRT</vt:lpstr>
      <vt:lpstr>hSystemsLeaseHostLaborHrsEM</vt:lpstr>
      <vt:lpstr>hSystemsLeaseHostLaborHrsENG</vt:lpstr>
      <vt:lpstr>hSystemsLeaseHostLaborHrsHM</vt:lpstr>
      <vt:lpstr>hSystemsLeaseHostLaborHrsLM</vt:lpstr>
      <vt:lpstr>hSystemsLeaseHostLaborHrsO1</vt:lpstr>
      <vt:lpstr>hSystemsLeaseHostLaborHrsO2</vt:lpstr>
      <vt:lpstr>hSystemsLeaseHostLaborHrsPLG</vt:lpstr>
      <vt:lpstr>hSystemsLeaseHostLaborHrsQSC</vt:lpstr>
      <vt:lpstr>hSystemsLeaseHostLaborHrsSCL</vt:lpstr>
      <vt:lpstr>hSystemsLeaseHostLaborHrsSMCS</vt:lpstr>
      <vt:lpstr>hSystemsLeaseLaborCostCM</vt:lpstr>
      <vt:lpstr>hSystemsLeaseLaborCostCRT</vt:lpstr>
      <vt:lpstr>hSystemsLeaseLaborCostEM</vt:lpstr>
      <vt:lpstr>hSystemsLeaseLaborCostENG</vt:lpstr>
      <vt:lpstr>hSystemsLeaseLaborCostHM</vt:lpstr>
      <vt:lpstr>hSystemsLeaseLaborCostLM</vt:lpstr>
      <vt:lpstr>hSystemsLeaseLaborCostO1</vt:lpstr>
      <vt:lpstr>hSystemsLeaseLaborCostO2</vt:lpstr>
      <vt:lpstr>hSystemsLeaseLaborCostPLG</vt:lpstr>
      <vt:lpstr>hSystemsLeaseLaborCostQSC</vt:lpstr>
      <vt:lpstr>hSystemsLeaseLaborCostSCL</vt:lpstr>
      <vt:lpstr>hSystemsLeaseLaborCostSMCS</vt:lpstr>
      <vt:lpstr>hSystemsLeaseLaborCostTotalpa</vt:lpstr>
      <vt:lpstr>hSystemsLeaseLaborCostTotalpa_CFS</vt:lpstr>
      <vt:lpstr>hSystemsLeaseLaborHrsCM</vt:lpstr>
      <vt:lpstr>hSystemsLeaseLaborHrsCRT</vt:lpstr>
      <vt:lpstr>hSystemsLeaseLaborHrsEM</vt:lpstr>
      <vt:lpstr>hSystemsLeaseLaborHrsENG</vt:lpstr>
      <vt:lpstr>hSystemsLeaseLaborHrsHM</vt:lpstr>
      <vt:lpstr>hSystemsLeaseLaborHrsLM</vt:lpstr>
      <vt:lpstr>hSystemsLeaseLaborHrsO1</vt:lpstr>
      <vt:lpstr>hSystemsLeaseLaborHrsO2</vt:lpstr>
      <vt:lpstr>hSystemsLeaseLaborHrsPLG</vt:lpstr>
      <vt:lpstr>hSystemsLeaseLaborHrsQSC</vt:lpstr>
      <vt:lpstr>hSystemsLeaseLaborHrsSCL</vt:lpstr>
      <vt:lpstr>hSystemsLeaseLaborHrsSMCS</vt:lpstr>
      <vt:lpstr>hSystemsLeaseLessorVisitFTEsCM</vt:lpstr>
      <vt:lpstr>hSystemsLeaseLessorVisitFTEsCRT</vt:lpstr>
      <vt:lpstr>hSystemsLeaseLessorVisitFTEsEM</vt:lpstr>
      <vt:lpstr>hSystemsLeaseLessorVisitFTEsENG</vt:lpstr>
      <vt:lpstr>hSystemsLeaseLessorVisitFTEsHM</vt:lpstr>
      <vt:lpstr>hSystemsLeaseLessorVisitFTEsLM</vt:lpstr>
      <vt:lpstr>hSystemsLeaseLessorVisitFTEsO1</vt:lpstr>
      <vt:lpstr>hSystemsLeaseLessorVisitFTEsO2</vt:lpstr>
      <vt:lpstr>hSystemsLeaseLessorVisitFTEsPLG</vt:lpstr>
      <vt:lpstr>hSystemsLeaseLessorVisitFTEsQSC</vt:lpstr>
      <vt:lpstr>hSystemsLeaseLessorVisitFTEsSCL</vt:lpstr>
      <vt:lpstr>hSystemsLeaseLessorVisitFTEsSMCS</vt:lpstr>
      <vt:lpstr>hSystemsLeaseLessorVisitTotalFTEs</vt:lpstr>
      <vt:lpstr>hSystemsLeaseLessorVisitTotalFTEs_OutputSummary</vt:lpstr>
      <vt:lpstr>hSystemsLeasePaperPrint</vt:lpstr>
      <vt:lpstr>hSystemsLeasePaperPrintPA</vt:lpstr>
      <vt:lpstr>hSystemsLeaseRecordSearchFTEsCM</vt:lpstr>
      <vt:lpstr>hSystemsLeaseRecordSearchFTEsCRT</vt:lpstr>
      <vt:lpstr>hSystemsLeaseRecordSearchFTEsEM</vt:lpstr>
      <vt:lpstr>hSystemsLeaseRecordSearchFTEsENG</vt:lpstr>
      <vt:lpstr>hSystemsLeaseRecordSearchFTEsHM</vt:lpstr>
      <vt:lpstr>hSystemsLeaseRecordSearchFTEsLM</vt:lpstr>
      <vt:lpstr>hSystemsLeaseRecordSearchFTEsO1</vt:lpstr>
      <vt:lpstr>hSystemsLeaseRecordSearchFTEsO2</vt:lpstr>
      <vt:lpstr>hSystemsLeaseRecordSearchFTEsPLG</vt:lpstr>
      <vt:lpstr>hSystemsLeaseRecordSearchFTEsQSC</vt:lpstr>
      <vt:lpstr>hSystemsLeaseRecordSearchFTEsSCL</vt:lpstr>
      <vt:lpstr>hSystemsLeaseRecordSearchFTEsSMCS</vt:lpstr>
      <vt:lpstr>hSystemsLeaseRecordSearchLaborCostCM</vt:lpstr>
      <vt:lpstr>hSystemsLeaseRecordSearchLaborCostCRT</vt:lpstr>
      <vt:lpstr>hSystemsLeaseRecordSearchLaborCostEM</vt:lpstr>
      <vt:lpstr>hSystemsLeaseRecordSearchLaborCostENG</vt:lpstr>
      <vt:lpstr>hSystemsLeaseRecordSearchLaborCostHM</vt:lpstr>
      <vt:lpstr>hSystemsLeaseRecordSearchLaborCostLM</vt:lpstr>
      <vt:lpstr>hSystemsLeaseRecordSearchLaborCostO1</vt:lpstr>
      <vt:lpstr>hSystemsLeaseRecordSearchLaborCostO2</vt:lpstr>
      <vt:lpstr>hSystemsLeaseRecordSearchLaborCostPLG</vt:lpstr>
      <vt:lpstr>hSystemsLeaseRecordSearchLaborCostQSC</vt:lpstr>
      <vt:lpstr>hSystemsLeaseRecordSearchLaborCostSCL</vt:lpstr>
      <vt:lpstr>hSystemsLeaseRecordSearchLaborCostSMCS</vt:lpstr>
      <vt:lpstr>hSystemsLeaseRecordSearchLaborCostTotal</vt:lpstr>
      <vt:lpstr>hSystemsLeaseRecordSearchLaborCostTotal_CFS</vt:lpstr>
      <vt:lpstr>hSystemsLeaseRecordSearchLaborHrsCM</vt:lpstr>
      <vt:lpstr>hSystemsLeaseRecordSearchLaborHrsCRT</vt:lpstr>
      <vt:lpstr>hSystemsLeaseRecordSearchLaborHrsEM</vt:lpstr>
      <vt:lpstr>hSystemsLeaseRecordSearchLaborHrsENG</vt:lpstr>
      <vt:lpstr>hSystemsLeaseRecordSearchLaborHrsHM</vt:lpstr>
      <vt:lpstr>hSystemsLeaseRecordSearchLaborHrsLM</vt:lpstr>
      <vt:lpstr>hSystemsLeaseRecordSearchLaborHrsO1</vt:lpstr>
      <vt:lpstr>hSystemsLeaseRecordSearchLaborHrsO2</vt:lpstr>
      <vt:lpstr>hSystemsLeaseRecordSearchLaborHrsPLG</vt:lpstr>
      <vt:lpstr>hSystemsLeaseRecordSearchLaborHrsQSC</vt:lpstr>
      <vt:lpstr>hSystemsLeaseRecordSearchLaborHrsSCL</vt:lpstr>
      <vt:lpstr>hSystemsLeaseRecordSearchLaborHrsSMCS</vt:lpstr>
      <vt:lpstr>hSystemsLeaseRecordSearchTotalFTEs</vt:lpstr>
      <vt:lpstr>hSystemsLeaseRecordSearchTotalFTEs_OutputSummary</vt:lpstr>
      <vt:lpstr>hSystemsLeaseRecordsSearchForecast</vt:lpstr>
      <vt:lpstr>hSystemsLeaseRelatedTotalFTEs_OutputSummary</vt:lpstr>
      <vt:lpstr>hSystemsLeaseReturnFTEsCM</vt:lpstr>
      <vt:lpstr>hSystemsLeaseReturnFTEsCRT</vt:lpstr>
      <vt:lpstr>hSystemsLeaseReturnFTEsEM</vt:lpstr>
      <vt:lpstr>hSystemsLeaseReturnFTEsENG</vt:lpstr>
      <vt:lpstr>hSystemsLeaseReturnFTEsHM</vt:lpstr>
      <vt:lpstr>hSystemsLeaseReturnFTEsLM</vt:lpstr>
      <vt:lpstr>hSystemsLeaseReturnFTEsO1</vt:lpstr>
      <vt:lpstr>hSystemsLeaseReturnFTEsO2</vt:lpstr>
      <vt:lpstr>hSystemsLeaseReturnFTEsPLG</vt:lpstr>
      <vt:lpstr>hSystemsLeaseReturnFTEsQSC</vt:lpstr>
      <vt:lpstr>hSystemsLeaseReturnFTEsSCL</vt:lpstr>
      <vt:lpstr>hSystemsLeaseReturnFTEsSMCS</vt:lpstr>
      <vt:lpstr>hSystemsLeaseReturnPaperPrintCost</vt:lpstr>
      <vt:lpstr>hSystemsLeaseReturnPaperPrintCost_CFS</vt:lpstr>
      <vt:lpstr>hSystemsLeaseReturnPrintCollFTEsCM</vt:lpstr>
      <vt:lpstr>hSystemsLeaseReturnPrintCollFTEsCRT</vt:lpstr>
      <vt:lpstr>hSystemsLeaseReturnPrintCollFTEsEM</vt:lpstr>
      <vt:lpstr>hSystemsLeaseReturnPrintCollFTEsENG</vt:lpstr>
      <vt:lpstr>hSystemsLeaseReturnPrintCollFTEsHM</vt:lpstr>
      <vt:lpstr>hSystemsLeaseReturnPrintCollFTEsLM</vt:lpstr>
      <vt:lpstr>hSystemsLeaseReturnPrintCollFTEsO1</vt:lpstr>
      <vt:lpstr>hSystemsLeaseReturnPrintCollFTEsO2</vt:lpstr>
      <vt:lpstr>hSystemsLeaseReturnPrintCollFTEsPLG</vt:lpstr>
      <vt:lpstr>hSystemsLeaseReturnPrintCollFTEsQSC</vt:lpstr>
      <vt:lpstr>hSystemsLeaseReturnPrintCollFTEsSCL</vt:lpstr>
      <vt:lpstr>hSystemsLeaseReturnPrintCollFTEsSMCS</vt:lpstr>
      <vt:lpstr>hSystemsLeaseReturnPrintCollLaborCostCM</vt:lpstr>
      <vt:lpstr>hSystemsLeaseReturnPrintCollLaborCostCRT</vt:lpstr>
      <vt:lpstr>hSystemsLeaseReturnPrintCollLaborCostEM</vt:lpstr>
      <vt:lpstr>hSystemsLeaseReturnPrintCollLaborCostENG</vt:lpstr>
      <vt:lpstr>hSystemsLeaseReturnPrintCollLaborCostHM</vt:lpstr>
      <vt:lpstr>hSystemsLeaseReturnPrintCollLaborCostLM</vt:lpstr>
      <vt:lpstr>hSystemsLeaseReturnPrintCollLaborCostO1</vt:lpstr>
      <vt:lpstr>hSystemsLeaseReturnPrintCollLaborCostO2</vt:lpstr>
      <vt:lpstr>hSystemsLeaseReturnPrintCollLaborCostPLG</vt:lpstr>
      <vt:lpstr>hSystemsLeaseReturnPrintCollLaborCostQSC</vt:lpstr>
      <vt:lpstr>hSystemsLeaseReturnPrintCollLaborCostSCL</vt:lpstr>
      <vt:lpstr>hSystemsLeaseReturnPrintCollLaborCostSMCS</vt:lpstr>
      <vt:lpstr>hSystemsLeaseReturnPrintCollLaborCostTotal</vt:lpstr>
      <vt:lpstr>hSystemsLeaseReturnPrintCollLaborCostTotal_CFS</vt:lpstr>
      <vt:lpstr>hSystemsLeaseReturnPrintCollLaborHrsCM</vt:lpstr>
      <vt:lpstr>hSystemsLeaseReturnPrintCollLaborHrsCRT</vt:lpstr>
      <vt:lpstr>hSystemsLeaseReturnPrintCollLaborHrsEM</vt:lpstr>
      <vt:lpstr>hSystemsLeaseReturnPrintCollLaborHrsENG</vt:lpstr>
      <vt:lpstr>hSystemsLeaseReturnPrintCollLaborHrsHM</vt:lpstr>
      <vt:lpstr>hSystemsLeaseReturnPrintCollLaborHrsLM</vt:lpstr>
      <vt:lpstr>hSystemsLeaseReturnPrintCollLaborHrsO1</vt:lpstr>
      <vt:lpstr>hSystemsLeaseReturnPrintCollLaborHrsO2</vt:lpstr>
      <vt:lpstr>hSystemsLeaseReturnPrintCollLaborHrsPLG</vt:lpstr>
      <vt:lpstr>hSystemsLeaseReturnPrintCollLaborHrsQSC</vt:lpstr>
      <vt:lpstr>hSystemsLeaseReturnPrintCollLaborHrsSCL</vt:lpstr>
      <vt:lpstr>hSystemsLeaseReturnPrintCollLaborHrsSMCS</vt:lpstr>
      <vt:lpstr>hSystemsLeaseReturnPrintCollTotalFTEs</vt:lpstr>
      <vt:lpstr>hSystemsLeaseReturnPrintCollTotalFTEs_OutputSummary</vt:lpstr>
      <vt:lpstr>hSystemsLeaseReturnTotalFTEs</vt:lpstr>
      <vt:lpstr>hSystemsLeaseReturnTotalFTEs_OutputSummary</vt:lpstr>
      <vt:lpstr>hSystemsLessorVisitForecast</vt:lpstr>
      <vt:lpstr>hSystemsMFD_Total</vt:lpstr>
      <vt:lpstr>hSystemsMFDCostpa_TotalGrand</vt:lpstr>
      <vt:lpstr>hSystemsMFDLeaseCostpa_Total</vt:lpstr>
      <vt:lpstr>hSystemsMFDPrintCostpa_Total</vt:lpstr>
      <vt:lpstr>hSystemsOfficeLeaseCostpa_Total</vt:lpstr>
      <vt:lpstr>hSystemsOfficeSpace_Total</vt:lpstr>
      <vt:lpstr>hSystemsPaperPercentCM</vt:lpstr>
      <vt:lpstr>hSystemsPaperPercentCRT</vt:lpstr>
      <vt:lpstr>hSystemsPaperPercentEM</vt:lpstr>
      <vt:lpstr>hSystemsPaperPercentENG</vt:lpstr>
      <vt:lpstr>hSystemsPaperPercentErrorCM</vt:lpstr>
      <vt:lpstr>hSystemsPaperPercentErrorCRT</vt:lpstr>
      <vt:lpstr>hSystemsPaperPercentErrorEM</vt:lpstr>
      <vt:lpstr>hSystemsPaperPercentErrorENG</vt:lpstr>
      <vt:lpstr>hSystemsPaperPercentErrorHM</vt:lpstr>
      <vt:lpstr>hSystemsPaperPercentErrorLM</vt:lpstr>
      <vt:lpstr>hSystemsPaperPercentErrorO1</vt:lpstr>
      <vt:lpstr>hSystemsPaperPercentErrorO2</vt:lpstr>
      <vt:lpstr>hSystemsPaperPercentErrorPLG</vt:lpstr>
      <vt:lpstr>hSystemsPaperPercentErrorQSC</vt:lpstr>
      <vt:lpstr>hSystemsPaperPercentErrorSCL</vt:lpstr>
      <vt:lpstr>hSystemsPaperPercentErrorSMCS</vt:lpstr>
      <vt:lpstr>hSystemsPaperPercentHM</vt:lpstr>
      <vt:lpstr>hSystemsPaperPercentLM</vt:lpstr>
      <vt:lpstr>hSystemsPaperPercentO1</vt:lpstr>
      <vt:lpstr>hSystemsPaperPercentO2</vt:lpstr>
      <vt:lpstr>hSystemsPaperPercentPLG</vt:lpstr>
      <vt:lpstr>hSystemsPaperPercentQSC</vt:lpstr>
      <vt:lpstr>hSystemsPaperPercentSCL</vt:lpstr>
      <vt:lpstr>hSystemsPaperPercentSMCS</vt:lpstr>
      <vt:lpstr>hSystemsPaperRecords_Total</vt:lpstr>
      <vt:lpstr>hSystemsPaperRecordsErrors_Total</vt:lpstr>
      <vt:lpstr>hSystemsPaperRequiredReworksCM</vt:lpstr>
      <vt:lpstr>hSystemsPaperRequiredReworksCRT</vt:lpstr>
      <vt:lpstr>hSystemsPaperRequiredReworksEM</vt:lpstr>
      <vt:lpstr>hSystemsPaperRequiredReworksENG</vt:lpstr>
      <vt:lpstr>hSystemsPaperRequiredReworksHM</vt:lpstr>
      <vt:lpstr>hSystemsPaperRequiredReworksLM</vt:lpstr>
      <vt:lpstr>hSystemsPaperRequiredReworksO1</vt:lpstr>
      <vt:lpstr>hSystemsPaperRequiredReworksO2</vt:lpstr>
      <vt:lpstr>hSystemsPaperRequiredReworksPLG</vt:lpstr>
      <vt:lpstr>hSystemsPaperRequiredReworksQSC</vt:lpstr>
      <vt:lpstr>hSystemsPaperRequiredReworksSCL</vt:lpstr>
      <vt:lpstr>hSystemsPaperRequiredReworksSMCS</vt:lpstr>
      <vt:lpstr>hSystemsPrintRoomArea_Each</vt:lpstr>
      <vt:lpstr>hSystemsPrintRoomArea_Total</vt:lpstr>
      <vt:lpstr>'Costs_RecordArchive&amp;Retrieval'!hSystemsRecordsArchiveCumulative_Gross</vt:lpstr>
      <vt:lpstr>'Costs_RecordArchive&amp;Retrieval'!hSystemsRecordsArchiveCumulative_Net</vt:lpstr>
      <vt:lpstr>'Costs_RecordArchive&amp;Retrieval'!hSystemsRecordsArchiveShredDisposal</vt:lpstr>
      <vt:lpstr>'Costs_RecordArchive&amp;Retrieval'!hSystemsRecordsArchiveShredDueDigital</vt:lpstr>
      <vt:lpstr>hSystemsRecordsPaperArchive_CFS</vt:lpstr>
      <vt:lpstr>hSystemsReworkCostpaCM</vt:lpstr>
      <vt:lpstr>hSystemsReworkCostpaCRT</vt:lpstr>
      <vt:lpstr>hSystemsReworkCostpaEM</vt:lpstr>
      <vt:lpstr>hSystemsReworkCostpaENG</vt:lpstr>
      <vt:lpstr>hSystemsReworkCostpaHM</vt:lpstr>
      <vt:lpstr>hSystemsReworkCostpaLM</vt:lpstr>
      <vt:lpstr>hSystemsReworkCostpaO1</vt:lpstr>
      <vt:lpstr>hSystemsReworkCostpaO2</vt:lpstr>
      <vt:lpstr>hSystemsReworkCostpaPLG</vt:lpstr>
      <vt:lpstr>hSystemsReworkCostpaQSC</vt:lpstr>
      <vt:lpstr>hSystemsReworkCostpaSCL</vt:lpstr>
      <vt:lpstr>hSystemsReworkCostpaSMCS</vt:lpstr>
      <vt:lpstr>hSystemsReworkFTEsCM</vt:lpstr>
      <vt:lpstr>hSystemsReworkFTEsCRT</vt:lpstr>
      <vt:lpstr>hSystemsReworkFTEsEM</vt:lpstr>
      <vt:lpstr>hSystemsReworkFTEsENG</vt:lpstr>
      <vt:lpstr>hSystemsReworkFTEsHM</vt:lpstr>
      <vt:lpstr>hSystemsReworkFTEsLM</vt:lpstr>
      <vt:lpstr>hSystemsReworkFTEsO1</vt:lpstr>
      <vt:lpstr>hSystemsReworkFTEsO2</vt:lpstr>
      <vt:lpstr>hSystemsReworkFTEsPLG</vt:lpstr>
      <vt:lpstr>hSystemsReworkFTEsQSC</vt:lpstr>
      <vt:lpstr>hSystemsReworkFTEsSCL</vt:lpstr>
      <vt:lpstr>hSystemsReworkFTEsSMCS</vt:lpstr>
      <vt:lpstr>hSystemsReworkHoursCM</vt:lpstr>
      <vt:lpstr>hSystemsReworkHoursCRT</vt:lpstr>
      <vt:lpstr>hSystemsReworkHoursEM</vt:lpstr>
      <vt:lpstr>hSystemsReworkHoursENG</vt:lpstr>
      <vt:lpstr>hSystemsReworkHoursHM</vt:lpstr>
      <vt:lpstr>hSystemsReworkHoursLM</vt:lpstr>
      <vt:lpstr>hSystemsReworkHoursO1</vt:lpstr>
      <vt:lpstr>hSystemsReworkHoursO2</vt:lpstr>
      <vt:lpstr>hSystemsReworkHourspaCM</vt:lpstr>
      <vt:lpstr>hSystemsReworkHourspaCRT</vt:lpstr>
      <vt:lpstr>hSystemsReworkHourspaEM</vt:lpstr>
      <vt:lpstr>hSystemsReworkHourspaENG</vt:lpstr>
      <vt:lpstr>hSystemsReworkHourspaHM</vt:lpstr>
      <vt:lpstr>hSystemsReworkHourspaLM</vt:lpstr>
      <vt:lpstr>hSystemsReworkHourspaO1</vt:lpstr>
      <vt:lpstr>hSystemsReworkHourspaO2</vt:lpstr>
      <vt:lpstr>hSystemsReworkHourspaPLG</vt:lpstr>
      <vt:lpstr>hSystemsReworkHourspaQSC</vt:lpstr>
      <vt:lpstr>hSystemsReworkHourspaSCL</vt:lpstr>
      <vt:lpstr>hSystemsReworkHourspaSMCS</vt:lpstr>
      <vt:lpstr>hSystemsReworkHoursPLG</vt:lpstr>
      <vt:lpstr>hSystemsReworkHoursQSC</vt:lpstr>
      <vt:lpstr>hSystemsReworkHoursSCL</vt:lpstr>
      <vt:lpstr>hSystemsReworkHoursSMCS</vt:lpstr>
      <vt:lpstr>hSystemsReworkTotalCostpa</vt:lpstr>
      <vt:lpstr>hSystemsReworkTotalCostpa_CFS</vt:lpstr>
      <vt:lpstr>hSystemsReworkTotalFTEs</vt:lpstr>
      <vt:lpstr>hSystemsTouchHourspaCM</vt:lpstr>
      <vt:lpstr>hSystemsTouchHourspaCRT</vt:lpstr>
      <vt:lpstr>hSystemsTouchHourspaEM</vt:lpstr>
      <vt:lpstr>hSystemsTouchHourspaENG</vt:lpstr>
      <vt:lpstr>hSystemsTouchHourspaHM</vt:lpstr>
      <vt:lpstr>hSystemsTouchHourspaLM</vt:lpstr>
      <vt:lpstr>hSystemsTouchHourspaO1</vt:lpstr>
      <vt:lpstr>hSystemsTouchHourspaO2</vt:lpstr>
      <vt:lpstr>hSystemsTouchHourspaPLG</vt:lpstr>
      <vt:lpstr>hSystemsTouchHourspaQSC</vt:lpstr>
      <vt:lpstr>hSystemsTouchHourspaSCL</vt:lpstr>
      <vt:lpstr>hSystemsTouchHourspaSMCS</vt:lpstr>
      <vt:lpstr>hSystemsTouchRateHourCM</vt:lpstr>
      <vt:lpstr>hSystemsTouchRateHourCRT</vt:lpstr>
      <vt:lpstr>hSystemsTouchRateHourEM</vt:lpstr>
      <vt:lpstr>hSystemsTouchRateHourENG</vt:lpstr>
      <vt:lpstr>hSystemsTouchRateHourHM</vt:lpstr>
      <vt:lpstr>hSystemsTouchRateHourLM</vt:lpstr>
      <vt:lpstr>hSystemsTouchRateHourO1</vt:lpstr>
      <vt:lpstr>hSystemsTouchRateHourO2</vt:lpstr>
      <vt:lpstr>hSystemsTouchRateHourPLG</vt:lpstr>
      <vt:lpstr>hSystemsTouchRateHourQSC</vt:lpstr>
      <vt:lpstr>hSystemsTouchRateHourSCL</vt:lpstr>
      <vt:lpstr>hSystemsTouchRateHourSMCS</vt:lpstr>
      <vt:lpstr>hSystemsTrainingCostBestCaseCM</vt:lpstr>
      <vt:lpstr>hSystemsTrainingCostBestCaseCRT</vt:lpstr>
      <vt:lpstr>hSystemsTrainingCostBestCaseEM</vt:lpstr>
      <vt:lpstr>hSystemsTrainingCostBestCaseENG</vt:lpstr>
      <vt:lpstr>hSystemsTrainingCostBestCaseHM</vt:lpstr>
      <vt:lpstr>hSystemsTrainingCostBestCaseLM</vt:lpstr>
      <vt:lpstr>hSystemsTrainingCostBestCaseO1</vt:lpstr>
      <vt:lpstr>hSystemsTrainingCostBestCaseO2</vt:lpstr>
      <vt:lpstr>hSystemsTrainingCostBestCasePLG</vt:lpstr>
      <vt:lpstr>hSystemsTrainingCostBestCaseQSC</vt:lpstr>
      <vt:lpstr>hSystemsTrainingCostBestCaseSCL</vt:lpstr>
      <vt:lpstr>hSystemsTrainingCostBestCaseSMCS</vt:lpstr>
      <vt:lpstr>hSystemsTrainingCostMostLikelyCM</vt:lpstr>
      <vt:lpstr>hSystemsTrainingCostMostLikelyCRT</vt:lpstr>
      <vt:lpstr>hSystemsTrainingCostMostLikelyEM</vt:lpstr>
      <vt:lpstr>hSystemsTrainingCostMostLikelyENG</vt:lpstr>
      <vt:lpstr>hSystemsTrainingCostMostLikelyHM</vt:lpstr>
      <vt:lpstr>hSystemsTrainingCostMostLikelyLM</vt:lpstr>
      <vt:lpstr>hSystemsTrainingCostMostLikelyO1</vt:lpstr>
      <vt:lpstr>hSystemsTrainingCostMostLikelyO2</vt:lpstr>
      <vt:lpstr>hSystemsTrainingCostMostLikelyPLG</vt:lpstr>
      <vt:lpstr>hSystemsTrainingCostMostLikelyQSC</vt:lpstr>
      <vt:lpstr>hSystemsTrainingCostMostLikelySCL</vt:lpstr>
      <vt:lpstr>hSystemsTrainingCostMostLikelySMCS</vt:lpstr>
      <vt:lpstr>hSystemsTrainingCostPerFTE_CM</vt:lpstr>
      <vt:lpstr>hSystemsTrainingCostPerFTE_CRT</vt:lpstr>
      <vt:lpstr>hSystemsTrainingCostPerFTE_EM</vt:lpstr>
      <vt:lpstr>hSystemsTrainingCostPerFTE_ENG</vt:lpstr>
      <vt:lpstr>hSystemsTrainingCostPerFTE_HM</vt:lpstr>
      <vt:lpstr>hSystemsTrainingCostPerFTE_LM</vt:lpstr>
      <vt:lpstr>hSystemsTrainingCostPerFTE_O1</vt:lpstr>
      <vt:lpstr>hSystemsTrainingCostPerFTE_O2</vt:lpstr>
      <vt:lpstr>hSystemsTrainingCostPerFTE_PLG</vt:lpstr>
      <vt:lpstr>hSystemsTrainingCostPerFTE_QSC</vt:lpstr>
      <vt:lpstr>hSystemsTrainingCostPerFTE_SCL</vt:lpstr>
      <vt:lpstr>hSystemsTrainingCostPerFTE_SMCS</vt:lpstr>
      <vt:lpstr>hSystemsTrainingCostWorstCaseCM</vt:lpstr>
      <vt:lpstr>hSystemsTrainingCostWorstCaseCRT</vt:lpstr>
      <vt:lpstr>hSystemsTrainingCostWorstCaseEM</vt:lpstr>
      <vt:lpstr>hSystemsTrainingCostWorstCaseENG</vt:lpstr>
      <vt:lpstr>hSystemsTrainingCostWorstCaseHM</vt:lpstr>
      <vt:lpstr>hSystemsTrainingCostWorstCaseLM</vt:lpstr>
      <vt:lpstr>hSystemsTrainingCostWorstCaseO1</vt:lpstr>
      <vt:lpstr>hSystemsTrainingCostWorstCaseO2</vt:lpstr>
      <vt:lpstr>hSystemsTrainingCostWorstCasePLG</vt:lpstr>
      <vt:lpstr>hSystemsTrainingCostWorstCaseQSC</vt:lpstr>
      <vt:lpstr>hSystemsTrainingCostWorstCaseSCL</vt:lpstr>
      <vt:lpstr>hSystemsTrainingCostWorstCaseSMCS</vt:lpstr>
      <vt:lpstr>hSystemsTrainingFTEsBestCaseCM</vt:lpstr>
      <vt:lpstr>hSystemsTrainingFTEsBestCaseCRT</vt:lpstr>
      <vt:lpstr>hSystemsTrainingFTEsBestCaseEM</vt:lpstr>
      <vt:lpstr>hSystemsTrainingFTEsBestCaseENG</vt:lpstr>
      <vt:lpstr>hSystemsTrainingFTEsBestCaseHM</vt:lpstr>
      <vt:lpstr>hSystemsTrainingFTEsBestCaseLM</vt:lpstr>
      <vt:lpstr>hSystemsTrainingFTEsBestCaseO1</vt:lpstr>
      <vt:lpstr>hSystemsTrainingFTEsBestCaseO2</vt:lpstr>
      <vt:lpstr>hSystemsTrainingFTEsBestCasePLG</vt:lpstr>
      <vt:lpstr>hSystemsTrainingFTEsBestCaseQSC</vt:lpstr>
      <vt:lpstr>hSystemsTrainingFTEsBestCaseSCL</vt:lpstr>
      <vt:lpstr>hSystemsTrainingFTEsBestCaseSMCS</vt:lpstr>
      <vt:lpstr>hSystemsTrainingFTEsMostLikelyCM</vt:lpstr>
      <vt:lpstr>hSystemsTrainingFTEsMostLikelyCRT</vt:lpstr>
      <vt:lpstr>hSystemsTrainingFTEsMostLikelyEM</vt:lpstr>
      <vt:lpstr>hSystemsTrainingFTEsMostLikelyENG</vt:lpstr>
      <vt:lpstr>hSystemsTrainingFTEsMostLikelyHM</vt:lpstr>
      <vt:lpstr>hSystemsTrainingFTEsMostLikelyLM</vt:lpstr>
      <vt:lpstr>hSystemsTrainingFTEsMostLikelyO1</vt:lpstr>
      <vt:lpstr>hSystemsTrainingFTEsMostLikelyO2</vt:lpstr>
      <vt:lpstr>hSystemsTrainingFTEsMostLikelyPLG</vt:lpstr>
      <vt:lpstr>hSystemsTrainingFTEsMostLikelyQSC</vt:lpstr>
      <vt:lpstr>hSystemsTrainingFTEsMostLikelySCL</vt:lpstr>
      <vt:lpstr>hSystemsTrainingFTEsMostLikelySMCS</vt:lpstr>
      <vt:lpstr>hSystemsTrainingFTEsWorstCaseCM</vt:lpstr>
      <vt:lpstr>hSystemsTrainingFTEsWorstCaseCRT</vt:lpstr>
      <vt:lpstr>hSystemsTrainingFTEsWorstCaseEM</vt:lpstr>
      <vt:lpstr>hSystemsTrainingFTEsWorstCaseENG</vt:lpstr>
      <vt:lpstr>hSystemsTrainingFTEsWorstCaseHM</vt:lpstr>
      <vt:lpstr>hSystemsTrainingFTEsWorstCaseLM</vt:lpstr>
      <vt:lpstr>hSystemsTrainingFTEsWorstCaseO1</vt:lpstr>
      <vt:lpstr>hSystemsTrainingFTEsWorstCaseO2</vt:lpstr>
      <vt:lpstr>hSystemsTrainingFTEsWorstCasePLG</vt:lpstr>
      <vt:lpstr>hSystemsTrainingFTEsWorstCaseQSC</vt:lpstr>
      <vt:lpstr>hSystemsTrainingFTEsWorstCaseSCL</vt:lpstr>
      <vt:lpstr>hSystemsTrainingFTEsWorstCaseSMCS</vt:lpstr>
      <vt:lpstr>hSystemsTrainingPercentFTEsCM</vt:lpstr>
      <vt:lpstr>hSystemsTrainingPercentFTEsCRT</vt:lpstr>
      <vt:lpstr>hSystemsTrainingPercentFTEsEM</vt:lpstr>
      <vt:lpstr>hSystemsTrainingPercentFTEsENG</vt:lpstr>
      <vt:lpstr>hSystemsTrainingPercentFTEsHM</vt:lpstr>
      <vt:lpstr>hSystemsTrainingPercentFTEsLM</vt:lpstr>
      <vt:lpstr>hSystemsTrainingPercentFTEsO1</vt:lpstr>
      <vt:lpstr>hSystemsTrainingPercentFTEsO2</vt:lpstr>
      <vt:lpstr>hSystemsTrainingPercentFTEsPLG</vt:lpstr>
      <vt:lpstr>hSystemsTrainingPercentFTEsQSC</vt:lpstr>
      <vt:lpstr>hSystemsTrainingPercentFTEsSCL</vt:lpstr>
      <vt:lpstr>hSystemsTrainingPercentFTEsSMCS</vt:lpstr>
      <vt:lpstr>Inflation</vt:lpstr>
      <vt:lpstr>IT_CodeA</vt:lpstr>
      <vt:lpstr>IT_CodeB</vt:lpstr>
      <vt:lpstr>IT_CodeC</vt:lpstr>
      <vt:lpstr>IT_CodeD</vt:lpstr>
      <vt:lpstr>IT_CodeE</vt:lpstr>
      <vt:lpstr>IT_CodeF</vt:lpstr>
      <vt:lpstr>IT_CodeG</vt:lpstr>
      <vt:lpstr>LeaseReturnForecast</vt:lpstr>
      <vt:lpstr>LocCM</vt:lpstr>
      <vt:lpstr>LocCRT</vt:lpstr>
      <vt:lpstr>LocEM</vt:lpstr>
      <vt:lpstr>LocENG</vt:lpstr>
      <vt:lpstr>LocHM</vt:lpstr>
      <vt:lpstr>LocLM</vt:lpstr>
      <vt:lpstr>LocO1</vt:lpstr>
      <vt:lpstr>LocO2</vt:lpstr>
      <vt:lpstr>LocPLG</vt:lpstr>
      <vt:lpstr>LocQSC</vt:lpstr>
      <vt:lpstr>LocSCL</vt:lpstr>
      <vt:lpstr>LocSMCS</vt:lpstr>
      <vt:lpstr>LocTransit</vt:lpstr>
      <vt:lpstr>Costs_RecordsOther!MFD_Leasing_Costs</vt:lpstr>
      <vt:lpstr>MFD_Value</vt:lpstr>
      <vt:lpstr>MFDLeaseCostpa_Each</vt:lpstr>
      <vt:lpstr>OfficeLeaseRate</vt:lpstr>
      <vt:lpstr>OfficeLeaseUnit</vt:lpstr>
      <vt:lpstr>'Costs_RecordArchive&amp;Retrieval'!pSystemRecordsShredRate</vt:lpstr>
      <vt:lpstr>pSystems_CFS_PaperBookPurchase</vt:lpstr>
      <vt:lpstr>pSystems_CFS_PaperProcess</vt:lpstr>
      <vt:lpstr>pSystems_CFS_RecordsMFDLease</vt:lpstr>
      <vt:lpstr>pSystems_CFS_RecordsOfficeLease</vt:lpstr>
      <vt:lpstr>'Costs_RecordArchive&amp;Retrieval'!pSystems_CFS_RecordsPaperArchives</vt:lpstr>
      <vt:lpstr>pSystems_CFS_RecordsPaperPurchase</vt:lpstr>
      <vt:lpstr>pSystems_CFS_RecordsTotal</vt:lpstr>
      <vt:lpstr>pSystemsBookCostpa_total</vt:lpstr>
      <vt:lpstr>pSystemsCompactusArea_Each</vt:lpstr>
      <vt:lpstr>pSystemsCompactusArea_Total</vt:lpstr>
      <vt:lpstr>Costs_RecordsOther!pSystemsCost_MFDLease_CFS</vt:lpstr>
      <vt:lpstr>Costs_RecordsOther!pSystemsCost_PaperProcess</vt:lpstr>
      <vt:lpstr>pSystemsCost_PaperReworkTotal_CFS</vt:lpstr>
      <vt:lpstr>pSystemsCost_TrgTotal_CFS</vt:lpstr>
      <vt:lpstr>pSystemsCostIT_CodeA_Customization</vt:lpstr>
      <vt:lpstr>pSystemsCostIT_CodeA_Licence</vt:lpstr>
      <vt:lpstr>pSystemsCostIT_CodeA_Operating</vt:lpstr>
      <vt:lpstr>pSystemsCostIT_CodeA_Software</vt:lpstr>
      <vt:lpstr>pSystemsCostIT_CodeA_Total</vt:lpstr>
      <vt:lpstr>pSystemsCostIT_CodeA_Upgrade</vt:lpstr>
      <vt:lpstr>pSystemsCostIT_CodeB</vt:lpstr>
      <vt:lpstr>pSystemsCostIT_CodeB_Customization</vt:lpstr>
      <vt:lpstr>pSystemsCostIT_CodeB_Licence</vt:lpstr>
      <vt:lpstr>pSystemsCostIT_CodeB_Operating</vt:lpstr>
      <vt:lpstr>pSystemsCostIT_CodeB_Software</vt:lpstr>
      <vt:lpstr>pSystemsCostIT_CodeB_Total</vt:lpstr>
      <vt:lpstr>pSystemsCostIT_CodeB_Upgrade</vt:lpstr>
      <vt:lpstr>pSystemsCostIT_CodeC</vt:lpstr>
      <vt:lpstr>pSystemsCostIT_CodeC_Customization</vt:lpstr>
      <vt:lpstr>pSystemsCostIT_CodeC_Licence</vt:lpstr>
      <vt:lpstr>pSystemsCostIT_CodeC_Operating</vt:lpstr>
      <vt:lpstr>pSystemsCostIT_CodeC_Software</vt:lpstr>
      <vt:lpstr>pSystemsCostIT_CodeC_Total</vt:lpstr>
      <vt:lpstr>pSystemsCostIT_CodeC_Upgrade</vt:lpstr>
      <vt:lpstr>pSystemsCostIT_CodeD</vt:lpstr>
      <vt:lpstr>pSystemsCostIT_CodeD_Customization</vt:lpstr>
      <vt:lpstr>pSystemsCostIT_CodeD_Licence</vt:lpstr>
      <vt:lpstr>pSystemsCostIT_CodeD_Operating</vt:lpstr>
      <vt:lpstr>pSystemsCostIT_CodeD_Software</vt:lpstr>
      <vt:lpstr>pSystemsCostIT_CodeD_Total</vt:lpstr>
      <vt:lpstr>pSystemsCostIT_CodeD_Upgrade</vt:lpstr>
      <vt:lpstr>pSystemsCostIT_CodeE</vt:lpstr>
      <vt:lpstr>pSystemsCostIT_CodeE_Customization</vt:lpstr>
      <vt:lpstr>pSystemsCostIT_CodeE_Licence</vt:lpstr>
      <vt:lpstr>pSystemsCostIT_CodeE_Operating</vt:lpstr>
      <vt:lpstr>pSystemsCostIT_CodeE_Software</vt:lpstr>
      <vt:lpstr>pSystemsCostIT_CodeE_Total</vt:lpstr>
      <vt:lpstr>pSystemsCostIT_CodeE_Upgrade</vt:lpstr>
      <vt:lpstr>pSystemsCostIT_CodeF</vt:lpstr>
      <vt:lpstr>pSystemsCostIT_CodeF_Customization</vt:lpstr>
      <vt:lpstr>pSystemsCostIT_CodeF_Licence</vt:lpstr>
      <vt:lpstr>pSystemsCostIT_CodeF_Operating</vt:lpstr>
      <vt:lpstr>pSystemsCostIT_CodeF_Software</vt:lpstr>
      <vt:lpstr>pSystemsCostIT_CodeF_Total</vt:lpstr>
      <vt:lpstr>pSystemsCostIT_CodeF_Upgrade</vt:lpstr>
      <vt:lpstr>pSystemsCostIT_CodeG</vt:lpstr>
      <vt:lpstr>pSystemsCostIT_CodeG_Customization</vt:lpstr>
      <vt:lpstr>pSystemsCostIT_CodeG_Licence</vt:lpstr>
      <vt:lpstr>pSystemsCostIT_CodeG_Operating</vt:lpstr>
      <vt:lpstr>pSystemsCostIT_CodeG_Software</vt:lpstr>
      <vt:lpstr>pSystemsCostIT_CodeG_Total</vt:lpstr>
      <vt:lpstr>pSystemsCostIT_CodeG_Upgrade</vt:lpstr>
      <vt:lpstr>pSystemsCostIT_Total</vt:lpstr>
      <vt:lpstr>'Outputs - CF eSystems'!pSystemsCostsTotalGrand</vt:lpstr>
      <vt:lpstr>'Outputs - CF hSystems'!pSystemsCostsTotalGrand</vt:lpstr>
      <vt:lpstr>pSystemsCostsTotalGrand</vt:lpstr>
      <vt:lpstr>pSystemsCostsWarrantyTotal_CFS</vt:lpstr>
      <vt:lpstr>'Outputs - CF eSystems'!pSystemsCostTotal</vt:lpstr>
      <vt:lpstr>'Outputs - CF hSystems'!pSystemsCostTotal</vt:lpstr>
      <vt:lpstr>pSystemsCostTotal</vt:lpstr>
      <vt:lpstr>pSystemsCostWarrantyTotal</vt:lpstr>
      <vt:lpstr>pSystemsCostWarrantyTotal_CFS</vt:lpstr>
      <vt:lpstr>pSystemsFilingCabinetArea_Each</vt:lpstr>
      <vt:lpstr>pSystemsFilingCabinetArea_Total</vt:lpstr>
      <vt:lpstr>pSystemsFleetPaperCMTotal</vt:lpstr>
      <vt:lpstr>pSystemsFleetPaperCRTTotal</vt:lpstr>
      <vt:lpstr>pSystemsFleetPaperEMTotal</vt:lpstr>
      <vt:lpstr>pSystemsFleetPaperENGTotal</vt:lpstr>
      <vt:lpstr>pSystemsFleetPaperHMTotal</vt:lpstr>
      <vt:lpstr>pSystemsFleetPaperLMTotal</vt:lpstr>
      <vt:lpstr>pSystemsFleetPaperO1Total</vt:lpstr>
      <vt:lpstr>pSystemsFleetPaperO2Total</vt:lpstr>
      <vt:lpstr>pSystemsFleetPaperPLGTotal</vt:lpstr>
      <vt:lpstr>pSystemsFleetPaperQSCTotal</vt:lpstr>
      <vt:lpstr>pSystemsFleetPaperSCLTotal</vt:lpstr>
      <vt:lpstr>pSystemsFleetPaperSMCSTotal</vt:lpstr>
      <vt:lpstr>pSystemsFTE_CM</vt:lpstr>
      <vt:lpstr>pSystemsFTE_CRT</vt:lpstr>
      <vt:lpstr>pSystemsFTE_EM</vt:lpstr>
      <vt:lpstr>pSystemsFTE_ENG</vt:lpstr>
      <vt:lpstr>pSystemsFTE_HM</vt:lpstr>
      <vt:lpstr>pSystemsFTE_LM</vt:lpstr>
      <vt:lpstr>pSystemsFTE_O1</vt:lpstr>
      <vt:lpstr>pSystemsFTE_O2</vt:lpstr>
      <vt:lpstr>pSystemsFTE_PLG</vt:lpstr>
      <vt:lpstr>pSystemsFTE_QSC</vt:lpstr>
      <vt:lpstr>pSystemsFTE_SCL</vt:lpstr>
      <vt:lpstr>pSystemsFTE_SMCS</vt:lpstr>
      <vt:lpstr>pSystemsFTE_Total</vt:lpstr>
      <vt:lpstr>pSystemsFTE_Total_CFS</vt:lpstr>
      <vt:lpstr>pSystemsFTECostAnnualBurdenedCM</vt:lpstr>
      <vt:lpstr>pSystemsFTECostAnnualBurdenedCRT</vt:lpstr>
      <vt:lpstr>pSystemsFTECostAnnualBurdenedEM</vt:lpstr>
      <vt:lpstr>pSystemsFTECostAnnualBurdenedENG</vt:lpstr>
      <vt:lpstr>pSystemsFTECostAnnualBurdenedHM</vt:lpstr>
      <vt:lpstr>pSystemsFTECostAnnualBurdenedLM</vt:lpstr>
      <vt:lpstr>pSystemsFTECostAnnualBurdenedO1</vt:lpstr>
      <vt:lpstr>pSystemsFTECostAnnualBurdenedO2</vt:lpstr>
      <vt:lpstr>pSystemsFTECostAnnualBurdenedPLG</vt:lpstr>
      <vt:lpstr>pSystemsFTECostAnnualBurdenedQSC</vt:lpstr>
      <vt:lpstr>pSystemsFTECostAnnualBurdenedSCL</vt:lpstr>
      <vt:lpstr>pSystemsFTECostAnnualBurdenedSMCS</vt:lpstr>
      <vt:lpstr>pSystemsFTECostAnnualBurdenedTotal</vt:lpstr>
      <vt:lpstr>pSystemsFTECostAnnualBurdenedTotal_CFS</vt:lpstr>
      <vt:lpstr>pSystemsFTERework_OutputSummary</vt:lpstr>
      <vt:lpstr>pSystemsFTEWarranty</vt:lpstr>
      <vt:lpstr>pSystemsFTEWarranty_OutputSummary</vt:lpstr>
      <vt:lpstr>pSystemsInducedArchivingCostTotal</vt:lpstr>
      <vt:lpstr>pSystemsInducedCostTotalCumGrand</vt:lpstr>
      <vt:lpstr>pSystemsInducedCostTotalGrand</vt:lpstr>
      <vt:lpstr>pSystemsInducedITCostTotal</vt:lpstr>
      <vt:lpstr>pSystemsInducedLaborCostTotal</vt:lpstr>
      <vt:lpstr>pSystemsInducedRecordsCostTotal</vt:lpstr>
      <vt:lpstr>pSystemsInducedTrainingCostTotal</vt:lpstr>
      <vt:lpstr>pSystemsIT_CodeA_Total_CFS</vt:lpstr>
      <vt:lpstr>pSystemsIT_CodeB_Total_CFS</vt:lpstr>
      <vt:lpstr>pSystemsIT_CodeC_Total_CFS</vt:lpstr>
      <vt:lpstr>pSystemsIT_CodeD_Total_CFS</vt:lpstr>
      <vt:lpstr>pSystemsIT_CodeE_Total_CFS</vt:lpstr>
      <vt:lpstr>pSystemsIT_CodeF_Total_CFS</vt:lpstr>
      <vt:lpstr>pSystemsIT_CodeG_Total_CFS</vt:lpstr>
      <vt:lpstr>pSystemsIT_Cost_Total_CFS</vt:lpstr>
      <vt:lpstr>pSystemsLaborUtilRate</vt:lpstr>
      <vt:lpstr>pSystemsLease_AAaudit_Total_CFS</vt:lpstr>
      <vt:lpstr>pSystemsLease_Cost_Total_CFS</vt:lpstr>
      <vt:lpstr>pSystemsLease_DisRec_Total_CFS</vt:lpstr>
      <vt:lpstr>pSystemsLease_DueDil_Total_CFS</vt:lpstr>
      <vt:lpstr>pSystemsLease_Hosting_Total_CFS</vt:lpstr>
      <vt:lpstr>pSystemsLease_LessorAudit_Total_CFS</vt:lpstr>
      <vt:lpstr>pSystemsLease_RecSearch_Total_CFS</vt:lpstr>
      <vt:lpstr>pSystemsLease_Return_Total_CFS</vt:lpstr>
      <vt:lpstr>pSystemsLeaseDisputedRecordFTEsCM</vt:lpstr>
      <vt:lpstr>pSystemsLeaseDisputedRecordFTEsCRT</vt:lpstr>
      <vt:lpstr>pSystemsLeaseDisputedRecordFTEsEM</vt:lpstr>
      <vt:lpstr>pSystemsLeaseDisputedRecordFTEsENG</vt:lpstr>
      <vt:lpstr>pSystemsLeaseDisputedRecordFTEsHM</vt:lpstr>
      <vt:lpstr>pSystemsLeaseDisputedRecordFTEsLM</vt:lpstr>
      <vt:lpstr>pSystemsLeaseDisputedRecordFTEsO1</vt:lpstr>
      <vt:lpstr>pSystemsLeaseDisputedRecordFTEsO2</vt:lpstr>
      <vt:lpstr>pSystemsLeaseDisputedRecordFTEsPLG</vt:lpstr>
      <vt:lpstr>pSystemsLeaseDisputedRecordFTEsQSC</vt:lpstr>
      <vt:lpstr>pSystemsLeaseDisputedRecordFTEsSCL</vt:lpstr>
      <vt:lpstr>pSystemsLeaseDisputedRecordFTEsSMCS</vt:lpstr>
      <vt:lpstr>pSystemsLeaseDisputedRecordLaborCostCM</vt:lpstr>
      <vt:lpstr>pSystemsLeaseDisputedRecordLaborCostCRT</vt:lpstr>
      <vt:lpstr>pSystemsLeaseDisputedRecordLaborCostEM</vt:lpstr>
      <vt:lpstr>pSystemsLeaseDisputedRecordLaborCostENG</vt:lpstr>
      <vt:lpstr>pSystemsLeaseDisputedRecordLaborCostHM</vt:lpstr>
      <vt:lpstr>pSystemsLeaseDisputedRecordLaborCostLM</vt:lpstr>
      <vt:lpstr>pSystemsLeaseDisputedRecordLaborCostO1</vt:lpstr>
      <vt:lpstr>pSystemsLeaseDisputedRecordLaborCostO2</vt:lpstr>
      <vt:lpstr>pSystemsLeaseDisputedRecordLaborCostPLG</vt:lpstr>
      <vt:lpstr>pSystemsLeaseDisputedRecordLaborCostQSC</vt:lpstr>
      <vt:lpstr>pSystemsLeaseDisputedRecordLaborCostSCL</vt:lpstr>
      <vt:lpstr>pSystemsLeaseDisputedRecordLaborCostSMCS</vt:lpstr>
      <vt:lpstr>pSystemsLeaseDisputedRecordLaborCostTotal</vt:lpstr>
      <vt:lpstr>pSystemsLeaseDisputedRecordLaborCostTotal_CFS</vt:lpstr>
      <vt:lpstr>pSystemsLeaseDisputedRecordLaborHrsCM</vt:lpstr>
      <vt:lpstr>pSystemsLeaseDisputedRecordLaborHrsCRT</vt:lpstr>
      <vt:lpstr>pSystemsLeaseDisputedRecordLaborHrsEM</vt:lpstr>
      <vt:lpstr>pSystemsLeaseDisputedRecordLaborHrsENG</vt:lpstr>
      <vt:lpstr>pSystemsLeaseDisputedRecordLaborHrsHM</vt:lpstr>
      <vt:lpstr>pSystemsLeaseDisputedRecordLaborHrsLM</vt:lpstr>
      <vt:lpstr>pSystemsLeaseDisputedRecordLaborHrsO1</vt:lpstr>
      <vt:lpstr>pSystemsLeaseDisputedRecordLaborHrsO2</vt:lpstr>
      <vt:lpstr>pSystemsLeaseDisputedRecordLaborHrsPLG</vt:lpstr>
      <vt:lpstr>pSystemsLeaseDisputedRecordLaborHrsQSC</vt:lpstr>
      <vt:lpstr>pSystemsLeaseDisputedRecordLaborHrsSCL</vt:lpstr>
      <vt:lpstr>pSystemsLeaseDisputedRecordLaborHrsSMCS</vt:lpstr>
      <vt:lpstr>pSystemsLeaseDisputedRecordTotalFTEs</vt:lpstr>
      <vt:lpstr>pSystemsLeaseDisputedRecordTotalFTEs_OutputSummary</vt:lpstr>
      <vt:lpstr>pSystemsLeaseDisputeRecordsForecast</vt:lpstr>
      <vt:lpstr>pSystemsLeaseDueDilEventForecast</vt:lpstr>
      <vt:lpstr>pSystemsLeaseDueDilFTEsCM</vt:lpstr>
      <vt:lpstr>pSystemsLeaseDueDilFTEsCRT</vt:lpstr>
      <vt:lpstr>pSystemsLeaseDueDilFTEsEM</vt:lpstr>
      <vt:lpstr>pSystemsLeaseDueDilFTEsENG</vt:lpstr>
      <vt:lpstr>pSystemsLeaseDueDilFTEsHM</vt:lpstr>
      <vt:lpstr>pSystemsLeaseDueDilFTEsLM</vt:lpstr>
      <vt:lpstr>pSystemsLeaseDueDilFTEsO1</vt:lpstr>
      <vt:lpstr>pSystemsLeaseDueDilFTEsO2</vt:lpstr>
      <vt:lpstr>pSystemsLeaseDueDilFTEsPLG</vt:lpstr>
      <vt:lpstr>pSystemsLeaseDueDilFTEsQSC</vt:lpstr>
      <vt:lpstr>pSystemsLeaseDueDilFTEsSCL</vt:lpstr>
      <vt:lpstr>pSystemsLeaseDueDilFTEsSMCS</vt:lpstr>
      <vt:lpstr>pSystemsLeaseDueDilLaborCostCM</vt:lpstr>
      <vt:lpstr>pSystemsLeaseDueDilLaborCostCRT</vt:lpstr>
      <vt:lpstr>pSystemsLeaseDueDilLaborCostEM</vt:lpstr>
      <vt:lpstr>pSystemsLeaseDueDilLaborCostENG</vt:lpstr>
      <vt:lpstr>pSystemsLeaseDueDilLaborCostHM</vt:lpstr>
      <vt:lpstr>pSystemsLeaseDueDilLaborCostLM</vt:lpstr>
      <vt:lpstr>pSystemsLeaseDueDilLaborCostO1</vt:lpstr>
      <vt:lpstr>pSystemsLeaseDueDilLaborCostO2</vt:lpstr>
      <vt:lpstr>pSystemsLeaseDueDilLaborCostPLG</vt:lpstr>
      <vt:lpstr>pSystemsLeaseDueDilLaborCostQSC</vt:lpstr>
      <vt:lpstr>pSystemsLeaseDueDilLaborCostSCL</vt:lpstr>
      <vt:lpstr>pSystemsLeaseDueDilLaborCostSMCS</vt:lpstr>
      <vt:lpstr>pSystemsLeaseDueDilLaborCostTotal</vt:lpstr>
      <vt:lpstr>pSystemsLeaseDueDilLaborCostTotal_CFS</vt:lpstr>
      <vt:lpstr>pSystemsLeaseDueDilLaborHrsCM</vt:lpstr>
      <vt:lpstr>pSystemsLeaseDueDilLaborHrsCRT</vt:lpstr>
      <vt:lpstr>pSystemsLeaseDueDilLaborHrsEM</vt:lpstr>
      <vt:lpstr>pSystemsLeaseDueDilLaborHrsENG</vt:lpstr>
      <vt:lpstr>pSystemsLeaseDueDilLaborHrsHM</vt:lpstr>
      <vt:lpstr>pSystemsLeaseDueDilLaborHrsLM</vt:lpstr>
      <vt:lpstr>pSystemsLeaseDueDilLaborHrsO1</vt:lpstr>
      <vt:lpstr>pSystemsLeaseDueDilLaborHrsO2</vt:lpstr>
      <vt:lpstr>pSystemsLeaseDueDilLaborHrsPLG</vt:lpstr>
      <vt:lpstr>pSystemsLeaseDueDilLaborHrsQSC</vt:lpstr>
      <vt:lpstr>pSystemsLeaseDueDilLaborHrsSCL</vt:lpstr>
      <vt:lpstr>pSystemsLeaseDueDilLaborHrsSMCS</vt:lpstr>
      <vt:lpstr>pSystemsLeaseDueDilTotalFTEs</vt:lpstr>
      <vt:lpstr>pSystemsLeaseDueDilTotalFTEs_OutputSummary</vt:lpstr>
      <vt:lpstr>pSystemsLeaseHostLaborCostCM</vt:lpstr>
      <vt:lpstr>pSystemsLeaseHostLaborCostCRT</vt:lpstr>
      <vt:lpstr>pSystemsLeaseHostLaborCostEM</vt:lpstr>
      <vt:lpstr>pSystemsLeaseHostLaborCostENG</vt:lpstr>
      <vt:lpstr>pSystemsLeaseHostLaborCostHM</vt:lpstr>
      <vt:lpstr>pSystemsLeaseHostLaborCostLM</vt:lpstr>
      <vt:lpstr>pSystemsLeaseHostLaborCostO1</vt:lpstr>
      <vt:lpstr>pSystemsLeaseHostLaborCostO2</vt:lpstr>
      <vt:lpstr>pSystemsLeaseHostLaborCostPLG</vt:lpstr>
      <vt:lpstr>pSystemsLeaseHostLaborCostQSC</vt:lpstr>
      <vt:lpstr>pSystemsLeaseHostLaborCostSCL</vt:lpstr>
      <vt:lpstr>pSystemsLeaseHostLaborCostSMCS</vt:lpstr>
      <vt:lpstr>pSystemsLeaseHostLaborCostTotal</vt:lpstr>
      <vt:lpstr>pSystemsLeaseHostLaborCostTotal_CFS</vt:lpstr>
      <vt:lpstr>pSystemsLeaseHostLaborHrsCM</vt:lpstr>
      <vt:lpstr>pSystemsLeaseHostLaborHrsCRT</vt:lpstr>
      <vt:lpstr>pSystemsLeaseHostLaborHrsEM</vt:lpstr>
      <vt:lpstr>pSystemsLeaseHostLaborHrsENG</vt:lpstr>
      <vt:lpstr>pSystemsLeaseHostLaborHrsHM</vt:lpstr>
      <vt:lpstr>pSystemsLeaseHostLaborHrsLM</vt:lpstr>
      <vt:lpstr>pSystemsLeaseHostLaborHrsO1</vt:lpstr>
      <vt:lpstr>pSystemsLeaseHostLaborHrsO2</vt:lpstr>
      <vt:lpstr>pSystemsLeaseHostLaborHrsPLG</vt:lpstr>
      <vt:lpstr>pSystemsLeaseHostLaborHrsQSC</vt:lpstr>
      <vt:lpstr>pSystemsLeaseHostLaborHrsSCL</vt:lpstr>
      <vt:lpstr>pSystemsLeaseHostLaborHrsSMCS</vt:lpstr>
      <vt:lpstr>pSystemsLeaseLaborCostCM</vt:lpstr>
      <vt:lpstr>pSystemsLeaseLaborCostCRT</vt:lpstr>
      <vt:lpstr>pSystemsLeaseLaborCostEM</vt:lpstr>
      <vt:lpstr>pSystemsLeaseLaborCostENG</vt:lpstr>
      <vt:lpstr>pSystemsLeaseLaborCostHM</vt:lpstr>
      <vt:lpstr>pSystemsLeaseLaborCostLM</vt:lpstr>
      <vt:lpstr>pSystemsLeaseLaborCostO1</vt:lpstr>
      <vt:lpstr>pSystemsLeaseLaborCostO2</vt:lpstr>
      <vt:lpstr>pSystemsLeaseLaborCostPLG</vt:lpstr>
      <vt:lpstr>pSystemsLeaseLaborCostQSC</vt:lpstr>
      <vt:lpstr>pSystemsLeaseLaborCostSCL</vt:lpstr>
      <vt:lpstr>pSystemsLeaseLaborCostSMCS</vt:lpstr>
      <vt:lpstr>Labor_AircraftLessee!pSystemsLeaseLaborCostTotalpa</vt:lpstr>
      <vt:lpstr>pSystemsLeaseLaborCostTotalpa_CFS</vt:lpstr>
      <vt:lpstr>pSystemsLeaseLaborHrsCM</vt:lpstr>
      <vt:lpstr>pSystemsLeaseLaborHrsCRT</vt:lpstr>
      <vt:lpstr>pSystemsLeaseLaborHrsEM</vt:lpstr>
      <vt:lpstr>pSystemsLeaseLaborHrsENG</vt:lpstr>
      <vt:lpstr>pSystemsLeaseLaborHrsHM</vt:lpstr>
      <vt:lpstr>pSystemsLeaseLaborHrsLM</vt:lpstr>
      <vt:lpstr>pSystemsLeaseLaborHrsO1</vt:lpstr>
      <vt:lpstr>pSystemsLeaseLaborHrsO2</vt:lpstr>
      <vt:lpstr>pSystemsLeaseLaborHrsPLG</vt:lpstr>
      <vt:lpstr>pSystemsLeaseLaborHrsQSC</vt:lpstr>
      <vt:lpstr>pSystemsLeaseLaborHrsSCL</vt:lpstr>
      <vt:lpstr>pSystemsLeaseLaborHrsSMCS</vt:lpstr>
      <vt:lpstr>pSystemsLeaseLessorVisitFTEsCM</vt:lpstr>
      <vt:lpstr>pSystemsLeaseLessorVisitFTEsCRT</vt:lpstr>
      <vt:lpstr>pSystemsLeaseLessorVisitFTEsEM</vt:lpstr>
      <vt:lpstr>pSystemsLeaseLessorVisitFTEsENG</vt:lpstr>
      <vt:lpstr>pSystemsLeaseLessorVisitFTEsHM</vt:lpstr>
      <vt:lpstr>pSystemsLeaseLessorVisitFTEsLM</vt:lpstr>
      <vt:lpstr>pSystemsLeaseLessorVisitFTEsO1</vt:lpstr>
      <vt:lpstr>pSystemsLeaseLessorVisitFTEsO2</vt:lpstr>
      <vt:lpstr>pSystemsLeaseLessorVisitFTEsPLG</vt:lpstr>
      <vt:lpstr>pSystemsLeaseLessorVisitFTEsQSC</vt:lpstr>
      <vt:lpstr>pSystemsLeaseLessorVisitFTEsSCL</vt:lpstr>
      <vt:lpstr>pSystemsLeaseLessorVisitFTEsSMCS</vt:lpstr>
      <vt:lpstr>pSystemsLeaseLessorVisitTotalFTEs</vt:lpstr>
      <vt:lpstr>pSystemsLeaseLessorVisitTotalFTEs_OutputSummary</vt:lpstr>
      <vt:lpstr>pSystemsLeasePaperPrint</vt:lpstr>
      <vt:lpstr>pSystemsLeasePaperPrintPA</vt:lpstr>
      <vt:lpstr>pSystemsLeaseRecordSearchFTEsCM</vt:lpstr>
      <vt:lpstr>pSystemsLeaseRecordSearchFTEsCRT</vt:lpstr>
      <vt:lpstr>pSystemsLeaseRecordSearchFTEsEM</vt:lpstr>
      <vt:lpstr>pSystemsLeaseRecordSearchFTEsENG</vt:lpstr>
      <vt:lpstr>pSystemsLeaseRecordSearchFTEsHM</vt:lpstr>
      <vt:lpstr>pSystemsLeaseRecordSearchFTEsLM</vt:lpstr>
      <vt:lpstr>pSystemsLeaseRecordSearchFTEsO1</vt:lpstr>
      <vt:lpstr>pSystemsLeaseRecordSearchFTEsO2</vt:lpstr>
      <vt:lpstr>pSystemsLeaseRecordSearchFTEsPLG</vt:lpstr>
      <vt:lpstr>pSystemsLeaseRecordSearchFTEsQSC</vt:lpstr>
      <vt:lpstr>pSystemsLeaseRecordSearchFTEsSCL</vt:lpstr>
      <vt:lpstr>pSystemsLeaseRecordSearchFTEsSMCS</vt:lpstr>
      <vt:lpstr>pSystemsLeaseRecordSearchLaborCostCM</vt:lpstr>
      <vt:lpstr>pSystemsLeaseRecordSearchLaborCostCRT</vt:lpstr>
      <vt:lpstr>pSystemsLeaseRecordSearchLaborCostEM</vt:lpstr>
      <vt:lpstr>pSystemsLeaseRecordSearchLaborCostENG</vt:lpstr>
      <vt:lpstr>pSystemsLeaseRecordSearchLaborCostHM</vt:lpstr>
      <vt:lpstr>pSystemsLeaseRecordSearchLaborCostLM</vt:lpstr>
      <vt:lpstr>pSystemsLeaseRecordSearchLaborCostO1</vt:lpstr>
      <vt:lpstr>pSystemsLeaseRecordSearchLaborCostO2</vt:lpstr>
      <vt:lpstr>pSystemsLeaseRecordSearchLaborCostPLG</vt:lpstr>
      <vt:lpstr>pSystemsLeaseRecordSearchLaborCostQSC</vt:lpstr>
      <vt:lpstr>pSystemsLeaseRecordSearchLaborCostSCL</vt:lpstr>
      <vt:lpstr>pSystemsLeaseRecordSearchLaborCostSMCS</vt:lpstr>
      <vt:lpstr>pSystemsLeaseRecordSearchLaborCostTotal</vt:lpstr>
      <vt:lpstr>pSystemsLeaseRecordSearchLaborCostTotal_CFS</vt:lpstr>
      <vt:lpstr>pSystemsLeaseRecordSearchLaborHrsCM</vt:lpstr>
      <vt:lpstr>pSystemsLeaseRecordSearchLaborHrsCRT</vt:lpstr>
      <vt:lpstr>pSystemsLeaseRecordSearchLaborHrsEM</vt:lpstr>
      <vt:lpstr>pSystemsLeaseRecordSearchLaborHrsENG</vt:lpstr>
      <vt:lpstr>pSystemsLeaseRecordSearchLaborHrsHM</vt:lpstr>
      <vt:lpstr>pSystemsLeaseRecordSearchLaborHrsLM</vt:lpstr>
      <vt:lpstr>pSystemsLeaseRecordSearchLaborHrsO1</vt:lpstr>
      <vt:lpstr>pSystemsLeaseRecordSearchLaborHrsO2</vt:lpstr>
      <vt:lpstr>pSystemsLeaseRecordSearchLaborHrsPLG</vt:lpstr>
      <vt:lpstr>pSystemsLeaseRecordSearchLaborHrsQSC</vt:lpstr>
      <vt:lpstr>pSystemsLeaseRecordSearchLaborHrsSCL</vt:lpstr>
      <vt:lpstr>pSystemsLeaseRecordSearchLaborHrsSMCS</vt:lpstr>
      <vt:lpstr>pSystemsLeaseRecordSearchTotalFTEs</vt:lpstr>
      <vt:lpstr>pSystemsLeaseRecordSearchTotalFTEs_OutputSummary</vt:lpstr>
      <vt:lpstr>pSystemsLeaseRecordsSearchForecast</vt:lpstr>
      <vt:lpstr>pSystemsLeaseRelatedTotalFTEs_OutputSummary</vt:lpstr>
      <vt:lpstr>pSystemsLeaseReturnFTEsCM</vt:lpstr>
      <vt:lpstr>pSystemsLeaseReturnFTEsCRT</vt:lpstr>
      <vt:lpstr>pSystemsLeaseReturnFTEsEM</vt:lpstr>
      <vt:lpstr>pSystemsLeaseReturnFTEsENG</vt:lpstr>
      <vt:lpstr>pSystemsLeaseReturnFTEsHM</vt:lpstr>
      <vt:lpstr>pSystemsLeaseReturnFTEsLM</vt:lpstr>
      <vt:lpstr>pSystemsLeaseReturnFTEsO1</vt:lpstr>
      <vt:lpstr>pSystemsLeaseReturnFTEsO2</vt:lpstr>
      <vt:lpstr>pSystemsLeaseReturnFTEsPLG</vt:lpstr>
      <vt:lpstr>pSystemsLeaseReturnFTEsQSC</vt:lpstr>
      <vt:lpstr>pSystemsLeaseReturnFTEsSCL</vt:lpstr>
      <vt:lpstr>pSystemsLeaseReturnFTEsSMCS</vt:lpstr>
      <vt:lpstr>pSystemsLeaseReturnPaperPrintCost</vt:lpstr>
      <vt:lpstr>pSystemsLeaseReturnPaperPrintCost_CFS</vt:lpstr>
      <vt:lpstr>pSystemsLeaseReturnPrintCollFTEsCM</vt:lpstr>
      <vt:lpstr>pSystemsLeaseReturnPrintCollFTEsCRT</vt:lpstr>
      <vt:lpstr>pSystemsLeaseReturnPrintCollFTEsEM</vt:lpstr>
      <vt:lpstr>pSystemsLeaseReturnPrintCollFTEsENG</vt:lpstr>
      <vt:lpstr>pSystemsLeaseReturnPrintCollFTEsHM</vt:lpstr>
      <vt:lpstr>pSystemsLeaseReturnPrintCollFTEsLM</vt:lpstr>
      <vt:lpstr>pSystemsLeaseReturnPrintCollFTEsO1</vt:lpstr>
      <vt:lpstr>pSystemsLeaseReturnPrintCollFTEsO2</vt:lpstr>
      <vt:lpstr>pSystemsLeaseReturnPrintCollFTEsPLG</vt:lpstr>
      <vt:lpstr>pSystemsLeaseReturnPrintCollFTEsQSC</vt:lpstr>
      <vt:lpstr>pSystemsLeaseReturnPrintCollFTEsSCL</vt:lpstr>
      <vt:lpstr>pSystemsLeaseReturnPrintCollFTEsSMCS</vt:lpstr>
      <vt:lpstr>pSystemsLeaseReturnPrintCollLaborCostCM</vt:lpstr>
      <vt:lpstr>pSystemsLeaseReturnPrintCollLaborCostCRT</vt:lpstr>
      <vt:lpstr>pSystemsLeaseReturnPrintCollLaborCostEM</vt:lpstr>
      <vt:lpstr>pSystemsLeaseReturnPrintCollLaborCostENG</vt:lpstr>
      <vt:lpstr>pSystemsLeaseReturnPrintCollLaborCostHM</vt:lpstr>
      <vt:lpstr>pSystemsLeaseReturnPrintCollLaborCostLM</vt:lpstr>
      <vt:lpstr>pSystemsLeaseReturnPrintCollLaborCostO1</vt:lpstr>
      <vt:lpstr>pSystemsLeaseReturnPrintCollLaborCostO2</vt:lpstr>
      <vt:lpstr>pSystemsLeaseReturnPrintCollLaborCostPLG</vt:lpstr>
      <vt:lpstr>pSystemsLeaseReturnPrintCollLaborCostQSC</vt:lpstr>
      <vt:lpstr>pSystemsLeaseReturnPrintCollLaborCostSCL</vt:lpstr>
      <vt:lpstr>pSystemsLeaseReturnPrintCollLaborCostSMCS</vt:lpstr>
      <vt:lpstr>pSystemsLeaseReturnPrintCollLaborCostTotal</vt:lpstr>
      <vt:lpstr>pSystemsLeaseReturnPrintCollLaborCostTotal_CFS</vt:lpstr>
      <vt:lpstr>pSystemsLeaseReturnPrintCollLaborHrsCM</vt:lpstr>
      <vt:lpstr>pSystemsLeaseReturnPrintCollLaborHrsCRT</vt:lpstr>
      <vt:lpstr>pSystemsLeaseReturnPrintCollLaborHrsEM</vt:lpstr>
      <vt:lpstr>pSystemsLeaseReturnPrintCollLaborHrsENG</vt:lpstr>
      <vt:lpstr>pSystemsLeaseReturnPrintCollLaborHrsHM</vt:lpstr>
      <vt:lpstr>pSystemsLeaseReturnPrintCollLaborHrsLM</vt:lpstr>
      <vt:lpstr>pSystemsLeaseReturnPrintCollLaborHrsO1</vt:lpstr>
      <vt:lpstr>pSystemsLeaseReturnPrintCollLaborHrsO2</vt:lpstr>
      <vt:lpstr>pSystemsLeaseReturnPrintCollLaborHrsPLG</vt:lpstr>
      <vt:lpstr>pSystemsLeaseReturnPrintCollLaborHrsQSC</vt:lpstr>
      <vt:lpstr>pSystemsLeaseReturnPrintCollLaborHrsSCL</vt:lpstr>
      <vt:lpstr>pSystemsLeaseReturnPrintCollLaborHrsSMCS</vt:lpstr>
      <vt:lpstr>pSystemsLeaseReturnPrintCollTotalFTEs</vt:lpstr>
      <vt:lpstr>pSystemsLeaseReturnPrintCollTotalFTEs_OutputSummary</vt:lpstr>
      <vt:lpstr>pSystemsLeaseReturnTotalFTEs</vt:lpstr>
      <vt:lpstr>pSystemsLeaseReturnTotalFTEs_OutputSummary</vt:lpstr>
      <vt:lpstr>pSystemsLessorVisitForecast</vt:lpstr>
      <vt:lpstr>pSystemsMFD_Total</vt:lpstr>
      <vt:lpstr>pSystemsMFDCostpa_TotalGrand</vt:lpstr>
      <vt:lpstr>pSystemsMFDLeaseCostpa_Total</vt:lpstr>
      <vt:lpstr>pSystemsMFDPrintCostpa_Total</vt:lpstr>
      <vt:lpstr>'Outputs - CF eSystems'!pSystemsNetCF</vt:lpstr>
      <vt:lpstr>'Outputs - CF hSystems'!pSystemsNetCF</vt:lpstr>
      <vt:lpstr>pSystemsNetCF</vt:lpstr>
      <vt:lpstr>pSystemsOfficeLeaseCostpa_Total</vt:lpstr>
      <vt:lpstr>pSystemsOfficeSpace_Total</vt:lpstr>
      <vt:lpstr>Inputs_RecordsGeneration!pSystemsPaperPercent</vt:lpstr>
      <vt:lpstr>pSystemsPaperPercentCM</vt:lpstr>
      <vt:lpstr>pSystemsPaperPercentCRT</vt:lpstr>
      <vt:lpstr>pSystemsPaperPercentEM</vt:lpstr>
      <vt:lpstr>pSystemsPaperPercentENG</vt:lpstr>
      <vt:lpstr>pSystemsPaperPercentErrorCM</vt:lpstr>
      <vt:lpstr>pSystemsPaperPercentErrorCRT</vt:lpstr>
      <vt:lpstr>pSystemsPaperPercentErrorEM</vt:lpstr>
      <vt:lpstr>pSystemsPaperPercentErrorENG</vt:lpstr>
      <vt:lpstr>pSystemsPaperPercentErrorHM</vt:lpstr>
      <vt:lpstr>pSystemsPaperPercentErrorLM</vt:lpstr>
      <vt:lpstr>pSystemsPaperPercentErrorO1</vt:lpstr>
      <vt:lpstr>pSystemsPaperPercentErrorO2</vt:lpstr>
      <vt:lpstr>pSystemsPaperPercentErrorPLG</vt:lpstr>
      <vt:lpstr>pSystemsPaperPercentErrorQSC</vt:lpstr>
      <vt:lpstr>pSystemsPaperPercentErrorSCL</vt:lpstr>
      <vt:lpstr>pSystemsPaperPercentErrorSMCS</vt:lpstr>
      <vt:lpstr>pSystemsPaperPercentHM</vt:lpstr>
      <vt:lpstr>pSystemsPaperPercentLM</vt:lpstr>
      <vt:lpstr>pSystemsPaperPercentO1</vt:lpstr>
      <vt:lpstr>pSystemsPaperPercentO2</vt:lpstr>
      <vt:lpstr>pSystemsPaperPercentPLG</vt:lpstr>
      <vt:lpstr>pSystemsPaperPercentQSC</vt:lpstr>
      <vt:lpstr>pSystemsPaperPercentSCL</vt:lpstr>
      <vt:lpstr>pSystemsPaperPercentSMCS</vt:lpstr>
      <vt:lpstr>pSystemsPaperRecords_Total</vt:lpstr>
      <vt:lpstr>pSystemsPaperRecordsErrors_Total</vt:lpstr>
      <vt:lpstr>pSystemsPaperRequiredReworksCM</vt:lpstr>
      <vt:lpstr>pSystemsPaperRequiredReworksCRT</vt:lpstr>
      <vt:lpstr>pSystemsPaperRequiredReworksEM</vt:lpstr>
      <vt:lpstr>pSystemsPaperRequiredReworksENG</vt:lpstr>
      <vt:lpstr>pSystemsPaperRequiredReworksHM</vt:lpstr>
      <vt:lpstr>pSystemsPaperRequiredReworksLM</vt:lpstr>
      <vt:lpstr>pSystemsPaperRequiredReworksO1</vt:lpstr>
      <vt:lpstr>pSystemsPaperRequiredReworksO2</vt:lpstr>
      <vt:lpstr>pSystemsPaperRequiredReworksPLG</vt:lpstr>
      <vt:lpstr>pSystemsPaperRequiredReworksQSC</vt:lpstr>
      <vt:lpstr>pSystemsPaperRequiredReworksSCL</vt:lpstr>
      <vt:lpstr>pSystemsPaperRequiredReworksSMCS</vt:lpstr>
      <vt:lpstr>pSystemsPrintRoomArea_Each</vt:lpstr>
      <vt:lpstr>pSystemsPrintRoomArea_Total</vt:lpstr>
      <vt:lpstr>'Costs_RecordArchive&amp;Retrieval'!pSystemsRecordsArchiveCumulative_Gross</vt:lpstr>
      <vt:lpstr>'Costs_RecordArchive&amp;Retrieval'!pSystemsRecordsArchiveCumulative_Net</vt:lpstr>
      <vt:lpstr>'Costs_RecordArchive&amp;Retrieval'!pSystemsRecordsArchiveShredDisposal</vt:lpstr>
      <vt:lpstr>'Costs_RecordArchive&amp;Retrieval'!pSystemsRecordsArchiveShredDueDigital</vt:lpstr>
      <vt:lpstr>pSystemsRecordsPaperArchive_CFS</vt:lpstr>
      <vt:lpstr>pSystemsReworkCostpaCM</vt:lpstr>
      <vt:lpstr>pSystemsReworkCostpaCRT</vt:lpstr>
      <vt:lpstr>pSystemsReworkCostpaEM</vt:lpstr>
      <vt:lpstr>pSystemsReworkCostpaENG</vt:lpstr>
      <vt:lpstr>pSystemsReworkCostpaHM</vt:lpstr>
      <vt:lpstr>pSystemsReworkCostpaLM</vt:lpstr>
      <vt:lpstr>pSystemsReworkCostpaO1</vt:lpstr>
      <vt:lpstr>pSystemsReworkCostpaO2</vt:lpstr>
      <vt:lpstr>pSystemsReworkCostpaPLG</vt:lpstr>
      <vt:lpstr>pSystemsReworkCostpaQSC</vt:lpstr>
      <vt:lpstr>pSystemsReworkCostpaSCL</vt:lpstr>
      <vt:lpstr>pSystemsReworkCostpaSMCS</vt:lpstr>
      <vt:lpstr>pSystemsReworkFTEsCM</vt:lpstr>
      <vt:lpstr>pSystemsReworkFTEsCRT</vt:lpstr>
      <vt:lpstr>pSystemsReworkFTEsEM</vt:lpstr>
      <vt:lpstr>pSystemsReworkFTEsENG</vt:lpstr>
      <vt:lpstr>pSystemsReworkFTEsHM</vt:lpstr>
      <vt:lpstr>pSystemsReworkFTEsLM</vt:lpstr>
      <vt:lpstr>pSystemsReworkFTEsO1</vt:lpstr>
      <vt:lpstr>pSystemsReworkFTEsO2</vt:lpstr>
      <vt:lpstr>pSystemsReworkFTEsPLG</vt:lpstr>
      <vt:lpstr>pSystemsReworkFTEsQSC</vt:lpstr>
      <vt:lpstr>pSystemsReworkFTEsSCL</vt:lpstr>
      <vt:lpstr>pSystemsReworkFTEsSMCS</vt:lpstr>
      <vt:lpstr>pSystemsReworkHoursCM</vt:lpstr>
      <vt:lpstr>pSystemsReworkHoursCRT</vt:lpstr>
      <vt:lpstr>pSystemsReworkHoursEM</vt:lpstr>
      <vt:lpstr>pSystemsReworkHoursENG</vt:lpstr>
      <vt:lpstr>pSystemsReworkHoursHM</vt:lpstr>
      <vt:lpstr>pSystemsReworkHoursLM</vt:lpstr>
      <vt:lpstr>pSystemsReworkHoursO1</vt:lpstr>
      <vt:lpstr>pSystemsReworkHoursO2</vt:lpstr>
      <vt:lpstr>pSystemsReworkHourspaCM</vt:lpstr>
      <vt:lpstr>pSystemsReworkHourspaCRT</vt:lpstr>
      <vt:lpstr>pSystemsReworkHourspaEM</vt:lpstr>
      <vt:lpstr>pSystemsReworkHourspaENG</vt:lpstr>
      <vt:lpstr>pSystemsReworkHourspaHM</vt:lpstr>
      <vt:lpstr>pSystemsReworkHourspaLM</vt:lpstr>
      <vt:lpstr>pSystemsReworkHourspaO1</vt:lpstr>
      <vt:lpstr>pSystemsReworkHourspaO2</vt:lpstr>
      <vt:lpstr>pSystemsReworkHourspaPLG</vt:lpstr>
      <vt:lpstr>pSystemsReworkHourspaQSC</vt:lpstr>
      <vt:lpstr>pSystemsReworkHourspaSCL</vt:lpstr>
      <vt:lpstr>pSystemsReworkHourspaSMCS</vt:lpstr>
      <vt:lpstr>pSystemsReworkHoursPLG</vt:lpstr>
      <vt:lpstr>pSystemsReworkHoursQSC</vt:lpstr>
      <vt:lpstr>pSystemsReworkHoursSCL</vt:lpstr>
      <vt:lpstr>pSystemsReworkHoursSMCS</vt:lpstr>
      <vt:lpstr>pSystemsReworkTotalCostpa</vt:lpstr>
      <vt:lpstr>pSystemsReworkTotalCostpa_CFS</vt:lpstr>
      <vt:lpstr>pSystemsReworkTotalFTEs</vt:lpstr>
      <vt:lpstr>pSystemsTouchHourspaCM</vt:lpstr>
      <vt:lpstr>pSystemsTouchHourspaCRT</vt:lpstr>
      <vt:lpstr>pSystemsTouchHourspaEM</vt:lpstr>
      <vt:lpstr>pSystemsTouchHourspaENG</vt:lpstr>
      <vt:lpstr>pSystemsTouchHourspaHM</vt:lpstr>
      <vt:lpstr>pSystemsTouchHourspaLM</vt:lpstr>
      <vt:lpstr>pSystemsTouchHourspaO1</vt:lpstr>
      <vt:lpstr>pSystemsTouchHourspaO2</vt:lpstr>
      <vt:lpstr>pSystemsTouchHourspaPLG</vt:lpstr>
      <vt:lpstr>pSystemsTouchHourspaQSC</vt:lpstr>
      <vt:lpstr>pSystemsTouchHourspaSCL</vt:lpstr>
      <vt:lpstr>pSystemsTouchHourspaSMCS</vt:lpstr>
      <vt:lpstr>pSystemsTouchRateHourCM</vt:lpstr>
      <vt:lpstr>pSystemsTouchRateHourCRT</vt:lpstr>
      <vt:lpstr>pSystemsTouchRateHourEM</vt:lpstr>
      <vt:lpstr>pSystemsTouchRateHourENG</vt:lpstr>
      <vt:lpstr>pSystemsTouchRateHourHM</vt:lpstr>
      <vt:lpstr>pSystemsTouchRateHourLM</vt:lpstr>
      <vt:lpstr>pSystemsTouchRateHourO1</vt:lpstr>
      <vt:lpstr>pSystemsTouchRateHourO2</vt:lpstr>
      <vt:lpstr>pSystemsTouchRateHourPLG</vt:lpstr>
      <vt:lpstr>pSystemsTouchRateHourQSC</vt:lpstr>
      <vt:lpstr>pSystemsTouchRateHourSCL</vt:lpstr>
      <vt:lpstr>pSystemsTouchRateHourSMCS</vt:lpstr>
      <vt:lpstr>pSystemsTrainingCostCM</vt:lpstr>
      <vt:lpstr>pSystemsTrainingCostCRT</vt:lpstr>
      <vt:lpstr>pSystemsTrainingCostEM</vt:lpstr>
      <vt:lpstr>pSystemsTrainingCostENG</vt:lpstr>
      <vt:lpstr>pSystemsTrainingCostHM</vt:lpstr>
      <vt:lpstr>pSystemsTrainingCostLM</vt:lpstr>
      <vt:lpstr>pSystemsTrainingCostO1</vt:lpstr>
      <vt:lpstr>pSystemsTrainingCostO2</vt:lpstr>
      <vt:lpstr>pSystemsTrainingCostPerFTE_CM</vt:lpstr>
      <vt:lpstr>pSystemsTrainingCostPerFTE_CRT</vt:lpstr>
      <vt:lpstr>pSystemsTrainingCostPerFTE_EM</vt:lpstr>
      <vt:lpstr>pSystemsTrainingCostPerFTE_ENG</vt:lpstr>
      <vt:lpstr>pSystemsTrainingCostPerFTE_HM</vt:lpstr>
      <vt:lpstr>pSystemsTrainingCostPerFTE_LM</vt:lpstr>
      <vt:lpstr>pSystemsTrainingCostPerFTE_O1</vt:lpstr>
      <vt:lpstr>pSystemsTrainingCostPerFTE_O2</vt:lpstr>
      <vt:lpstr>pSystemsTrainingCostPerFTE_PLG</vt:lpstr>
      <vt:lpstr>pSystemsTrainingCostPerFTE_QSC</vt:lpstr>
      <vt:lpstr>pSystemsTrainingCostPerFTE_SCL</vt:lpstr>
      <vt:lpstr>pSystemsTrainingCostPerFTE_SMCS</vt:lpstr>
      <vt:lpstr>pSystemsTrainingCostPLG</vt:lpstr>
      <vt:lpstr>pSystemsTrainingCostQSC</vt:lpstr>
      <vt:lpstr>pSystemsTrainingCostSCL</vt:lpstr>
      <vt:lpstr>pSystemsTrainingCostSMCS</vt:lpstr>
      <vt:lpstr>pSystemsTrainingFTEsCM</vt:lpstr>
      <vt:lpstr>pSystemsTrainingFTEsCRT</vt:lpstr>
      <vt:lpstr>pSystemsTrainingFTEsEM</vt:lpstr>
      <vt:lpstr>pSystemsTrainingFTEsENG</vt:lpstr>
      <vt:lpstr>pSystemsTrainingFTEsHM</vt:lpstr>
      <vt:lpstr>pSystemsTrainingFTEsLM</vt:lpstr>
      <vt:lpstr>pSystemsTrainingFTEsO1</vt:lpstr>
      <vt:lpstr>pSystemsTrainingFTEsO2</vt:lpstr>
      <vt:lpstr>pSystemsTrainingFTEsPLG</vt:lpstr>
      <vt:lpstr>pSystemsTrainingFTEsQSC</vt:lpstr>
      <vt:lpstr>pSystemsTrainingFTEsSCL</vt:lpstr>
      <vt:lpstr>pSystemsTrainingFTEsSMCS</vt:lpstr>
      <vt:lpstr>RecordsCMFleetTotalpa_A</vt:lpstr>
      <vt:lpstr>RecordsCMFleetTotalpa_B</vt:lpstr>
      <vt:lpstr>RecordsCMFleetTotalpa_C</vt:lpstr>
      <vt:lpstr>RecordsCMFleetTotalpa_D</vt:lpstr>
      <vt:lpstr>RecordsCMFleetTotalpa_E</vt:lpstr>
      <vt:lpstr>RecordsCMFleetTotalpa_F</vt:lpstr>
      <vt:lpstr>RecordsCMFleetTotalpa_G</vt:lpstr>
      <vt:lpstr>RecordsCMFleetTotalpa_H</vt:lpstr>
      <vt:lpstr>RecordsCMFleetTotalpa_I</vt:lpstr>
      <vt:lpstr>RecordsCMFleetTotalpa_J</vt:lpstr>
      <vt:lpstr>RecordsCMFleetTotalpa_K</vt:lpstr>
      <vt:lpstr>RecordsCMFleetTotalpa_L</vt:lpstr>
      <vt:lpstr>RecordsCMFleetTotalpa_M</vt:lpstr>
      <vt:lpstr>RecordsCMFleetTotalpa_N</vt:lpstr>
      <vt:lpstr>RecordsCMFleetTotalpa_O</vt:lpstr>
      <vt:lpstr>RecordsCRTFleetTotalpa_A</vt:lpstr>
      <vt:lpstr>RecordsCRTFleetTotalpa_B</vt:lpstr>
      <vt:lpstr>RecordsCRTFleetTotalpa_C</vt:lpstr>
      <vt:lpstr>RecordsCRTFleetTotalpa_D</vt:lpstr>
      <vt:lpstr>RecordsCRTFleetTotalpa_E</vt:lpstr>
      <vt:lpstr>RecordsCRTFleetTotalpa_F</vt:lpstr>
      <vt:lpstr>RecordsCRTFleetTotalpa_G</vt:lpstr>
      <vt:lpstr>RecordsCRTFleetTotalpa_H</vt:lpstr>
      <vt:lpstr>RecordsCRTFleetTotalpa_I</vt:lpstr>
      <vt:lpstr>RecordsCRTFleetTotalpa_J</vt:lpstr>
      <vt:lpstr>RecordsCRTFleetTotalpa_K</vt:lpstr>
      <vt:lpstr>RecordsCRTFleetTotalpa_L</vt:lpstr>
      <vt:lpstr>RecordsCRTFleetTotalpa_M</vt:lpstr>
      <vt:lpstr>RecordsCRTFleetTotalpa_N</vt:lpstr>
      <vt:lpstr>RecordsCRTFleetTotalpa_O</vt:lpstr>
      <vt:lpstr>RecordsEMFleetTotalpa_A</vt:lpstr>
      <vt:lpstr>RecordsEMFleetTotalpa_B</vt:lpstr>
      <vt:lpstr>RecordsEMFleetTotalpa_C</vt:lpstr>
      <vt:lpstr>RecordsEMFleetTotalpa_D</vt:lpstr>
      <vt:lpstr>RecordsEMFleetTotalpa_E</vt:lpstr>
      <vt:lpstr>RecordsEMFleetTotalpa_F</vt:lpstr>
      <vt:lpstr>RecordsEMFleetTotalpa_G</vt:lpstr>
      <vt:lpstr>RecordsEMFleetTotalpa_H</vt:lpstr>
      <vt:lpstr>RecordsEMFleetTotalpa_I</vt:lpstr>
      <vt:lpstr>RecordsEMFleetTotalpa_J</vt:lpstr>
      <vt:lpstr>RecordsEMFleetTotalpa_K</vt:lpstr>
      <vt:lpstr>RecordsEMFleetTotalpa_L</vt:lpstr>
      <vt:lpstr>RecordsEMFleetTotalpa_M</vt:lpstr>
      <vt:lpstr>RecordsEMFleetTotalpa_N</vt:lpstr>
      <vt:lpstr>RecordsEMFleetTotalpa_O</vt:lpstr>
      <vt:lpstr>RecordsEngFleetTotalpa_A</vt:lpstr>
      <vt:lpstr>RecordsEngFleetTotalpa_B</vt:lpstr>
      <vt:lpstr>RecordsEngFleetTotalpa_C</vt:lpstr>
      <vt:lpstr>RecordsEngFleetTotalpa_D</vt:lpstr>
      <vt:lpstr>RecordsEngFleetTotalpa_E</vt:lpstr>
      <vt:lpstr>RecordsEngFleetTotalpa_F</vt:lpstr>
      <vt:lpstr>RecordsEngFleetTotalpa_G</vt:lpstr>
      <vt:lpstr>RecordsEngFleetTotalpa_H</vt:lpstr>
      <vt:lpstr>RecordsEngFleetTotalpa_I</vt:lpstr>
      <vt:lpstr>RecordsEngFleetTotalpa_J</vt:lpstr>
      <vt:lpstr>RecordsEngFleetTotalpa_K</vt:lpstr>
      <vt:lpstr>RecordsEngFleetTotalpa_L</vt:lpstr>
      <vt:lpstr>RecordsEngFleetTotalpa_M</vt:lpstr>
      <vt:lpstr>RecordsEngFleetTotalpa_N</vt:lpstr>
      <vt:lpstr>RecordsEngFleetTotalpa_O</vt:lpstr>
      <vt:lpstr>RecordsFleetTotalGrandpa_A</vt:lpstr>
      <vt:lpstr>RecordsFleetTotalGrandpa_C</vt:lpstr>
      <vt:lpstr>RecordsFleetTotalGrandpa_D</vt:lpstr>
      <vt:lpstr>RecordsFleetTotalGrandpa_E</vt:lpstr>
      <vt:lpstr>RecordsFleetTotalGrandpa_F</vt:lpstr>
      <vt:lpstr>RecordsFleetTotalGrandpa_G</vt:lpstr>
      <vt:lpstr>RecordsFleetTotalGrandpa_H</vt:lpstr>
      <vt:lpstr>RecordsFleetTotalGrandpa_I</vt:lpstr>
      <vt:lpstr>RecordsFleetTotalGrandpa_J</vt:lpstr>
      <vt:lpstr>RecordsFleetTotalGrandpa_K</vt:lpstr>
      <vt:lpstr>RecordsFleetTotalGrandpa_L</vt:lpstr>
      <vt:lpstr>RecordsFleetTotalGrandpa_M</vt:lpstr>
      <vt:lpstr>RecordsFleetTotalGrandpa_N</vt:lpstr>
      <vt:lpstr>RecordsFleetTotalGrandpa_O</vt:lpstr>
      <vt:lpstr>RecordsHMCycleTotal_A</vt:lpstr>
      <vt:lpstr>RecordsHMCycleTotal_B</vt:lpstr>
      <vt:lpstr>RecordsHMCycleTotal_C</vt:lpstr>
      <vt:lpstr>RecordsHMCycleTotal_D</vt:lpstr>
      <vt:lpstr>RecordsHMCycleTotal_E</vt:lpstr>
      <vt:lpstr>RecordsHMCycleTotal_F</vt:lpstr>
      <vt:lpstr>RecordsHMCycleTotal_G</vt:lpstr>
      <vt:lpstr>RecordsHMCycleTotal_H</vt:lpstr>
      <vt:lpstr>RecordsHMCycleTotal_I</vt:lpstr>
      <vt:lpstr>RecordsHMCycleTotal_J</vt:lpstr>
      <vt:lpstr>RecordsHMCycleTotal_K</vt:lpstr>
      <vt:lpstr>RecordsHMCycleTotal_L</vt:lpstr>
      <vt:lpstr>RecordsHMCycleTotal_M</vt:lpstr>
      <vt:lpstr>RecordsHMCycleTotal_N</vt:lpstr>
      <vt:lpstr>RecordsHMCycleTotal_O</vt:lpstr>
      <vt:lpstr>RecordsHMFleetTotalpa_A</vt:lpstr>
      <vt:lpstr>RecordsHMFleetTotalpa_B</vt:lpstr>
      <vt:lpstr>RecordsHMFleetTotalpa_C</vt:lpstr>
      <vt:lpstr>RecordsHMFleetTotalpa_D</vt:lpstr>
      <vt:lpstr>RecordsHMFleetTotalpa_E</vt:lpstr>
      <vt:lpstr>RecordsHMFleetTotalpa_F</vt:lpstr>
      <vt:lpstr>RecordsHMFleetTotalpa_G</vt:lpstr>
      <vt:lpstr>RecordsHMFleetTotalpa_H</vt:lpstr>
      <vt:lpstr>RecordsHMFleetTotalpa_I</vt:lpstr>
      <vt:lpstr>RecordsHMFleetTotalpa_J</vt:lpstr>
      <vt:lpstr>RecordsHMFleetTotalpa_K</vt:lpstr>
      <vt:lpstr>RecordsHMFleetTotalpa_L</vt:lpstr>
      <vt:lpstr>RecordsHMFleetTotalpa_M</vt:lpstr>
      <vt:lpstr>RecordsHMFleetTotalpa_N</vt:lpstr>
      <vt:lpstr>RecordsHMFleetTotalpa_O</vt:lpstr>
      <vt:lpstr>'Costs_RecordArchive&amp;Retrieval'!RecordsLegacyYr1</vt:lpstr>
      <vt:lpstr>RecordsLMFleetTotalpa_A</vt:lpstr>
      <vt:lpstr>RecordsLMFleetTotalpa_B</vt:lpstr>
      <vt:lpstr>RecordsLMFleetTotalpa_C</vt:lpstr>
      <vt:lpstr>RecordsLMFleetTotalpa_D</vt:lpstr>
      <vt:lpstr>RecordsLMFleetTotalpa_E</vt:lpstr>
      <vt:lpstr>RecordsLMFleetTotalpa_F</vt:lpstr>
      <vt:lpstr>RecordsLMFleetTotalpa_G</vt:lpstr>
      <vt:lpstr>RecordsLMFleetTotalpa_H</vt:lpstr>
      <vt:lpstr>RecordsLMFleetTotalpa_I</vt:lpstr>
      <vt:lpstr>RecordsLMFleetTotalpa_J</vt:lpstr>
      <vt:lpstr>RecordsLMFleetTotalpa_K</vt:lpstr>
      <vt:lpstr>RecordsLMFleetTotalpa_L</vt:lpstr>
      <vt:lpstr>RecordsLMFleetTotalpa_M</vt:lpstr>
      <vt:lpstr>RecordsLMFleetTotalpa_N</vt:lpstr>
      <vt:lpstr>RecordsLMFleetTotalpa_O</vt:lpstr>
      <vt:lpstr>RecordsO1FleetTotalpa_A</vt:lpstr>
      <vt:lpstr>RecordsO1FleetTotalpa_B</vt:lpstr>
      <vt:lpstr>RecordsO1FleetTotalpa_C</vt:lpstr>
      <vt:lpstr>RecordsO1FleetTotalpa_D</vt:lpstr>
      <vt:lpstr>RecordsO1FleetTotalpa_E</vt:lpstr>
      <vt:lpstr>RecordsO1FleetTotalpa_F</vt:lpstr>
      <vt:lpstr>RecordsO1FleetTotalpa_G</vt:lpstr>
      <vt:lpstr>RecordsO1FleetTotalpa_H</vt:lpstr>
      <vt:lpstr>RecordsO1FleetTotalpa_I</vt:lpstr>
      <vt:lpstr>RecordsO1FleetTotalpa_J</vt:lpstr>
      <vt:lpstr>RecordsO1FleetTotalpa_K</vt:lpstr>
      <vt:lpstr>RecordsO1FleetTotalpa_L</vt:lpstr>
      <vt:lpstr>RecordsO1FleetTotalpa_M</vt:lpstr>
      <vt:lpstr>RecordsO1FleetTotalpa_N</vt:lpstr>
      <vt:lpstr>RecordsO1FleetTotalpa_O</vt:lpstr>
      <vt:lpstr>RecordsO2FleetTotalpa_A</vt:lpstr>
      <vt:lpstr>RecordsO2FleetTotalpa_B</vt:lpstr>
      <vt:lpstr>RecordsO2FleetTotalpa_C</vt:lpstr>
      <vt:lpstr>RecordsO2FleetTotalpa_D</vt:lpstr>
      <vt:lpstr>RecordsO2FleetTotalpa_E</vt:lpstr>
      <vt:lpstr>RecordsO2FleetTotalpa_F</vt:lpstr>
      <vt:lpstr>RecordsO2FleetTotalpa_G</vt:lpstr>
      <vt:lpstr>RecordsO2FleetTotalpa_H</vt:lpstr>
      <vt:lpstr>RecordsO2FleetTotalpa_I</vt:lpstr>
      <vt:lpstr>RecordsO2FleetTotalpa_J</vt:lpstr>
      <vt:lpstr>RecordsO2FleetTotalpa_K</vt:lpstr>
      <vt:lpstr>RecordsO2FleetTotalpa_L</vt:lpstr>
      <vt:lpstr>RecordsO2FleetTotalpa_M</vt:lpstr>
      <vt:lpstr>RecordsO2FleetTotalpa_N</vt:lpstr>
      <vt:lpstr>RecordsO2FleetTotalpa_O</vt:lpstr>
      <vt:lpstr>'Costs_RecordArchive&amp;Retrieval'!RecordsperArchiveBox</vt:lpstr>
      <vt:lpstr>RecordsPlgFleetTotalpa_A</vt:lpstr>
      <vt:lpstr>RecordsPlgFleetTotalpa_B</vt:lpstr>
      <vt:lpstr>RecordsPlgFleetTotalpa_C</vt:lpstr>
      <vt:lpstr>RecordsPlgFleetTotalpa_D</vt:lpstr>
      <vt:lpstr>RecordsPlgFleetTotalpa_E</vt:lpstr>
      <vt:lpstr>RecordsPlgFleetTotalpa_F</vt:lpstr>
      <vt:lpstr>RecordsPlgFleetTotalpa_G</vt:lpstr>
      <vt:lpstr>RecordsPlgFleetTotalpa_H</vt:lpstr>
      <vt:lpstr>RecordsPlgFleetTotalpa_I</vt:lpstr>
      <vt:lpstr>RecordsPlgFleetTotalpa_J</vt:lpstr>
      <vt:lpstr>RecordsPlgFleetTotalpa_K</vt:lpstr>
      <vt:lpstr>RecordsPlgFleetTotalpa_L</vt:lpstr>
      <vt:lpstr>RecordsPlgFleetTotalpa_M</vt:lpstr>
      <vt:lpstr>RecordsPlgFleetTotalpa_N</vt:lpstr>
      <vt:lpstr>RecordsPlgFleetTotalpa_O</vt:lpstr>
      <vt:lpstr>RecordsQSCFleetTotalpa_A</vt:lpstr>
      <vt:lpstr>RecordsQSCFleetTotalpa_B</vt:lpstr>
      <vt:lpstr>RecordsQSCFleetTotalpa_C</vt:lpstr>
      <vt:lpstr>RecordsQSCFleetTotalpa_D</vt:lpstr>
      <vt:lpstr>RecordsQSCFleetTotalpa_E</vt:lpstr>
      <vt:lpstr>RecordsQSCFleetTotalpa_F</vt:lpstr>
      <vt:lpstr>RecordsQSCFleetTotalpa_G</vt:lpstr>
      <vt:lpstr>RecordsQSCFleetTotalpa_H</vt:lpstr>
      <vt:lpstr>RecordsQSCFleetTotalpa_I</vt:lpstr>
      <vt:lpstr>RecordsQSCFleetTotalpa_J</vt:lpstr>
      <vt:lpstr>RecordsQSCFleetTotalpa_K</vt:lpstr>
      <vt:lpstr>RecordsQSCFleetTotalpa_L</vt:lpstr>
      <vt:lpstr>RecordsQSCFleetTotalpa_M</vt:lpstr>
      <vt:lpstr>RecordsQSCFleetTotalpa_N</vt:lpstr>
      <vt:lpstr>RecordsQSCFleetTotalpa_O</vt:lpstr>
      <vt:lpstr>RecordsSCLFleetTotalpa_A</vt:lpstr>
      <vt:lpstr>RecordsSCLFleetTotalpa_B</vt:lpstr>
      <vt:lpstr>RecordsSCLFleetTotalpa_C</vt:lpstr>
      <vt:lpstr>RecordsSCLFleetTotalpa_D</vt:lpstr>
      <vt:lpstr>RecordsSCLFleetTotalpa_E</vt:lpstr>
      <vt:lpstr>RecordsSCLFleetTotalpa_F</vt:lpstr>
      <vt:lpstr>RecordsSCLFleetTotalpa_G</vt:lpstr>
      <vt:lpstr>RecordsSCLFleetTotalpa_H</vt:lpstr>
      <vt:lpstr>RecordsSCLFleetTotalpa_I</vt:lpstr>
      <vt:lpstr>RecordsSCLFleetTotalpa_J</vt:lpstr>
      <vt:lpstr>RecordsSCLFleetTotalpa_K</vt:lpstr>
      <vt:lpstr>RecordsSCLFleetTotalpa_L</vt:lpstr>
      <vt:lpstr>RecordsSCLFleetTotalpa_M</vt:lpstr>
      <vt:lpstr>RecordsSCLFleetTotalpa_N</vt:lpstr>
      <vt:lpstr>RecordsSCLFleetTotalpa_O</vt:lpstr>
      <vt:lpstr>RecordsSMCSFleetTotalpa_A</vt:lpstr>
      <vt:lpstr>RecordsSMCSFleetTotalpa_B</vt:lpstr>
      <vt:lpstr>RecordsSMCSFleetTotalpa_C</vt:lpstr>
      <vt:lpstr>RecordsSMCSFleetTotalpa_D</vt:lpstr>
      <vt:lpstr>RecordsSMCSFleetTotalpa_E</vt:lpstr>
      <vt:lpstr>RecordsSMCSFleetTotalpa_F</vt:lpstr>
      <vt:lpstr>RecordsSMCSFleetTotalpa_G</vt:lpstr>
      <vt:lpstr>RecordsSMCSFleetTotalpa_H</vt:lpstr>
      <vt:lpstr>RecordsSMCSFleetTotalpa_I</vt:lpstr>
      <vt:lpstr>RecordsSMCSFleetTotalpa_J</vt:lpstr>
      <vt:lpstr>RecordsSMCSFleetTotalpa_K</vt:lpstr>
      <vt:lpstr>RecordsSMCSFleetTotalpa_L</vt:lpstr>
      <vt:lpstr>RecordsSMCSFleetTotalpa_M</vt:lpstr>
      <vt:lpstr>RecordsSMCSFleetTotalpa_N</vt:lpstr>
      <vt:lpstr>RecordsSMCSFleetTotalpa_O</vt:lpstr>
      <vt:lpstr>RevisionDate</vt:lpstr>
      <vt:lpstr>SalaryBaseRateHrly</vt:lpstr>
      <vt:lpstr>SalaryBaseYr</vt:lpstr>
      <vt:lpstr>SalaryDirectpa</vt:lpstr>
      <vt:lpstr>SalaryOTpa</vt:lpstr>
      <vt:lpstr>SalaryOTPercent</vt:lpstr>
      <vt:lpstr>Scenario1</vt:lpstr>
      <vt:lpstr>Scenario2</vt:lpstr>
      <vt:lpstr>Scenario3</vt:lpstr>
      <vt:lpstr>StartDate</vt:lpstr>
      <vt:lpstr>VersionNo</vt:lpstr>
      <vt:lpstr>Yr10end</vt:lpstr>
      <vt:lpstr>Yr10Start</vt:lpstr>
      <vt:lpstr>Yr1End</vt:lpstr>
      <vt:lpstr>Yr1Start</vt:lpstr>
      <vt:lpstr>Yr2End</vt:lpstr>
      <vt:lpstr>Yr2Start</vt:lpstr>
      <vt:lpstr>Yr3End</vt:lpstr>
      <vt:lpstr>Yr3Start</vt:lpstr>
      <vt:lpstr>Yr4end</vt:lpstr>
      <vt:lpstr>Yr4Start</vt:lpstr>
      <vt:lpstr>Yr5end</vt:lpstr>
      <vt:lpstr>Yr5Start</vt:lpstr>
      <vt:lpstr>Yr6end</vt:lpstr>
      <vt:lpstr>Yr6Start</vt:lpstr>
      <vt:lpstr>Yr7end</vt:lpstr>
      <vt:lpstr>Yr7Start</vt:lpstr>
      <vt:lpstr>Yr8end</vt:lpstr>
      <vt:lpstr>Yr8Start</vt:lpstr>
      <vt:lpstr>Yr9end</vt:lpstr>
      <vt:lpstr>Yr9Start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2018-07-07T19:23:56Z</dcterms:created>
  <dcterms:modified xsi:type="dcterms:W3CDTF">2018-11-05T15:01:12Z</dcterms:modified>
  <cp:category/>
</cp:coreProperties>
</file>